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charts/chart18.xml" ContentType="application/vnd.openxmlformats-officedocument.drawingml.chart+xml"/>
  <Override PartName="/xl/charts/style19.xml" ContentType="application/vnd.ms-office.chartstyle+xml"/>
  <Override PartName="/xl/charts/colors19.xml" ContentType="application/vnd.ms-office.chartcolorstyle+xml"/>
  <Override PartName="/xl/charts/chart19.xml" ContentType="application/vnd.openxmlformats-officedocument.drawingml.chart+xml"/>
  <Override PartName="/xl/charts/style20.xml" ContentType="application/vnd.ms-office.chartstyle+xml"/>
  <Override PartName="/xl/charts/colors20.xml" ContentType="application/vnd.ms-office.chartcolorstyle+xml"/>
  <Override PartName="/xl/charts/chart20.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21.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22.xml" ContentType="application/vnd.openxmlformats-officedocument.drawingml.chart+xml"/>
  <Override PartName="/xl/charts/style23.xml" ContentType="application/vnd.ms-office.chartstyle+xml"/>
  <Override PartName="/xl/charts/colors23.xml" ContentType="application/vnd.ms-office.chartcolorstyle+xml"/>
  <Override PartName="/xl/drawings/drawing6.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23.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4.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8.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25.xml" ContentType="application/vnd.openxmlformats-officedocument.drawingml.chart+xml"/>
  <Override PartName="/xl/charts/style26.xml" ContentType="application/vnd.ms-office.chartstyle+xml"/>
  <Override PartName="/xl/charts/colors26.xml" ContentType="application/vnd.ms-office.chartcolorstyle+xml"/>
  <Override PartName="/xl/charts/chart26.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harts/chart27.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10.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charts/chart28.xml" ContentType="application/vnd.openxmlformats-officedocument.drawingml.chart+xml"/>
  <Override PartName="/xl/charts/style29.xml" ContentType="application/vnd.ms-office.chartstyle+xml"/>
  <Override PartName="/xl/charts/colors29.xml" ContentType="application/vnd.ms-office.chartcolorstyle+xml"/>
  <Override PartName="/xl/charts/chart29.xml" ContentType="application/vnd.openxmlformats-officedocument.drawingml.chart+xml"/>
  <Override PartName="/xl/charts/style30.xml" ContentType="application/vnd.ms-office.chartstyle+xml"/>
  <Override PartName="/xl/charts/colors30.xml" ContentType="application/vnd.ms-office.chartcolorstyle+xml"/>
  <Override PartName="/xl/drawings/drawing11.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drawings/drawing12.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winliveudlap-my.sharepoint.com/personal/heriberto_espinomo_udlap_mx/Documents/uni/10 Semestre Primavera/Derivados Exoticos/tareas/1/"/>
    </mc:Choice>
  </mc:AlternateContent>
  <xr:revisionPtr revIDLastSave="789" documentId="13_ncr:1_{67B6AAB6-1C91-E049-B2FC-0F47AAB2D399}" xr6:coauthVersionLast="47" xr6:coauthVersionMax="47" xr10:uidLastSave="{BC71B2DA-4EA6-46D3-AE70-92375FBF05B9}"/>
  <bookViews>
    <workbookView xWindow="-110" yWindow="-110" windowWidth="25820" windowHeight="16220" firstSheet="2" activeTab="8" xr2:uid="{F82B3080-F00C-B849-8E1F-6A3C02F16D4D}"/>
  </bookViews>
  <sheets>
    <sheet name="Ejercicio 1 al 3" sheetId="1" r:id="rId1"/>
    <sheet name="Ejercicio 4" sheetId="3" r:id="rId2"/>
    <sheet name="Ejercico 5" sheetId="4" r:id="rId3"/>
    <sheet name="Ejercico 6" sheetId="5" r:id="rId4"/>
    <sheet name="Ejercico 7" sheetId="6" r:id="rId5"/>
    <sheet name="Ejercicio 8 y 9" sheetId="14" r:id="rId6"/>
    <sheet name="Ejercicio 10 y 11" sheetId="16" r:id="rId7"/>
    <sheet name="Ejercicio 12" sheetId="17" r:id="rId8"/>
    <sheet name="Ejercicio 13" sheetId="18" r:id="rId9"/>
    <sheet name="Ejercicio 14 " sheetId="8" r:id="rId10"/>
    <sheet name="Ejercicio 17" sheetId="7" r:id="rId11"/>
    <sheet name="Ejercicio 21" sheetId="9" r:id="rId12"/>
    <sheet name="Ejercicio 22" sheetId="10" r:id="rId13"/>
    <sheet name="Ejercicio 25" sheetId="11" r:id="rId14"/>
    <sheet name="Ejercicio 26" sheetId="12" r:id="rId15"/>
    <sheet name="Ejercicio 27" sheetId="13" r:id="rId16"/>
  </sheets>
  <definedNames>
    <definedName name="_xlchart.v1.0" hidden="1">'Ejercicio 1 al 3'!$H$1</definedName>
    <definedName name="_xlchart.v1.1" hidden="1">'Ejercicio 1 al 3'!$H$2:$H$508</definedName>
    <definedName name="solver_adj" localSheetId="0" hidden="1">'Ejercicio 1 al 3'!$M$572</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'Ejercicio 1 al 3'!$M$615</definedName>
    <definedName name="solver_pre" localSheetId="0" hidden="1">0.000001</definedName>
    <definedName name="solver_rbv" localSheetId="0" hidden="1">1</definedName>
    <definedName name="solver_rlx" localSheetId="0" hidden="1">2</definedName>
    <definedName name="solver_rsd" localSheetId="0" hidden="1">0</definedName>
    <definedName name="solver_scl" localSheetId="0" hidden="1">1</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40</definedName>
    <definedName name="solver_ver" localSheetId="0" hidden="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6" i="13" l="1"/>
  <c r="B10" i="13"/>
  <c r="B13" i="13"/>
  <c r="D10" i="13"/>
  <c r="E10" i="13"/>
  <c r="F10" i="13"/>
  <c r="C10" i="13"/>
  <c r="G7" i="13"/>
  <c r="I8" i="12"/>
  <c r="I6" i="18"/>
  <c r="J6" i="18"/>
  <c r="I7" i="18"/>
  <c r="J7" i="18"/>
  <c r="J8" i="18"/>
  <c r="J9" i="18"/>
  <c r="I8" i="18"/>
  <c r="I9" i="18"/>
  <c r="E19" i="18"/>
  <c r="G19" i="18"/>
  <c r="D38" i="18"/>
  <c r="D39" i="18"/>
  <c r="H6" i="17"/>
  <c r="J6" i="17"/>
  <c r="L6" i="17"/>
  <c r="H7" i="17"/>
  <c r="J7" i="17"/>
  <c r="L7" i="17"/>
  <c r="J8" i="17"/>
  <c r="L8" i="17"/>
  <c r="J9" i="17"/>
  <c r="L9" i="17"/>
  <c r="H10" i="17"/>
  <c r="H11" i="17"/>
  <c r="H16" i="17"/>
  <c r="J10" i="17"/>
  <c r="L10" i="17"/>
  <c r="J11" i="17"/>
  <c r="L11" i="17"/>
  <c r="J12" i="17"/>
  <c r="L12" i="17"/>
  <c r="J13" i="17"/>
  <c r="L13" i="17"/>
  <c r="J14" i="17"/>
  <c r="L14" i="17"/>
  <c r="J15" i="17"/>
  <c r="L15" i="17"/>
  <c r="J16" i="17"/>
  <c r="L16" i="17"/>
  <c r="J17" i="17"/>
  <c r="L17" i="17"/>
  <c r="J18" i="17"/>
  <c r="L18" i="17"/>
  <c r="J19" i="17"/>
  <c r="L19" i="17"/>
  <c r="J20" i="17"/>
  <c r="L20" i="17"/>
  <c r="J21" i="17"/>
  <c r="L21" i="17"/>
  <c r="J22" i="17"/>
  <c r="L22" i="17"/>
  <c r="J23" i="17"/>
  <c r="L23" i="17"/>
  <c r="J24" i="17"/>
  <c r="L24" i="17"/>
  <c r="J25" i="17"/>
  <c r="L25" i="17"/>
  <c r="J26" i="17"/>
  <c r="L26" i="17"/>
  <c r="J27" i="17"/>
  <c r="L27" i="17"/>
  <c r="J28" i="17"/>
  <c r="L28" i="17"/>
  <c r="J29" i="17"/>
  <c r="L29" i="17"/>
  <c r="J30" i="17"/>
  <c r="L30" i="17"/>
  <c r="J31" i="17"/>
  <c r="L31" i="17"/>
  <c r="A32" i="17"/>
  <c r="B32" i="17"/>
  <c r="C32" i="17"/>
  <c r="D32" i="17"/>
  <c r="E32" i="17"/>
  <c r="F32" i="17"/>
  <c r="J32" i="17"/>
  <c r="L32" i="17"/>
  <c r="A33" i="17"/>
  <c r="J33" i="17"/>
  <c r="L33" i="17"/>
  <c r="A34" i="17"/>
  <c r="J34" i="17"/>
  <c r="L34" i="17"/>
  <c r="A35" i="17"/>
  <c r="J35" i="17"/>
  <c r="L35" i="17"/>
  <c r="A36" i="17"/>
  <c r="J36" i="17"/>
  <c r="L36" i="17"/>
  <c r="A37" i="17"/>
  <c r="J37" i="17"/>
  <c r="L37" i="17"/>
  <c r="A38" i="17"/>
  <c r="A39" i="17"/>
  <c r="A40" i="17"/>
  <c r="A41" i="17"/>
  <c r="A42" i="17"/>
  <c r="A43" i="17"/>
  <c r="A44" i="17"/>
  <c r="A45" i="17"/>
  <c r="A46" i="17"/>
  <c r="A47" i="17"/>
  <c r="A48" i="17"/>
  <c r="A49" i="17"/>
  <c r="A50" i="17"/>
  <c r="A51" i="17"/>
  <c r="A52" i="17"/>
  <c r="A53" i="17"/>
  <c r="A54" i="17"/>
  <c r="A55" i="17"/>
  <c r="A56" i="17"/>
  <c r="A57" i="17"/>
  <c r="A58" i="17"/>
  <c r="A59" i="17"/>
  <c r="A60" i="17"/>
  <c r="A61" i="17"/>
  <c r="A62" i="17"/>
  <c r="A63" i="17"/>
  <c r="A64" i="17"/>
  <c r="A65" i="17"/>
  <c r="A66" i="17"/>
  <c r="A67" i="17"/>
  <c r="A68" i="17"/>
  <c r="A69" i="17"/>
  <c r="A70" i="17"/>
  <c r="A71" i="17"/>
  <c r="A72" i="17"/>
  <c r="A73" i="17"/>
  <c r="A74" i="17"/>
  <c r="A75" i="17"/>
  <c r="A76" i="17"/>
  <c r="A77" i="17"/>
  <c r="A78" i="17"/>
  <c r="A79" i="17"/>
  <c r="A80" i="17"/>
  <c r="A81" i="17"/>
  <c r="A82" i="17"/>
  <c r="A83" i="17"/>
  <c r="A84" i="17"/>
  <c r="A85" i="17"/>
  <c r="A86" i="17"/>
  <c r="A87" i="17"/>
  <c r="A88" i="17"/>
  <c r="A89" i="17"/>
  <c r="A90" i="17"/>
  <c r="A91" i="17"/>
  <c r="A92" i="17"/>
  <c r="J38" i="17"/>
  <c r="L38" i="17"/>
  <c r="J39" i="17"/>
  <c r="L39" i="17"/>
  <c r="J40" i="17"/>
  <c r="L40" i="17"/>
  <c r="J41" i="17"/>
  <c r="L41" i="17"/>
  <c r="J42" i="17"/>
  <c r="L42" i="17"/>
  <c r="J43" i="17"/>
  <c r="L43" i="17"/>
  <c r="J44" i="17"/>
  <c r="L44" i="17"/>
  <c r="J45" i="17"/>
  <c r="L45" i="17"/>
  <c r="J46" i="17"/>
  <c r="L46" i="17"/>
  <c r="J47" i="17"/>
  <c r="L47" i="17"/>
  <c r="J48" i="17"/>
  <c r="L48" i="17"/>
  <c r="J49" i="17"/>
  <c r="L49" i="17"/>
  <c r="J50" i="17"/>
  <c r="L50" i="17"/>
  <c r="J51" i="17"/>
  <c r="L51" i="17"/>
  <c r="J52" i="17"/>
  <c r="L52" i="17"/>
  <c r="J53" i="17"/>
  <c r="L53" i="17"/>
  <c r="J54" i="17"/>
  <c r="L54" i="17"/>
  <c r="J55" i="17"/>
  <c r="L55" i="17"/>
  <c r="J56" i="17"/>
  <c r="L56" i="17"/>
  <c r="J57" i="17"/>
  <c r="L57" i="17"/>
  <c r="J58" i="17"/>
  <c r="L58" i="17"/>
  <c r="J59" i="17"/>
  <c r="L59" i="17"/>
  <c r="J60" i="17"/>
  <c r="L60" i="17"/>
  <c r="J61" i="17"/>
  <c r="L61" i="17"/>
  <c r="J62" i="17"/>
  <c r="L62" i="17"/>
  <c r="J63" i="17"/>
  <c r="L63" i="17"/>
  <c r="J64" i="17"/>
  <c r="L64" i="17"/>
  <c r="J65" i="17"/>
  <c r="L65" i="17"/>
  <c r="J66" i="17"/>
  <c r="L66" i="17"/>
  <c r="J67" i="17"/>
  <c r="L67" i="17"/>
  <c r="J68" i="17"/>
  <c r="L68" i="17"/>
  <c r="J69" i="17"/>
  <c r="L69" i="17"/>
  <c r="J70" i="17"/>
  <c r="L70" i="17"/>
  <c r="J71" i="17"/>
  <c r="L71" i="17"/>
  <c r="J72" i="17"/>
  <c r="L72" i="17"/>
  <c r="J73" i="17"/>
  <c r="L73" i="17"/>
  <c r="J74" i="17"/>
  <c r="L74" i="17"/>
  <c r="J75" i="17"/>
  <c r="L75" i="17"/>
  <c r="J76" i="17"/>
  <c r="L76" i="17"/>
  <c r="J77" i="17"/>
  <c r="L77" i="17"/>
  <c r="J78" i="17"/>
  <c r="L78" i="17"/>
  <c r="J79" i="17"/>
  <c r="L79" i="17"/>
  <c r="J80" i="17"/>
  <c r="L80" i="17"/>
  <c r="J81" i="17"/>
  <c r="L81" i="17"/>
  <c r="J82" i="17"/>
  <c r="L82" i="17"/>
  <c r="J83" i="17"/>
  <c r="L83" i="17"/>
  <c r="J84" i="17"/>
  <c r="L84" i="17"/>
  <c r="J85" i="17"/>
  <c r="L85" i="17"/>
  <c r="J86" i="17"/>
  <c r="L86" i="17"/>
  <c r="J87" i="17"/>
  <c r="L87" i="17"/>
  <c r="J88" i="17"/>
  <c r="L88" i="17"/>
  <c r="J89" i="17"/>
  <c r="L89" i="17"/>
  <c r="J90" i="17"/>
  <c r="L90" i="17"/>
  <c r="J91" i="17"/>
  <c r="L91" i="17"/>
  <c r="J92" i="17"/>
  <c r="L92" i="17"/>
  <c r="J93" i="17"/>
  <c r="L93" i="17"/>
  <c r="J94" i="17"/>
  <c r="L94" i="17"/>
  <c r="J95" i="17"/>
  <c r="L95" i="17"/>
  <c r="J96" i="17"/>
  <c r="L96" i="17"/>
  <c r="J97" i="17"/>
  <c r="L97" i="17"/>
  <c r="J98" i="17"/>
  <c r="L98" i="17"/>
  <c r="J99" i="17"/>
  <c r="L99" i="17"/>
  <c r="J100" i="17"/>
  <c r="L100" i="17"/>
  <c r="J101" i="17"/>
  <c r="L101" i="17"/>
  <c r="J102" i="17"/>
  <c r="L102" i="17"/>
  <c r="J103" i="17"/>
  <c r="L103" i="17"/>
  <c r="J104" i="17"/>
  <c r="L104" i="17"/>
  <c r="J105" i="17"/>
  <c r="L105" i="17"/>
  <c r="J106" i="17"/>
  <c r="L106" i="17"/>
  <c r="J107" i="17"/>
  <c r="L107" i="17"/>
  <c r="J108" i="17"/>
  <c r="L108" i="17"/>
  <c r="J109" i="17"/>
  <c r="L109" i="17"/>
  <c r="J110" i="17"/>
  <c r="L110" i="17"/>
  <c r="J111" i="17"/>
  <c r="L111" i="17"/>
  <c r="J112" i="17"/>
  <c r="L112" i="17"/>
  <c r="J113" i="17"/>
  <c r="L113" i="17"/>
  <c r="J114" i="17"/>
  <c r="L114" i="17"/>
  <c r="J115" i="17"/>
  <c r="L115" i="17"/>
  <c r="J116" i="17"/>
  <c r="L116" i="17"/>
  <c r="J117" i="17"/>
  <c r="L117" i="17"/>
  <c r="J118" i="17"/>
  <c r="L118" i="17"/>
  <c r="J119" i="17"/>
  <c r="L119" i="17"/>
  <c r="J120" i="17"/>
  <c r="L120" i="17"/>
  <c r="J121" i="17"/>
  <c r="L121" i="17"/>
  <c r="J122" i="17"/>
  <c r="L122" i="17"/>
  <c r="J123" i="17"/>
  <c r="L123" i="17"/>
  <c r="J124" i="17"/>
  <c r="L124" i="17"/>
  <c r="J125" i="17"/>
  <c r="L125" i="17"/>
  <c r="J126" i="17"/>
  <c r="L126" i="17"/>
  <c r="J127" i="17"/>
  <c r="L127" i="17"/>
  <c r="J128" i="17"/>
  <c r="L128" i="17"/>
  <c r="J129" i="17"/>
  <c r="L129" i="17"/>
  <c r="J130" i="17"/>
  <c r="L130" i="17"/>
  <c r="J131" i="17"/>
  <c r="L131" i="17"/>
  <c r="J132" i="17"/>
  <c r="L132" i="17"/>
  <c r="J133" i="17"/>
  <c r="L133" i="17"/>
  <c r="J134" i="17"/>
  <c r="L134" i="17"/>
  <c r="J135" i="17"/>
  <c r="L135" i="17"/>
  <c r="J136" i="17"/>
  <c r="L136" i="17"/>
  <c r="J137" i="17"/>
  <c r="L137" i="17"/>
  <c r="J138" i="17"/>
  <c r="L138" i="17"/>
  <c r="J139" i="17"/>
  <c r="L139" i="17"/>
  <c r="J140" i="17"/>
  <c r="L140" i="17"/>
  <c r="J141" i="17"/>
  <c r="L141" i="17"/>
  <c r="J142" i="17"/>
  <c r="L142" i="17"/>
  <c r="J143" i="17"/>
  <c r="L143" i="17"/>
  <c r="J144" i="17"/>
  <c r="L144" i="17"/>
  <c r="J145" i="17"/>
  <c r="L145" i="17"/>
  <c r="J146" i="17"/>
  <c r="L146" i="17"/>
  <c r="J147" i="17"/>
  <c r="L147" i="17"/>
  <c r="J148" i="17"/>
  <c r="L148" i="17"/>
  <c r="J149" i="17"/>
  <c r="L149" i="17"/>
  <c r="J150" i="17"/>
  <c r="L150" i="17"/>
  <c r="J151" i="17"/>
  <c r="L151" i="17"/>
  <c r="J152" i="17"/>
  <c r="L152" i="17"/>
  <c r="J153" i="17"/>
  <c r="L153" i="17"/>
  <c r="J154" i="17"/>
  <c r="L154" i="17"/>
  <c r="J155" i="17"/>
  <c r="L155" i="17"/>
  <c r="J156" i="17"/>
  <c r="L156" i="17"/>
  <c r="J157" i="17"/>
  <c r="L157" i="17"/>
  <c r="J158" i="17"/>
  <c r="L158" i="17"/>
  <c r="J159" i="17"/>
  <c r="L159" i="17"/>
  <c r="J160" i="17"/>
  <c r="L160" i="17"/>
  <c r="J161" i="17"/>
  <c r="L161" i="17"/>
  <c r="J162" i="17"/>
  <c r="L162" i="17"/>
  <c r="J163" i="17"/>
  <c r="L163" i="17"/>
  <c r="J164" i="17"/>
  <c r="L164" i="17"/>
  <c r="J165" i="17"/>
  <c r="L165" i="17"/>
  <c r="J166" i="17"/>
  <c r="L166" i="17"/>
  <c r="J167" i="17"/>
  <c r="L167" i="17"/>
  <c r="J168" i="17"/>
  <c r="L168" i="17"/>
  <c r="J169" i="17"/>
  <c r="L169" i="17"/>
  <c r="J170" i="17"/>
  <c r="L170" i="17"/>
  <c r="J171" i="17"/>
  <c r="L171" i="17"/>
  <c r="J172" i="17"/>
  <c r="L172" i="17"/>
  <c r="J173" i="17"/>
  <c r="L173" i="17"/>
  <c r="J174" i="17"/>
  <c r="L174" i="17"/>
  <c r="J175" i="17"/>
  <c r="L175" i="17"/>
  <c r="J176" i="17"/>
  <c r="L176" i="17"/>
  <c r="J177" i="17"/>
  <c r="L177" i="17"/>
  <c r="J178" i="17"/>
  <c r="L178" i="17"/>
  <c r="J179" i="17"/>
  <c r="L179" i="17"/>
  <c r="J180" i="17"/>
  <c r="L180" i="17"/>
  <c r="J181" i="17"/>
  <c r="L181" i="17"/>
  <c r="J182" i="17"/>
  <c r="L182" i="17"/>
  <c r="J183" i="17"/>
  <c r="L183" i="17"/>
  <c r="J184" i="17"/>
  <c r="L184" i="17"/>
  <c r="J185" i="17"/>
  <c r="L185" i="17"/>
  <c r="J186" i="17"/>
  <c r="L186" i="17"/>
  <c r="J187" i="17"/>
  <c r="L187" i="17"/>
  <c r="J188" i="17"/>
  <c r="L188" i="17"/>
  <c r="J189" i="17"/>
  <c r="L189" i="17"/>
  <c r="J190" i="17"/>
  <c r="L190" i="17"/>
  <c r="J191" i="17"/>
  <c r="L191" i="17"/>
  <c r="J192" i="17"/>
  <c r="L192" i="17"/>
  <c r="J193" i="17"/>
  <c r="L193" i="17"/>
  <c r="J194" i="17"/>
  <c r="L194" i="17"/>
  <c r="J195" i="17"/>
  <c r="L195" i="17"/>
  <c r="J196" i="17"/>
  <c r="L196" i="17"/>
  <c r="J197" i="17"/>
  <c r="L197" i="17"/>
  <c r="J198" i="17"/>
  <c r="L198" i="17"/>
  <c r="J199" i="17"/>
  <c r="L199" i="17"/>
  <c r="J200" i="17"/>
  <c r="L200" i="17"/>
  <c r="J201" i="17"/>
  <c r="L201" i="17"/>
  <c r="J202" i="17"/>
  <c r="L202" i="17"/>
  <c r="J203" i="17"/>
  <c r="L203" i="17"/>
  <c r="J204" i="17"/>
  <c r="L204" i="17"/>
  <c r="J205" i="17"/>
  <c r="L205" i="17"/>
  <c r="J206" i="17"/>
  <c r="L206" i="17"/>
  <c r="J207" i="17"/>
  <c r="L207" i="17"/>
  <c r="J208" i="17"/>
  <c r="L208" i="17"/>
  <c r="J209" i="17"/>
  <c r="L209" i="17"/>
  <c r="J210" i="17"/>
  <c r="L210" i="17"/>
  <c r="J211" i="17"/>
  <c r="L211" i="17"/>
  <c r="J212" i="17"/>
  <c r="L212" i="17"/>
  <c r="J213" i="17"/>
  <c r="L213" i="17"/>
  <c r="J214" i="17"/>
  <c r="L214" i="17"/>
  <c r="J215" i="17"/>
  <c r="L215" i="17"/>
  <c r="J216" i="17"/>
  <c r="L216" i="17"/>
  <c r="J217" i="17"/>
  <c r="L217" i="17"/>
  <c r="J218" i="17"/>
  <c r="L218" i="17"/>
  <c r="J219" i="17"/>
  <c r="L219" i="17"/>
  <c r="J220" i="17"/>
  <c r="L220" i="17"/>
  <c r="J221" i="17"/>
  <c r="L221" i="17"/>
  <c r="J222" i="17"/>
  <c r="L222" i="17"/>
  <c r="J223" i="17"/>
  <c r="L223" i="17"/>
  <c r="J224" i="17"/>
  <c r="L224" i="17"/>
  <c r="J225" i="17"/>
  <c r="L225" i="17"/>
  <c r="J226" i="17"/>
  <c r="L226" i="17"/>
  <c r="J227" i="17"/>
  <c r="L227" i="17"/>
  <c r="J228" i="17"/>
  <c r="L228" i="17"/>
  <c r="J229" i="17"/>
  <c r="L229" i="17"/>
  <c r="J230" i="17"/>
  <c r="L230" i="17"/>
  <c r="J231" i="17"/>
  <c r="L231" i="17"/>
  <c r="J232" i="17"/>
  <c r="L232" i="17"/>
  <c r="J233" i="17"/>
  <c r="L233" i="17"/>
  <c r="J234" i="17"/>
  <c r="L234" i="17"/>
  <c r="J235" i="17"/>
  <c r="L235" i="17"/>
  <c r="J236" i="17"/>
  <c r="L236" i="17"/>
  <c r="J237" i="17"/>
  <c r="L237" i="17"/>
  <c r="J238" i="17"/>
  <c r="L238" i="17"/>
  <c r="J239" i="17"/>
  <c r="L239" i="17"/>
  <c r="J240" i="17"/>
  <c r="L240" i="17"/>
  <c r="J241" i="17"/>
  <c r="L241" i="17"/>
  <c r="J242" i="17"/>
  <c r="L242" i="17"/>
  <c r="J243" i="17"/>
  <c r="L243" i="17"/>
  <c r="J244" i="17"/>
  <c r="L244" i="17"/>
  <c r="J245" i="17"/>
  <c r="L245" i="17"/>
  <c r="J246" i="17"/>
  <c r="L246" i="17"/>
  <c r="J247" i="17"/>
  <c r="L247" i="17"/>
  <c r="J248" i="17"/>
  <c r="L248" i="17"/>
  <c r="J249" i="17"/>
  <c r="L249" i="17"/>
  <c r="J250" i="17"/>
  <c r="L250" i="17"/>
  <c r="J251" i="17"/>
  <c r="L251" i="17"/>
  <c r="J252" i="17"/>
  <c r="L252" i="17"/>
  <c r="J253" i="17"/>
  <c r="L253" i="17"/>
  <c r="J254" i="17"/>
  <c r="L254" i="17"/>
  <c r="J255" i="17"/>
  <c r="L255" i="17"/>
  <c r="J256" i="17"/>
  <c r="L256" i="17"/>
  <c r="J257" i="17"/>
  <c r="L257" i="17"/>
  <c r="J258" i="17"/>
  <c r="L258" i="17"/>
  <c r="J259" i="17"/>
  <c r="L259" i="17"/>
  <c r="J260" i="17"/>
  <c r="L260" i="17"/>
  <c r="J261" i="17"/>
  <c r="L261" i="17"/>
  <c r="J262" i="17"/>
  <c r="L262" i="17"/>
  <c r="J263" i="17"/>
  <c r="L263" i="17"/>
  <c r="J264" i="17"/>
  <c r="L264" i="17"/>
  <c r="J265" i="17"/>
  <c r="L265" i="17"/>
  <c r="J266" i="17"/>
  <c r="L266" i="17"/>
  <c r="J267" i="17"/>
  <c r="L267" i="17"/>
  <c r="J268" i="17"/>
  <c r="L268" i="17"/>
  <c r="J269" i="17"/>
  <c r="L269" i="17"/>
  <c r="J270" i="17"/>
  <c r="L270" i="17"/>
  <c r="J271" i="17"/>
  <c r="L271" i="17"/>
  <c r="J272" i="17"/>
  <c r="L272" i="17"/>
  <c r="J273" i="17"/>
  <c r="L273" i="17"/>
  <c r="J274" i="17"/>
  <c r="L274" i="17"/>
  <c r="J275" i="17"/>
  <c r="L275" i="17"/>
  <c r="J276" i="17"/>
  <c r="L276" i="17"/>
  <c r="J277" i="17"/>
  <c r="L277" i="17"/>
  <c r="J278" i="17"/>
  <c r="L278" i="17"/>
  <c r="J279" i="17"/>
  <c r="L279" i="17"/>
  <c r="J280" i="17"/>
  <c r="L280" i="17"/>
  <c r="J281" i="17"/>
  <c r="L281" i="17"/>
  <c r="J282" i="17"/>
  <c r="L282" i="17"/>
  <c r="J283" i="17"/>
  <c r="L283" i="17"/>
  <c r="J284" i="17"/>
  <c r="L284" i="17"/>
  <c r="J285" i="17"/>
  <c r="L285" i="17"/>
  <c r="J286" i="17"/>
  <c r="L286" i="17"/>
  <c r="J287" i="17"/>
  <c r="L287" i="17"/>
  <c r="J288" i="17"/>
  <c r="L288" i="17"/>
  <c r="J289" i="17"/>
  <c r="L289" i="17"/>
  <c r="J290" i="17"/>
  <c r="L290" i="17"/>
  <c r="J291" i="17"/>
  <c r="L291" i="17"/>
  <c r="J292" i="17"/>
  <c r="L292" i="17"/>
  <c r="J293" i="17"/>
  <c r="L293" i="17"/>
  <c r="J294" i="17"/>
  <c r="L294" i="17"/>
  <c r="J295" i="17"/>
  <c r="L295" i="17"/>
  <c r="J296" i="17"/>
  <c r="L296" i="17"/>
  <c r="J297" i="17"/>
  <c r="L297" i="17"/>
  <c r="J298" i="17"/>
  <c r="L298" i="17"/>
  <c r="J299" i="17"/>
  <c r="L299" i="17"/>
  <c r="J300" i="17"/>
  <c r="L300" i="17"/>
  <c r="J301" i="17"/>
  <c r="L301" i="17"/>
  <c r="J302" i="17"/>
  <c r="L302" i="17"/>
  <c r="J303" i="17"/>
  <c r="L303" i="17"/>
  <c r="J304" i="17"/>
  <c r="L304" i="17"/>
  <c r="J305" i="17"/>
  <c r="L305" i="17"/>
  <c r="J306" i="17"/>
  <c r="L306" i="17"/>
  <c r="J307" i="17"/>
  <c r="L307" i="17"/>
  <c r="J308" i="17"/>
  <c r="L308" i="17"/>
  <c r="J309" i="17"/>
  <c r="L309" i="17"/>
  <c r="J310" i="17"/>
  <c r="L310" i="17"/>
  <c r="J311" i="17"/>
  <c r="L311" i="17"/>
  <c r="J312" i="17"/>
  <c r="L312" i="17"/>
  <c r="J313" i="17"/>
  <c r="L313" i="17"/>
  <c r="J314" i="17"/>
  <c r="L314" i="17"/>
  <c r="J315" i="17"/>
  <c r="L315" i="17"/>
  <c r="J316" i="17"/>
  <c r="L316" i="17"/>
  <c r="J317" i="17"/>
  <c r="L317" i="17"/>
  <c r="J318" i="17"/>
  <c r="L318" i="17"/>
  <c r="J319" i="17"/>
  <c r="L319" i="17"/>
  <c r="J320" i="17"/>
  <c r="L320" i="17"/>
  <c r="J321" i="17"/>
  <c r="L321" i="17"/>
  <c r="J322" i="17"/>
  <c r="L322" i="17"/>
  <c r="J323" i="17"/>
  <c r="L323" i="17"/>
  <c r="J324" i="17"/>
  <c r="L324" i="17"/>
  <c r="J325" i="17"/>
  <c r="L325" i="17"/>
  <c r="J326" i="17"/>
  <c r="L326" i="17"/>
  <c r="J327" i="17"/>
  <c r="L327" i="17"/>
  <c r="J328" i="17"/>
  <c r="L328" i="17"/>
  <c r="J329" i="17"/>
  <c r="L329" i="17"/>
  <c r="J330" i="17"/>
  <c r="L330" i="17"/>
  <c r="J331" i="17"/>
  <c r="L331" i="17"/>
  <c r="J332" i="17"/>
  <c r="L332" i="17"/>
  <c r="J333" i="17"/>
  <c r="L333" i="17"/>
  <c r="J334" i="17"/>
  <c r="L334" i="17"/>
  <c r="J335" i="17"/>
  <c r="L335" i="17"/>
  <c r="J336" i="17"/>
  <c r="L336" i="17"/>
  <c r="J337" i="17"/>
  <c r="L337" i="17"/>
  <c r="J338" i="17"/>
  <c r="L338" i="17"/>
  <c r="J339" i="17"/>
  <c r="L339" i="17"/>
  <c r="J340" i="17"/>
  <c r="L340" i="17"/>
  <c r="J341" i="17"/>
  <c r="L341" i="17"/>
  <c r="J342" i="17"/>
  <c r="L342" i="17"/>
  <c r="J343" i="17"/>
  <c r="L343" i="17"/>
  <c r="J344" i="17"/>
  <c r="L344" i="17"/>
  <c r="J345" i="17"/>
  <c r="L345" i="17"/>
  <c r="J346" i="17"/>
  <c r="L346" i="17"/>
  <c r="J347" i="17"/>
  <c r="L347" i="17"/>
  <c r="J348" i="17"/>
  <c r="L348" i="17"/>
  <c r="J349" i="17"/>
  <c r="L349" i="17"/>
  <c r="J350" i="17"/>
  <c r="L350" i="17"/>
  <c r="J351" i="17"/>
  <c r="L351" i="17"/>
  <c r="J352" i="17"/>
  <c r="L352" i="17"/>
  <c r="J353" i="17"/>
  <c r="L353" i="17"/>
  <c r="J354" i="17"/>
  <c r="L354" i="17"/>
  <c r="J355" i="17"/>
  <c r="L355" i="17"/>
  <c r="J356" i="17"/>
  <c r="L356" i="17"/>
  <c r="J357" i="17"/>
  <c r="L357" i="17"/>
  <c r="J358" i="17"/>
  <c r="L358" i="17"/>
  <c r="J359" i="17"/>
  <c r="L359" i="17"/>
  <c r="J360" i="17"/>
  <c r="L360" i="17"/>
  <c r="J361" i="17"/>
  <c r="L361" i="17"/>
  <c r="J362" i="17"/>
  <c r="L362" i="17"/>
  <c r="J363" i="17"/>
  <c r="L363" i="17"/>
  <c r="J364" i="17"/>
  <c r="L364" i="17"/>
  <c r="J365" i="17"/>
  <c r="L365" i="17"/>
  <c r="J366" i="17"/>
  <c r="L366" i="17"/>
  <c r="J367" i="17"/>
  <c r="L367" i="17"/>
  <c r="J368" i="17"/>
  <c r="L368" i="17"/>
  <c r="J369" i="17"/>
  <c r="L369" i="17"/>
  <c r="J370" i="17"/>
  <c r="L370" i="17"/>
  <c r="J371" i="17"/>
  <c r="L371" i="17"/>
  <c r="J372" i="17"/>
  <c r="L372" i="17"/>
  <c r="J373" i="17"/>
  <c r="L373" i="17"/>
  <c r="J374" i="17"/>
  <c r="L374" i="17"/>
  <c r="J375" i="17"/>
  <c r="L375" i="17"/>
  <c r="J376" i="17"/>
  <c r="L376" i="17"/>
  <c r="J377" i="17"/>
  <c r="L377" i="17"/>
  <c r="J378" i="17"/>
  <c r="L378" i="17"/>
  <c r="J379" i="17"/>
  <c r="L379" i="17"/>
  <c r="J380" i="17"/>
  <c r="L380" i="17"/>
  <c r="J381" i="17"/>
  <c r="L381" i="17"/>
  <c r="J382" i="17"/>
  <c r="L382" i="17"/>
  <c r="J383" i="17"/>
  <c r="L383" i="17"/>
  <c r="J384" i="17"/>
  <c r="L384" i="17"/>
  <c r="J385" i="17"/>
  <c r="L385" i="17"/>
  <c r="J386" i="17"/>
  <c r="L386" i="17"/>
  <c r="J387" i="17"/>
  <c r="L387" i="17"/>
  <c r="J388" i="17"/>
  <c r="L388" i="17"/>
  <c r="J389" i="17"/>
  <c r="L389" i="17"/>
  <c r="J390" i="17"/>
  <c r="L390" i="17"/>
  <c r="J391" i="17"/>
  <c r="L391" i="17"/>
  <c r="J392" i="17"/>
  <c r="L392" i="17"/>
  <c r="J393" i="17"/>
  <c r="L393" i="17"/>
  <c r="J394" i="17"/>
  <c r="L394" i="17"/>
  <c r="J395" i="17"/>
  <c r="L395" i="17"/>
  <c r="J396" i="17"/>
  <c r="L396" i="17"/>
  <c r="J397" i="17"/>
  <c r="L397" i="17"/>
  <c r="J398" i="17"/>
  <c r="L398" i="17"/>
  <c r="J399" i="17"/>
  <c r="L399" i="17"/>
  <c r="J400" i="17"/>
  <c r="L400" i="17"/>
  <c r="J401" i="17"/>
  <c r="L401" i="17"/>
  <c r="J402" i="17"/>
  <c r="L402" i="17"/>
  <c r="J403" i="17"/>
  <c r="L403" i="17"/>
  <c r="J404" i="17"/>
  <c r="L404" i="17"/>
  <c r="J405" i="17"/>
  <c r="L405" i="17"/>
  <c r="J406" i="17"/>
  <c r="L406" i="17"/>
  <c r="I7" i="16"/>
  <c r="I11" i="16"/>
  <c r="C12" i="16"/>
  <c r="I6" i="16"/>
  <c r="C13" i="16"/>
  <c r="I15" i="16"/>
  <c r="I16" i="16"/>
  <c r="I17" i="16"/>
  <c r="E45" i="16"/>
  <c r="I27" i="16"/>
  <c r="I31" i="16"/>
  <c r="C32" i="16"/>
  <c r="I26" i="16"/>
  <c r="C33" i="16"/>
  <c r="I35" i="16"/>
  <c r="I36" i="16"/>
  <c r="I37" i="16"/>
  <c r="E46" i="16"/>
  <c r="C32" i="14"/>
  <c r="C31" i="14"/>
  <c r="C30" i="14"/>
  <c r="C28" i="14"/>
  <c r="I27" i="14"/>
  <c r="I26" i="14"/>
  <c r="I25" i="14"/>
  <c r="D24" i="14"/>
  <c r="D25" i="14"/>
  <c r="C24" i="14"/>
  <c r="I15" i="14"/>
  <c r="I14" i="14"/>
  <c r="I13" i="14"/>
  <c r="I12" i="14"/>
  <c r="I11" i="14"/>
  <c r="I10" i="14"/>
  <c r="I9" i="14"/>
  <c r="I8" i="14"/>
  <c r="J7" i="14"/>
  <c r="I7" i="14"/>
  <c r="J6" i="14"/>
  <c r="I6" i="14"/>
  <c r="J5" i="14"/>
  <c r="I5" i="14"/>
  <c r="J4" i="14"/>
  <c r="I4" i="14"/>
  <c r="C23" i="12"/>
  <c r="D23" i="12"/>
  <c r="C22" i="12"/>
  <c r="D22" i="12"/>
  <c r="B27" i="12"/>
  <c r="C8" i="12"/>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114" i="11"/>
  <c r="F115" i="11"/>
  <c r="F116" i="11"/>
  <c r="F117" i="11"/>
  <c r="F118" i="11"/>
  <c r="F119" i="11"/>
  <c r="F120" i="11"/>
  <c r="F121" i="11"/>
  <c r="F122" i="11"/>
  <c r="F123" i="11"/>
  <c r="F124" i="11"/>
  <c r="F125" i="11"/>
  <c r="F126" i="11"/>
  <c r="F127" i="11"/>
  <c r="F128" i="11"/>
  <c r="F129"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F21" i="11"/>
  <c r="E21"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F12" i="10" a="1"/>
  <c r="F12" i="10"/>
  <c r="C12" i="10" a="1"/>
  <c r="C12" i="10"/>
  <c r="C13" i="10" a="1"/>
  <c r="C13" i="10"/>
  <c r="C14" i="10" a="1"/>
  <c r="C14" i="10"/>
  <c r="C15" i="10" a="1"/>
  <c r="C15" i="10"/>
  <c r="C16" i="10" a="1"/>
  <c r="C16" i="10"/>
  <c r="C17" i="10" a="1"/>
  <c r="C17" i="10"/>
  <c r="C18" i="10" a="1"/>
  <c r="C18" i="10"/>
  <c r="C20" i="10" a="1"/>
  <c r="C20" i="10"/>
  <c r="C21" i="10" a="1"/>
  <c r="C21" i="10"/>
  <c r="C22" i="10" a="1"/>
  <c r="C22" i="10"/>
  <c r="C23" i="10" a="1"/>
  <c r="C23" i="10"/>
  <c r="C24" i="10" a="1"/>
  <c r="C24" i="10"/>
  <c r="C25" i="10" a="1"/>
  <c r="C25" i="10"/>
  <c r="C26" i="10" a="1"/>
  <c r="C26" i="10"/>
  <c r="C27" i="10" a="1"/>
  <c r="C27" i="10"/>
  <c r="C28" i="10" a="1"/>
  <c r="C28" i="10"/>
  <c r="C29" i="10" a="1"/>
  <c r="C29" i="10"/>
  <c r="C30" i="10" a="1"/>
  <c r="C30" i="10"/>
  <c r="C31" i="10" a="1"/>
  <c r="C31" i="10"/>
  <c r="C32" i="10" a="1"/>
  <c r="C32" i="10"/>
  <c r="C33" i="10" a="1"/>
  <c r="C33" i="10"/>
  <c r="C34" i="10" a="1"/>
  <c r="C34" i="10"/>
  <c r="C35" i="10" a="1"/>
  <c r="C35" i="10"/>
  <c r="C36" i="10" a="1"/>
  <c r="C36" i="10"/>
  <c r="C37" i="10" a="1"/>
  <c r="C37" i="10"/>
  <c r="C38" i="10" a="1"/>
  <c r="C38" i="10"/>
  <c r="C39" i="10" a="1"/>
  <c r="C39" i="10"/>
  <c r="C40" i="10" a="1"/>
  <c r="C40" i="10"/>
  <c r="C41" i="10" a="1"/>
  <c r="C41" i="10"/>
  <c r="C42" i="10" a="1"/>
  <c r="C42" i="10"/>
  <c r="C43" i="10" a="1"/>
  <c r="C43" i="10"/>
  <c r="C44" i="10" a="1"/>
  <c r="C44" i="10"/>
  <c r="C45" i="10" a="1"/>
  <c r="C45" i="10"/>
  <c r="C46" i="10" a="1"/>
  <c r="C46" i="10"/>
  <c r="C47" i="10" a="1"/>
  <c r="C47" i="10"/>
  <c r="C48" i="10" a="1"/>
  <c r="C48" i="10"/>
  <c r="C49" i="10" a="1"/>
  <c r="C49" i="10"/>
  <c r="C50" i="10" a="1"/>
  <c r="C50" i="10"/>
  <c r="C51" i="10" a="1"/>
  <c r="C51" i="10"/>
  <c r="C52" i="10" a="1"/>
  <c r="C52" i="10"/>
  <c r="C53" i="10" a="1"/>
  <c r="C53" i="10"/>
  <c r="C54" i="10" a="1"/>
  <c r="C54" i="10"/>
  <c r="C55" i="10" a="1"/>
  <c r="C55" i="10"/>
  <c r="C56" i="10" a="1"/>
  <c r="C56" i="10"/>
  <c r="C57" i="10" a="1"/>
  <c r="C57" i="10"/>
  <c r="C58" i="10" a="1"/>
  <c r="C58" i="10"/>
  <c r="C59" i="10" a="1"/>
  <c r="C59" i="10"/>
  <c r="C60" i="10" a="1"/>
  <c r="C60" i="10"/>
  <c r="C61" i="10" a="1"/>
  <c r="C61" i="10"/>
  <c r="C11" i="10" a="1"/>
  <c r="C11" i="10"/>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37" i="9"/>
  <c r="C38" i="9"/>
  <c r="C39" i="9"/>
  <c r="C40" i="9"/>
  <c r="C41" i="9"/>
  <c r="C42" i="9"/>
  <c r="C43" i="9"/>
  <c r="C44" i="9"/>
  <c r="C45" i="9"/>
  <c r="C46" i="9"/>
  <c r="C47" i="9"/>
  <c r="C48" i="9"/>
  <c r="C49" i="9"/>
  <c r="C50" i="9"/>
  <c r="C51" i="9"/>
  <c r="C52" i="9"/>
  <c r="C53" i="9"/>
  <c r="C54" i="9"/>
  <c r="C55" i="9"/>
  <c r="C56" i="9"/>
  <c r="C57" i="9"/>
  <c r="C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7" i="9"/>
  <c r="E8" i="9"/>
  <c r="H8" i="9"/>
  <c r="E9" i="9"/>
  <c r="H9" i="9"/>
  <c r="E10" i="9"/>
  <c r="H10" i="9"/>
  <c r="E11" i="9"/>
  <c r="H11" i="9"/>
  <c r="E12" i="9"/>
  <c r="H12" i="9"/>
  <c r="E13" i="9"/>
  <c r="H13" i="9"/>
  <c r="E14" i="9"/>
  <c r="H14" i="9"/>
  <c r="E15" i="9"/>
  <c r="H15" i="9"/>
  <c r="E16" i="9"/>
  <c r="H16" i="9"/>
  <c r="E17" i="9"/>
  <c r="H17" i="9"/>
  <c r="E18" i="9"/>
  <c r="H18" i="9"/>
  <c r="E19" i="9"/>
  <c r="H19" i="9"/>
  <c r="E20" i="9"/>
  <c r="H20" i="9"/>
  <c r="E21" i="9"/>
  <c r="H21" i="9"/>
  <c r="E22" i="9"/>
  <c r="H22" i="9"/>
  <c r="E23" i="9"/>
  <c r="H23" i="9"/>
  <c r="E24" i="9"/>
  <c r="H24" i="9"/>
  <c r="E25" i="9"/>
  <c r="H25" i="9"/>
  <c r="E26" i="9"/>
  <c r="H26" i="9"/>
  <c r="E27" i="9"/>
  <c r="H27" i="9"/>
  <c r="E28" i="9"/>
  <c r="H28" i="9"/>
  <c r="E29" i="9"/>
  <c r="H29" i="9"/>
  <c r="E30" i="9"/>
  <c r="H30" i="9"/>
  <c r="E31" i="9"/>
  <c r="H31" i="9"/>
  <c r="E32" i="9"/>
  <c r="H32" i="9"/>
  <c r="E33" i="9"/>
  <c r="H33" i="9"/>
  <c r="E34" i="9"/>
  <c r="H34" i="9"/>
  <c r="E35" i="9"/>
  <c r="H35" i="9"/>
  <c r="E36" i="9"/>
  <c r="H36" i="9"/>
  <c r="E37" i="9"/>
  <c r="H37" i="9"/>
  <c r="E38" i="9"/>
  <c r="H38" i="9"/>
  <c r="E39" i="9"/>
  <c r="H39" i="9"/>
  <c r="E40" i="9"/>
  <c r="H40" i="9"/>
  <c r="E41" i="9"/>
  <c r="H41" i="9"/>
  <c r="E42" i="9"/>
  <c r="H42" i="9"/>
  <c r="E43" i="9"/>
  <c r="H43" i="9"/>
  <c r="E44" i="9"/>
  <c r="H44" i="9"/>
  <c r="E45" i="9"/>
  <c r="H45" i="9"/>
  <c r="E46" i="9"/>
  <c r="H46" i="9"/>
  <c r="E47" i="9"/>
  <c r="H47" i="9"/>
  <c r="E48" i="9"/>
  <c r="H48" i="9"/>
  <c r="E49" i="9"/>
  <c r="H49" i="9"/>
  <c r="E50" i="9"/>
  <c r="H50" i="9"/>
  <c r="E51" i="9"/>
  <c r="H51" i="9"/>
  <c r="E52" i="9"/>
  <c r="H52" i="9"/>
  <c r="E53" i="9"/>
  <c r="H53" i="9"/>
  <c r="E54" i="9"/>
  <c r="H54" i="9"/>
  <c r="E55" i="9"/>
  <c r="H55" i="9"/>
  <c r="E56" i="9"/>
  <c r="H56" i="9"/>
  <c r="E57" i="9"/>
  <c r="H57" i="9"/>
  <c r="C145" i="8"/>
  <c r="C146" i="8"/>
  <c r="C147" i="8"/>
  <c r="C148" i="8"/>
  <c r="D145" i="8"/>
  <c r="D146" i="8"/>
  <c r="D147" i="8"/>
  <c r="D148" i="8"/>
  <c r="E145" i="8"/>
  <c r="E146" i="8"/>
  <c r="E147" i="8"/>
  <c r="E148" i="8"/>
  <c r="C141" i="8"/>
  <c r="C142" i="8"/>
  <c r="C143" i="8"/>
  <c r="C144" i="8"/>
  <c r="D141" i="8"/>
  <c r="D142" i="8"/>
  <c r="D143" i="8"/>
  <c r="D144" i="8"/>
  <c r="E141" i="8"/>
  <c r="E142" i="8"/>
  <c r="E143" i="8"/>
  <c r="E144" i="8"/>
  <c r="C140" i="8"/>
  <c r="D140" i="8"/>
  <c r="E140"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8" i="8"/>
  <c r="C9" i="8"/>
  <c r="E9" i="8"/>
  <c r="C10" i="8"/>
  <c r="E10" i="8"/>
  <c r="C11" i="8"/>
  <c r="E11" i="8"/>
  <c r="C12" i="8"/>
  <c r="E12" i="8"/>
  <c r="C13" i="8"/>
  <c r="E13" i="8"/>
  <c r="C14" i="8"/>
  <c r="E14" i="8"/>
  <c r="C15" i="8"/>
  <c r="E15" i="8"/>
  <c r="C16" i="8"/>
  <c r="E16" i="8"/>
  <c r="C17" i="8"/>
  <c r="E17" i="8"/>
  <c r="C18" i="8"/>
  <c r="E18" i="8"/>
  <c r="C19" i="8"/>
  <c r="E19" i="8"/>
  <c r="C20" i="8"/>
  <c r="E20" i="8"/>
  <c r="C21" i="8"/>
  <c r="E21" i="8"/>
  <c r="C22" i="8"/>
  <c r="E22" i="8"/>
  <c r="C23" i="8"/>
  <c r="E23" i="8"/>
  <c r="C24" i="8"/>
  <c r="E24" i="8"/>
  <c r="C25" i="8"/>
  <c r="E25" i="8"/>
  <c r="C26" i="8"/>
  <c r="E26" i="8"/>
  <c r="C27" i="8"/>
  <c r="E27" i="8"/>
  <c r="C28" i="8"/>
  <c r="E28" i="8"/>
  <c r="C29" i="8"/>
  <c r="E29" i="8"/>
  <c r="C30" i="8"/>
  <c r="E30" i="8"/>
  <c r="C31" i="8"/>
  <c r="E31" i="8"/>
  <c r="C32" i="8"/>
  <c r="E32" i="8"/>
  <c r="C33" i="8"/>
  <c r="E33" i="8"/>
  <c r="C34" i="8"/>
  <c r="E34" i="8"/>
  <c r="C35" i="8"/>
  <c r="E35" i="8"/>
  <c r="C36" i="8"/>
  <c r="E36" i="8"/>
  <c r="C37" i="8"/>
  <c r="E37" i="8"/>
  <c r="C38" i="8"/>
  <c r="E38" i="8"/>
  <c r="C39" i="8"/>
  <c r="E39" i="8"/>
  <c r="C40" i="8"/>
  <c r="E40" i="8"/>
  <c r="C41" i="8"/>
  <c r="E41" i="8"/>
  <c r="C42" i="8"/>
  <c r="E42" i="8"/>
  <c r="C43" i="8"/>
  <c r="E43" i="8"/>
  <c r="C44" i="8"/>
  <c r="E44" i="8"/>
  <c r="C45" i="8"/>
  <c r="E45" i="8"/>
  <c r="C46" i="8"/>
  <c r="E46" i="8"/>
  <c r="C47" i="8"/>
  <c r="E47" i="8"/>
  <c r="C48" i="8"/>
  <c r="E48" i="8"/>
  <c r="C49" i="8"/>
  <c r="E49" i="8"/>
  <c r="C50" i="8"/>
  <c r="E50" i="8"/>
  <c r="C51" i="8"/>
  <c r="E51" i="8"/>
  <c r="C52" i="8"/>
  <c r="E52" i="8"/>
  <c r="C53" i="8"/>
  <c r="E53" i="8"/>
  <c r="C54" i="8"/>
  <c r="E54" i="8"/>
  <c r="C55" i="8"/>
  <c r="E55" i="8"/>
  <c r="C56" i="8"/>
  <c r="E56" i="8"/>
  <c r="C57" i="8"/>
  <c r="E57" i="8"/>
  <c r="C58" i="8"/>
  <c r="E58" i="8"/>
  <c r="C59" i="8"/>
  <c r="E59" i="8"/>
  <c r="C60" i="8"/>
  <c r="E60" i="8"/>
  <c r="C61" i="8"/>
  <c r="E61" i="8"/>
  <c r="C62" i="8"/>
  <c r="E62" i="8"/>
  <c r="C63" i="8"/>
  <c r="E63" i="8"/>
  <c r="C64" i="8"/>
  <c r="E64" i="8"/>
  <c r="C65" i="8"/>
  <c r="E65" i="8"/>
  <c r="C66" i="8"/>
  <c r="E66" i="8"/>
  <c r="C67" i="8"/>
  <c r="E67" i="8"/>
  <c r="C68" i="8"/>
  <c r="E68" i="8"/>
  <c r="C69" i="8"/>
  <c r="E69" i="8"/>
  <c r="C70" i="8"/>
  <c r="E70" i="8"/>
  <c r="C71" i="8"/>
  <c r="E71" i="8"/>
  <c r="C72" i="8"/>
  <c r="E72" i="8"/>
  <c r="C73" i="8"/>
  <c r="E73" i="8"/>
  <c r="C74" i="8"/>
  <c r="E74" i="8"/>
  <c r="C75" i="8"/>
  <c r="E75" i="8"/>
  <c r="C76" i="8"/>
  <c r="E76" i="8"/>
  <c r="C77" i="8"/>
  <c r="E77" i="8"/>
  <c r="C78" i="8"/>
  <c r="E78" i="8"/>
  <c r="C79" i="8"/>
  <c r="E79" i="8"/>
  <c r="C80" i="8"/>
  <c r="E80" i="8"/>
  <c r="C81" i="8"/>
  <c r="E81" i="8"/>
  <c r="C82" i="8"/>
  <c r="E82" i="8"/>
  <c r="C83" i="8"/>
  <c r="E83" i="8"/>
  <c r="C84" i="8"/>
  <c r="E84" i="8"/>
  <c r="C85" i="8"/>
  <c r="E85" i="8"/>
  <c r="C86" i="8"/>
  <c r="E86" i="8"/>
  <c r="C87" i="8"/>
  <c r="E87" i="8"/>
  <c r="C88" i="8"/>
  <c r="E88" i="8"/>
  <c r="C89" i="8"/>
  <c r="E89" i="8"/>
  <c r="C90" i="8"/>
  <c r="E90" i="8"/>
  <c r="C91" i="8"/>
  <c r="E91" i="8"/>
  <c r="C92" i="8"/>
  <c r="E92" i="8"/>
  <c r="C93" i="8"/>
  <c r="E93" i="8"/>
  <c r="C94" i="8"/>
  <c r="E94" i="8"/>
  <c r="C95" i="8"/>
  <c r="E95" i="8"/>
  <c r="C96" i="8"/>
  <c r="E96" i="8"/>
  <c r="C97" i="8"/>
  <c r="E97" i="8"/>
  <c r="C98" i="8"/>
  <c r="E98" i="8"/>
  <c r="C99" i="8"/>
  <c r="E99" i="8"/>
  <c r="C100" i="8"/>
  <c r="E100" i="8"/>
  <c r="C101" i="8"/>
  <c r="E101" i="8"/>
  <c r="C102" i="8"/>
  <c r="E102" i="8"/>
  <c r="C103" i="8"/>
  <c r="E103" i="8"/>
  <c r="C104" i="8"/>
  <c r="E104" i="8"/>
  <c r="C105" i="8"/>
  <c r="E105" i="8"/>
  <c r="C106" i="8"/>
  <c r="E106" i="8"/>
  <c r="C107" i="8"/>
  <c r="E107" i="8"/>
  <c r="C108" i="8"/>
  <c r="E108" i="8"/>
  <c r="C109" i="8"/>
  <c r="E109" i="8"/>
  <c r="C110" i="8"/>
  <c r="E110" i="8"/>
  <c r="C111" i="8"/>
  <c r="E111" i="8"/>
  <c r="C112" i="8"/>
  <c r="E112" i="8"/>
  <c r="C113" i="8"/>
  <c r="E113" i="8"/>
  <c r="C114" i="8"/>
  <c r="E114" i="8"/>
  <c r="C115" i="8"/>
  <c r="E115" i="8"/>
  <c r="C116" i="8"/>
  <c r="E116" i="8"/>
  <c r="C117" i="8"/>
  <c r="E117" i="8"/>
  <c r="C118" i="8"/>
  <c r="E118" i="8"/>
  <c r="C119" i="8"/>
  <c r="E119" i="8"/>
  <c r="C120" i="8"/>
  <c r="E120" i="8"/>
  <c r="C121" i="8"/>
  <c r="E121" i="8"/>
  <c r="C122" i="8"/>
  <c r="E122" i="8"/>
  <c r="C123" i="8"/>
  <c r="E123" i="8"/>
  <c r="C124" i="8"/>
  <c r="E124" i="8"/>
  <c r="C125" i="8"/>
  <c r="E125" i="8"/>
  <c r="C126" i="8"/>
  <c r="E126" i="8"/>
  <c r="C127" i="8"/>
  <c r="E127" i="8"/>
  <c r="C128" i="8"/>
  <c r="E128" i="8"/>
  <c r="C129" i="8"/>
  <c r="E129" i="8"/>
  <c r="C130" i="8"/>
  <c r="E130" i="8"/>
  <c r="C131" i="8"/>
  <c r="E131" i="8"/>
  <c r="C132" i="8"/>
  <c r="E132" i="8"/>
  <c r="C133" i="8"/>
  <c r="E133" i="8"/>
  <c r="C134" i="8"/>
  <c r="E134" i="8"/>
  <c r="C135" i="8"/>
  <c r="E135" i="8"/>
  <c r="C136" i="8"/>
  <c r="E136" i="8"/>
  <c r="C137" i="8"/>
  <c r="E137" i="8"/>
  <c r="C138" i="8"/>
  <c r="E138" i="8"/>
  <c r="C139" i="8"/>
  <c r="E139" i="8"/>
  <c r="C8" i="8"/>
  <c r="E8" i="8"/>
  <c r="K33" i="6"/>
  <c r="H34" i="6"/>
  <c r="H32" i="6"/>
  <c r="E24" i="6"/>
  <c r="E25" i="6"/>
  <c r="E32" i="6"/>
  <c r="K32" i="6"/>
  <c r="L32" i="6"/>
  <c r="N32" i="6"/>
  <c r="E33" i="6"/>
  <c r="L33" i="6"/>
  <c r="M33" i="6"/>
  <c r="M31" i="6"/>
  <c r="N33" i="6"/>
  <c r="E34" i="6"/>
  <c r="E35" i="6"/>
  <c r="M599" i="1"/>
  <c r="M627" i="1"/>
  <c r="M597" i="1"/>
  <c r="M567" i="1"/>
  <c r="N11" i="5"/>
  <c r="N12" i="5"/>
  <c r="N13" i="5"/>
  <c r="N14" i="5"/>
  <c r="N15" i="5"/>
  <c r="N16" i="5"/>
  <c r="N17" i="5"/>
  <c r="N18" i="5"/>
  <c r="N19" i="5"/>
  <c r="N20" i="5"/>
  <c r="N21" i="5"/>
  <c r="N22" i="5"/>
  <c r="N23" i="5"/>
  <c r="N24" i="5"/>
  <c r="N25" i="5"/>
  <c r="N26" i="5"/>
  <c r="N27" i="5"/>
  <c r="N28" i="5"/>
  <c r="N29" i="5"/>
  <c r="N30" i="5"/>
  <c r="N10" i="5"/>
  <c r="M11" i="5"/>
  <c r="M12" i="5"/>
  <c r="M13" i="5"/>
  <c r="M14" i="5"/>
  <c r="M15" i="5"/>
  <c r="M16" i="5"/>
  <c r="M17" i="5"/>
  <c r="M18" i="5"/>
  <c r="M19" i="5"/>
  <c r="M20" i="5"/>
  <c r="M21" i="5"/>
  <c r="M22" i="5"/>
  <c r="M23" i="5"/>
  <c r="M24" i="5"/>
  <c r="M25" i="5"/>
  <c r="M26" i="5"/>
  <c r="M27" i="5"/>
  <c r="M28" i="5"/>
  <c r="M29" i="5"/>
  <c r="M30" i="5"/>
  <c r="M10" i="5"/>
  <c r="L11" i="5"/>
  <c r="L12" i="5"/>
  <c r="L13" i="5"/>
  <c r="L14" i="5"/>
  <c r="L15" i="5"/>
  <c r="L16" i="5"/>
  <c r="L17" i="5"/>
  <c r="L18" i="5"/>
  <c r="L19" i="5"/>
  <c r="L20" i="5"/>
  <c r="L21" i="5"/>
  <c r="L22" i="5"/>
  <c r="L23" i="5"/>
  <c r="L24" i="5"/>
  <c r="L25" i="5"/>
  <c r="L26" i="5"/>
  <c r="L27" i="5"/>
  <c r="L28" i="5"/>
  <c r="L29" i="5"/>
  <c r="L30" i="5"/>
  <c r="L10" i="5"/>
  <c r="D18" i="5"/>
  <c r="D16" i="5"/>
  <c r="D15" i="5"/>
  <c r="D14" i="5"/>
  <c r="D13" i="5"/>
  <c r="B13" i="5"/>
  <c r="C16" i="5"/>
  <c r="C15" i="5"/>
  <c r="C14" i="5"/>
  <c r="C13" i="5"/>
  <c r="B15" i="5"/>
  <c r="B18" i="5"/>
  <c r="B14" i="5"/>
  <c r="B16" i="5"/>
  <c r="D10" i="5"/>
  <c r="B10" i="5"/>
  <c r="D35" i="4"/>
  <c r="D26" i="4"/>
  <c r="F114" i="3"/>
  <c r="F113" i="3"/>
  <c r="E105" i="3"/>
  <c r="E104" i="3"/>
  <c r="J2" i="1"/>
  <c r="I2" i="1"/>
  <c r="H2" i="1"/>
  <c r="F78" i="3"/>
  <c r="F43" i="3"/>
  <c r="D33" i="3"/>
  <c r="D24" i="3"/>
  <c r="E15" i="3"/>
  <c r="M663" i="1"/>
  <c r="M659" i="1"/>
  <c r="M665" i="1"/>
  <c r="U655" i="1"/>
  <c r="M637" i="1"/>
  <c r="M636" i="1"/>
  <c r="M635" i="1"/>
  <c r="M634" i="1"/>
  <c r="P622" i="1"/>
  <c r="P621" i="1"/>
  <c r="R621" i="1"/>
  <c r="P620" i="1"/>
  <c r="R620" i="1"/>
  <c r="R622" i="1"/>
  <c r="P627" i="1"/>
  <c r="M607" i="1"/>
  <c r="M606" i="1"/>
  <c r="M605" i="1"/>
  <c r="M604" i="1"/>
  <c r="P592" i="1"/>
  <c r="P591" i="1"/>
  <c r="R591" i="1"/>
  <c r="P590" i="1"/>
  <c r="R590" i="1"/>
  <c r="R592" i="1"/>
  <c r="P597" i="1"/>
  <c r="M577" i="1"/>
  <c r="M576" i="1"/>
  <c r="M575" i="1"/>
  <c r="M574" i="1"/>
  <c r="M580" i="1"/>
  <c r="P562" i="1"/>
  <c r="P561" i="1"/>
  <c r="R561" i="1"/>
  <c r="P560" i="1"/>
  <c r="R560" i="1"/>
  <c r="R562" i="1"/>
  <c r="P567" i="1"/>
  <c r="I34" i="6"/>
  <c r="I37" i="6"/>
  <c r="N37" i="6"/>
  <c r="N38" i="6"/>
  <c r="M39" i="6"/>
  <c r="I35" i="6"/>
  <c r="K38" i="6"/>
  <c r="I40" i="6"/>
  <c r="I36" i="6"/>
  <c r="L39" i="6"/>
  <c r="K37" i="6"/>
  <c r="I38" i="6"/>
  <c r="I39" i="6"/>
  <c r="N39" i="6"/>
  <c r="L37" i="6"/>
  <c r="K39" i="6"/>
  <c r="M37" i="6"/>
  <c r="L38" i="6"/>
  <c r="I32" i="6"/>
  <c r="I33" i="6"/>
  <c r="D40" i="18"/>
  <c r="D19" i="18"/>
  <c r="E18" i="18"/>
  <c r="D17" i="18"/>
  <c r="B33" i="17"/>
  <c r="D33" i="17"/>
  <c r="E33" i="17"/>
  <c r="F33" i="17"/>
  <c r="C33" i="17"/>
  <c r="I8" i="16"/>
  <c r="I10" i="16"/>
  <c r="I28" i="16"/>
  <c r="I30" i="16"/>
  <c r="I33" i="16"/>
  <c r="J8" i="14"/>
  <c r="D26" i="14"/>
  <c r="D27" i="14"/>
  <c r="J9" i="14"/>
  <c r="J12" i="14"/>
  <c r="J10" i="14"/>
  <c r="J24" i="14"/>
  <c r="E8" i="12"/>
  <c r="G12" i="10" a="1"/>
  <c r="G12" i="10"/>
  <c r="H12" i="10" a="1"/>
  <c r="H12" i="10"/>
  <c r="I12" i="10" a="1"/>
  <c r="I12" i="10"/>
  <c r="E7" i="9"/>
  <c r="H7" i="9"/>
  <c r="F7" i="9"/>
  <c r="G7" i="9"/>
  <c r="F57" i="9"/>
  <c r="G57" i="9"/>
  <c r="F56" i="9"/>
  <c r="G56" i="9"/>
  <c r="F55" i="9"/>
  <c r="G55" i="9"/>
  <c r="F54" i="9"/>
  <c r="G54" i="9"/>
  <c r="F53" i="9"/>
  <c r="G53" i="9"/>
  <c r="F52" i="9"/>
  <c r="G52" i="9"/>
  <c r="F51" i="9"/>
  <c r="G51" i="9"/>
  <c r="F50" i="9"/>
  <c r="G50" i="9"/>
  <c r="F49" i="9"/>
  <c r="G49" i="9"/>
  <c r="F48" i="9"/>
  <c r="G48" i="9"/>
  <c r="F47" i="9"/>
  <c r="G47" i="9"/>
  <c r="F46" i="9"/>
  <c r="G46" i="9"/>
  <c r="F45" i="9"/>
  <c r="G45" i="9"/>
  <c r="F44" i="9"/>
  <c r="G44" i="9"/>
  <c r="F43" i="9"/>
  <c r="G43" i="9"/>
  <c r="F42" i="9"/>
  <c r="G42" i="9"/>
  <c r="F41" i="9"/>
  <c r="G41" i="9"/>
  <c r="F40" i="9"/>
  <c r="G40" i="9"/>
  <c r="F39" i="9"/>
  <c r="G39" i="9"/>
  <c r="F38" i="9"/>
  <c r="G38" i="9"/>
  <c r="F37" i="9"/>
  <c r="G37" i="9"/>
  <c r="F36" i="9"/>
  <c r="G36" i="9"/>
  <c r="F35" i="9"/>
  <c r="G35" i="9"/>
  <c r="F34" i="9"/>
  <c r="G34" i="9"/>
  <c r="F33" i="9"/>
  <c r="G33" i="9"/>
  <c r="F32" i="9"/>
  <c r="G32" i="9"/>
  <c r="F31" i="9"/>
  <c r="G31" i="9"/>
  <c r="F30" i="9"/>
  <c r="G30" i="9"/>
  <c r="F29" i="9"/>
  <c r="G29" i="9"/>
  <c r="F28" i="9"/>
  <c r="G28" i="9"/>
  <c r="F27" i="9"/>
  <c r="G27" i="9"/>
  <c r="F26" i="9"/>
  <c r="G26" i="9"/>
  <c r="F25" i="9"/>
  <c r="G25" i="9"/>
  <c r="F24" i="9"/>
  <c r="G24" i="9"/>
  <c r="F23" i="9"/>
  <c r="G23" i="9"/>
  <c r="F22" i="9"/>
  <c r="G22" i="9"/>
  <c r="F21" i="9"/>
  <c r="G21" i="9"/>
  <c r="F20" i="9"/>
  <c r="G20" i="9"/>
  <c r="F19" i="9"/>
  <c r="G19" i="9"/>
  <c r="F18" i="9"/>
  <c r="G18" i="9"/>
  <c r="F17" i="9"/>
  <c r="G17" i="9"/>
  <c r="F16" i="9"/>
  <c r="G16" i="9"/>
  <c r="F15" i="9"/>
  <c r="G15" i="9"/>
  <c r="F14" i="9"/>
  <c r="G14" i="9"/>
  <c r="F13" i="9"/>
  <c r="G13" i="9"/>
  <c r="F12" i="9"/>
  <c r="G12" i="9"/>
  <c r="F11" i="9"/>
  <c r="G11" i="9"/>
  <c r="F10" i="9"/>
  <c r="G10" i="9"/>
  <c r="F9" i="9"/>
  <c r="G9" i="9"/>
  <c r="F8" i="9"/>
  <c r="G8" i="9"/>
  <c r="E30" i="6"/>
  <c r="N31" i="6"/>
  <c r="L31" i="6"/>
  <c r="K31" i="6"/>
  <c r="H33" i="6"/>
  <c r="H35" i="6"/>
  <c r="M640" i="1"/>
  <c r="M610" i="1"/>
  <c r="M612" i="1"/>
  <c r="N3" i="6"/>
  <c r="M667" i="1"/>
  <c r="M670" i="1"/>
  <c r="M666" i="1"/>
  <c r="M668" i="1"/>
  <c r="M642" i="1"/>
  <c r="M641" i="1"/>
  <c r="M643" i="1"/>
  <c r="M582" i="1"/>
  <c r="M581" i="1"/>
  <c r="M583" i="1"/>
  <c r="D43" i="18"/>
  <c r="D33" i="18"/>
  <c r="D32" i="18"/>
  <c r="D31" i="18"/>
  <c r="D30" i="18"/>
  <c r="D29" i="18"/>
  <c r="D28" i="18"/>
  <c r="D27" i="18"/>
  <c r="D26" i="18"/>
  <c r="D25" i="18"/>
  <c r="J19" i="18"/>
  <c r="D46" i="18"/>
  <c r="F19" i="18"/>
  <c r="H19" i="18"/>
  <c r="C33" i="18"/>
  <c r="J18" i="18"/>
  <c r="D45" i="18"/>
  <c r="D42" i="18"/>
  <c r="C32" i="18"/>
  <c r="C31" i="18"/>
  <c r="C30" i="18"/>
  <c r="C29" i="18"/>
  <c r="C28" i="18"/>
  <c r="C27" i="18"/>
  <c r="C26" i="18"/>
  <c r="C25" i="18"/>
  <c r="G18" i="18"/>
  <c r="H18" i="18"/>
  <c r="D41" i="18"/>
  <c r="B33" i="18"/>
  <c r="B32" i="18"/>
  <c r="B31" i="18"/>
  <c r="B30" i="18"/>
  <c r="B29" i="18"/>
  <c r="B28" i="18"/>
  <c r="B27" i="18"/>
  <c r="B26" i="18"/>
  <c r="B25" i="18"/>
  <c r="J17" i="18"/>
  <c r="D44" i="18"/>
  <c r="F17" i="18"/>
  <c r="H17" i="18"/>
  <c r="C34" i="17"/>
  <c r="B34" i="17"/>
  <c r="D34" i="17"/>
  <c r="E34" i="17"/>
  <c r="F34" i="17"/>
  <c r="I12" i="16"/>
  <c r="I9" i="16"/>
  <c r="I14" i="16"/>
  <c r="I32" i="16"/>
  <c r="I29" i="16"/>
  <c r="I34" i="16"/>
  <c r="I13" i="16"/>
  <c r="D28" i="14"/>
  <c r="D29" i="14"/>
  <c r="J13" i="14"/>
  <c r="J15" i="14"/>
  <c r="J11" i="14"/>
  <c r="J14" i="14"/>
  <c r="J26" i="14"/>
  <c r="J25" i="14"/>
  <c r="G8" i="12"/>
  <c r="F8" i="12"/>
  <c r="H8" i="12"/>
  <c r="H36" i="6"/>
  <c r="H37" i="6"/>
  <c r="M645" i="1"/>
  <c r="M611" i="1"/>
  <c r="M613" i="1"/>
  <c r="M615" i="1"/>
  <c r="M585" i="1"/>
  <c r="C35" i="17"/>
  <c r="B35" i="17"/>
  <c r="D35" i="17"/>
  <c r="E35" i="17"/>
  <c r="F35" i="17"/>
  <c r="I18" i="16"/>
  <c r="F45" i="16"/>
  <c r="I19" i="16"/>
  <c r="D45" i="16"/>
  <c r="I39" i="16"/>
  <c r="I38" i="16"/>
  <c r="F46" i="16"/>
  <c r="D46" i="16"/>
  <c r="D31" i="14"/>
  <c r="D30" i="14"/>
  <c r="D32" i="14"/>
  <c r="J28" i="14"/>
  <c r="J27" i="14"/>
  <c r="J29" i="14"/>
  <c r="B40" i="14"/>
  <c r="B39" i="14"/>
  <c r="J16" i="14"/>
  <c r="H38" i="6"/>
  <c r="H40" i="6"/>
  <c r="H39" i="6"/>
  <c r="H30" i="6"/>
  <c r="AJ556" i="1"/>
  <c r="AJ568" i="1"/>
  <c r="AJ584" i="1"/>
  <c r="AJ569" i="1"/>
  <c r="AJ552" i="1"/>
  <c r="AJ570" i="1"/>
  <c r="AJ554" i="1"/>
  <c r="AJ571" i="1"/>
  <c r="AJ553" i="1"/>
  <c r="AJ572" i="1"/>
  <c r="AJ557" i="1"/>
  <c r="AJ573" i="1"/>
  <c r="AJ574" i="1"/>
  <c r="AJ559" i="1"/>
  <c r="AJ575" i="1"/>
  <c r="AJ576" i="1"/>
  <c r="AJ561" i="1"/>
  <c r="AJ577" i="1"/>
  <c r="AJ562" i="1"/>
  <c r="AJ578" i="1"/>
  <c r="AJ563" i="1"/>
  <c r="AJ579" i="1"/>
  <c r="AJ555" i="1"/>
  <c r="AJ558" i="1"/>
  <c r="AJ564" i="1"/>
  <c r="AJ582" i="1"/>
  <c r="AJ583" i="1"/>
  <c r="AJ560" i="1"/>
  <c r="AJ580" i="1"/>
  <c r="AJ565" i="1"/>
  <c r="AJ581" i="1"/>
  <c r="AJ566" i="1"/>
  <c r="AJ567" i="1"/>
  <c r="AK555" i="1"/>
  <c r="AK559" i="1"/>
  <c r="AK563" i="1"/>
  <c r="AK567" i="1"/>
  <c r="AK571" i="1"/>
  <c r="AK575" i="1"/>
  <c r="AK579" i="1"/>
  <c r="AK583" i="1"/>
  <c r="AK556" i="1"/>
  <c r="AK560" i="1"/>
  <c r="AK564" i="1"/>
  <c r="AK568" i="1"/>
  <c r="AK572" i="1"/>
  <c r="AK576" i="1"/>
  <c r="AK580" i="1"/>
  <c r="AK584" i="1"/>
  <c r="AK553" i="1"/>
  <c r="AK557" i="1"/>
  <c r="AK561" i="1"/>
  <c r="AK565" i="1"/>
  <c r="AK569" i="1"/>
  <c r="AK573" i="1"/>
  <c r="AK577" i="1"/>
  <c r="AK581" i="1"/>
  <c r="AK552" i="1"/>
  <c r="AK554" i="1"/>
  <c r="AK558" i="1"/>
  <c r="AK562" i="1"/>
  <c r="AK566" i="1"/>
  <c r="AK570" i="1"/>
  <c r="AK574" i="1"/>
  <c r="AK578" i="1"/>
  <c r="AK582" i="1"/>
  <c r="B36" i="17"/>
  <c r="D36" i="17"/>
  <c r="E36" i="17"/>
  <c r="F36" i="17"/>
  <c r="C36" i="17"/>
  <c r="H45" i="16"/>
  <c r="H46" i="16"/>
  <c r="D33" i="14"/>
  <c r="B38" i="14"/>
  <c r="B41" i="14"/>
  <c r="H27" i="6"/>
  <c r="M546" i="1"/>
  <c r="M545" i="1"/>
  <c r="M544" i="1"/>
  <c r="M542" i="1"/>
  <c r="M538" i="1"/>
  <c r="M536" i="1"/>
  <c r="M531" i="1"/>
  <c r="M530" i="1"/>
  <c r="C37" i="17"/>
  <c r="B37" i="17"/>
  <c r="D37" i="17"/>
  <c r="E37" i="17"/>
  <c r="F37" i="17"/>
  <c r="P530" i="1"/>
  <c r="R530" i="1"/>
  <c r="M543" i="1"/>
  <c r="P531" i="1"/>
  <c r="P529" i="1"/>
  <c r="R529" i="1"/>
  <c r="R531" i="1"/>
  <c r="M549" i="1"/>
  <c r="M551" i="1"/>
  <c r="C38" i="17"/>
  <c r="B38" i="17"/>
  <c r="D38" i="17"/>
  <c r="E38" i="17"/>
  <c r="F38" i="17"/>
  <c r="P536" i="1"/>
  <c r="M550" i="1"/>
  <c r="M552" i="1"/>
  <c r="M554" i="1"/>
  <c r="B39" i="17"/>
  <c r="C39" i="17"/>
  <c r="AI554" i="1"/>
  <c r="AI558" i="1"/>
  <c r="AI562" i="1"/>
  <c r="AI566" i="1"/>
  <c r="AI570" i="1"/>
  <c r="AI574" i="1"/>
  <c r="AI578" i="1"/>
  <c r="AI582" i="1"/>
  <c r="AH553" i="1"/>
  <c r="AH557" i="1"/>
  <c r="AH561" i="1"/>
  <c r="AH565" i="1"/>
  <c r="AH569" i="1"/>
  <c r="AH573" i="1"/>
  <c r="AH577" i="1"/>
  <c r="AH581" i="1"/>
  <c r="AH552" i="1"/>
  <c r="AI555" i="1"/>
  <c r="AI559" i="1"/>
  <c r="AI563" i="1"/>
  <c r="AI567" i="1"/>
  <c r="AI571" i="1"/>
  <c r="AI575" i="1"/>
  <c r="AI579" i="1"/>
  <c r="AI583" i="1"/>
  <c r="AH554" i="1"/>
  <c r="AH558" i="1"/>
  <c r="AH562" i="1"/>
  <c r="AH566" i="1"/>
  <c r="AH570" i="1"/>
  <c r="AH574" i="1"/>
  <c r="AH578" i="1"/>
  <c r="AH582" i="1"/>
  <c r="AI556" i="1"/>
  <c r="AI560" i="1"/>
  <c r="AI564" i="1"/>
  <c r="AI568" i="1"/>
  <c r="AI572" i="1"/>
  <c r="AI576" i="1"/>
  <c r="AI580" i="1"/>
  <c r="AI584" i="1"/>
  <c r="AH555" i="1"/>
  <c r="AH559" i="1"/>
  <c r="AH563" i="1"/>
  <c r="AH567" i="1"/>
  <c r="AH571" i="1"/>
  <c r="AH575" i="1"/>
  <c r="AH579" i="1"/>
  <c r="AH583" i="1"/>
  <c r="AI553" i="1"/>
  <c r="AI557" i="1"/>
  <c r="AI561" i="1"/>
  <c r="AI565" i="1"/>
  <c r="AI569" i="1"/>
  <c r="AI573" i="1"/>
  <c r="AI577" i="1"/>
  <c r="AI581" i="1"/>
  <c r="AI552" i="1"/>
  <c r="AH556" i="1"/>
  <c r="AH560" i="1"/>
  <c r="AH564" i="1"/>
  <c r="AH568" i="1"/>
  <c r="AH572" i="1"/>
  <c r="AH576" i="1"/>
  <c r="AH580" i="1"/>
  <c r="AH584" i="1"/>
  <c r="M514" i="1"/>
  <c r="M513" i="1"/>
  <c r="M512" i="1"/>
  <c r="M511" i="1"/>
  <c r="M510" i="1"/>
  <c r="M509" i="1"/>
  <c r="M503" i="1"/>
  <c r="P502" i="1"/>
  <c r="P501" i="1"/>
  <c r="T501" i="1"/>
  <c r="D39" i="17"/>
  <c r="E39" i="17"/>
  <c r="F39" i="17"/>
  <c r="P509" i="1"/>
  <c r="P513" i="1"/>
  <c r="P510" i="1"/>
  <c r="R501" i="1"/>
  <c r="M506" i="1"/>
  <c r="P499" i="1"/>
  <c r="C40" i="17"/>
  <c r="B40" i="17"/>
  <c r="D40" i="17"/>
  <c r="E40" i="17"/>
  <c r="F40" i="17"/>
  <c r="P511" i="1"/>
  <c r="P514" i="1"/>
  <c r="M520" i="1"/>
  <c r="P512" i="1"/>
  <c r="R499" i="1"/>
  <c r="P498" i="1"/>
  <c r="P500" i="1"/>
  <c r="T499" i="1"/>
  <c r="C41" i="17"/>
  <c r="B41" i="17"/>
  <c r="D41" i="17"/>
  <c r="E41" i="17"/>
  <c r="F41" i="17"/>
  <c r="T500" i="1"/>
  <c r="R498" i="1"/>
  <c r="M519" i="1"/>
  <c r="M521" i="1"/>
  <c r="R500" i="1"/>
  <c r="T498" i="1"/>
  <c r="C42" i="17"/>
  <c r="B42" i="17"/>
  <c r="D42" i="17"/>
  <c r="E42" i="17"/>
  <c r="F42" i="17"/>
  <c r="M481" i="1"/>
  <c r="M480" i="1"/>
  <c r="M484" i="1"/>
  <c r="M483" i="1"/>
  <c r="M482" i="1"/>
  <c r="M479" i="1"/>
  <c r="M452" i="1"/>
  <c r="M451" i="1"/>
  <c r="M450" i="1"/>
  <c r="M449" i="1"/>
  <c r="M448" i="1"/>
  <c r="M447" i="1"/>
  <c r="M441" i="1"/>
  <c r="P440" i="1"/>
  <c r="M422" i="1"/>
  <c r="M421" i="1"/>
  <c r="M420" i="1"/>
  <c r="M418" i="1"/>
  <c r="M417" i="1"/>
  <c r="M411" i="1"/>
  <c r="M414" i="1"/>
  <c r="P410" i="1"/>
  <c r="M419"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66" i="1"/>
  <c r="Z349" i="1"/>
  <c r="Z350" i="1"/>
  <c r="Z351" i="1"/>
  <c r="Z352" i="1"/>
  <c r="Z353" i="1"/>
  <c r="Z354" i="1"/>
  <c r="Z355" i="1"/>
  <c r="Z356" i="1"/>
  <c r="Z357" i="1"/>
  <c r="Z358" i="1"/>
  <c r="Z328" i="1"/>
  <c r="Z329" i="1"/>
  <c r="Z330" i="1"/>
  <c r="Z331" i="1"/>
  <c r="Z332" i="1"/>
  <c r="Z333" i="1"/>
  <c r="Z334" i="1"/>
  <c r="Z335" i="1"/>
  <c r="Z336" i="1"/>
  <c r="Z337" i="1"/>
  <c r="Z338" i="1"/>
  <c r="Z339" i="1"/>
  <c r="Z340" i="1"/>
  <c r="Z341" i="1"/>
  <c r="Z342" i="1"/>
  <c r="Z343" i="1"/>
  <c r="Z344" i="1"/>
  <c r="Z345" i="1"/>
  <c r="Z346" i="1"/>
  <c r="Z347" i="1"/>
  <c r="Z348" i="1"/>
  <c r="Z327" i="1"/>
  <c r="X284" i="1"/>
  <c r="W284" i="1"/>
  <c r="S340" i="1"/>
  <c r="P340" i="1"/>
  <c r="P342" i="1"/>
  <c r="V341" i="1"/>
  <c r="U341" i="1"/>
  <c r="U339" i="1"/>
  <c r="T341" i="1"/>
  <c r="S341" i="1"/>
  <c r="V340" i="1"/>
  <c r="V339" i="1"/>
  <c r="T340" i="1"/>
  <c r="M340" i="1"/>
  <c r="M341" i="1"/>
  <c r="M343" i="1"/>
  <c r="S346" i="1"/>
  <c r="S347" i="1"/>
  <c r="Q346" i="1"/>
  <c r="Q342" i="1"/>
  <c r="V345" i="1"/>
  <c r="Q345" i="1"/>
  <c r="Q344" i="1"/>
  <c r="Q340" i="1"/>
  <c r="V346" i="1"/>
  <c r="T345" i="1"/>
  <c r="Q343" i="1"/>
  <c r="Q348" i="1"/>
  <c r="U347" i="1"/>
  <c r="Q347" i="1"/>
  <c r="S345" i="1"/>
  <c r="T346" i="1"/>
  <c r="T347" i="1"/>
  <c r="V347" i="1"/>
  <c r="U345" i="1"/>
  <c r="Q341" i="1"/>
  <c r="C43" i="17"/>
  <c r="B43" i="17"/>
  <c r="D43" i="17"/>
  <c r="E43" i="17"/>
  <c r="F43" i="17"/>
  <c r="P479" i="1"/>
  <c r="M473" i="1"/>
  <c r="P439" i="1"/>
  <c r="T439" i="1"/>
  <c r="T339" i="1"/>
  <c r="M444" i="1"/>
  <c r="P417" i="1"/>
  <c r="P419" i="1"/>
  <c r="P437" i="1"/>
  <c r="P438" i="1"/>
  <c r="R438" i="1"/>
  <c r="T436" i="1"/>
  <c r="P447" i="1"/>
  <c r="P449" i="1"/>
  <c r="R439" i="1"/>
  <c r="P418" i="1"/>
  <c r="P420" i="1"/>
  <c r="P409" i="1"/>
  <c r="P407" i="1"/>
  <c r="S339" i="1"/>
  <c r="M342" i="1"/>
  <c r="M338" i="1"/>
  <c r="B44" i="17"/>
  <c r="C44" i="17"/>
  <c r="P341" i="1"/>
  <c r="P343" i="1"/>
  <c r="T437" i="1"/>
  <c r="P469" i="1"/>
  <c r="M476" i="1"/>
  <c r="P472" i="1"/>
  <c r="P471" i="1"/>
  <c r="P483" i="1"/>
  <c r="P481" i="1"/>
  <c r="P480" i="1"/>
  <c r="P451" i="1"/>
  <c r="P448" i="1"/>
  <c r="P452" i="1"/>
  <c r="M458" i="1"/>
  <c r="P344" i="1"/>
  <c r="P345" i="1"/>
  <c r="P346" i="1"/>
  <c r="P348" i="1"/>
  <c r="T438" i="1"/>
  <c r="R436" i="1"/>
  <c r="R437" i="1"/>
  <c r="P436" i="1"/>
  <c r="M457" i="1"/>
  <c r="M428" i="1"/>
  <c r="R407" i="1"/>
  <c r="P406" i="1"/>
  <c r="P408" i="1"/>
  <c r="T407" i="1"/>
  <c r="R406" i="1"/>
  <c r="T409" i="1"/>
  <c r="R409" i="1"/>
  <c r="D44" i="17"/>
  <c r="E44" i="17"/>
  <c r="F44" i="17"/>
  <c r="P347" i="1"/>
  <c r="P450" i="1"/>
  <c r="T471" i="1"/>
  <c r="R471" i="1"/>
  <c r="P484" i="1"/>
  <c r="M490" i="1"/>
  <c r="P482" i="1"/>
  <c r="R469" i="1"/>
  <c r="P468" i="1"/>
  <c r="P470" i="1"/>
  <c r="T469" i="1"/>
  <c r="AC425" i="1"/>
  <c r="AC429" i="1"/>
  <c r="AC433" i="1"/>
  <c r="AC437" i="1"/>
  <c r="AC441" i="1"/>
  <c r="AC445" i="1"/>
  <c r="AC449" i="1"/>
  <c r="AC453" i="1"/>
  <c r="AC426" i="1"/>
  <c r="AC430" i="1"/>
  <c r="AC434" i="1"/>
  <c r="AC438" i="1"/>
  <c r="AC442" i="1"/>
  <c r="AC446" i="1"/>
  <c r="AC450" i="1"/>
  <c r="AC423" i="1"/>
  <c r="AC427" i="1"/>
  <c r="AC431" i="1"/>
  <c r="AC435" i="1"/>
  <c r="AC439" i="1"/>
  <c r="AC443" i="1"/>
  <c r="AC447" i="1"/>
  <c r="AC451" i="1"/>
  <c r="AC424" i="1"/>
  <c r="AC428" i="1"/>
  <c r="AC432" i="1"/>
  <c r="AC436" i="1"/>
  <c r="AC440" i="1"/>
  <c r="AC444" i="1"/>
  <c r="AC448" i="1"/>
  <c r="AC452" i="1"/>
  <c r="P335" i="1"/>
  <c r="P338" i="1"/>
  <c r="M459" i="1"/>
  <c r="T408" i="1"/>
  <c r="R408" i="1"/>
  <c r="T406" i="1"/>
  <c r="M427" i="1"/>
  <c r="B45" i="17"/>
  <c r="C45" i="17"/>
  <c r="T470" i="1"/>
  <c r="R468" i="1"/>
  <c r="R470" i="1"/>
  <c r="T468" i="1"/>
  <c r="AB388" i="1"/>
  <c r="AB386" i="1"/>
  <c r="AB382" i="1"/>
  <c r="AB376" i="1"/>
  <c r="AB374" i="1"/>
  <c r="AB367" i="1"/>
  <c r="AB385" i="1"/>
  <c r="AB381" i="1"/>
  <c r="AB379" i="1"/>
  <c r="AB373" i="1"/>
  <c r="AB371" i="1"/>
  <c r="AB368" i="1"/>
  <c r="AB395" i="1"/>
  <c r="AB391" i="1"/>
  <c r="AB380" i="1"/>
  <c r="AB378" i="1"/>
  <c r="AB372" i="1"/>
  <c r="AB370" i="1"/>
  <c r="AB394" i="1"/>
  <c r="AB390" i="1"/>
  <c r="AB387" i="1"/>
  <c r="AB383" i="1"/>
  <c r="AB375" i="1"/>
  <c r="AB347" i="1"/>
  <c r="AB331" i="1"/>
  <c r="AB366" i="1"/>
  <c r="AB334" i="1"/>
  <c r="AB349" i="1"/>
  <c r="AB355" i="1"/>
  <c r="AB337" i="1"/>
  <c r="AB352" i="1"/>
  <c r="AB336" i="1"/>
  <c r="AB333" i="1"/>
  <c r="AB344" i="1"/>
  <c r="AB396" i="1"/>
  <c r="AB343" i="1"/>
  <c r="AB358" i="1"/>
  <c r="AB346" i="1"/>
  <c r="AB330" i="1"/>
  <c r="AB397" i="1"/>
  <c r="AB351" i="1"/>
  <c r="AB393" i="1"/>
  <c r="AB369" i="1"/>
  <c r="AB339" i="1"/>
  <c r="AB354" i="1"/>
  <c r="AB342" i="1"/>
  <c r="AB357" i="1"/>
  <c r="AB389" i="1"/>
  <c r="AB384" i="1"/>
  <c r="AB345" i="1"/>
  <c r="AB329" i="1"/>
  <c r="AB377" i="1"/>
  <c r="AB335" i="1"/>
  <c r="AB350" i="1"/>
  <c r="AB338" i="1"/>
  <c r="AB353" i="1"/>
  <c r="AB392" i="1"/>
  <c r="AB327" i="1"/>
  <c r="AB341" i="1"/>
  <c r="AB356" i="1"/>
  <c r="AB340" i="1"/>
  <c r="AB348" i="1"/>
  <c r="AB332" i="1"/>
  <c r="AB328" i="1"/>
  <c r="M429" i="1"/>
  <c r="AB426" i="1"/>
  <c r="AB430" i="1"/>
  <c r="AB434" i="1"/>
  <c r="AB438" i="1"/>
  <c r="AB442" i="1"/>
  <c r="AB446" i="1"/>
  <c r="AB450" i="1"/>
  <c r="AB423" i="1"/>
  <c r="AB427" i="1"/>
  <c r="AB431" i="1"/>
  <c r="AB435" i="1"/>
  <c r="AB439" i="1"/>
  <c r="AB443" i="1"/>
  <c r="AB447" i="1"/>
  <c r="AB451" i="1"/>
  <c r="AB424" i="1"/>
  <c r="AB428" i="1"/>
  <c r="AB432" i="1"/>
  <c r="AB436" i="1"/>
  <c r="AB440" i="1"/>
  <c r="AB444" i="1"/>
  <c r="AB448" i="1"/>
  <c r="AB452" i="1"/>
  <c r="AB425" i="1"/>
  <c r="AB429" i="1"/>
  <c r="AB433" i="1"/>
  <c r="AB437" i="1"/>
  <c r="AB441" i="1"/>
  <c r="AB445" i="1"/>
  <c r="AB449" i="1"/>
  <c r="AB453" i="1"/>
  <c r="AA396" i="1"/>
  <c r="AA379" i="1"/>
  <c r="AA371" i="1"/>
  <c r="AA395" i="1"/>
  <c r="AA391" i="1"/>
  <c r="AA388" i="1"/>
  <c r="AA376" i="1"/>
  <c r="AA387" i="1"/>
  <c r="AA383" i="1"/>
  <c r="AA375" i="1"/>
  <c r="AA368" i="1"/>
  <c r="AA380" i="1"/>
  <c r="AA372" i="1"/>
  <c r="AA367" i="1"/>
  <c r="AA369" i="1"/>
  <c r="AA340" i="1"/>
  <c r="AA355" i="1"/>
  <c r="AA345" i="1"/>
  <c r="AA329" i="1"/>
  <c r="AA384" i="1"/>
  <c r="AA366" i="1"/>
  <c r="AA382" i="1"/>
  <c r="AA373" i="1"/>
  <c r="AA389" i="1"/>
  <c r="AA343" i="1"/>
  <c r="AA358" i="1"/>
  <c r="AA342" i="1"/>
  <c r="AA357" i="1"/>
  <c r="AA377" i="1"/>
  <c r="AA354" i="1"/>
  <c r="AA353" i="1"/>
  <c r="AA350" i="1"/>
  <c r="AA336" i="1"/>
  <c r="AA351" i="1"/>
  <c r="AA341" i="1"/>
  <c r="AA356" i="1"/>
  <c r="AA370" i="1"/>
  <c r="AA386" i="1"/>
  <c r="AA339" i="1"/>
  <c r="AA348" i="1"/>
  <c r="AA332" i="1"/>
  <c r="AA337" i="1"/>
  <c r="AA352" i="1"/>
  <c r="AA374" i="1"/>
  <c r="AA390" i="1"/>
  <c r="AA381" i="1"/>
  <c r="AA397" i="1"/>
  <c r="AA335" i="1"/>
  <c r="AA349" i="1"/>
  <c r="AA344" i="1"/>
  <c r="AA328" i="1"/>
  <c r="AA327" i="1"/>
  <c r="AA333" i="1"/>
  <c r="AA392" i="1"/>
  <c r="AA378" i="1"/>
  <c r="AA394" i="1"/>
  <c r="AA385" i="1"/>
  <c r="AA347" i="1"/>
  <c r="AA331" i="1"/>
  <c r="AA346" i="1"/>
  <c r="AA330" i="1"/>
  <c r="AA393" i="1"/>
  <c r="AA338" i="1"/>
  <c r="AA334" i="1"/>
  <c r="D45" i="17"/>
  <c r="E45" i="17"/>
  <c r="F45" i="17"/>
  <c r="M489" i="1"/>
  <c r="B46" i="17"/>
  <c r="C46" i="17"/>
  <c r="M491" i="1"/>
  <c r="AB490" i="1"/>
  <c r="AB494" i="1"/>
  <c r="AB498" i="1"/>
  <c r="AB502" i="1"/>
  <c r="AB506" i="1"/>
  <c r="AB510" i="1"/>
  <c r="AB514" i="1"/>
  <c r="AA488" i="1"/>
  <c r="AA492" i="1"/>
  <c r="AA496" i="1"/>
  <c r="AA500" i="1"/>
  <c r="AA504" i="1"/>
  <c r="AA508" i="1"/>
  <c r="AA512" i="1"/>
  <c r="AA516" i="1"/>
  <c r="AB493" i="1"/>
  <c r="AB497" i="1"/>
  <c r="AB505" i="1"/>
  <c r="AB509" i="1"/>
  <c r="AB513" i="1"/>
  <c r="AA487" i="1"/>
  <c r="AA495" i="1"/>
  <c r="AA499" i="1"/>
  <c r="AA503" i="1"/>
  <c r="AA511" i="1"/>
  <c r="AB487" i="1"/>
  <c r="AB491" i="1"/>
  <c r="AB495" i="1"/>
  <c r="AB499" i="1"/>
  <c r="AB503" i="1"/>
  <c r="AB507" i="1"/>
  <c r="AB511" i="1"/>
  <c r="AB515" i="1"/>
  <c r="AA489" i="1"/>
  <c r="AA493" i="1"/>
  <c r="AA497" i="1"/>
  <c r="AA501" i="1"/>
  <c r="AA505" i="1"/>
  <c r="AA509" i="1"/>
  <c r="AA513" i="1"/>
  <c r="AB486" i="1"/>
  <c r="AB492" i="1"/>
  <c r="AB496" i="1"/>
  <c r="AB500" i="1"/>
  <c r="AB504" i="1"/>
  <c r="AB508" i="1"/>
  <c r="AB512" i="1"/>
  <c r="AB516" i="1"/>
  <c r="AA490" i="1"/>
  <c r="AA494" i="1"/>
  <c r="AA498" i="1"/>
  <c r="AA502" i="1"/>
  <c r="AA506" i="1"/>
  <c r="AA510" i="1"/>
  <c r="AA514" i="1"/>
  <c r="AA486" i="1"/>
  <c r="AB488" i="1"/>
  <c r="AB501" i="1"/>
  <c r="AA491" i="1"/>
  <c r="AA507" i="1"/>
  <c r="AB489" i="1"/>
  <c r="AA515" i="1"/>
  <c r="Q291" i="1"/>
  <c r="M230" i="1"/>
  <c r="M200" i="1"/>
  <c r="M232" i="1"/>
  <c r="M293" i="1"/>
  <c r="Q293" i="1"/>
  <c r="D46" i="17"/>
  <c r="E46" i="17"/>
  <c r="F46" i="17"/>
  <c r="M165" i="1"/>
  <c r="M161" i="1"/>
  <c r="M164" i="1"/>
  <c r="Q175" i="1"/>
  <c r="Q182" i="1"/>
  <c r="Q187" i="1"/>
  <c r="Q178" i="1"/>
  <c r="Q185" i="1"/>
  <c r="Q183" i="1"/>
  <c r="Q176" i="1"/>
  <c r="C47" i="17"/>
  <c r="B47" i="17"/>
  <c r="M135" i="1"/>
  <c r="M136" i="1"/>
  <c r="M144" i="1"/>
  <c r="M110" i="1"/>
  <c r="M107" i="1"/>
  <c r="M114" i="1"/>
  <c r="M87" i="1"/>
  <c r="M67" i="1"/>
  <c r="M90" i="1"/>
  <c r="M65" i="1"/>
  <c r="M88" i="1"/>
  <c r="D47" i="17"/>
  <c r="E47" i="17"/>
  <c r="F47" i="17"/>
  <c r="M137" i="1"/>
  <c r="M199" i="1"/>
  <c r="M205" i="1"/>
  <c r="M143" i="1"/>
  <c r="M116" i="1"/>
  <c r="M121" i="1"/>
  <c r="M115" i="1"/>
  <c r="M118" i="1"/>
  <c r="M122" i="1"/>
  <c r="C48" i="17"/>
  <c r="B48" i="17"/>
  <c r="D48" i="17"/>
  <c r="E48" i="17"/>
  <c r="F48" i="17"/>
  <c r="M145" i="1"/>
  <c r="M206" i="1"/>
  <c r="M210" i="1"/>
  <c r="M207" i="1"/>
  <c r="M208" i="1"/>
  <c r="M212" i="1"/>
  <c r="M231" i="1"/>
  <c r="M292" i="1"/>
  <c r="W109" i="1"/>
  <c r="W113" i="1"/>
  <c r="W117" i="1"/>
  <c r="W121" i="1"/>
  <c r="W110" i="1"/>
  <c r="W114" i="1"/>
  <c r="W118" i="1"/>
  <c r="W122" i="1"/>
  <c r="W111" i="1"/>
  <c r="W115" i="1"/>
  <c r="W119" i="1"/>
  <c r="W108" i="1"/>
  <c r="W112" i="1"/>
  <c r="W116" i="1"/>
  <c r="W120" i="1"/>
  <c r="V110" i="1"/>
  <c r="V114" i="1"/>
  <c r="V118" i="1"/>
  <c r="V122" i="1"/>
  <c r="V111" i="1"/>
  <c r="V115" i="1"/>
  <c r="V119" i="1"/>
  <c r="V108" i="1"/>
  <c r="V112" i="1"/>
  <c r="V116" i="1"/>
  <c r="V120" i="1"/>
  <c r="V109" i="1"/>
  <c r="V113" i="1"/>
  <c r="V117" i="1"/>
  <c r="V121" i="1"/>
  <c r="M117" i="1"/>
  <c r="M119" i="1"/>
  <c r="B49" i="17"/>
  <c r="C49" i="17"/>
  <c r="M298" i="1"/>
  <c r="M299" i="1"/>
  <c r="M304" i="1"/>
  <c r="Q292" i="1"/>
  <c r="M209" i="1"/>
  <c r="M213" i="1"/>
  <c r="M237" i="1"/>
  <c r="M240" i="1"/>
  <c r="M211" i="1"/>
  <c r="M50"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D49" i="17"/>
  <c r="E49" i="17"/>
  <c r="F49" i="17"/>
  <c r="Q298" i="1"/>
  <c r="Q300" i="1"/>
  <c r="Q314" i="1"/>
  <c r="M239" i="1"/>
  <c r="M241" i="1"/>
  <c r="M245" i="1"/>
  <c r="M238" i="1"/>
  <c r="M243" i="1"/>
  <c r="M215" i="1"/>
  <c r="M300" i="1"/>
  <c r="M302" i="1"/>
  <c r="M306" i="1"/>
  <c r="M301" i="1"/>
  <c r="M308" i="1"/>
  <c r="M247" i="1"/>
  <c r="M248" i="1"/>
  <c r="M246" i="1"/>
  <c r="M66" i="1"/>
  <c r="M92" i="1"/>
  <c r="M93" i="1"/>
  <c r="M139" i="1"/>
  <c r="M52" i="1"/>
  <c r="M56" i="1"/>
  <c r="C50" i="17"/>
  <c r="B50" i="17"/>
  <c r="D50" i="17"/>
  <c r="E50" i="17"/>
  <c r="F50" i="17"/>
  <c r="M242" i="1"/>
  <c r="M249" i="1"/>
  <c r="M250" i="1"/>
  <c r="Q301" i="1"/>
  <c r="Q310" i="1"/>
  <c r="Q299" i="1"/>
  <c r="M244" i="1"/>
  <c r="P244" i="1"/>
  <c r="Q302" i="1"/>
  <c r="Q309" i="1"/>
  <c r="Q308" i="1"/>
  <c r="Q307" i="1"/>
  <c r="P243" i="1"/>
  <c r="M305" i="1"/>
  <c r="M311" i="1"/>
  <c r="M303" i="1"/>
  <c r="M310" i="1"/>
  <c r="M309" i="1"/>
  <c r="M314" i="1"/>
  <c r="M307" i="1"/>
  <c r="Q303" i="1"/>
  <c r="Q313" i="1"/>
  <c r="P245" i="1"/>
  <c r="M72" i="1"/>
  <c r="M73" i="1"/>
  <c r="M147" i="1"/>
  <c r="P136" i="1"/>
  <c r="M95" i="1"/>
  <c r="M94" i="1"/>
  <c r="M53" i="1"/>
  <c r="M54" i="1"/>
  <c r="B51" i="17"/>
  <c r="D51" i="17"/>
  <c r="E51" i="17"/>
  <c r="F51" i="17"/>
  <c r="C51" i="17"/>
  <c r="M317" i="1"/>
  <c r="U289" i="1"/>
  <c r="U293" i="1"/>
  <c r="U305" i="1"/>
  <c r="U290" i="1"/>
  <c r="U306" i="1"/>
  <c r="U294" i="1"/>
  <c r="U287" i="1"/>
  <c r="U291" i="1"/>
  <c r="U295" i="1"/>
  <c r="U299" i="1"/>
  <c r="U303" i="1"/>
  <c r="U307" i="1"/>
  <c r="U301" i="1"/>
  <c r="U302" i="1"/>
  <c r="U285" i="1"/>
  <c r="U288" i="1"/>
  <c r="U292" i="1"/>
  <c r="U296" i="1"/>
  <c r="U300" i="1"/>
  <c r="U304" i="1"/>
  <c r="U297" i="1"/>
  <c r="U286" i="1"/>
  <c r="U298" i="1"/>
  <c r="Q306" i="1"/>
  <c r="Q304" i="1"/>
  <c r="Q305" i="1"/>
  <c r="Q312" i="1"/>
  <c r="Q311" i="1"/>
  <c r="Q317" i="1"/>
  <c r="M253" i="1"/>
  <c r="U248" i="1"/>
  <c r="U256" i="1"/>
  <c r="U276" i="1"/>
  <c r="U249" i="1"/>
  <c r="U254" i="1"/>
  <c r="U262" i="1"/>
  <c r="U247" i="1"/>
  <c r="U251" i="1"/>
  <c r="U259" i="1"/>
  <c r="U267" i="1"/>
  <c r="U275" i="1"/>
  <c r="U245" i="1"/>
  <c r="U253" i="1"/>
  <c r="U261" i="1"/>
  <c r="U269" i="1"/>
  <c r="U242" i="1"/>
  <c r="U250" i="1"/>
  <c r="U258" i="1"/>
  <c r="U266" i="1"/>
  <c r="U274" i="1"/>
  <c r="M256" i="1"/>
  <c r="M74" i="1"/>
  <c r="M76" i="1"/>
  <c r="R136" i="1"/>
  <c r="P137" i="1"/>
  <c r="R137" i="1"/>
  <c r="M166" i="1"/>
  <c r="P144" i="1"/>
  <c r="T48" i="1"/>
  <c r="T51" i="1"/>
  <c r="T47" i="1"/>
  <c r="M75" i="1"/>
  <c r="M77" i="1"/>
  <c r="M57" i="1"/>
  <c r="Q47" i="1"/>
  <c r="M55" i="1"/>
  <c r="M97" i="1"/>
  <c r="M100" i="1"/>
  <c r="M96" i="1"/>
  <c r="M99" i="1"/>
  <c r="B52" i="17"/>
  <c r="C52" i="17"/>
  <c r="U246" i="1"/>
  <c r="U268" i="1"/>
  <c r="U263" i="1"/>
  <c r="U243" i="1"/>
  <c r="U257" i="1"/>
  <c r="U260" i="1"/>
  <c r="U244" i="1"/>
  <c r="U271" i="1"/>
  <c r="U255" i="1"/>
  <c r="U270" i="1"/>
  <c r="U265" i="1"/>
  <c r="U272" i="1"/>
  <c r="U252" i="1"/>
  <c r="U273" i="1"/>
  <c r="U241" i="1"/>
  <c r="U264" i="1"/>
  <c r="T49" i="1"/>
  <c r="Q320" i="1"/>
  <c r="X289" i="1"/>
  <c r="X293" i="1"/>
  <c r="X297" i="1"/>
  <c r="X301" i="1"/>
  <c r="X305" i="1"/>
  <c r="X286" i="1"/>
  <c r="X290" i="1"/>
  <c r="X294" i="1"/>
  <c r="X298" i="1"/>
  <c r="X302" i="1"/>
  <c r="X306" i="1"/>
  <c r="X287" i="1"/>
  <c r="X291" i="1"/>
  <c r="X295" i="1"/>
  <c r="X299" i="1"/>
  <c r="X303" i="1"/>
  <c r="X307" i="1"/>
  <c r="X288" i="1"/>
  <c r="X292" i="1"/>
  <c r="X296" i="1"/>
  <c r="X300" i="1"/>
  <c r="X304" i="1"/>
  <c r="X285" i="1"/>
  <c r="V288" i="1"/>
  <c r="V292" i="1"/>
  <c r="V296" i="1"/>
  <c r="V300" i="1"/>
  <c r="V304" i="1"/>
  <c r="V285" i="1"/>
  <c r="V297" i="1"/>
  <c r="V301" i="1"/>
  <c r="V286" i="1"/>
  <c r="V290" i="1"/>
  <c r="V294" i="1"/>
  <c r="V298" i="1"/>
  <c r="V302" i="1"/>
  <c r="V306" i="1"/>
  <c r="V289" i="1"/>
  <c r="V305" i="1"/>
  <c r="V287" i="1"/>
  <c r="V291" i="1"/>
  <c r="V295" i="1"/>
  <c r="V299" i="1"/>
  <c r="V303" i="1"/>
  <c r="V307" i="1"/>
  <c r="V293" i="1"/>
  <c r="M79" i="1"/>
  <c r="V77" i="1"/>
  <c r="P134" i="1"/>
  <c r="V241" i="1"/>
  <c r="V245" i="1"/>
  <c r="V249" i="1"/>
  <c r="V253" i="1"/>
  <c r="V257" i="1"/>
  <c r="V265" i="1"/>
  <c r="V273" i="1"/>
  <c r="V246" i="1"/>
  <c r="V254" i="1"/>
  <c r="V262" i="1"/>
  <c r="V270" i="1"/>
  <c r="V243" i="1"/>
  <c r="V251" i="1"/>
  <c r="V263" i="1"/>
  <c r="V271" i="1"/>
  <c r="V244" i="1"/>
  <c r="V248" i="1"/>
  <c r="V252" i="1"/>
  <c r="V256" i="1"/>
  <c r="V260" i="1"/>
  <c r="V264" i="1"/>
  <c r="V268" i="1"/>
  <c r="V272" i="1"/>
  <c r="V276" i="1"/>
  <c r="V261" i="1"/>
  <c r="V269" i="1"/>
  <c r="V242" i="1"/>
  <c r="V250" i="1"/>
  <c r="V258" i="1"/>
  <c r="V266" i="1"/>
  <c r="V274" i="1"/>
  <c r="V247" i="1"/>
  <c r="V255" i="1"/>
  <c r="V259" i="1"/>
  <c r="V267" i="1"/>
  <c r="V275" i="1"/>
  <c r="M80" i="1"/>
  <c r="W76" i="1"/>
  <c r="M218" i="1"/>
  <c r="Q46" i="1"/>
  <c r="R144" i="1"/>
  <c r="P145" i="1"/>
  <c r="R145" i="1"/>
  <c r="M175" i="1"/>
  <c r="M182" i="1"/>
  <c r="M183" i="1"/>
  <c r="T50" i="1"/>
  <c r="V87" i="1"/>
  <c r="V91" i="1"/>
  <c r="V90" i="1"/>
  <c r="V89" i="1"/>
  <c r="V96" i="1"/>
  <c r="V101" i="1"/>
  <c r="V92" i="1"/>
  <c r="V98" i="1"/>
  <c r="V97" i="1"/>
  <c r="V95" i="1"/>
  <c r="V99" i="1"/>
  <c r="V94" i="1"/>
  <c r="V93" i="1"/>
  <c r="V100" i="1"/>
  <c r="V88" i="1"/>
  <c r="W79" i="1"/>
  <c r="W91" i="1"/>
  <c r="W95" i="1"/>
  <c r="W99" i="1"/>
  <c r="W89" i="1"/>
  <c r="W93" i="1"/>
  <c r="W97" i="1"/>
  <c r="W101" i="1"/>
  <c r="W96" i="1"/>
  <c r="W90" i="1"/>
  <c r="W87" i="1"/>
  <c r="W88" i="1"/>
  <c r="W98" i="1"/>
  <c r="W92" i="1"/>
  <c r="W100" i="1"/>
  <c r="W94" i="1"/>
  <c r="V69" i="1"/>
  <c r="V73" i="1"/>
  <c r="V66" i="1"/>
  <c r="V74" i="1"/>
  <c r="V67" i="1"/>
  <c r="V75" i="1"/>
  <c r="V79" i="1"/>
  <c r="V72" i="1"/>
  <c r="V68" i="1"/>
  <c r="V76" i="1"/>
  <c r="V70" i="1"/>
  <c r="D52" i="17"/>
  <c r="E52" i="17"/>
  <c r="F52" i="17"/>
  <c r="V78" i="1"/>
  <c r="V80" i="1"/>
  <c r="V71" i="1"/>
  <c r="W80" i="1"/>
  <c r="W66" i="1"/>
  <c r="W68" i="1"/>
  <c r="W285" i="1"/>
  <c r="W289" i="1"/>
  <c r="W293" i="1"/>
  <c r="W297" i="1"/>
  <c r="W301" i="1"/>
  <c r="W305" i="1"/>
  <c r="W302" i="1"/>
  <c r="W286" i="1"/>
  <c r="W290" i="1"/>
  <c r="W294" i="1"/>
  <c r="W287" i="1"/>
  <c r="W291" i="1"/>
  <c r="W295" i="1"/>
  <c r="W299" i="1"/>
  <c r="W303" i="1"/>
  <c r="W307" i="1"/>
  <c r="W306" i="1"/>
  <c r="W288" i="1"/>
  <c r="W292" i="1"/>
  <c r="W296" i="1"/>
  <c r="W300" i="1"/>
  <c r="W304" i="1"/>
  <c r="W298" i="1"/>
  <c r="W73" i="1"/>
  <c r="W69" i="1"/>
  <c r="W70" i="1"/>
  <c r="W71" i="1"/>
  <c r="W77" i="1"/>
  <c r="W75" i="1"/>
  <c r="W78" i="1"/>
  <c r="W72" i="1"/>
  <c r="W67" i="1"/>
  <c r="W74" i="1"/>
  <c r="P142" i="1"/>
  <c r="P148" i="1"/>
  <c r="V137" i="1"/>
  <c r="O183" i="1"/>
  <c r="O182" i="1"/>
  <c r="O175" i="1"/>
  <c r="M176" i="1"/>
  <c r="O176" i="1"/>
  <c r="C53" i="17"/>
  <c r="B53" i="17"/>
  <c r="V144" i="1"/>
  <c r="V138" i="1"/>
  <c r="V148" i="1"/>
  <c r="V134" i="1"/>
  <c r="V146" i="1"/>
  <c r="V136" i="1"/>
  <c r="V141" i="1"/>
  <c r="V142" i="1"/>
  <c r="V140" i="1"/>
  <c r="V147" i="1"/>
  <c r="V145" i="1"/>
  <c r="V139" i="1"/>
  <c r="V143" i="1"/>
  <c r="V135" i="1"/>
  <c r="M178" i="1"/>
  <c r="M185" i="1"/>
  <c r="X157" i="1"/>
  <c r="D53" i="17"/>
  <c r="E53" i="17"/>
  <c r="F53" i="17"/>
  <c r="X158" i="1"/>
  <c r="X173" i="1"/>
  <c r="X174" i="1"/>
  <c r="X165" i="1"/>
  <c r="X164" i="1"/>
  <c r="X163" i="1"/>
  <c r="X176" i="1"/>
  <c r="X166" i="1"/>
  <c r="X161" i="1"/>
  <c r="X160" i="1"/>
  <c r="X159" i="1"/>
  <c r="X162" i="1"/>
  <c r="X172" i="1"/>
  <c r="X171" i="1"/>
  <c r="X170" i="1"/>
  <c r="X175" i="1"/>
  <c r="X169" i="1"/>
  <c r="X168" i="1"/>
  <c r="X167" i="1"/>
  <c r="M187" i="1"/>
  <c r="C54" i="17"/>
  <c r="B54" i="17"/>
  <c r="D54" i="17"/>
  <c r="E54" i="17"/>
  <c r="F54" i="17"/>
  <c r="Y165" i="1"/>
  <c r="Y161" i="1"/>
  <c r="Y170" i="1"/>
  <c r="Y162" i="1"/>
  <c r="Y173" i="1"/>
  <c r="Y166" i="1"/>
  <c r="Y160" i="1"/>
  <c r="Y171" i="1"/>
  <c r="Y163" i="1"/>
  <c r="Y174" i="1"/>
  <c r="O187" i="1"/>
  <c r="Y167" i="1"/>
  <c r="Y176" i="1"/>
  <c r="Y175" i="1"/>
  <c r="Y164" i="1"/>
  <c r="Y158" i="1"/>
  <c r="Y172" i="1"/>
  <c r="Y159" i="1"/>
  <c r="Y169" i="1"/>
  <c r="Y168" i="1"/>
  <c r="Y157" i="1"/>
  <c r="C55" i="17"/>
  <c r="B55" i="17"/>
  <c r="D55" i="17"/>
  <c r="E55" i="17"/>
  <c r="F55" i="17"/>
  <c r="C56" i="17"/>
  <c r="B56" i="17"/>
  <c r="D56" i="17"/>
  <c r="E56" i="17"/>
  <c r="F56" i="17"/>
  <c r="B57" i="17"/>
  <c r="C57" i="17"/>
  <c r="D57" i="17"/>
  <c r="E57" i="17"/>
  <c r="F57" i="17"/>
  <c r="C58" i="17"/>
  <c r="B58" i="17"/>
  <c r="D58" i="17"/>
  <c r="E58" i="17"/>
  <c r="F58" i="17"/>
  <c r="B59" i="17"/>
  <c r="D59" i="17"/>
  <c r="E59" i="17"/>
  <c r="F59" i="17"/>
  <c r="C59" i="17"/>
  <c r="C60" i="17"/>
  <c r="B60" i="17"/>
  <c r="D60" i="17"/>
  <c r="E60" i="17"/>
  <c r="F60" i="17"/>
  <c r="B61" i="17"/>
  <c r="C61" i="17"/>
  <c r="D61" i="17"/>
  <c r="E61" i="17"/>
  <c r="F61" i="17"/>
  <c r="C62" i="17"/>
  <c r="B62" i="17"/>
  <c r="D62" i="17"/>
  <c r="E62" i="17"/>
  <c r="F62" i="17"/>
  <c r="B63" i="17"/>
  <c r="C63" i="17"/>
  <c r="D63" i="17"/>
  <c r="E63" i="17"/>
  <c r="F63" i="17"/>
  <c r="C64" i="17"/>
  <c r="B64" i="17"/>
  <c r="D64" i="17"/>
  <c r="E64" i="17"/>
  <c r="F64" i="17"/>
  <c r="C65" i="17"/>
  <c r="B65" i="17"/>
  <c r="D65" i="17"/>
  <c r="E65" i="17"/>
  <c r="F65" i="17"/>
  <c r="B66" i="17"/>
  <c r="C66" i="17"/>
  <c r="D66" i="17"/>
  <c r="E66" i="17"/>
  <c r="F66" i="17"/>
  <c r="C67" i="17"/>
  <c r="B67" i="17"/>
  <c r="D67" i="17"/>
  <c r="E67" i="17"/>
  <c r="F67" i="17"/>
  <c r="B68" i="17"/>
  <c r="C68" i="17"/>
  <c r="D68" i="17"/>
  <c r="E68" i="17"/>
  <c r="F68" i="17"/>
  <c r="C69" i="17"/>
  <c r="B69" i="17"/>
  <c r="D69" i="17"/>
  <c r="E69" i="17"/>
  <c r="F69" i="17"/>
  <c r="B70" i="17"/>
  <c r="C70" i="17"/>
  <c r="D70" i="17"/>
  <c r="E70" i="17"/>
  <c r="F70" i="17"/>
  <c r="C71" i="17"/>
  <c r="B71" i="17"/>
  <c r="D71" i="17"/>
  <c r="E71" i="17"/>
  <c r="F71" i="17"/>
  <c r="B72" i="17"/>
  <c r="C72" i="17"/>
  <c r="D72" i="17"/>
  <c r="E72" i="17"/>
  <c r="F72" i="17"/>
  <c r="C73" i="17"/>
  <c r="B73" i="17"/>
  <c r="D73" i="17"/>
  <c r="E73" i="17"/>
  <c r="F73" i="17"/>
  <c r="B74" i="17"/>
  <c r="D74" i="17"/>
  <c r="E74" i="17"/>
  <c r="F74" i="17"/>
  <c r="C74" i="17"/>
  <c r="B75" i="17"/>
  <c r="C75" i="17"/>
  <c r="D75" i="17"/>
  <c r="E75" i="17"/>
  <c r="F75" i="17"/>
  <c r="B76" i="17"/>
  <c r="D76" i="17"/>
  <c r="E76" i="17"/>
  <c r="F76" i="17"/>
  <c r="C76" i="17"/>
  <c r="B77" i="17"/>
  <c r="C77" i="17"/>
  <c r="D77" i="17"/>
  <c r="E77" i="17"/>
  <c r="F77" i="17"/>
  <c r="C78" i="17"/>
  <c r="B78" i="17"/>
  <c r="D78" i="17"/>
  <c r="E78" i="17"/>
  <c r="F78" i="17"/>
  <c r="B79" i="17"/>
  <c r="C79" i="17"/>
  <c r="D79" i="17"/>
  <c r="E79" i="17"/>
  <c r="F79" i="17"/>
  <c r="C80" i="17"/>
  <c r="B80" i="17"/>
  <c r="D80" i="17"/>
  <c r="E80" i="17"/>
  <c r="F80" i="17"/>
  <c r="B81" i="17"/>
  <c r="C81" i="17"/>
  <c r="D81" i="17"/>
  <c r="E81" i="17"/>
  <c r="F81" i="17"/>
  <c r="C82" i="17"/>
  <c r="B82" i="17"/>
  <c r="D82" i="17"/>
  <c r="E82" i="17"/>
  <c r="F82" i="17"/>
  <c r="B83" i="17"/>
  <c r="C83" i="17"/>
  <c r="D83" i="17"/>
  <c r="E83" i="17"/>
  <c r="F83" i="17"/>
  <c r="C84" i="17"/>
  <c r="B84" i="17"/>
  <c r="D84" i="17"/>
  <c r="E84" i="17"/>
  <c r="F84" i="17"/>
  <c r="B85" i="17"/>
  <c r="D85" i="17"/>
  <c r="E85" i="17"/>
  <c r="F85" i="17"/>
  <c r="C85" i="17"/>
  <c r="C86" i="17"/>
  <c r="B86" i="17"/>
  <c r="D86" i="17"/>
  <c r="E86" i="17"/>
  <c r="F86" i="17"/>
  <c r="B87" i="17"/>
  <c r="D87" i="17"/>
  <c r="E87" i="17"/>
  <c r="F87" i="17"/>
  <c r="C87" i="17"/>
  <c r="B88" i="17"/>
  <c r="D88" i="17"/>
  <c r="E88" i="17"/>
  <c r="F88" i="17"/>
  <c r="C88" i="17"/>
  <c r="C89" i="17"/>
  <c r="B89" i="17"/>
  <c r="D89" i="17"/>
  <c r="E89" i="17"/>
  <c r="F89" i="17"/>
  <c r="C90" i="17"/>
  <c r="B90" i="17"/>
  <c r="D90" i="17"/>
  <c r="E90" i="17"/>
  <c r="F90" i="17"/>
  <c r="B91" i="17"/>
  <c r="D91" i="17"/>
  <c r="E91" i="17"/>
  <c r="F91" i="17"/>
  <c r="C91" i="17"/>
  <c r="B92" i="17"/>
  <c r="C92" i="17"/>
  <c r="D92" i="17"/>
  <c r="H5" i="17"/>
  <c r="H8" i="17"/>
  <c r="E92" i="17"/>
  <c r="F92" i="17"/>
  <c r="K166" i="17"/>
  <c r="M166" i="17"/>
  <c r="N166" i="17"/>
  <c r="K178" i="17"/>
  <c r="M178" i="17"/>
  <c r="N178" i="17"/>
  <c r="K213" i="17"/>
  <c r="M213" i="17"/>
  <c r="N213" i="17"/>
  <c r="K257" i="17"/>
  <c r="M257" i="17"/>
  <c r="N257" i="17"/>
  <c r="K308" i="17"/>
  <c r="M308" i="17"/>
  <c r="N308" i="17"/>
  <c r="K340" i="17"/>
  <c r="M340" i="17"/>
  <c r="N340" i="17"/>
  <c r="K344" i="17"/>
  <c r="M344" i="17"/>
  <c r="N344" i="17"/>
  <c r="K351" i="17"/>
  <c r="M351" i="17"/>
  <c r="N351" i="17"/>
  <c r="K353" i="17"/>
  <c r="M353" i="17"/>
  <c r="N353" i="17"/>
  <c r="K360" i="17"/>
  <c r="M360" i="17"/>
  <c r="N360" i="17"/>
  <c r="K362" i="17"/>
  <c r="M362" i="17"/>
  <c r="N362" i="17"/>
  <c r="K366" i="17"/>
  <c r="M366" i="17"/>
  <c r="N366" i="17"/>
  <c r="K370" i="17"/>
  <c r="M370" i="17"/>
  <c r="N370" i="17"/>
  <c r="K386" i="17"/>
  <c r="M386" i="17"/>
  <c r="N386" i="17"/>
  <c r="K387" i="17"/>
  <c r="M387" i="17"/>
  <c r="N387" i="17"/>
  <c r="K388" i="17"/>
  <c r="M388" i="17"/>
  <c r="N388" i="17"/>
  <c r="K389" i="17"/>
  <c r="M389" i="17"/>
  <c r="N389" i="17"/>
  <c r="K390" i="17"/>
  <c r="M390" i="17"/>
  <c r="N390" i="17"/>
  <c r="K402" i="17"/>
  <c r="M402" i="17"/>
  <c r="N402" i="17"/>
  <c r="K6" i="17"/>
  <c r="M6" i="17"/>
  <c r="N6" i="17"/>
  <c r="K7" i="17"/>
  <c r="M7" i="17"/>
  <c r="N7" i="17"/>
  <c r="K8" i="17"/>
  <c r="M8" i="17"/>
  <c r="N8" i="17"/>
  <c r="H9" i="17"/>
  <c r="K9" i="17"/>
  <c r="M9" i="17"/>
  <c r="N9" i="17"/>
  <c r="K10" i="17"/>
  <c r="M10" i="17"/>
  <c r="N10" i="17"/>
  <c r="K11" i="17"/>
  <c r="M11" i="17"/>
  <c r="N11" i="17"/>
  <c r="K12" i="17"/>
  <c r="M12" i="17"/>
  <c r="N12" i="17"/>
  <c r="K13" i="17"/>
  <c r="M13" i="17"/>
  <c r="N13" i="17"/>
  <c r="K14" i="17"/>
  <c r="M14" i="17"/>
  <c r="N14" i="17"/>
  <c r="K15" i="17"/>
  <c r="M15" i="17"/>
  <c r="N15" i="17"/>
  <c r="K16" i="17"/>
  <c r="M16" i="17"/>
  <c r="N16" i="17"/>
  <c r="K17" i="17"/>
  <c r="M17" i="17"/>
  <c r="N17" i="17"/>
  <c r="K18" i="17"/>
  <c r="M18" i="17"/>
  <c r="N18" i="17"/>
  <c r="K19" i="17"/>
  <c r="M19" i="17"/>
  <c r="N19" i="17"/>
  <c r="K20" i="17"/>
  <c r="M20" i="17"/>
  <c r="N20" i="17"/>
  <c r="K21" i="17"/>
  <c r="M21" i="17"/>
  <c r="N21" i="17"/>
  <c r="K22" i="17"/>
  <c r="M22" i="17"/>
  <c r="N22" i="17"/>
  <c r="K23" i="17"/>
  <c r="M23" i="17"/>
  <c r="N23" i="17"/>
  <c r="K24" i="17"/>
  <c r="M24" i="17"/>
  <c r="N24" i="17"/>
  <c r="K25" i="17"/>
  <c r="M25" i="17"/>
  <c r="N25" i="17"/>
  <c r="K26" i="17"/>
  <c r="M26" i="17"/>
  <c r="N26" i="17"/>
  <c r="K27" i="17"/>
  <c r="M27" i="17"/>
  <c r="N27" i="17"/>
  <c r="K28" i="17"/>
  <c r="M28" i="17"/>
  <c r="N28" i="17"/>
  <c r="K29" i="17"/>
  <c r="M29" i="17"/>
  <c r="N29" i="17"/>
  <c r="K30" i="17"/>
  <c r="M30" i="17"/>
  <c r="N30" i="17"/>
  <c r="K31" i="17"/>
  <c r="M31" i="17"/>
  <c r="N31" i="17"/>
  <c r="K385" i="17"/>
  <c r="M385" i="17"/>
  <c r="N385" i="17"/>
  <c r="K286" i="17"/>
  <c r="M286" i="17"/>
  <c r="N286" i="17"/>
  <c r="K288" i="17"/>
  <c r="M288" i="17"/>
  <c r="N288" i="17"/>
  <c r="K294" i="17"/>
  <c r="M294" i="17"/>
  <c r="N294" i="17"/>
  <c r="K295" i="17"/>
  <c r="M295" i="17"/>
  <c r="N295" i="17"/>
  <c r="K298" i="17"/>
  <c r="M298" i="17"/>
  <c r="N298" i="17"/>
  <c r="K304" i="17"/>
  <c r="M304" i="17"/>
  <c r="N304" i="17"/>
  <c r="K305" i="17"/>
  <c r="M305" i="17"/>
  <c r="N305" i="17"/>
  <c r="K207" i="17"/>
  <c r="M207" i="17"/>
  <c r="N207" i="17"/>
  <c r="K212" i="17"/>
  <c r="M212" i="17"/>
  <c r="N212" i="17"/>
  <c r="K38" i="17"/>
  <c r="M38" i="17"/>
  <c r="N38" i="17"/>
  <c r="K39" i="17"/>
  <c r="M39" i="17"/>
  <c r="N39" i="17"/>
  <c r="K40" i="17"/>
  <c r="M40" i="17"/>
  <c r="N40" i="17"/>
  <c r="K41" i="17"/>
  <c r="M41" i="17"/>
  <c r="N41" i="17"/>
  <c r="K42" i="17"/>
  <c r="M42" i="17"/>
  <c r="N42" i="17"/>
  <c r="K43" i="17"/>
  <c r="M43" i="17"/>
  <c r="N43" i="17"/>
  <c r="K44" i="17"/>
  <c r="M44" i="17"/>
  <c r="N44" i="17"/>
  <c r="K45" i="17"/>
  <c r="M45" i="17"/>
  <c r="N45" i="17"/>
  <c r="K46" i="17"/>
  <c r="M46" i="17"/>
  <c r="N46" i="17"/>
  <c r="K47" i="17"/>
  <c r="M47" i="17"/>
  <c r="N47" i="17"/>
  <c r="K48" i="17"/>
  <c r="M48" i="17"/>
  <c r="N48" i="17"/>
  <c r="K49" i="17"/>
  <c r="M49" i="17"/>
  <c r="N49" i="17"/>
  <c r="K50" i="17"/>
  <c r="M50" i="17"/>
  <c r="N50" i="17"/>
  <c r="K51" i="17"/>
  <c r="M51" i="17"/>
  <c r="N51" i="17"/>
  <c r="K52" i="17"/>
  <c r="M52" i="17"/>
  <c r="N52" i="17"/>
  <c r="K53" i="17"/>
  <c r="M53" i="17"/>
  <c r="N53" i="17"/>
  <c r="K54" i="17"/>
  <c r="M54" i="17"/>
  <c r="N54" i="17"/>
  <c r="K55" i="17"/>
  <c r="M55" i="17"/>
  <c r="N55" i="17"/>
  <c r="K56" i="17"/>
  <c r="M56" i="17"/>
  <c r="N56" i="17"/>
  <c r="K57" i="17"/>
  <c r="M57" i="17"/>
  <c r="N57" i="17"/>
  <c r="K58" i="17"/>
  <c r="M58" i="17"/>
  <c r="N58" i="17"/>
  <c r="K59" i="17"/>
  <c r="M59" i="17"/>
  <c r="N59" i="17"/>
  <c r="K196" i="17"/>
  <c r="M196" i="17"/>
  <c r="N196" i="17"/>
  <c r="K326" i="17"/>
  <c r="M326" i="17"/>
  <c r="N326" i="17"/>
  <c r="K373" i="17"/>
  <c r="M373" i="17"/>
  <c r="N373" i="17"/>
  <c r="K60" i="17"/>
  <c r="M60" i="17"/>
  <c r="N60" i="17"/>
  <c r="K94" i="17"/>
  <c r="M94" i="17"/>
  <c r="N94" i="17"/>
  <c r="K100" i="17"/>
  <c r="M100" i="17"/>
  <c r="N100" i="17"/>
  <c r="K109" i="17"/>
  <c r="M109" i="17"/>
  <c r="N109" i="17"/>
  <c r="K114" i="17"/>
  <c r="M114" i="17"/>
  <c r="N114" i="17"/>
  <c r="K118" i="17"/>
  <c r="M118" i="17"/>
  <c r="N118" i="17"/>
  <c r="K120" i="17"/>
  <c r="M120" i="17"/>
  <c r="N120" i="17"/>
  <c r="K121" i="17"/>
  <c r="M121" i="17"/>
  <c r="N121" i="17"/>
  <c r="K123" i="17"/>
  <c r="M123" i="17"/>
  <c r="N123" i="17"/>
  <c r="K124" i="17"/>
  <c r="M124" i="17"/>
  <c r="N124" i="17"/>
  <c r="K127" i="17"/>
  <c r="M127" i="17"/>
  <c r="N127" i="17"/>
  <c r="K129" i="17"/>
  <c r="M129" i="17"/>
  <c r="N129" i="17"/>
  <c r="K318" i="17"/>
  <c r="M318" i="17"/>
  <c r="N318" i="17"/>
  <c r="K323" i="17"/>
  <c r="M323" i="17"/>
  <c r="N323" i="17"/>
  <c r="K375" i="17"/>
  <c r="M375" i="17"/>
  <c r="N375" i="17"/>
  <c r="K380" i="17"/>
  <c r="M380" i="17"/>
  <c r="N380" i="17"/>
  <c r="K202" i="17"/>
  <c r="M202" i="17"/>
  <c r="N202" i="17"/>
  <c r="K271" i="17"/>
  <c r="M271" i="17"/>
  <c r="N271" i="17"/>
  <c r="K88" i="17"/>
  <c r="M88" i="17"/>
  <c r="N88" i="17"/>
  <c r="K92" i="17"/>
  <c r="M92" i="17"/>
  <c r="N92" i="17"/>
  <c r="K98" i="17"/>
  <c r="M98" i="17"/>
  <c r="N98" i="17"/>
  <c r="K103" i="17"/>
  <c r="M103" i="17"/>
  <c r="N103" i="17"/>
  <c r="K113" i="17"/>
  <c r="M113" i="17"/>
  <c r="N113" i="17"/>
  <c r="K116" i="17"/>
  <c r="M116" i="17"/>
  <c r="N116" i="17"/>
  <c r="K131" i="17"/>
  <c r="M131" i="17"/>
  <c r="N131" i="17"/>
  <c r="K141" i="17"/>
  <c r="M141" i="17"/>
  <c r="N141" i="17"/>
  <c r="K154" i="17"/>
  <c r="M154" i="17"/>
  <c r="N154" i="17"/>
  <c r="K159" i="17"/>
  <c r="M159" i="17"/>
  <c r="N159" i="17"/>
  <c r="K163" i="17"/>
  <c r="M163" i="17"/>
  <c r="N163" i="17"/>
  <c r="K167" i="17"/>
  <c r="M167" i="17"/>
  <c r="N167" i="17"/>
  <c r="K174" i="17"/>
  <c r="M174" i="17"/>
  <c r="N174" i="17"/>
  <c r="K188" i="17"/>
  <c r="M188" i="17"/>
  <c r="N188" i="17"/>
  <c r="K191" i="17"/>
  <c r="M191" i="17"/>
  <c r="N191" i="17"/>
  <c r="K198" i="17"/>
  <c r="M198" i="17"/>
  <c r="N198" i="17"/>
  <c r="K216" i="17"/>
  <c r="M216" i="17"/>
  <c r="N216" i="17"/>
  <c r="K223" i="17"/>
  <c r="M223" i="17"/>
  <c r="N223" i="17"/>
  <c r="K233" i="17"/>
  <c r="M233" i="17"/>
  <c r="N233" i="17"/>
  <c r="K243" i="17"/>
  <c r="M243" i="17"/>
  <c r="N243" i="17"/>
  <c r="K251" i="17"/>
  <c r="M251" i="17"/>
  <c r="N251" i="17"/>
  <c r="K266" i="17"/>
  <c r="M266" i="17"/>
  <c r="N266" i="17"/>
  <c r="K277" i="17"/>
  <c r="M277" i="17"/>
  <c r="N277" i="17"/>
  <c r="K283" i="17"/>
  <c r="M283" i="17"/>
  <c r="N283" i="17"/>
  <c r="K157" i="17"/>
  <c r="M157" i="17"/>
  <c r="N157" i="17"/>
  <c r="K172" i="17"/>
  <c r="M172" i="17"/>
  <c r="N172" i="17"/>
  <c r="K180" i="17"/>
  <c r="M180" i="17"/>
  <c r="N180" i="17"/>
  <c r="K197" i="17"/>
  <c r="M197" i="17"/>
  <c r="N197" i="17"/>
  <c r="K208" i="17"/>
  <c r="M208" i="17"/>
  <c r="N208" i="17"/>
  <c r="K220" i="17"/>
  <c r="M220" i="17"/>
  <c r="N220" i="17"/>
  <c r="K222" i="17"/>
  <c r="M222" i="17"/>
  <c r="N222" i="17"/>
  <c r="K230" i="17"/>
  <c r="M230" i="17"/>
  <c r="N230" i="17"/>
  <c r="K231" i="17"/>
  <c r="M231" i="17"/>
  <c r="N231" i="17"/>
  <c r="K234" i="17"/>
  <c r="M234" i="17"/>
  <c r="N234" i="17"/>
  <c r="K237" i="17"/>
  <c r="M237" i="17"/>
  <c r="N237" i="17"/>
  <c r="K242" i="17"/>
  <c r="M242" i="17"/>
  <c r="N242" i="17"/>
  <c r="K253" i="17"/>
  <c r="M253" i="17"/>
  <c r="N253" i="17"/>
  <c r="K270" i="17"/>
  <c r="M270" i="17"/>
  <c r="N270" i="17"/>
  <c r="K285" i="17"/>
  <c r="M285" i="17"/>
  <c r="N285" i="17"/>
  <c r="K309" i="17"/>
  <c r="M309" i="17"/>
  <c r="N309" i="17"/>
  <c r="K311" i="17"/>
  <c r="M311" i="17"/>
  <c r="N311" i="17"/>
  <c r="K312" i="17"/>
  <c r="M312" i="17"/>
  <c r="N312" i="17"/>
  <c r="K314" i="17"/>
  <c r="M314" i="17"/>
  <c r="N314" i="17"/>
  <c r="K319" i="17"/>
  <c r="M319" i="17"/>
  <c r="N319" i="17"/>
  <c r="K325" i="17"/>
  <c r="M325" i="17"/>
  <c r="N325" i="17"/>
  <c r="K327" i="17"/>
  <c r="M327" i="17"/>
  <c r="N327" i="17"/>
  <c r="K329" i="17"/>
  <c r="M329" i="17"/>
  <c r="N329" i="17"/>
  <c r="K331" i="17"/>
  <c r="M331" i="17"/>
  <c r="N331" i="17"/>
  <c r="K334" i="17"/>
  <c r="M334" i="17"/>
  <c r="N334" i="17"/>
  <c r="K335" i="17"/>
  <c r="M335" i="17"/>
  <c r="N335" i="17"/>
  <c r="K338" i="17"/>
  <c r="M338" i="17"/>
  <c r="N338" i="17"/>
  <c r="K342" i="17"/>
  <c r="M342" i="17"/>
  <c r="N342" i="17"/>
  <c r="K345" i="17"/>
  <c r="M345" i="17"/>
  <c r="N345" i="17"/>
  <c r="K346" i="17"/>
  <c r="M346" i="17"/>
  <c r="N346" i="17"/>
  <c r="K347" i="17"/>
  <c r="M347" i="17"/>
  <c r="N347" i="17"/>
  <c r="K349" i="17"/>
  <c r="M349" i="17"/>
  <c r="N349" i="17"/>
  <c r="K352" i="17"/>
  <c r="M352" i="17"/>
  <c r="N352" i="17"/>
  <c r="K354" i="17"/>
  <c r="M354" i="17"/>
  <c r="N354" i="17"/>
  <c r="K359" i="17"/>
  <c r="M359" i="17"/>
  <c r="N359" i="17"/>
  <c r="K363" i="17"/>
  <c r="M363" i="17"/>
  <c r="N363" i="17"/>
  <c r="K369" i="17"/>
  <c r="M369" i="17"/>
  <c r="N369" i="17"/>
  <c r="K374" i="17"/>
  <c r="M374" i="17"/>
  <c r="N374" i="17"/>
  <c r="K377" i="17"/>
  <c r="M377" i="17"/>
  <c r="N377" i="17"/>
  <c r="K35" i="17"/>
  <c r="M35" i="17"/>
  <c r="N35" i="17"/>
  <c r="K192" i="17"/>
  <c r="M192" i="17"/>
  <c r="N192" i="17"/>
  <c r="K102" i="17"/>
  <c r="M102" i="17"/>
  <c r="N102" i="17"/>
  <c r="K111" i="17"/>
  <c r="M111" i="17"/>
  <c r="N111" i="17"/>
  <c r="K115" i="17"/>
  <c r="M115" i="17"/>
  <c r="N115" i="17"/>
  <c r="K130" i="17"/>
  <c r="M130" i="17"/>
  <c r="N130" i="17"/>
  <c r="K133" i="17"/>
  <c r="M133" i="17"/>
  <c r="N133" i="17"/>
  <c r="K138" i="17"/>
  <c r="M138" i="17"/>
  <c r="N138" i="17"/>
  <c r="K142" i="17"/>
  <c r="M142" i="17"/>
  <c r="N142" i="17"/>
  <c r="K145" i="17"/>
  <c r="M145" i="17"/>
  <c r="N145" i="17"/>
  <c r="K149" i="17"/>
  <c r="M149" i="17"/>
  <c r="N149" i="17"/>
  <c r="K158" i="17"/>
  <c r="M158" i="17"/>
  <c r="N158" i="17"/>
  <c r="K162" i="17"/>
  <c r="M162" i="17"/>
  <c r="N162" i="17"/>
  <c r="K165" i="17"/>
  <c r="M165" i="17"/>
  <c r="N165" i="17"/>
  <c r="K170" i="17"/>
  <c r="M170" i="17"/>
  <c r="N170" i="17"/>
  <c r="K184" i="17"/>
  <c r="M184" i="17"/>
  <c r="N184" i="17"/>
  <c r="K185" i="17"/>
  <c r="M185" i="17"/>
  <c r="N185" i="17"/>
  <c r="K186" i="17"/>
  <c r="M186" i="17"/>
  <c r="N186" i="17"/>
  <c r="K189" i="17"/>
  <c r="M189" i="17"/>
  <c r="N189" i="17"/>
  <c r="K190" i="17"/>
  <c r="M190" i="17"/>
  <c r="N190" i="17"/>
  <c r="K194" i="17"/>
  <c r="M194" i="17"/>
  <c r="N194" i="17"/>
  <c r="K195" i="17"/>
  <c r="M195" i="17"/>
  <c r="N195" i="17"/>
  <c r="K211" i="17"/>
  <c r="M211" i="17"/>
  <c r="N211" i="17"/>
  <c r="K219" i="17"/>
  <c r="M219" i="17"/>
  <c r="N219" i="17"/>
  <c r="K225" i="17"/>
  <c r="M225" i="17"/>
  <c r="N225" i="17"/>
  <c r="K235" i="17"/>
  <c r="M235" i="17"/>
  <c r="N235" i="17"/>
  <c r="K240" i="17"/>
  <c r="M240" i="17"/>
  <c r="N240" i="17"/>
  <c r="K241" i="17"/>
  <c r="M241" i="17"/>
  <c r="N241" i="17"/>
  <c r="K246" i="17"/>
  <c r="M246" i="17"/>
  <c r="N246" i="17"/>
  <c r="K252" i="17"/>
  <c r="M252" i="17"/>
  <c r="N252" i="17"/>
  <c r="K258" i="17"/>
  <c r="M258" i="17"/>
  <c r="N258" i="17"/>
  <c r="K261" i="17"/>
  <c r="M261" i="17"/>
  <c r="N261" i="17"/>
  <c r="K274" i="17"/>
  <c r="M274" i="17"/>
  <c r="N274" i="17"/>
  <c r="K275" i="17"/>
  <c r="M275" i="17"/>
  <c r="N275" i="17"/>
  <c r="K276" i="17"/>
  <c r="M276" i="17"/>
  <c r="N276" i="17"/>
  <c r="K278" i="17"/>
  <c r="M278" i="17"/>
  <c r="N278" i="17"/>
  <c r="K279" i="17"/>
  <c r="M279" i="17"/>
  <c r="N279" i="17"/>
  <c r="K284" i="17"/>
  <c r="M284" i="17"/>
  <c r="N284" i="17"/>
  <c r="K289" i="17"/>
  <c r="M289" i="17"/>
  <c r="N289" i="17"/>
  <c r="K290" i="17"/>
  <c r="M290" i="17"/>
  <c r="N290" i="17"/>
  <c r="K291" i="17"/>
  <c r="M291" i="17"/>
  <c r="N291" i="17"/>
  <c r="K292" i="17"/>
  <c r="M292" i="17"/>
  <c r="N292" i="17"/>
  <c r="K293" i="17"/>
  <c r="M293" i="17"/>
  <c r="N293" i="17"/>
  <c r="K301" i="17"/>
  <c r="M301" i="17"/>
  <c r="N301" i="17"/>
  <c r="K302" i="17"/>
  <c r="M302" i="17"/>
  <c r="N302" i="17"/>
  <c r="K303" i="17"/>
  <c r="M303" i="17"/>
  <c r="N303" i="17"/>
  <c r="K306" i="17"/>
  <c r="M306" i="17"/>
  <c r="N306" i="17"/>
  <c r="K392" i="17"/>
  <c r="M392" i="17"/>
  <c r="N392" i="17"/>
  <c r="K393" i="17"/>
  <c r="M393" i="17"/>
  <c r="N393" i="17"/>
  <c r="K397" i="17"/>
  <c r="M397" i="17"/>
  <c r="N397" i="17"/>
  <c r="K398" i="17"/>
  <c r="M398" i="17"/>
  <c r="N398" i="17"/>
  <c r="K399" i="17"/>
  <c r="M399" i="17"/>
  <c r="N399" i="17"/>
  <c r="K405" i="17"/>
  <c r="M405" i="17"/>
  <c r="N405" i="17"/>
  <c r="K61" i="17"/>
  <c r="M61" i="17"/>
  <c r="N61" i="17"/>
  <c r="K62" i="17"/>
  <c r="M62" i="17"/>
  <c r="N62" i="17"/>
  <c r="K63" i="17"/>
  <c r="M63" i="17"/>
  <c r="N63" i="17"/>
  <c r="K64" i="17"/>
  <c r="M64" i="17"/>
  <c r="N64" i="17"/>
  <c r="K65" i="17"/>
  <c r="M65" i="17"/>
  <c r="N65" i="17"/>
  <c r="K66" i="17"/>
  <c r="M66" i="17"/>
  <c r="N66" i="17"/>
  <c r="K67" i="17"/>
  <c r="M67" i="17"/>
  <c r="N67" i="17"/>
  <c r="K68" i="17"/>
  <c r="M68" i="17"/>
  <c r="N68" i="17"/>
  <c r="K69" i="17"/>
  <c r="M69" i="17"/>
  <c r="N69" i="17"/>
  <c r="K70" i="17"/>
  <c r="M70" i="17"/>
  <c r="N70" i="17"/>
  <c r="K71" i="17"/>
  <c r="M71" i="17"/>
  <c r="N71" i="17"/>
  <c r="K72" i="17"/>
  <c r="M72" i="17"/>
  <c r="N72" i="17"/>
  <c r="K73" i="17"/>
  <c r="M73" i="17"/>
  <c r="N73" i="17"/>
  <c r="K74" i="17"/>
  <c r="M74" i="17"/>
  <c r="N74" i="17"/>
  <c r="K75" i="17"/>
  <c r="M75" i="17"/>
  <c r="N75" i="17"/>
  <c r="K76" i="17"/>
  <c r="M76" i="17"/>
  <c r="N76" i="17"/>
  <c r="K77" i="17"/>
  <c r="M77" i="17"/>
  <c r="N77" i="17"/>
  <c r="K78" i="17"/>
  <c r="M78" i="17"/>
  <c r="N78" i="17"/>
  <c r="K79" i="17"/>
  <c r="M79" i="17"/>
  <c r="N79" i="17"/>
  <c r="K80" i="17"/>
  <c r="M80" i="17"/>
  <c r="N80" i="17"/>
  <c r="K81" i="17"/>
  <c r="M81" i="17"/>
  <c r="N81" i="17"/>
  <c r="K82" i="17"/>
  <c r="M82" i="17"/>
  <c r="N82" i="17"/>
  <c r="K83" i="17"/>
  <c r="M83" i="17"/>
  <c r="N83" i="17"/>
  <c r="K84" i="17"/>
  <c r="M84" i="17"/>
  <c r="N84" i="17"/>
  <c r="K85" i="17"/>
  <c r="M85" i="17"/>
  <c r="N85" i="17"/>
  <c r="K87" i="17"/>
  <c r="M87" i="17"/>
  <c r="N87" i="17"/>
  <c r="K91" i="17"/>
  <c r="M91" i="17"/>
  <c r="N91" i="17"/>
  <c r="K95" i="17"/>
  <c r="M95" i="17"/>
  <c r="N95" i="17"/>
  <c r="K96" i="17"/>
  <c r="M96" i="17"/>
  <c r="N96" i="17"/>
  <c r="K97" i="17"/>
  <c r="M97" i="17"/>
  <c r="N97" i="17"/>
  <c r="K99" i="17"/>
  <c r="M99" i="17"/>
  <c r="N99" i="17"/>
  <c r="K101" i="17"/>
  <c r="M101" i="17"/>
  <c r="N101" i="17"/>
  <c r="K104" i="17"/>
  <c r="M104" i="17"/>
  <c r="N104" i="17"/>
  <c r="K105" i="17"/>
  <c r="M105" i="17"/>
  <c r="N105" i="17"/>
  <c r="K106" i="17"/>
  <c r="M106" i="17"/>
  <c r="N106" i="17"/>
  <c r="K171" i="17"/>
  <c r="M171" i="17"/>
  <c r="N171" i="17"/>
  <c r="K173" i="17"/>
  <c r="M173" i="17"/>
  <c r="N173" i="17"/>
  <c r="K179" i="17"/>
  <c r="M179" i="17"/>
  <c r="N179" i="17"/>
  <c r="K210" i="17"/>
  <c r="M210" i="17"/>
  <c r="N210" i="17"/>
  <c r="K221" i="17"/>
  <c r="M221" i="17"/>
  <c r="N221" i="17"/>
  <c r="K226" i="17"/>
  <c r="M226" i="17"/>
  <c r="N226" i="17"/>
  <c r="K229" i="17"/>
  <c r="M229" i="17"/>
  <c r="N229" i="17"/>
  <c r="K232" i="17"/>
  <c r="M232" i="17"/>
  <c r="N232" i="17"/>
  <c r="K238" i="17"/>
  <c r="M238" i="17"/>
  <c r="N238" i="17"/>
  <c r="K244" i="17"/>
  <c r="M244" i="17"/>
  <c r="N244" i="17"/>
  <c r="K255" i="17"/>
  <c r="M255" i="17"/>
  <c r="N255" i="17"/>
  <c r="K267" i="17"/>
  <c r="M267" i="17"/>
  <c r="N267" i="17"/>
  <c r="K281" i="17"/>
  <c r="M281" i="17"/>
  <c r="N281" i="17"/>
  <c r="K310" i="17"/>
  <c r="M310" i="17"/>
  <c r="N310" i="17"/>
  <c r="K313" i="17"/>
  <c r="M313" i="17"/>
  <c r="N313" i="17"/>
  <c r="K315" i="17"/>
  <c r="M315" i="17"/>
  <c r="N315" i="17"/>
  <c r="K317" i="17"/>
  <c r="M317" i="17"/>
  <c r="N317" i="17"/>
  <c r="K321" i="17"/>
  <c r="M321" i="17"/>
  <c r="N321" i="17"/>
  <c r="K322" i="17"/>
  <c r="M322" i="17"/>
  <c r="N322" i="17"/>
  <c r="K324" i="17"/>
  <c r="M324" i="17"/>
  <c r="N324" i="17"/>
  <c r="K332" i="17"/>
  <c r="M332" i="17"/>
  <c r="N332" i="17"/>
  <c r="K336" i="17"/>
  <c r="M336" i="17"/>
  <c r="N336" i="17"/>
  <c r="K341" i="17"/>
  <c r="M341" i="17"/>
  <c r="N341" i="17"/>
  <c r="K343" i="17"/>
  <c r="M343" i="17"/>
  <c r="N343" i="17"/>
  <c r="K355" i="17"/>
  <c r="M355" i="17"/>
  <c r="N355" i="17"/>
  <c r="K358" i="17"/>
  <c r="M358" i="17"/>
  <c r="N358" i="17"/>
  <c r="K365" i="17"/>
  <c r="M365" i="17"/>
  <c r="N365" i="17"/>
  <c r="K368" i="17"/>
  <c r="M368" i="17"/>
  <c r="N368" i="17"/>
  <c r="K371" i="17"/>
  <c r="M371" i="17"/>
  <c r="N371" i="17"/>
  <c r="K376" i="17"/>
  <c r="M376" i="17"/>
  <c r="N376" i="17"/>
  <c r="K378" i="17"/>
  <c r="M378" i="17"/>
  <c r="N378" i="17"/>
  <c r="K383" i="17"/>
  <c r="M383" i="17"/>
  <c r="N383" i="17"/>
  <c r="K33" i="17"/>
  <c r="M33" i="17"/>
  <c r="N33" i="17"/>
  <c r="K37" i="17"/>
  <c r="M37" i="17"/>
  <c r="N37" i="17"/>
  <c r="K205" i="17"/>
  <c r="M205" i="17"/>
  <c r="N205" i="17"/>
  <c r="K206" i="17"/>
  <c r="M206" i="17"/>
  <c r="N206" i="17"/>
  <c r="K217" i="17"/>
  <c r="M217" i="17"/>
  <c r="N217" i="17"/>
  <c r="K236" i="17"/>
  <c r="M236" i="17"/>
  <c r="N236" i="17"/>
  <c r="K268" i="17"/>
  <c r="M268" i="17"/>
  <c r="N268" i="17"/>
  <c r="K282" i="17"/>
  <c r="M282" i="17"/>
  <c r="N282" i="17"/>
  <c r="K391" i="17"/>
  <c r="M391" i="17"/>
  <c r="N391" i="17"/>
  <c r="K406" i="17"/>
  <c r="M406" i="17"/>
  <c r="N406" i="17"/>
  <c r="K86" i="17"/>
  <c r="M86" i="17"/>
  <c r="N86" i="17"/>
  <c r="K90" i="17"/>
  <c r="M90" i="17"/>
  <c r="N90" i="17"/>
  <c r="K93" i="17"/>
  <c r="M93" i="17"/>
  <c r="N93" i="17"/>
  <c r="K108" i="17"/>
  <c r="M108" i="17"/>
  <c r="N108" i="17"/>
  <c r="K117" i="17"/>
  <c r="M117" i="17"/>
  <c r="N117" i="17"/>
  <c r="K125" i="17"/>
  <c r="M125" i="17"/>
  <c r="N125" i="17"/>
  <c r="K128" i="17"/>
  <c r="M128" i="17"/>
  <c r="N128" i="17"/>
  <c r="K134" i="17"/>
  <c r="M134" i="17"/>
  <c r="N134" i="17"/>
  <c r="K136" i="17"/>
  <c r="M136" i="17"/>
  <c r="N136" i="17"/>
  <c r="K139" i="17"/>
  <c r="M139" i="17"/>
  <c r="N139" i="17"/>
  <c r="K143" i="17"/>
  <c r="M143" i="17"/>
  <c r="N143" i="17"/>
  <c r="K146" i="17"/>
  <c r="M146" i="17"/>
  <c r="N146" i="17"/>
  <c r="K148" i="17"/>
  <c r="M148" i="17"/>
  <c r="N148" i="17"/>
  <c r="K150" i="17"/>
  <c r="M150" i="17"/>
  <c r="N150" i="17"/>
  <c r="K152" i="17"/>
  <c r="M152" i="17"/>
  <c r="N152" i="17"/>
  <c r="K155" i="17"/>
  <c r="M155" i="17"/>
  <c r="N155" i="17"/>
  <c r="K164" i="17"/>
  <c r="M164" i="17"/>
  <c r="N164" i="17"/>
  <c r="K175" i="17"/>
  <c r="M175" i="17"/>
  <c r="N175" i="17"/>
  <c r="K183" i="17"/>
  <c r="M183" i="17"/>
  <c r="N183" i="17"/>
  <c r="K181" i="17"/>
  <c r="M181" i="17"/>
  <c r="N181" i="17"/>
  <c r="K193" i="17"/>
  <c r="M193" i="17"/>
  <c r="N193" i="17"/>
  <c r="K199" i="17"/>
  <c r="M199" i="17"/>
  <c r="N199" i="17"/>
  <c r="K209" i="17"/>
  <c r="M209" i="17"/>
  <c r="N209" i="17"/>
  <c r="K227" i="17"/>
  <c r="M227" i="17"/>
  <c r="N227" i="17"/>
  <c r="K316" i="17"/>
  <c r="M316" i="17"/>
  <c r="N316" i="17"/>
  <c r="K320" i="17"/>
  <c r="M320" i="17"/>
  <c r="N320" i="17"/>
  <c r="K328" i="17"/>
  <c r="M328" i="17"/>
  <c r="N328" i="17"/>
  <c r="K330" i="17"/>
  <c r="M330" i="17"/>
  <c r="N330" i="17"/>
  <c r="K333" i="17"/>
  <c r="M333" i="17"/>
  <c r="N333" i="17"/>
  <c r="K337" i="17"/>
  <c r="M337" i="17"/>
  <c r="N337" i="17"/>
  <c r="K339" i="17"/>
  <c r="M339" i="17"/>
  <c r="N339" i="17"/>
  <c r="K348" i="17"/>
  <c r="M348" i="17"/>
  <c r="N348" i="17"/>
  <c r="K350" i="17"/>
  <c r="M350" i="17"/>
  <c r="N350" i="17"/>
  <c r="K356" i="17"/>
  <c r="M356" i="17"/>
  <c r="N356" i="17"/>
  <c r="K357" i="17"/>
  <c r="M357" i="17"/>
  <c r="N357" i="17"/>
  <c r="K361" i="17"/>
  <c r="M361" i="17"/>
  <c r="N361" i="17"/>
  <c r="K364" i="17"/>
  <c r="M364" i="17"/>
  <c r="N364" i="17"/>
  <c r="K367" i="17"/>
  <c r="M367" i="17"/>
  <c r="N367" i="17"/>
  <c r="K372" i="17"/>
  <c r="M372" i="17"/>
  <c r="N372" i="17"/>
  <c r="K379" i="17"/>
  <c r="M379" i="17"/>
  <c r="N379" i="17"/>
  <c r="K381" i="17"/>
  <c r="M381" i="17"/>
  <c r="N381" i="17"/>
  <c r="K382" i="17"/>
  <c r="M382" i="17"/>
  <c r="N382" i="17"/>
  <c r="K384" i="17"/>
  <c r="M384" i="17"/>
  <c r="N384" i="17"/>
  <c r="K32" i="17"/>
  <c r="M32" i="17"/>
  <c r="N32" i="17"/>
  <c r="K34" i="17"/>
  <c r="M34" i="17"/>
  <c r="N34" i="17"/>
  <c r="K36" i="17"/>
  <c r="M36" i="17"/>
  <c r="N36" i="17"/>
  <c r="K214" i="17"/>
  <c r="M214" i="17"/>
  <c r="N214" i="17"/>
  <c r="K228" i="17"/>
  <c r="M228" i="17"/>
  <c r="N228" i="17"/>
  <c r="K250" i="17"/>
  <c r="M250" i="17"/>
  <c r="N250" i="17"/>
  <c r="K401" i="17"/>
  <c r="M401" i="17"/>
  <c r="N401" i="17"/>
  <c r="K89" i="17"/>
  <c r="M89" i="17"/>
  <c r="N89" i="17"/>
  <c r="K107" i="17"/>
  <c r="M107" i="17"/>
  <c r="N107" i="17"/>
  <c r="K110" i="17"/>
  <c r="M110" i="17"/>
  <c r="N110" i="17"/>
  <c r="K112" i="17"/>
  <c r="M112" i="17"/>
  <c r="N112" i="17"/>
  <c r="K119" i="17"/>
  <c r="M119" i="17"/>
  <c r="N119" i="17"/>
  <c r="K122" i="17"/>
  <c r="M122" i="17"/>
  <c r="N122" i="17"/>
  <c r="K126" i="17"/>
  <c r="M126" i="17"/>
  <c r="N126" i="17"/>
  <c r="K132" i="17"/>
  <c r="M132" i="17"/>
  <c r="N132" i="17"/>
  <c r="K135" i="17"/>
  <c r="M135" i="17"/>
  <c r="N135" i="17"/>
  <c r="K137" i="17"/>
  <c r="M137" i="17"/>
  <c r="N137" i="17"/>
  <c r="K140" i="17"/>
  <c r="M140" i="17"/>
  <c r="N140" i="17"/>
  <c r="K144" i="17"/>
  <c r="M144" i="17"/>
  <c r="N144" i="17"/>
  <c r="K147" i="17"/>
  <c r="M147" i="17"/>
  <c r="N147" i="17"/>
  <c r="K151" i="17"/>
  <c r="M151" i="17"/>
  <c r="N151" i="17"/>
  <c r="K153" i="17"/>
  <c r="M153" i="17"/>
  <c r="N153" i="17"/>
  <c r="K160" i="17"/>
  <c r="M160" i="17"/>
  <c r="N160" i="17"/>
  <c r="K161" i="17"/>
  <c r="M161" i="17"/>
  <c r="N161" i="17"/>
  <c r="K168" i="17"/>
  <c r="M168" i="17"/>
  <c r="N168" i="17"/>
  <c r="K169" i="17"/>
  <c r="M169" i="17"/>
  <c r="N169" i="17"/>
  <c r="K176" i="17"/>
  <c r="M176" i="17"/>
  <c r="N176" i="17"/>
  <c r="K177" i="17"/>
  <c r="M177" i="17"/>
  <c r="N177" i="17"/>
  <c r="K182" i="17"/>
  <c r="M182" i="17"/>
  <c r="N182" i="17"/>
  <c r="K187" i="17"/>
  <c r="M187" i="17"/>
  <c r="N187" i="17"/>
  <c r="K200" i="17"/>
  <c r="M200" i="17"/>
  <c r="N200" i="17"/>
  <c r="K201" i="17"/>
  <c r="M201" i="17"/>
  <c r="N201" i="17"/>
  <c r="K203" i="17"/>
  <c r="M203" i="17"/>
  <c r="N203" i="17"/>
  <c r="K204" i="17"/>
  <c r="M204" i="17"/>
  <c r="N204" i="17"/>
  <c r="K215" i="17"/>
  <c r="M215" i="17"/>
  <c r="N215" i="17"/>
  <c r="K218" i="17"/>
  <c r="M218" i="17"/>
  <c r="N218" i="17"/>
  <c r="K224" i="17"/>
  <c r="M224" i="17"/>
  <c r="N224" i="17"/>
  <c r="K239" i="17"/>
  <c r="M239" i="17"/>
  <c r="N239" i="17"/>
  <c r="K245" i="17"/>
  <c r="M245" i="17"/>
  <c r="N245" i="17"/>
  <c r="K247" i="17"/>
  <c r="M247" i="17"/>
  <c r="N247" i="17"/>
  <c r="K248" i="17"/>
  <c r="M248" i="17"/>
  <c r="N248" i="17"/>
  <c r="K249" i="17"/>
  <c r="M249" i="17"/>
  <c r="N249" i="17"/>
  <c r="K254" i="17"/>
  <c r="M254" i="17"/>
  <c r="N254" i="17"/>
  <c r="K256" i="17"/>
  <c r="M256" i="17"/>
  <c r="N256" i="17"/>
  <c r="K259" i="17"/>
  <c r="M259" i="17"/>
  <c r="N259" i="17"/>
  <c r="K260" i="17"/>
  <c r="M260" i="17"/>
  <c r="N260" i="17"/>
  <c r="K262" i="17"/>
  <c r="M262" i="17"/>
  <c r="N262" i="17"/>
  <c r="K263" i="17"/>
  <c r="M263" i="17"/>
  <c r="N263" i="17"/>
  <c r="K264" i="17"/>
  <c r="M264" i="17"/>
  <c r="N264" i="17"/>
  <c r="K265" i="17"/>
  <c r="M265" i="17"/>
  <c r="N265" i="17"/>
  <c r="K269" i="17"/>
  <c r="M269" i="17"/>
  <c r="N269" i="17"/>
  <c r="K272" i="17"/>
  <c r="M272" i="17"/>
  <c r="N272" i="17"/>
  <c r="K273" i="17"/>
  <c r="M273" i="17"/>
  <c r="N273" i="17"/>
  <c r="K280" i="17"/>
  <c r="M280" i="17"/>
  <c r="N280" i="17"/>
  <c r="K287" i="17"/>
  <c r="M287" i="17"/>
  <c r="N287" i="17"/>
  <c r="K296" i="17"/>
  <c r="M296" i="17"/>
  <c r="N296" i="17"/>
  <c r="K297" i="17"/>
  <c r="M297" i="17"/>
  <c r="N297" i="17"/>
  <c r="K299" i="17"/>
  <c r="M299" i="17"/>
  <c r="N299" i="17"/>
  <c r="K300" i="17"/>
  <c r="M300" i="17"/>
  <c r="N300" i="17"/>
  <c r="K307" i="17"/>
  <c r="M307" i="17"/>
  <c r="N307" i="17"/>
  <c r="K394" i="17"/>
  <c r="M394" i="17"/>
  <c r="N394" i="17"/>
  <c r="K395" i="17"/>
  <c r="M395" i="17"/>
  <c r="N395" i="17"/>
  <c r="K396" i="17"/>
  <c r="M396" i="17"/>
  <c r="N396" i="17"/>
  <c r="K400" i="17"/>
  <c r="M400" i="17"/>
  <c r="N400" i="17"/>
  <c r="K403" i="17"/>
  <c r="M403" i="17"/>
  <c r="N403" i="17"/>
  <c r="K404" i="17"/>
  <c r="M404" i="17"/>
  <c r="N404" i="17"/>
  <c r="K156" i="17"/>
  <c r="M156" i="17"/>
  <c r="N156" i="17"/>
  <c r="O214" i="17"/>
  <c r="P214" i="17"/>
  <c r="Q214" i="17"/>
  <c r="O217" i="17"/>
  <c r="P217" i="17"/>
  <c r="Q217" i="17"/>
  <c r="O238" i="17"/>
  <c r="P238" i="17"/>
  <c r="Q238" i="17"/>
  <c r="O248" i="17"/>
  <c r="P248" i="17"/>
  <c r="Q248" i="17"/>
  <c r="O249" i="17"/>
  <c r="P249" i="17"/>
  <c r="Q249" i="17"/>
  <c r="O262" i="17"/>
  <c r="P262" i="17"/>
  <c r="Q262" i="17"/>
  <c r="O268" i="17"/>
  <c r="P268" i="17"/>
  <c r="Q268" i="17"/>
  <c r="O280" i="17"/>
  <c r="P280" i="17"/>
  <c r="Q280" i="17"/>
  <c r="O288" i="17"/>
  <c r="P288" i="17"/>
  <c r="Q288" i="17"/>
  <c r="O293" i="17"/>
  <c r="P293" i="17"/>
  <c r="Q293" i="17"/>
  <c r="O294" i="17"/>
  <c r="P294" i="17"/>
  <c r="Q294" i="17"/>
  <c r="O393" i="17"/>
  <c r="P393" i="17"/>
  <c r="Q393" i="17"/>
  <c r="O166" i="17"/>
  <c r="P166" i="17"/>
  <c r="Q166" i="17"/>
  <c r="O181" i="17"/>
  <c r="P181" i="17"/>
  <c r="Q181" i="17"/>
  <c r="O209" i="17"/>
  <c r="P209" i="17"/>
  <c r="Q209" i="17"/>
  <c r="O221" i="17"/>
  <c r="P221" i="17"/>
  <c r="Q221" i="17"/>
  <c r="O229" i="17"/>
  <c r="P229" i="17"/>
  <c r="Q229" i="17"/>
  <c r="O246" i="17"/>
  <c r="P246" i="17"/>
  <c r="Q246" i="17"/>
  <c r="O258" i="17"/>
  <c r="P258" i="17"/>
  <c r="Q258" i="17"/>
  <c r="O269" i="17"/>
  <c r="P269" i="17"/>
  <c r="Q269" i="17"/>
  <c r="O283" i="17"/>
  <c r="P283" i="17"/>
  <c r="Q283" i="17"/>
  <c r="O312" i="17"/>
  <c r="P312" i="17"/>
  <c r="Q312" i="17"/>
  <c r="O314" i="17"/>
  <c r="P314" i="17"/>
  <c r="Q314" i="17"/>
  <c r="O315" i="17"/>
  <c r="P315" i="17"/>
  <c r="Q315" i="17"/>
  <c r="O318" i="17"/>
  <c r="P318" i="17"/>
  <c r="Q318" i="17"/>
  <c r="O322" i="17"/>
  <c r="P322" i="17"/>
  <c r="Q322" i="17"/>
  <c r="O324" i="17"/>
  <c r="P324" i="17"/>
  <c r="Q324" i="17"/>
  <c r="O326" i="17"/>
  <c r="P326" i="17"/>
  <c r="Q326" i="17"/>
  <c r="O328" i="17"/>
  <c r="P328" i="17"/>
  <c r="Q328" i="17"/>
  <c r="O330" i="17"/>
  <c r="P330" i="17"/>
  <c r="Q330" i="17"/>
  <c r="O333" i="17"/>
  <c r="P333" i="17"/>
  <c r="Q333" i="17"/>
  <c r="O360" i="17"/>
  <c r="P360" i="17"/>
  <c r="Q360" i="17"/>
  <c r="O364" i="17"/>
  <c r="P364" i="17"/>
  <c r="Q364" i="17"/>
  <c r="O366" i="17"/>
  <c r="P366" i="17"/>
  <c r="Q366" i="17"/>
  <c r="O367" i="17"/>
  <c r="P367" i="17"/>
  <c r="Q367" i="17"/>
  <c r="O371" i="17"/>
  <c r="P371" i="17"/>
  <c r="Q371" i="17"/>
  <c r="O378" i="17"/>
  <c r="P378" i="17"/>
  <c r="Q378" i="17"/>
  <c r="O382" i="17"/>
  <c r="P382" i="17"/>
  <c r="Q382" i="17"/>
  <c r="O387" i="17"/>
  <c r="P387" i="17"/>
  <c r="Q387" i="17"/>
  <c r="O396" i="17"/>
  <c r="P396" i="17"/>
  <c r="Q396" i="17"/>
  <c r="O6" i="17"/>
  <c r="P6" i="17"/>
  <c r="Q6" i="17"/>
  <c r="O8" i="17"/>
  <c r="P8" i="17"/>
  <c r="Q8" i="17"/>
  <c r="O9" i="17"/>
  <c r="P9" i="17"/>
  <c r="Q9" i="17"/>
  <c r="O10" i="17"/>
  <c r="P10" i="17"/>
  <c r="Q10" i="17"/>
  <c r="O11" i="17"/>
  <c r="P11" i="17"/>
  <c r="Q11" i="17"/>
  <c r="O12" i="17"/>
  <c r="P12" i="17"/>
  <c r="Q12" i="17"/>
  <c r="O13" i="17"/>
  <c r="P13" i="17"/>
  <c r="Q13" i="17"/>
  <c r="H14" i="17"/>
  <c r="O14" i="17"/>
  <c r="P14" i="17"/>
  <c r="Q14" i="17"/>
  <c r="O15" i="17"/>
  <c r="P15" i="17"/>
  <c r="Q15" i="17"/>
  <c r="O16" i="17"/>
  <c r="P16" i="17"/>
  <c r="Q16" i="17"/>
  <c r="O17" i="17"/>
  <c r="P17" i="17"/>
  <c r="Q17" i="17"/>
  <c r="O18" i="17"/>
  <c r="P18" i="17"/>
  <c r="Q18" i="17"/>
  <c r="O19" i="17"/>
  <c r="P19" i="17"/>
  <c r="Q19" i="17"/>
  <c r="O20" i="17"/>
  <c r="P20" i="17"/>
  <c r="Q20" i="17"/>
  <c r="O21" i="17"/>
  <c r="P21" i="17"/>
  <c r="Q21" i="17"/>
  <c r="O22" i="17"/>
  <c r="P22" i="17"/>
  <c r="Q22" i="17"/>
  <c r="O23" i="17"/>
  <c r="P23" i="17"/>
  <c r="Q23" i="17"/>
  <c r="O24" i="17"/>
  <c r="P24" i="17"/>
  <c r="Q24" i="17"/>
  <c r="O25" i="17"/>
  <c r="P25" i="17"/>
  <c r="Q25" i="17"/>
  <c r="O26" i="17"/>
  <c r="P26" i="17"/>
  <c r="Q26" i="17"/>
  <c r="O27" i="17"/>
  <c r="P27" i="17"/>
  <c r="Q27" i="17"/>
  <c r="O28" i="17"/>
  <c r="P28" i="17"/>
  <c r="Q28" i="17"/>
  <c r="O29" i="17"/>
  <c r="P29" i="17"/>
  <c r="Q29" i="17"/>
  <c r="O30" i="17"/>
  <c r="P30" i="17"/>
  <c r="Q30" i="17"/>
  <c r="O31" i="17"/>
  <c r="P31" i="17"/>
  <c r="Q31" i="17"/>
  <c r="O32" i="17"/>
  <c r="P32" i="17"/>
  <c r="Q32" i="17"/>
  <c r="O33" i="17"/>
  <c r="P33" i="17"/>
  <c r="Q33" i="17"/>
  <c r="O34" i="17"/>
  <c r="P34" i="17"/>
  <c r="Q34" i="17"/>
  <c r="O35" i="17"/>
  <c r="P35" i="17"/>
  <c r="Q35" i="17"/>
  <c r="O36" i="17"/>
  <c r="P36" i="17"/>
  <c r="Q36" i="17"/>
  <c r="O37" i="17"/>
  <c r="P37" i="17"/>
  <c r="Q37" i="17"/>
  <c r="O193" i="17"/>
  <c r="P193" i="17"/>
  <c r="Q193" i="17"/>
  <c r="O194" i="17"/>
  <c r="P194" i="17"/>
  <c r="Q194" i="17"/>
  <c r="O198" i="17"/>
  <c r="P198" i="17"/>
  <c r="Q198" i="17"/>
  <c r="O203" i="17"/>
  <c r="P203" i="17"/>
  <c r="Q203" i="17"/>
  <c r="O218" i="17"/>
  <c r="P218" i="17"/>
  <c r="Q218" i="17"/>
  <c r="O226" i="17"/>
  <c r="P226" i="17"/>
  <c r="Q226" i="17"/>
  <c r="O230" i="17"/>
  <c r="P230" i="17"/>
  <c r="Q230" i="17"/>
  <c r="O233" i="17"/>
  <c r="P233" i="17"/>
  <c r="Q233" i="17"/>
  <c r="O239" i="17"/>
  <c r="P239" i="17"/>
  <c r="Q239" i="17"/>
  <c r="O240" i="17"/>
  <c r="P240" i="17"/>
  <c r="Q240" i="17"/>
  <c r="O243" i="17"/>
  <c r="P243" i="17"/>
  <c r="Q243" i="17"/>
  <c r="O254" i="17"/>
  <c r="P254" i="17"/>
  <c r="Q254" i="17"/>
  <c r="O255" i="17"/>
  <c r="P255" i="17"/>
  <c r="Q255" i="17"/>
  <c r="O257" i="17"/>
  <c r="P257" i="17"/>
  <c r="Q257" i="17"/>
  <c r="O261" i="17"/>
  <c r="P261" i="17"/>
  <c r="Q261" i="17"/>
  <c r="O265" i="17"/>
  <c r="P265" i="17"/>
  <c r="Q265" i="17"/>
  <c r="O271" i="17"/>
  <c r="P271" i="17"/>
  <c r="Q271" i="17"/>
  <c r="O273" i="17"/>
  <c r="P273" i="17"/>
  <c r="Q273" i="17"/>
  <c r="O276" i="17"/>
  <c r="P276" i="17"/>
  <c r="Q276" i="17"/>
  <c r="O279" i="17"/>
  <c r="P279" i="17"/>
  <c r="Q279" i="17"/>
  <c r="O286" i="17"/>
  <c r="P286" i="17"/>
  <c r="Q286" i="17"/>
  <c r="O289" i="17"/>
  <c r="P289" i="17"/>
  <c r="Q289" i="17"/>
  <c r="O290" i="17"/>
  <c r="P290" i="17"/>
  <c r="Q290" i="17"/>
  <c r="O292" i="17"/>
  <c r="P292" i="17"/>
  <c r="Q292" i="17"/>
  <c r="O295" i="17"/>
  <c r="P295" i="17"/>
  <c r="Q295" i="17"/>
  <c r="O296" i="17"/>
  <c r="P296" i="17"/>
  <c r="Q296" i="17"/>
  <c r="O297" i="17"/>
  <c r="P297" i="17"/>
  <c r="Q297" i="17"/>
  <c r="O300" i="17"/>
  <c r="P300" i="17"/>
  <c r="Q300" i="17"/>
  <c r="O304" i="17"/>
  <c r="P304" i="17"/>
  <c r="Q304" i="17"/>
  <c r="O307" i="17"/>
  <c r="P307" i="17"/>
  <c r="Q307" i="17"/>
  <c r="O392" i="17"/>
  <c r="P392" i="17"/>
  <c r="Q392" i="17"/>
  <c r="O394" i="17"/>
  <c r="P394" i="17"/>
  <c r="Q394" i="17"/>
  <c r="O395" i="17"/>
  <c r="P395" i="17"/>
  <c r="Q395" i="17"/>
  <c r="O401" i="17"/>
  <c r="P401" i="17"/>
  <c r="Q401" i="17"/>
  <c r="O403" i="17"/>
  <c r="P403" i="17"/>
  <c r="Q403" i="17"/>
  <c r="O405" i="17"/>
  <c r="P405" i="17"/>
  <c r="Q405" i="17"/>
  <c r="O406" i="17"/>
  <c r="P406" i="17"/>
  <c r="Q406" i="17"/>
  <c r="O38" i="17"/>
  <c r="P38" i="17"/>
  <c r="Q38" i="17"/>
  <c r="O39" i="17"/>
  <c r="P39" i="17"/>
  <c r="Q39" i="17"/>
  <c r="O40" i="17"/>
  <c r="P40" i="17"/>
  <c r="Q40" i="17"/>
  <c r="O41" i="17"/>
  <c r="P41" i="17"/>
  <c r="Q41" i="17"/>
  <c r="O42" i="17"/>
  <c r="P42" i="17"/>
  <c r="Q42" i="17"/>
  <c r="O43" i="17"/>
  <c r="P43" i="17"/>
  <c r="Q43" i="17"/>
  <c r="O44" i="17"/>
  <c r="P44" i="17"/>
  <c r="Q44" i="17"/>
  <c r="O45" i="17"/>
  <c r="P45" i="17"/>
  <c r="Q45" i="17"/>
  <c r="O256" i="17"/>
  <c r="P256" i="17"/>
  <c r="Q256" i="17"/>
  <c r="O154" i="17"/>
  <c r="P154" i="17"/>
  <c r="Q154" i="17"/>
  <c r="O242" i="17"/>
  <c r="P242" i="17"/>
  <c r="Q242" i="17"/>
  <c r="O253" i="17"/>
  <c r="P253" i="17"/>
  <c r="Q253" i="17"/>
  <c r="O187" i="17"/>
  <c r="P187" i="17"/>
  <c r="Q187" i="17"/>
  <c r="O223" i="17"/>
  <c r="P223" i="17"/>
  <c r="Q223" i="17"/>
  <c r="O266" i="17"/>
  <c r="P266" i="17"/>
  <c r="Q266" i="17"/>
  <c r="O272" i="17"/>
  <c r="P272" i="17"/>
  <c r="Q272" i="17"/>
  <c r="O287" i="17"/>
  <c r="P287" i="17"/>
  <c r="Q287" i="17"/>
  <c r="O299" i="17"/>
  <c r="P299" i="17"/>
  <c r="Q299" i="17"/>
  <c r="O173" i="17"/>
  <c r="P173" i="17"/>
  <c r="Q173" i="17"/>
  <c r="O190" i="17"/>
  <c r="P190" i="17"/>
  <c r="Q190" i="17"/>
  <c r="O207" i="17"/>
  <c r="P207" i="17"/>
  <c r="Q207" i="17"/>
  <c r="O213" i="17"/>
  <c r="P213" i="17"/>
  <c r="Q213" i="17"/>
  <c r="O215" i="17"/>
  <c r="P215" i="17"/>
  <c r="Q215" i="17"/>
  <c r="O227" i="17"/>
  <c r="P227" i="17"/>
  <c r="Q227" i="17"/>
  <c r="O236" i="17"/>
  <c r="P236" i="17"/>
  <c r="Q236" i="17"/>
  <c r="O241" i="17"/>
  <c r="P241" i="17"/>
  <c r="Q241" i="17"/>
  <c r="O250" i="17"/>
  <c r="P250" i="17"/>
  <c r="Q250" i="17"/>
  <c r="O260" i="17"/>
  <c r="P260" i="17"/>
  <c r="Q260" i="17"/>
  <c r="O267" i="17"/>
  <c r="P267" i="17"/>
  <c r="Q267" i="17"/>
  <c r="O270" i="17"/>
  <c r="P270" i="17"/>
  <c r="Q270" i="17"/>
  <c r="O282" i="17"/>
  <c r="P282" i="17"/>
  <c r="Q282" i="17"/>
  <c r="O308" i="17"/>
  <c r="P308" i="17"/>
  <c r="Q308" i="17"/>
  <c r="O310" i="17"/>
  <c r="P310" i="17"/>
  <c r="Q310" i="17"/>
  <c r="O311" i="17"/>
  <c r="P311" i="17"/>
  <c r="Q311" i="17"/>
  <c r="O313" i="17"/>
  <c r="P313" i="17"/>
  <c r="Q313" i="17"/>
  <c r="O316" i="17"/>
  <c r="P316" i="17"/>
  <c r="Q316" i="17"/>
  <c r="O317" i="17"/>
  <c r="P317" i="17"/>
  <c r="Q317" i="17"/>
  <c r="O320" i="17"/>
  <c r="P320" i="17"/>
  <c r="Q320" i="17"/>
  <c r="O325" i="17"/>
  <c r="P325" i="17"/>
  <c r="Q325" i="17"/>
  <c r="O327" i="17"/>
  <c r="P327" i="17"/>
  <c r="Q327" i="17"/>
  <c r="O329" i="17"/>
  <c r="P329" i="17"/>
  <c r="Q329" i="17"/>
  <c r="O331" i="17"/>
  <c r="P331" i="17"/>
  <c r="Q331" i="17"/>
  <c r="O332" i="17"/>
  <c r="P332" i="17"/>
  <c r="Q332" i="17"/>
  <c r="O334" i="17"/>
  <c r="P334" i="17"/>
  <c r="Q334" i="17"/>
  <c r="O335" i="17"/>
  <c r="P335" i="17"/>
  <c r="Q335" i="17"/>
  <c r="O336" i="17"/>
  <c r="P336" i="17"/>
  <c r="Q336" i="17"/>
  <c r="O337" i="17"/>
  <c r="P337" i="17"/>
  <c r="Q337" i="17"/>
  <c r="O338" i="17"/>
  <c r="P338" i="17"/>
  <c r="Q338" i="17"/>
  <c r="O339" i="17"/>
  <c r="P339" i="17"/>
  <c r="Q339" i="17"/>
  <c r="O340" i="17"/>
  <c r="P340" i="17"/>
  <c r="Q340" i="17"/>
  <c r="O341" i="17"/>
  <c r="P341" i="17"/>
  <c r="Q341" i="17"/>
  <c r="O343" i="17"/>
  <c r="P343" i="17"/>
  <c r="Q343" i="17"/>
  <c r="O345" i="17"/>
  <c r="P345" i="17"/>
  <c r="Q345" i="17"/>
  <c r="O349" i="17"/>
  <c r="P349" i="17"/>
  <c r="Q349" i="17"/>
  <c r="O351" i="17"/>
  <c r="P351" i="17"/>
  <c r="Q351" i="17"/>
  <c r="O354" i="17"/>
  <c r="P354" i="17"/>
  <c r="Q354" i="17"/>
  <c r="O355" i="17"/>
  <c r="P355" i="17"/>
  <c r="Q355" i="17"/>
  <c r="O356" i="17"/>
  <c r="P356" i="17"/>
  <c r="Q356" i="17"/>
  <c r="O358" i="17"/>
  <c r="P358" i="17"/>
  <c r="Q358" i="17"/>
  <c r="O362" i="17"/>
  <c r="P362" i="17"/>
  <c r="Q362" i="17"/>
  <c r="O365" i="17"/>
  <c r="P365" i="17"/>
  <c r="Q365" i="17"/>
  <c r="O368" i="17"/>
  <c r="P368" i="17"/>
  <c r="Q368" i="17"/>
  <c r="O370" i="17"/>
  <c r="P370" i="17"/>
  <c r="Q370" i="17"/>
  <c r="O373" i="17"/>
  <c r="P373" i="17"/>
  <c r="Q373" i="17"/>
  <c r="O374" i="17"/>
  <c r="P374" i="17"/>
  <c r="Q374" i="17"/>
  <c r="O376" i="17"/>
  <c r="P376" i="17"/>
  <c r="Q376" i="17"/>
  <c r="O381" i="17"/>
  <c r="P381" i="17"/>
  <c r="Q381" i="17"/>
  <c r="O384" i="17"/>
  <c r="P384" i="17"/>
  <c r="Q384" i="17"/>
  <c r="O389" i="17"/>
  <c r="P389" i="17"/>
  <c r="Q389" i="17"/>
  <c r="O402" i="17"/>
  <c r="P402" i="17"/>
  <c r="Q402" i="17"/>
  <c r="O7" i="17"/>
  <c r="P7" i="17"/>
  <c r="Q7" i="17"/>
  <c r="O46" i="17"/>
  <c r="P46" i="17"/>
  <c r="Q46" i="17"/>
  <c r="O47" i="17"/>
  <c r="P47" i="17"/>
  <c r="Q47" i="17"/>
  <c r="O49" i="17"/>
  <c r="P49" i="17"/>
  <c r="Q49" i="17"/>
  <c r="O51" i="17"/>
  <c r="P51" i="17"/>
  <c r="Q51" i="17"/>
  <c r="O53" i="17"/>
  <c r="P53" i="17"/>
  <c r="Q53" i="17"/>
  <c r="O55" i="17"/>
  <c r="P55" i="17"/>
  <c r="Q55" i="17"/>
  <c r="O56" i="17"/>
  <c r="P56" i="17"/>
  <c r="Q56" i="17"/>
  <c r="O58" i="17"/>
  <c r="P58" i="17"/>
  <c r="Q58" i="17"/>
  <c r="O86" i="17"/>
  <c r="P86" i="17"/>
  <c r="Q86" i="17"/>
  <c r="O92" i="17"/>
  <c r="P92" i="17"/>
  <c r="Q92" i="17"/>
  <c r="O93" i="17"/>
  <c r="P93" i="17"/>
  <c r="Q93" i="17"/>
  <c r="O98" i="17"/>
  <c r="P98" i="17"/>
  <c r="Q98" i="17"/>
  <c r="O100" i="17"/>
  <c r="P100" i="17"/>
  <c r="Q100" i="17"/>
  <c r="O109" i="17"/>
  <c r="P109" i="17"/>
  <c r="Q109" i="17"/>
  <c r="O111" i="17"/>
  <c r="P111" i="17"/>
  <c r="Q111" i="17"/>
  <c r="O115" i="17"/>
  <c r="P115" i="17"/>
  <c r="Q115" i="17"/>
  <c r="O118" i="17"/>
  <c r="P118" i="17"/>
  <c r="Q118" i="17"/>
  <c r="O120" i="17"/>
  <c r="P120" i="17"/>
  <c r="Q120" i="17"/>
  <c r="O121" i="17"/>
  <c r="P121" i="17"/>
  <c r="Q121" i="17"/>
  <c r="O122" i="17"/>
  <c r="P122" i="17"/>
  <c r="Q122" i="17"/>
  <c r="O123" i="17"/>
  <c r="P123" i="17"/>
  <c r="Q123" i="17"/>
  <c r="O124" i="17"/>
  <c r="P124" i="17"/>
  <c r="Q124" i="17"/>
  <c r="O125" i="17"/>
  <c r="P125" i="17"/>
  <c r="Q125" i="17"/>
  <c r="O127" i="17"/>
  <c r="P127" i="17"/>
  <c r="Q127" i="17"/>
  <c r="O129" i="17"/>
  <c r="P129" i="17"/>
  <c r="Q129" i="17"/>
  <c r="O131" i="17"/>
  <c r="P131" i="17"/>
  <c r="Q131" i="17"/>
  <c r="O132" i="17"/>
  <c r="P132" i="17"/>
  <c r="Q132" i="17"/>
  <c r="O135" i="17"/>
  <c r="P135" i="17"/>
  <c r="Q135" i="17"/>
  <c r="O140" i="17"/>
  <c r="P140" i="17"/>
  <c r="Q140" i="17"/>
  <c r="O141" i="17"/>
  <c r="P141" i="17"/>
  <c r="Q141" i="17"/>
  <c r="O142" i="17"/>
  <c r="P142" i="17"/>
  <c r="Q142" i="17"/>
  <c r="O145" i="17"/>
  <c r="P145" i="17"/>
  <c r="Q145" i="17"/>
  <c r="O149" i="17"/>
  <c r="P149" i="17"/>
  <c r="Q149" i="17"/>
  <c r="O150" i="17"/>
  <c r="P150" i="17"/>
  <c r="Q150" i="17"/>
  <c r="O151" i="17"/>
  <c r="P151" i="17"/>
  <c r="Q151" i="17"/>
  <c r="O152" i="17"/>
  <c r="P152" i="17"/>
  <c r="Q152" i="17"/>
  <c r="O157" i="17"/>
  <c r="P157" i="17"/>
  <c r="Q157" i="17"/>
  <c r="O160" i="17"/>
  <c r="P160" i="17"/>
  <c r="Q160" i="17"/>
  <c r="O163" i="17"/>
  <c r="P163" i="17"/>
  <c r="Q163" i="17"/>
  <c r="O165" i="17"/>
  <c r="P165" i="17"/>
  <c r="Q165" i="17"/>
  <c r="O167" i="17"/>
  <c r="P167" i="17"/>
  <c r="Q167" i="17"/>
  <c r="O169" i="17"/>
  <c r="P169" i="17"/>
  <c r="Q169" i="17"/>
  <c r="O170" i="17"/>
  <c r="P170" i="17"/>
  <c r="Q170" i="17"/>
  <c r="O172" i="17"/>
  <c r="P172" i="17"/>
  <c r="Q172" i="17"/>
  <c r="O177" i="17"/>
  <c r="P177" i="17"/>
  <c r="Q177" i="17"/>
  <c r="O178" i="17"/>
  <c r="P178" i="17"/>
  <c r="Q178" i="17"/>
  <c r="O184" i="17"/>
  <c r="P184" i="17"/>
  <c r="Q184" i="17"/>
  <c r="O186" i="17"/>
  <c r="P186" i="17"/>
  <c r="Q186" i="17"/>
  <c r="O188" i="17"/>
  <c r="P188" i="17"/>
  <c r="Q188" i="17"/>
  <c r="O189" i="17"/>
  <c r="P189" i="17"/>
  <c r="Q189" i="17"/>
  <c r="O191" i="17"/>
  <c r="P191" i="17"/>
  <c r="Q191" i="17"/>
  <c r="O192" i="17"/>
  <c r="P192" i="17"/>
  <c r="Q192" i="17"/>
  <c r="O197" i="17"/>
  <c r="P197" i="17"/>
  <c r="Q197" i="17"/>
  <c r="O199" i="17"/>
  <c r="P199" i="17"/>
  <c r="Q199" i="17"/>
  <c r="O201" i="17"/>
  <c r="P201" i="17"/>
  <c r="Q201" i="17"/>
  <c r="O202" i="17"/>
  <c r="P202" i="17"/>
  <c r="Q202" i="17"/>
  <c r="O205" i="17"/>
  <c r="P205" i="17"/>
  <c r="Q205" i="17"/>
  <c r="O212" i="17"/>
  <c r="P212" i="17"/>
  <c r="Q212" i="17"/>
  <c r="O216" i="17"/>
  <c r="P216" i="17"/>
  <c r="Q216" i="17"/>
  <c r="O219" i="17"/>
  <c r="P219" i="17"/>
  <c r="Q219" i="17"/>
  <c r="O220" i="17"/>
  <c r="P220" i="17"/>
  <c r="Q220" i="17"/>
  <c r="O224" i="17"/>
  <c r="P224" i="17"/>
  <c r="Q224" i="17"/>
  <c r="O225" i="17"/>
  <c r="P225" i="17"/>
  <c r="Q225" i="17"/>
  <c r="O231" i="17"/>
  <c r="P231" i="17"/>
  <c r="Q231" i="17"/>
  <c r="O237" i="17"/>
  <c r="P237" i="17"/>
  <c r="Q237" i="17"/>
  <c r="O244" i="17"/>
  <c r="P244" i="17"/>
  <c r="Q244" i="17"/>
  <c r="O247" i="17"/>
  <c r="P247" i="17"/>
  <c r="Q247" i="17"/>
  <c r="O263" i="17"/>
  <c r="P263" i="17"/>
  <c r="Q263" i="17"/>
  <c r="O275" i="17"/>
  <c r="P275" i="17"/>
  <c r="Q275" i="17"/>
  <c r="O277" i="17"/>
  <c r="P277" i="17"/>
  <c r="Q277" i="17"/>
  <c r="O278" i="17"/>
  <c r="P278" i="17"/>
  <c r="Q278" i="17"/>
  <c r="O284" i="17"/>
  <c r="P284" i="17"/>
  <c r="Q284" i="17"/>
  <c r="O298" i="17"/>
  <c r="P298" i="17"/>
  <c r="Q298" i="17"/>
  <c r="O301" i="17"/>
  <c r="P301" i="17"/>
  <c r="Q301" i="17"/>
  <c r="O302" i="17"/>
  <c r="P302" i="17"/>
  <c r="Q302" i="17"/>
  <c r="O303" i="17"/>
  <c r="P303" i="17"/>
  <c r="Q303" i="17"/>
  <c r="O305" i="17"/>
  <c r="P305" i="17"/>
  <c r="Q305" i="17"/>
  <c r="O306" i="17"/>
  <c r="P306" i="17"/>
  <c r="Q306" i="17"/>
  <c r="O390" i="17"/>
  <c r="P390" i="17"/>
  <c r="Q390" i="17"/>
  <c r="O397" i="17"/>
  <c r="P397" i="17"/>
  <c r="Q397" i="17"/>
  <c r="O398" i="17"/>
  <c r="P398" i="17"/>
  <c r="Q398" i="17"/>
  <c r="O399" i="17"/>
  <c r="P399" i="17"/>
  <c r="Q399" i="17"/>
  <c r="O400" i="17"/>
  <c r="P400" i="17"/>
  <c r="Q400" i="17"/>
  <c r="O60" i="17"/>
  <c r="P60" i="17"/>
  <c r="Q60" i="17"/>
  <c r="O61" i="17"/>
  <c r="P61" i="17"/>
  <c r="Q61" i="17"/>
  <c r="O62" i="17"/>
  <c r="P62" i="17"/>
  <c r="Q62" i="17"/>
  <c r="O63" i="17"/>
  <c r="P63" i="17"/>
  <c r="Q63" i="17"/>
  <c r="O64" i="17"/>
  <c r="P64" i="17"/>
  <c r="Q64" i="17"/>
  <c r="O65" i="17"/>
  <c r="P65" i="17"/>
  <c r="Q65" i="17"/>
  <c r="O66" i="17"/>
  <c r="P66" i="17"/>
  <c r="Q66" i="17"/>
  <c r="O67" i="17"/>
  <c r="P67" i="17"/>
  <c r="Q67" i="17"/>
  <c r="O68" i="17"/>
  <c r="P68" i="17"/>
  <c r="Q68" i="17"/>
  <c r="O69" i="17"/>
  <c r="P69" i="17"/>
  <c r="Q69" i="17"/>
  <c r="O70" i="17"/>
  <c r="P70" i="17"/>
  <c r="Q70" i="17"/>
  <c r="O71" i="17"/>
  <c r="P71" i="17"/>
  <c r="Q71" i="17"/>
  <c r="O72" i="17"/>
  <c r="P72" i="17"/>
  <c r="Q72" i="17"/>
  <c r="O73" i="17"/>
  <c r="P73" i="17"/>
  <c r="Q73" i="17"/>
  <c r="O74" i="17"/>
  <c r="P74" i="17"/>
  <c r="Q74" i="17"/>
  <c r="O75" i="17"/>
  <c r="P75" i="17"/>
  <c r="Q75" i="17"/>
  <c r="O76" i="17"/>
  <c r="P76" i="17"/>
  <c r="Q76" i="17"/>
  <c r="O77" i="17"/>
  <c r="P77" i="17"/>
  <c r="Q77" i="17"/>
  <c r="O78" i="17"/>
  <c r="P78" i="17"/>
  <c r="Q78" i="17"/>
  <c r="O79" i="17"/>
  <c r="P79" i="17"/>
  <c r="Q79" i="17"/>
  <c r="O80" i="17"/>
  <c r="P80" i="17"/>
  <c r="Q80" i="17"/>
  <c r="O81" i="17"/>
  <c r="P81" i="17"/>
  <c r="Q81" i="17"/>
  <c r="O82" i="17"/>
  <c r="P82" i="17"/>
  <c r="Q82" i="17"/>
  <c r="O83" i="17"/>
  <c r="P83" i="17"/>
  <c r="Q83" i="17"/>
  <c r="O84" i="17"/>
  <c r="P84" i="17"/>
  <c r="Q84" i="17"/>
  <c r="O85" i="17"/>
  <c r="P85" i="17"/>
  <c r="Q85" i="17"/>
  <c r="O87" i="17"/>
  <c r="P87" i="17"/>
  <c r="Q87" i="17"/>
  <c r="O88" i="17"/>
  <c r="P88" i="17"/>
  <c r="Q88" i="17"/>
  <c r="O89" i="17"/>
  <c r="P89" i="17"/>
  <c r="Q89" i="17"/>
  <c r="O91" i="17"/>
  <c r="P91" i="17"/>
  <c r="Q91" i="17"/>
  <c r="O94" i="17"/>
  <c r="P94" i="17"/>
  <c r="Q94" i="17"/>
  <c r="O211" i="17"/>
  <c r="P211" i="17"/>
  <c r="Q211" i="17"/>
  <c r="O232" i="17"/>
  <c r="P232" i="17"/>
  <c r="Q232" i="17"/>
  <c r="O235" i="17"/>
  <c r="P235" i="17"/>
  <c r="Q235" i="17"/>
  <c r="O245" i="17"/>
  <c r="P245" i="17"/>
  <c r="Q245" i="17"/>
  <c r="O252" i="17"/>
  <c r="P252" i="17"/>
  <c r="Q252" i="17"/>
  <c r="O259" i="17"/>
  <c r="P259" i="17"/>
  <c r="Q259" i="17"/>
  <c r="O274" i="17"/>
  <c r="P274" i="17"/>
  <c r="Q274" i="17"/>
  <c r="O291" i="17"/>
  <c r="P291" i="17"/>
  <c r="Q291" i="17"/>
  <c r="O404" i="17"/>
  <c r="P404" i="17"/>
  <c r="Q404" i="17"/>
  <c r="O156" i="17"/>
  <c r="P156" i="17"/>
  <c r="Q156" i="17"/>
  <c r="O180" i="17"/>
  <c r="P180" i="17"/>
  <c r="Q180" i="17"/>
  <c r="O222" i="17"/>
  <c r="P222" i="17"/>
  <c r="Q222" i="17"/>
  <c r="O228" i="17"/>
  <c r="P228" i="17"/>
  <c r="Q228" i="17"/>
  <c r="O234" i="17"/>
  <c r="P234" i="17"/>
  <c r="Q234" i="17"/>
  <c r="O251" i="17"/>
  <c r="P251" i="17"/>
  <c r="Q251" i="17"/>
  <c r="O264" i="17"/>
  <c r="P264" i="17"/>
  <c r="Q264" i="17"/>
  <c r="O281" i="17"/>
  <c r="P281" i="17"/>
  <c r="Q281" i="17"/>
  <c r="O285" i="17"/>
  <c r="P285" i="17"/>
  <c r="Q285" i="17"/>
  <c r="O309" i="17"/>
  <c r="P309" i="17"/>
  <c r="Q309" i="17"/>
  <c r="O319" i="17"/>
  <c r="P319" i="17"/>
  <c r="Q319" i="17"/>
  <c r="O321" i="17"/>
  <c r="P321" i="17"/>
  <c r="Q321" i="17"/>
  <c r="O323" i="17"/>
  <c r="P323" i="17"/>
  <c r="Q323" i="17"/>
  <c r="O342" i="17"/>
  <c r="P342" i="17"/>
  <c r="Q342" i="17"/>
  <c r="O344" i="17"/>
  <c r="P344" i="17"/>
  <c r="Q344" i="17"/>
  <c r="O346" i="17"/>
  <c r="P346" i="17"/>
  <c r="Q346" i="17"/>
  <c r="O347" i="17"/>
  <c r="P347" i="17"/>
  <c r="Q347" i="17"/>
  <c r="O348" i="17"/>
  <c r="P348" i="17"/>
  <c r="Q348" i="17"/>
  <c r="O350" i="17"/>
  <c r="P350" i="17"/>
  <c r="Q350" i="17"/>
  <c r="O352" i="17"/>
  <c r="P352" i="17"/>
  <c r="Q352" i="17"/>
  <c r="O353" i="17"/>
  <c r="P353" i="17"/>
  <c r="Q353" i="17"/>
  <c r="O357" i="17"/>
  <c r="P357" i="17"/>
  <c r="Q357" i="17"/>
  <c r="O359" i="17"/>
  <c r="P359" i="17"/>
  <c r="Q359" i="17"/>
  <c r="O361" i="17"/>
  <c r="P361" i="17"/>
  <c r="Q361" i="17"/>
  <c r="O363" i="17"/>
  <c r="P363" i="17"/>
  <c r="Q363" i="17"/>
  <c r="O369" i="17"/>
  <c r="P369" i="17"/>
  <c r="Q369" i="17"/>
  <c r="O372" i="17"/>
  <c r="P372" i="17"/>
  <c r="Q372" i="17"/>
  <c r="O375" i="17"/>
  <c r="P375" i="17"/>
  <c r="Q375" i="17"/>
  <c r="O377" i="17"/>
  <c r="P377" i="17"/>
  <c r="Q377" i="17"/>
  <c r="O379" i="17"/>
  <c r="P379" i="17"/>
  <c r="Q379" i="17"/>
  <c r="O380" i="17"/>
  <c r="P380" i="17"/>
  <c r="Q380" i="17"/>
  <c r="O383" i="17"/>
  <c r="P383" i="17"/>
  <c r="Q383" i="17"/>
  <c r="O385" i="17"/>
  <c r="P385" i="17"/>
  <c r="Q385" i="17"/>
  <c r="O386" i="17"/>
  <c r="P386" i="17"/>
  <c r="Q386" i="17"/>
  <c r="O388" i="17"/>
  <c r="P388" i="17"/>
  <c r="Q388" i="17"/>
  <c r="O391" i="17"/>
  <c r="P391" i="17"/>
  <c r="Q391" i="17"/>
  <c r="O48" i="17"/>
  <c r="P48" i="17"/>
  <c r="Q48" i="17"/>
  <c r="O50" i="17"/>
  <c r="P50" i="17"/>
  <c r="Q50" i="17"/>
  <c r="O52" i="17"/>
  <c r="P52" i="17"/>
  <c r="Q52" i="17"/>
  <c r="O54" i="17"/>
  <c r="P54" i="17"/>
  <c r="Q54" i="17"/>
  <c r="O57" i="17"/>
  <c r="P57" i="17"/>
  <c r="Q57" i="17"/>
  <c r="O59" i="17"/>
  <c r="P59" i="17"/>
  <c r="Q59" i="17"/>
  <c r="O90" i="17"/>
  <c r="P90" i="17"/>
  <c r="Q90" i="17"/>
  <c r="O102" i="17"/>
  <c r="P102" i="17"/>
  <c r="Q102" i="17"/>
  <c r="O108" i="17"/>
  <c r="P108" i="17"/>
  <c r="Q108" i="17"/>
  <c r="O113" i="17"/>
  <c r="P113" i="17"/>
  <c r="Q113" i="17"/>
  <c r="O114" i="17"/>
  <c r="P114" i="17"/>
  <c r="Q114" i="17"/>
  <c r="O119" i="17"/>
  <c r="P119" i="17"/>
  <c r="Q119" i="17"/>
  <c r="O95" i="17"/>
  <c r="P95" i="17"/>
  <c r="Q95" i="17"/>
  <c r="O96" i="17"/>
  <c r="P96" i="17"/>
  <c r="Q96" i="17"/>
  <c r="O97" i="17"/>
  <c r="P97" i="17"/>
  <c r="Q97" i="17"/>
  <c r="O99" i="17"/>
  <c r="P99" i="17"/>
  <c r="Q99" i="17"/>
  <c r="O101" i="17"/>
  <c r="P101" i="17"/>
  <c r="Q101" i="17"/>
  <c r="O103" i="17"/>
  <c r="P103" i="17"/>
  <c r="Q103" i="17"/>
  <c r="O104" i="17"/>
  <c r="P104" i="17"/>
  <c r="Q104" i="17"/>
  <c r="O105" i="17"/>
  <c r="P105" i="17"/>
  <c r="Q105" i="17"/>
  <c r="O106" i="17"/>
  <c r="P106" i="17"/>
  <c r="Q106" i="17"/>
  <c r="O107" i="17"/>
  <c r="P107" i="17"/>
  <c r="Q107" i="17"/>
  <c r="O110" i="17"/>
  <c r="P110" i="17"/>
  <c r="Q110" i="17"/>
  <c r="O112" i="17"/>
  <c r="P112" i="17"/>
  <c r="Q112" i="17"/>
  <c r="O116" i="17"/>
  <c r="P116" i="17"/>
  <c r="Q116" i="17"/>
  <c r="O117" i="17"/>
  <c r="P117" i="17"/>
  <c r="Q117" i="17"/>
  <c r="O126" i="17"/>
  <c r="P126" i="17"/>
  <c r="Q126" i="17"/>
  <c r="O128" i="17"/>
  <c r="P128" i="17"/>
  <c r="Q128" i="17"/>
  <c r="O130" i="17"/>
  <c r="P130" i="17"/>
  <c r="Q130" i="17"/>
  <c r="O133" i="17"/>
  <c r="P133" i="17"/>
  <c r="Q133" i="17"/>
  <c r="O134" i="17"/>
  <c r="P134" i="17"/>
  <c r="Q134" i="17"/>
  <c r="O136" i="17"/>
  <c r="P136" i="17"/>
  <c r="Q136" i="17"/>
  <c r="O137" i="17"/>
  <c r="P137" i="17"/>
  <c r="Q137" i="17"/>
  <c r="O138" i="17"/>
  <c r="P138" i="17"/>
  <c r="Q138" i="17"/>
  <c r="O139" i="17"/>
  <c r="P139" i="17"/>
  <c r="Q139" i="17"/>
  <c r="O143" i="17"/>
  <c r="P143" i="17"/>
  <c r="Q143" i="17"/>
  <c r="O144" i="17"/>
  <c r="P144" i="17"/>
  <c r="Q144" i="17"/>
  <c r="O146" i="17"/>
  <c r="P146" i="17"/>
  <c r="Q146" i="17"/>
  <c r="O147" i="17"/>
  <c r="P147" i="17"/>
  <c r="Q147" i="17"/>
  <c r="O148" i="17"/>
  <c r="P148" i="17"/>
  <c r="Q148" i="17"/>
  <c r="O153" i="17"/>
  <c r="P153" i="17"/>
  <c r="Q153" i="17"/>
  <c r="O155" i="17"/>
  <c r="P155" i="17"/>
  <c r="Q155" i="17"/>
  <c r="O158" i="17"/>
  <c r="P158" i="17"/>
  <c r="Q158" i="17"/>
  <c r="O159" i="17"/>
  <c r="P159" i="17"/>
  <c r="Q159" i="17"/>
  <c r="O161" i="17"/>
  <c r="P161" i="17"/>
  <c r="Q161" i="17"/>
  <c r="O162" i="17"/>
  <c r="P162" i="17"/>
  <c r="Q162" i="17"/>
  <c r="O164" i="17"/>
  <c r="P164" i="17"/>
  <c r="Q164" i="17"/>
  <c r="O168" i="17"/>
  <c r="P168" i="17"/>
  <c r="Q168" i="17"/>
  <c r="O171" i="17"/>
  <c r="P171" i="17"/>
  <c r="Q171" i="17"/>
  <c r="O174" i="17"/>
  <c r="P174" i="17"/>
  <c r="Q174" i="17"/>
  <c r="O175" i="17"/>
  <c r="P175" i="17"/>
  <c r="Q175" i="17"/>
  <c r="O176" i="17"/>
  <c r="P176" i="17"/>
  <c r="Q176" i="17"/>
  <c r="O179" i="17"/>
  <c r="P179" i="17"/>
  <c r="Q179" i="17"/>
  <c r="O182" i="17"/>
  <c r="P182" i="17"/>
  <c r="Q182" i="17"/>
  <c r="O183" i="17"/>
  <c r="P183" i="17"/>
  <c r="Q183" i="17"/>
  <c r="O185" i="17"/>
  <c r="P185" i="17"/>
  <c r="Q185" i="17"/>
  <c r="O195" i="17"/>
  <c r="P195" i="17"/>
  <c r="Q195" i="17"/>
  <c r="O196" i="17"/>
  <c r="P196" i="17"/>
  <c r="Q196" i="17"/>
  <c r="O200" i="17"/>
  <c r="P200" i="17"/>
  <c r="Q200" i="17"/>
  <c r="O204" i="17"/>
  <c r="P204" i="17"/>
  <c r="Q204" i="17"/>
  <c r="O206" i="17"/>
  <c r="P206" i="17"/>
  <c r="Q206" i="17"/>
  <c r="O208" i="17"/>
  <c r="P208" i="17"/>
  <c r="Q208" i="17"/>
  <c r="O210" i="17"/>
  <c r="P210" i="17"/>
  <c r="Q210" i="17"/>
  <c r="H12" i="17"/>
  <c r="H13" i="17"/>
  <c r="H15" i="17"/>
  <c r="CO12580" i="6" l="1"/>
  <c r="CQ12580" i="6"/>
  <c r="CU12580" i="6"/>
  <c r="CR12580" i="6"/>
  <c r="CN12580" i="6"/>
  <c r="CL12580" i="6"/>
  <c r="CK12580" i="6"/>
  <c r="DI12580" i="6"/>
  <c r="CV12580" i="6"/>
  <c r="CG12580" i="6"/>
  <c r="CH12580" i="6"/>
  <c r="CW12580" i="6"/>
  <c r="DA12580" i="6"/>
  <c r="CI12580" i="6"/>
  <c r="CF12580" i="6"/>
  <c r="CC12580" i="6"/>
  <c r="CZ12580" i="6"/>
  <c r="CA12580" i="6"/>
  <c r="DC12580" i="6"/>
  <c r="DF12580" i="6"/>
  <c r="DH12580" i="6"/>
  <c r="DB12580" i="6"/>
  <c r="CB12580" i="6"/>
  <c r="DD12580" i="6"/>
  <c r="CY12580" i="6"/>
  <c r="CX12580" i="6"/>
  <c r="CM12580" i="6"/>
  <c r="CJ12580" i="6"/>
  <c r="CD12580" i="6"/>
  <c r="DG12580" i="6"/>
  <c r="DE12580" i="6"/>
  <c r="CE12580" i="6"/>
  <c r="CT12580" i="6"/>
  <c r="CP12580" i="6"/>
  <c r="CS12580"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<sst xmlns="http://schemas.openxmlformats.org/spreadsheetml/2006/main" count="2724" uniqueCount="1889">
  <si>
    <t>Fecha</t>
  </si>
  <si>
    <t>Cierre</t>
  </si>
  <si>
    <t>Apertura</t>
  </si>
  <si>
    <t>Máximo</t>
  </si>
  <si>
    <t>Mínimo</t>
  </si>
  <si>
    <t>Vol.</t>
  </si>
  <si>
    <t>% var.</t>
  </si>
  <si>
    <t>Rendimiento Diario</t>
  </si>
  <si>
    <t>Rendimineto Mensual</t>
  </si>
  <si>
    <t>Rend. Anual</t>
  </si>
  <si>
    <t>Activo financiero</t>
  </si>
  <si>
    <t>Porsche Automobil Holding SE (PSHG_p)</t>
  </si>
  <si>
    <t>ticker</t>
  </si>
  <si>
    <t>PSHG_p</t>
  </si>
  <si>
    <t>Precio</t>
  </si>
  <si>
    <t>media</t>
  </si>
  <si>
    <t>volatilidad</t>
  </si>
  <si>
    <t>13.03.2026</t>
  </si>
  <si>
    <t>467.37K</t>
  </si>
  <si>
    <t>12.03.2026</t>
  </si>
  <si>
    <t>463.30K</t>
  </si>
  <si>
    <t>11.03.2026</t>
  </si>
  <si>
    <t>351.74K</t>
  </si>
  <si>
    <t>10.03.2026</t>
  </si>
  <si>
    <t>541.88K</t>
  </si>
  <si>
    <t>09.03.2026</t>
  </si>
  <si>
    <t>822.19K</t>
  </si>
  <si>
    <t>06.03.2026</t>
  </si>
  <si>
    <t>645.31K</t>
  </si>
  <si>
    <t>05.03.2026</t>
  </si>
  <si>
    <t>439.77K</t>
  </si>
  <si>
    <t>04.03.2026</t>
  </si>
  <si>
    <t>416.97K</t>
  </si>
  <si>
    <t>03.03.2026</t>
  </si>
  <si>
    <t>712.85K</t>
  </si>
  <si>
    <t>02.03.2026</t>
  </si>
  <si>
    <t>674.21K</t>
  </si>
  <si>
    <t>27.02.2026</t>
  </si>
  <si>
    <t>472.38K</t>
  </si>
  <si>
    <t>26.02.2026</t>
  </si>
  <si>
    <t>294.49K</t>
  </si>
  <si>
    <t>25.02.2026</t>
  </si>
  <si>
    <t>264.10K</t>
  </si>
  <si>
    <t>24.02.2026</t>
  </si>
  <si>
    <t>321.93K</t>
  </si>
  <si>
    <t>23.02.2026</t>
  </si>
  <si>
    <t>481.92K</t>
  </si>
  <si>
    <t>20.02.2026</t>
  </si>
  <si>
    <t>766.02K</t>
  </si>
  <si>
    <t>19.02.2026</t>
  </si>
  <si>
    <t>333.89K</t>
  </si>
  <si>
    <t>18.02.2026</t>
  </si>
  <si>
    <t>379.39K</t>
  </si>
  <si>
    <t>17.02.2026</t>
  </si>
  <si>
    <t>326.88K</t>
  </si>
  <si>
    <t>16.02.2026</t>
  </si>
  <si>
    <t>314.89K</t>
  </si>
  <si>
    <t>13.02.2026</t>
  </si>
  <si>
    <t>371.75K</t>
  </si>
  <si>
    <t>12.02.2026</t>
  </si>
  <si>
    <t>466.32K</t>
  </si>
  <si>
    <t>11.02.2026</t>
  </si>
  <si>
    <t>409.74K</t>
  </si>
  <si>
    <t>10.02.2026</t>
  </si>
  <si>
    <t>504.04K</t>
  </si>
  <si>
    <t>09.02.2026</t>
  </si>
  <si>
    <t>351.84K</t>
  </si>
  <si>
    <t>06.02.2026</t>
  </si>
  <si>
    <t>817.41K</t>
  </si>
  <si>
    <t>05.02.2026</t>
  </si>
  <si>
    <t>702.91K</t>
  </si>
  <si>
    <t>04.02.2026</t>
  </si>
  <si>
    <t>565.65K</t>
  </si>
  <si>
    <t>03.02.2026</t>
  </si>
  <si>
    <t>437.75K</t>
  </si>
  <si>
    <t>02.02.2026</t>
  </si>
  <si>
    <t>314.04K</t>
  </si>
  <si>
    <t>30.01.2026</t>
  </si>
  <si>
    <t>454.31K</t>
  </si>
  <si>
    <t>29.01.2026</t>
  </si>
  <si>
    <t>349.77K</t>
  </si>
  <si>
    <t>28.01.2026</t>
  </si>
  <si>
    <t>447.21K</t>
  </si>
  <si>
    <t>27.01.2026</t>
  </si>
  <si>
    <t>552.43K</t>
  </si>
  <si>
    <t>call</t>
  </si>
  <si>
    <t>put</t>
  </si>
  <si>
    <t>26.01.2026</t>
  </si>
  <si>
    <t>492.96K</t>
  </si>
  <si>
    <t>23.01.2026</t>
  </si>
  <si>
    <t>459.77K</t>
  </si>
  <si>
    <t>22.01.2026</t>
  </si>
  <si>
    <t>1.04M</t>
  </si>
  <si>
    <t>21.01.2026</t>
  </si>
  <si>
    <t>628.59K</t>
  </si>
  <si>
    <t>20.01.2026</t>
  </si>
  <si>
    <t>732.94K</t>
  </si>
  <si>
    <t>19.01.2026</t>
  </si>
  <si>
    <t>1.06M</t>
  </si>
  <si>
    <t>16.01.2026</t>
  </si>
  <si>
    <t>688.30K</t>
  </si>
  <si>
    <t>15.01.2026</t>
  </si>
  <si>
    <t>507.77K</t>
  </si>
  <si>
    <t>14.01.2026</t>
  </si>
  <si>
    <t>431.59K</t>
  </si>
  <si>
    <t>13.01.2026</t>
  </si>
  <si>
    <t>586.47K</t>
  </si>
  <si>
    <t>12.01.2026</t>
  </si>
  <si>
    <t>460.58K</t>
  </si>
  <si>
    <t>S_0</t>
  </si>
  <si>
    <t>c</t>
  </si>
  <si>
    <t>Letrar Griegas/ Sensibilidades put</t>
  </si>
  <si>
    <t>09.01.2026</t>
  </si>
  <si>
    <t>642.73K</t>
  </si>
  <si>
    <t>K</t>
  </si>
  <si>
    <t>p</t>
  </si>
  <si>
    <t>Delta</t>
  </si>
  <si>
    <t>El cambio en una unidad del precio del subyacente, hace que la prima del put se reduzca $0.07</t>
  </si>
  <si>
    <t>08.01.2026</t>
  </si>
  <si>
    <t>475.62K</t>
  </si>
  <si>
    <t>D</t>
  </si>
  <si>
    <t>Gamma</t>
  </si>
  <si>
    <t>Que tanto cambia el precio de la prima según que tan rapido cambia el precio del subyacente</t>
  </si>
  <si>
    <t>07.01.2026</t>
  </si>
  <si>
    <t>513.67K</t>
  </si>
  <si>
    <t>r</t>
  </si>
  <si>
    <t>Theta</t>
  </si>
  <si>
    <t>si la opción se mantiene otro año, el precio baja $0.96</t>
  </si>
  <si>
    <t>06.01.2026</t>
  </si>
  <si>
    <t>535.80K</t>
  </si>
  <si>
    <t>sigma</t>
  </si>
  <si>
    <t>Rho</t>
  </si>
  <si>
    <t>Si la tasa sube, la opción baja de precio</t>
  </si>
  <si>
    <t>05.01.2026</t>
  </si>
  <si>
    <t>639.00K</t>
  </si>
  <si>
    <t>T</t>
  </si>
  <si>
    <t>Vega</t>
  </si>
  <si>
    <t xml:space="preserve">Se aumenta la volatilidad del subyacente, el precio se incremnta </t>
  </si>
  <si>
    <t>02.01.2026</t>
  </si>
  <si>
    <t>543.55K</t>
  </si>
  <si>
    <t>d_1</t>
  </si>
  <si>
    <t>30.12.2025</t>
  </si>
  <si>
    <t>227.63K</t>
  </si>
  <si>
    <t>d_2</t>
  </si>
  <si>
    <t>29.12.2025</t>
  </si>
  <si>
    <t>372.94K</t>
  </si>
  <si>
    <t>N(d1)</t>
  </si>
  <si>
    <t>23.12.2025</t>
  </si>
  <si>
    <t>277.90K</t>
  </si>
  <si>
    <t>N(d2)</t>
  </si>
  <si>
    <t>22.12.2025</t>
  </si>
  <si>
    <t>668.00K</t>
  </si>
  <si>
    <t>N(-d1)</t>
  </si>
  <si>
    <t>19.12.2025</t>
  </si>
  <si>
    <t>1.27M</t>
  </si>
  <si>
    <t>N(-d)</t>
  </si>
  <si>
    <t>18.12.2025</t>
  </si>
  <si>
    <t>473.32K</t>
  </si>
  <si>
    <t>17.12.2025</t>
  </si>
  <si>
    <t>679.24K</t>
  </si>
  <si>
    <t>16.12.2025</t>
  </si>
  <si>
    <t>656.37K</t>
  </si>
  <si>
    <t>Opciones Exóticas</t>
  </si>
  <si>
    <t>15.12.2025</t>
  </si>
  <si>
    <t>508.17K</t>
  </si>
  <si>
    <t>opciones binarias</t>
  </si>
  <si>
    <t>12.12.2025</t>
  </si>
  <si>
    <t>444.09K</t>
  </si>
  <si>
    <t>11.12.2025</t>
  </si>
  <si>
    <t>1.14M</t>
  </si>
  <si>
    <t>opcions Gap</t>
  </si>
  <si>
    <t>10.12.2025</t>
  </si>
  <si>
    <t>773.17K</t>
  </si>
  <si>
    <t>Datos call/put gap</t>
  </si>
  <si>
    <t>Función de pagos binarias</t>
  </si>
  <si>
    <t>09.12.2025</t>
  </si>
  <si>
    <t>767.19K</t>
  </si>
  <si>
    <r>
      <t>S</t>
    </r>
    <r>
      <rPr>
        <vertAlign val="subscript"/>
        <sz val="11"/>
        <color theme="1"/>
        <rFont val="Aptos Narrow"/>
        <family val="2"/>
        <scheme val="minor"/>
      </rPr>
      <t>0</t>
    </r>
    <r>
      <rPr>
        <sz val="12"/>
        <color theme="1"/>
        <rFont val="Aptos Narrow"/>
        <family val="2"/>
        <scheme val="minor"/>
      </rPr>
      <t xml:space="preserve"> =</t>
    </r>
  </si>
  <si>
    <t>S_t</t>
  </si>
  <si>
    <t>call gap l</t>
  </si>
  <si>
    <t>put gap l</t>
  </si>
  <si>
    <t>08.12.2025</t>
  </si>
  <si>
    <t>769.49K</t>
  </si>
  <si>
    <t>s =</t>
  </si>
  <si>
    <t>05.12.2025</t>
  </si>
  <si>
    <t>1.36M</t>
  </si>
  <si>
    <t>r =</t>
  </si>
  <si>
    <t>04.12.2025</t>
  </si>
  <si>
    <t>2.41M</t>
  </si>
  <si>
    <t>q =</t>
  </si>
  <si>
    <t>03.12.2025</t>
  </si>
  <si>
    <t>904.54K</t>
  </si>
  <si>
    <t>T =</t>
  </si>
  <si>
    <t>02.12.2025</t>
  </si>
  <si>
    <t>570.36K</t>
  </si>
  <si>
    <r>
      <t>K</t>
    </r>
    <r>
      <rPr>
        <vertAlign val="subscript"/>
        <sz val="11"/>
        <color theme="1"/>
        <rFont val="Aptos Narrow"/>
        <family val="2"/>
        <scheme val="minor"/>
      </rPr>
      <t>1</t>
    </r>
    <r>
      <rPr>
        <sz val="12"/>
        <color theme="1"/>
        <rFont val="Aptos Narrow"/>
        <family val="2"/>
        <scheme val="minor"/>
      </rPr>
      <t xml:space="preserve"> =</t>
    </r>
  </si>
  <si>
    <t>01.12.2025</t>
  </si>
  <si>
    <t>430.76K</t>
  </si>
  <si>
    <r>
      <t>K</t>
    </r>
    <r>
      <rPr>
        <vertAlign val="subscript"/>
        <sz val="11"/>
        <color theme="1"/>
        <rFont val="Aptos Narrow"/>
        <family val="2"/>
        <scheme val="minor"/>
      </rPr>
      <t>2</t>
    </r>
    <r>
      <rPr>
        <sz val="12"/>
        <color theme="1"/>
        <rFont val="Aptos Narrow"/>
        <family val="2"/>
        <scheme val="minor"/>
      </rPr>
      <t xml:space="preserve"> =</t>
    </r>
  </si>
  <si>
    <t>28.11.2025</t>
  </si>
  <si>
    <t>317.47K</t>
  </si>
  <si>
    <r>
      <t>d</t>
    </r>
    <r>
      <rPr>
        <vertAlign val="subscript"/>
        <sz val="11"/>
        <color theme="1"/>
        <rFont val="Aptos Narrow"/>
        <family val="2"/>
        <scheme val="minor"/>
      </rPr>
      <t>1</t>
    </r>
    <r>
      <rPr>
        <sz val="12"/>
        <color theme="1"/>
        <rFont val="Aptos Narrow"/>
        <family val="2"/>
        <scheme val="minor"/>
      </rPr>
      <t xml:space="preserve"> =</t>
    </r>
  </si>
  <si>
    <t>27.11.2025</t>
  </si>
  <si>
    <t>240.28K</t>
  </si>
  <si>
    <r>
      <t>d</t>
    </r>
    <r>
      <rPr>
        <vertAlign val="subscript"/>
        <sz val="11"/>
        <color theme="1"/>
        <rFont val="Aptos Narrow"/>
        <family val="2"/>
        <scheme val="minor"/>
      </rPr>
      <t>2</t>
    </r>
    <r>
      <rPr>
        <sz val="12"/>
        <color theme="1"/>
        <rFont val="Aptos Narrow"/>
        <family val="2"/>
        <scheme val="minor"/>
      </rPr>
      <t xml:space="preserve"> =</t>
    </r>
  </si>
  <si>
    <t>26.11.2025</t>
  </si>
  <si>
    <t>336.74K</t>
  </si>
  <si>
    <r>
      <t>N(d</t>
    </r>
    <r>
      <rPr>
        <vertAlign val="subscript"/>
        <sz val="11"/>
        <color theme="1"/>
        <rFont val="Aptos Narrow"/>
        <family val="2"/>
        <scheme val="minor"/>
      </rPr>
      <t>1</t>
    </r>
    <r>
      <rPr>
        <sz val="12"/>
        <color theme="1"/>
        <rFont val="Aptos Narrow"/>
        <family val="2"/>
        <scheme val="minor"/>
      </rPr>
      <t>)=</t>
    </r>
  </si>
  <si>
    <t>25.11.2025</t>
  </si>
  <si>
    <t>479.36K</t>
  </si>
  <si>
    <r>
      <t>N(d</t>
    </r>
    <r>
      <rPr>
        <vertAlign val="subscript"/>
        <sz val="11"/>
        <color theme="1"/>
        <rFont val="Aptos Narrow"/>
        <family val="2"/>
        <scheme val="minor"/>
      </rPr>
      <t>2</t>
    </r>
    <r>
      <rPr>
        <sz val="12"/>
        <color theme="1"/>
        <rFont val="Aptos Narrow"/>
        <family val="2"/>
        <scheme val="minor"/>
      </rPr>
      <t>)=</t>
    </r>
  </si>
  <si>
    <t>24.11.2025</t>
  </si>
  <si>
    <t>899.68K</t>
  </si>
  <si>
    <r>
      <t>N(-d</t>
    </r>
    <r>
      <rPr>
        <vertAlign val="subscript"/>
        <sz val="11"/>
        <color theme="1"/>
        <rFont val="Aptos Narrow"/>
        <family val="2"/>
        <scheme val="minor"/>
      </rPr>
      <t>1</t>
    </r>
    <r>
      <rPr>
        <sz val="12"/>
        <color theme="1"/>
        <rFont val="Aptos Narrow"/>
        <family val="2"/>
        <scheme val="minor"/>
      </rPr>
      <t>)=</t>
    </r>
  </si>
  <si>
    <t>21.11.2025</t>
  </si>
  <si>
    <t>475.01K</t>
  </si>
  <si>
    <r>
      <t>N(-d</t>
    </r>
    <r>
      <rPr>
        <vertAlign val="subscript"/>
        <sz val="11"/>
        <color theme="1"/>
        <rFont val="Aptos Narrow"/>
        <family val="2"/>
        <scheme val="minor"/>
      </rPr>
      <t>2</t>
    </r>
    <r>
      <rPr>
        <sz val="12"/>
        <color theme="1"/>
        <rFont val="Aptos Narrow"/>
        <family val="2"/>
        <scheme val="minor"/>
      </rPr>
      <t>)=</t>
    </r>
  </si>
  <si>
    <t>20.11.2025</t>
  </si>
  <si>
    <t>470.63K</t>
  </si>
  <si>
    <t>19.11.2025</t>
  </si>
  <si>
    <t>813.77K</t>
  </si>
  <si>
    <r>
      <t>c</t>
    </r>
    <r>
      <rPr>
        <vertAlign val="subscript"/>
        <sz val="11"/>
        <color theme="1"/>
        <rFont val="Aptos Narrow"/>
        <family val="2"/>
        <scheme val="minor"/>
      </rPr>
      <t>Gap</t>
    </r>
    <r>
      <rPr>
        <sz val="12"/>
        <color theme="1"/>
        <rFont val="Aptos Narrow"/>
        <family val="2"/>
        <scheme val="minor"/>
      </rPr>
      <t xml:space="preserve"> =</t>
    </r>
  </si>
  <si>
    <t>18.11.2025</t>
  </si>
  <si>
    <t>697.81K</t>
  </si>
  <si>
    <r>
      <t>p</t>
    </r>
    <r>
      <rPr>
        <vertAlign val="subscript"/>
        <sz val="11"/>
        <rFont val="Aptos Narrow"/>
        <family val="2"/>
        <scheme val="minor"/>
      </rPr>
      <t>Gap</t>
    </r>
    <r>
      <rPr>
        <sz val="11"/>
        <rFont val="Aptos Narrow"/>
        <family val="2"/>
        <scheme val="minor"/>
      </rPr>
      <t xml:space="preserve"> =</t>
    </r>
  </si>
  <si>
    <t>17.11.2025</t>
  </si>
  <si>
    <t>409.02K</t>
  </si>
  <si>
    <t>14.11.2025</t>
  </si>
  <si>
    <t>526.82K</t>
  </si>
  <si>
    <t>13.11.2025</t>
  </si>
  <si>
    <t>562.58K</t>
  </si>
  <si>
    <t>12.11.2025</t>
  </si>
  <si>
    <t>910.47K</t>
  </si>
  <si>
    <t>Opciones Cash or Nothing</t>
  </si>
  <si>
    <t>11.11.2025</t>
  </si>
  <si>
    <t>486.59K</t>
  </si>
  <si>
    <t>Datos call/put cash or nothing</t>
  </si>
  <si>
    <t>10.11.2025</t>
  </si>
  <si>
    <t>595.88K</t>
  </si>
  <si>
    <t>call CoN l</t>
  </si>
  <si>
    <t>put CoN l</t>
  </si>
  <si>
    <t>07.11.2025</t>
  </si>
  <si>
    <t>613.37K</t>
  </si>
  <si>
    <t>06.11.2025</t>
  </si>
  <si>
    <t>493.43K</t>
  </si>
  <si>
    <t>K =</t>
  </si>
  <si>
    <t>05.11.2025</t>
  </si>
  <si>
    <t>703.84K</t>
  </si>
  <si>
    <t>Q =</t>
  </si>
  <si>
    <t>04.11.2025</t>
  </si>
  <si>
    <t>477.82K</t>
  </si>
  <si>
    <t>03.11.2025</t>
  </si>
  <si>
    <t>561.80K</t>
  </si>
  <si>
    <t>31.10.2025</t>
  </si>
  <si>
    <t>512.37K</t>
  </si>
  <si>
    <r>
      <rPr>
        <sz val="11"/>
        <color theme="1"/>
        <rFont val="Symbol"/>
        <family val="1"/>
        <charset val="2"/>
      </rPr>
      <t>s</t>
    </r>
    <r>
      <rPr>
        <sz val="12"/>
        <color theme="1"/>
        <rFont val="Aptos Narrow"/>
        <family val="2"/>
        <scheme val="minor"/>
      </rPr>
      <t xml:space="preserve"> =</t>
    </r>
  </si>
  <si>
    <t>30.10.2025</t>
  </si>
  <si>
    <t>818.92K</t>
  </si>
  <si>
    <t>29.10.2025</t>
  </si>
  <si>
    <t>709.77K</t>
  </si>
  <si>
    <t>28.10.2025</t>
  </si>
  <si>
    <t>585.59K</t>
  </si>
  <si>
    <t>27.10.2025</t>
  </si>
  <si>
    <t>1.11M</t>
  </si>
  <si>
    <t>24.10.2025</t>
  </si>
  <si>
    <t>602.66K</t>
  </si>
  <si>
    <t>23.10.2025</t>
  </si>
  <si>
    <t>463.53K</t>
  </si>
  <si>
    <t>22.10.2025</t>
  </si>
  <si>
    <t>505.92K</t>
  </si>
  <si>
    <r>
      <t>c</t>
    </r>
    <r>
      <rPr>
        <vertAlign val="subscript"/>
        <sz val="11"/>
        <color theme="1"/>
        <rFont val="Aptos Narrow"/>
        <family val="2"/>
        <scheme val="minor"/>
      </rPr>
      <t>Cash or Nothing</t>
    </r>
    <r>
      <rPr>
        <sz val="12"/>
        <color theme="1"/>
        <rFont val="Aptos Narrow"/>
        <family val="2"/>
        <scheme val="minor"/>
      </rPr>
      <t xml:space="preserve">  =</t>
    </r>
  </si>
  <si>
    <t>21.10.2025</t>
  </si>
  <si>
    <t>626.14K</t>
  </si>
  <si>
    <r>
      <t>p</t>
    </r>
    <r>
      <rPr>
        <vertAlign val="subscript"/>
        <sz val="11"/>
        <color theme="1"/>
        <rFont val="Aptos Narrow"/>
        <family val="2"/>
        <scheme val="minor"/>
      </rPr>
      <t>Cash or Nothing</t>
    </r>
    <r>
      <rPr>
        <sz val="12"/>
        <color theme="1"/>
        <rFont val="Aptos Narrow"/>
        <family val="2"/>
        <scheme val="minor"/>
      </rPr>
      <t xml:space="preserve">  =</t>
    </r>
  </si>
  <si>
    <t>20.10.2025</t>
  </si>
  <si>
    <t>474.96K</t>
  </si>
  <si>
    <t>17.10.2025</t>
  </si>
  <si>
    <t>1.02M</t>
  </si>
  <si>
    <t>16.10.2025</t>
  </si>
  <si>
    <t>545.16K</t>
  </si>
  <si>
    <t>15.10.2025</t>
  </si>
  <si>
    <t>415.59K</t>
  </si>
  <si>
    <t>14.10.2025</t>
  </si>
  <si>
    <t>415.22K</t>
  </si>
  <si>
    <t>Opciones Asset or nothing</t>
  </si>
  <si>
    <t>13.10.2025</t>
  </si>
  <si>
    <t>452.65K</t>
  </si>
  <si>
    <t>Datos call/put asset or nothing</t>
  </si>
  <si>
    <t>10.10.2025</t>
  </si>
  <si>
    <t>607.34K</t>
  </si>
  <si>
    <t>call AoN l</t>
  </si>
  <si>
    <t>put AoN l</t>
  </si>
  <si>
    <t>09.10.2025</t>
  </si>
  <si>
    <t>482.96K</t>
  </si>
  <si>
    <t>08.10.2025</t>
  </si>
  <si>
    <t>719.99K</t>
  </si>
  <si>
    <t>07.10.2025</t>
  </si>
  <si>
    <t>505.66K</t>
  </si>
  <si>
    <t>06.10.2025</t>
  </si>
  <si>
    <t>420.94K</t>
  </si>
  <si>
    <t>03.10.2025</t>
  </si>
  <si>
    <t>504.25K</t>
  </si>
  <si>
    <t>02.10.2025</t>
  </si>
  <si>
    <t>584.92K</t>
  </si>
  <si>
    <t>01.10.2025</t>
  </si>
  <si>
    <t>556.37K</t>
  </si>
  <si>
    <t>30.09.2025</t>
  </si>
  <si>
    <t>545.77K</t>
  </si>
  <si>
    <t>29.09.2025</t>
  </si>
  <si>
    <t>399.85K</t>
  </si>
  <si>
    <t>26.09.2025</t>
  </si>
  <si>
    <t>359.09K</t>
  </si>
  <si>
    <t>25.09.2025</t>
  </si>
  <si>
    <t>564.71K</t>
  </si>
  <si>
    <t>24.09.2025</t>
  </si>
  <si>
    <t>725.81K</t>
  </si>
  <si>
    <t>23.09.2025</t>
  </si>
  <si>
    <t>1.10M</t>
  </si>
  <si>
    <t>22.09.2025</t>
  </si>
  <si>
    <t>3.78M</t>
  </si>
  <si>
    <r>
      <t>cAsset</t>
    </r>
    <r>
      <rPr>
        <vertAlign val="subscript"/>
        <sz val="11"/>
        <color theme="1"/>
        <rFont val="Aptos Narrow"/>
        <family val="2"/>
        <scheme val="minor"/>
      </rPr>
      <t xml:space="preserve"> or Nothing</t>
    </r>
    <r>
      <rPr>
        <sz val="12"/>
        <color theme="1"/>
        <rFont val="Aptos Narrow"/>
        <family val="2"/>
        <scheme val="minor"/>
      </rPr>
      <t xml:space="preserve">  =</t>
    </r>
  </si>
  <si>
    <t>19.09.2025</t>
  </si>
  <si>
    <t>946.42K</t>
  </si>
  <si>
    <r>
      <t>pAsset</t>
    </r>
    <r>
      <rPr>
        <vertAlign val="subscript"/>
        <sz val="11"/>
        <color theme="1"/>
        <rFont val="Aptos Narrow"/>
        <family val="2"/>
        <scheme val="minor"/>
      </rPr>
      <t xml:space="preserve"> or Nothing</t>
    </r>
    <r>
      <rPr>
        <sz val="12"/>
        <color theme="1"/>
        <rFont val="Aptos Narrow"/>
        <family val="2"/>
        <scheme val="minor"/>
      </rPr>
      <t xml:space="preserve">  =</t>
    </r>
  </si>
  <si>
    <t>18.09.2025</t>
  </si>
  <si>
    <t>528.78K</t>
  </si>
  <si>
    <t>17.09.2025</t>
  </si>
  <si>
    <t>456.01K</t>
  </si>
  <si>
    <t>16.09.2025</t>
  </si>
  <si>
    <t>367.92K</t>
  </si>
  <si>
    <t>15.09.2025</t>
  </si>
  <si>
    <t>258.00K</t>
  </si>
  <si>
    <t>Chooser Options</t>
  </si>
  <si>
    <t>12.09.2025</t>
  </si>
  <si>
    <t>290.24K</t>
  </si>
  <si>
    <t>Datos Call/put Chooser option</t>
  </si>
  <si>
    <t>11.09.2025</t>
  </si>
  <si>
    <t>415.70K</t>
  </si>
  <si>
    <t>10.09.2025</t>
  </si>
  <si>
    <t>283.49K</t>
  </si>
  <si>
    <t>09.09.2025</t>
  </si>
  <si>
    <t>295.34K</t>
  </si>
  <si>
    <t>08.09.2025</t>
  </si>
  <si>
    <t>317.63K</t>
  </si>
  <si>
    <t>05.09.2025</t>
  </si>
  <si>
    <t>422.11K</t>
  </si>
  <si>
    <t>función de pagos Ass u like it</t>
  </si>
  <si>
    <t>04.09.2025</t>
  </si>
  <si>
    <t>575.65K</t>
  </si>
  <si>
    <t>Payy off</t>
  </si>
  <si>
    <t>03.09.2025</t>
  </si>
  <si>
    <t>305.17K</t>
  </si>
  <si>
    <r>
      <t>T</t>
    </r>
    <r>
      <rPr>
        <vertAlign val="subscript"/>
        <sz val="11"/>
        <color theme="1"/>
        <rFont val="Aptos Narrow"/>
        <family val="2"/>
        <scheme val="minor"/>
      </rPr>
      <t>2</t>
    </r>
    <r>
      <rPr>
        <sz val="12"/>
        <color theme="1"/>
        <rFont val="Aptos Narrow"/>
        <family val="2"/>
        <scheme val="minor"/>
      </rPr>
      <t xml:space="preserve"> =</t>
    </r>
  </si>
  <si>
    <t xml:space="preserve">c = </t>
  </si>
  <si>
    <t>02.09.2025</t>
  </si>
  <si>
    <t>481.31K</t>
  </si>
  <si>
    <t>01.09.2025</t>
  </si>
  <si>
    <t>208.38K</t>
  </si>
  <si>
    <t>29.08.2025</t>
  </si>
  <si>
    <t>497.02K</t>
  </si>
  <si>
    <t>28.08.2025</t>
  </si>
  <si>
    <t>364.98K</t>
  </si>
  <si>
    <t>27.08.2025</t>
  </si>
  <si>
    <t>381.69K</t>
  </si>
  <si>
    <t>26.08.2025</t>
  </si>
  <si>
    <t>488.94K</t>
  </si>
  <si>
    <t>25.08.2025</t>
  </si>
  <si>
    <t>322.95K</t>
  </si>
  <si>
    <t>22.08.2025</t>
  </si>
  <si>
    <t>496.68K</t>
  </si>
  <si>
    <r>
      <t>T</t>
    </r>
    <r>
      <rPr>
        <sz val="10"/>
        <color theme="1"/>
        <rFont val="Aptos Narrow (Cuerpo)"/>
      </rPr>
      <t>1</t>
    </r>
    <r>
      <rPr>
        <sz val="12"/>
        <color theme="1"/>
        <rFont val="Aptos Narrow"/>
        <family val="2"/>
        <scheme val="minor"/>
      </rPr>
      <t xml:space="preserve"> =</t>
    </r>
  </si>
  <si>
    <t xml:space="preserve">p = </t>
  </si>
  <si>
    <t>21.08.2025</t>
  </si>
  <si>
    <t>412.14K</t>
  </si>
  <si>
    <t>20.08.2025</t>
  </si>
  <si>
    <t>338.55K</t>
  </si>
  <si>
    <r>
      <t>e</t>
    </r>
    <r>
      <rPr>
        <vertAlign val="subscript"/>
        <sz val="11"/>
        <color theme="1"/>
        <rFont val="Aptos Narrow"/>
        <family val="2"/>
        <scheme val="minor"/>
      </rPr>
      <t>1</t>
    </r>
    <r>
      <rPr>
        <sz val="12"/>
        <color theme="1"/>
        <rFont val="Aptos Narrow"/>
        <family val="2"/>
        <scheme val="minor"/>
      </rPr>
      <t xml:space="preserve"> =</t>
    </r>
  </si>
  <si>
    <r>
      <t>N(-e</t>
    </r>
    <r>
      <rPr>
        <vertAlign val="subscript"/>
        <sz val="11"/>
        <color theme="1"/>
        <rFont val="Aptos Narrow"/>
        <family val="2"/>
        <scheme val="minor"/>
      </rPr>
      <t>1</t>
    </r>
    <r>
      <rPr>
        <sz val="12"/>
        <color theme="1"/>
        <rFont val="Aptos Narrow"/>
        <family val="2"/>
        <scheme val="minor"/>
      </rPr>
      <t>)=</t>
    </r>
  </si>
  <si>
    <t>19.08.2025</t>
  </si>
  <si>
    <t>742.68K</t>
  </si>
  <si>
    <r>
      <t>e</t>
    </r>
    <r>
      <rPr>
        <vertAlign val="subscript"/>
        <sz val="11"/>
        <color theme="1"/>
        <rFont val="Aptos Narrow"/>
        <family val="2"/>
        <scheme val="minor"/>
      </rPr>
      <t>2</t>
    </r>
    <r>
      <rPr>
        <sz val="12"/>
        <color theme="1"/>
        <rFont val="Aptos Narrow"/>
        <family val="2"/>
        <scheme val="minor"/>
      </rPr>
      <t xml:space="preserve"> =</t>
    </r>
  </si>
  <si>
    <r>
      <t>N(-e</t>
    </r>
    <r>
      <rPr>
        <vertAlign val="subscript"/>
        <sz val="11"/>
        <color theme="1"/>
        <rFont val="Aptos Narrow"/>
        <family val="2"/>
        <scheme val="minor"/>
      </rPr>
      <t>2</t>
    </r>
    <r>
      <rPr>
        <sz val="12"/>
        <color theme="1"/>
        <rFont val="Aptos Narrow"/>
        <family val="2"/>
        <scheme val="minor"/>
      </rPr>
      <t>)=</t>
    </r>
  </si>
  <si>
    <t>18.08.2025</t>
  </si>
  <si>
    <t>385.22K</t>
  </si>
  <si>
    <t>15.08.2025</t>
  </si>
  <si>
    <t>396.64K</t>
  </si>
  <si>
    <t>14.08.2025</t>
  </si>
  <si>
    <t>536.73K</t>
  </si>
  <si>
    <r>
      <t>Prima</t>
    </r>
    <r>
      <rPr>
        <vertAlign val="subscript"/>
        <sz val="11"/>
        <color theme="1"/>
        <rFont val="Aptos Narrow"/>
        <family val="2"/>
        <scheme val="minor"/>
      </rPr>
      <t>As_you_like_it</t>
    </r>
    <r>
      <rPr>
        <sz val="12"/>
        <color theme="1"/>
        <rFont val="Aptos Narrow"/>
        <family val="2"/>
        <scheme val="minor"/>
      </rPr>
      <t xml:space="preserve"> =</t>
    </r>
  </si>
  <si>
    <t>13.08.2025</t>
  </si>
  <si>
    <t>408.71K</t>
  </si>
  <si>
    <t>12.08.2025</t>
  </si>
  <si>
    <t>536.24K</t>
  </si>
  <si>
    <t>11.08.2025</t>
  </si>
  <si>
    <t>392.38K</t>
  </si>
  <si>
    <t>08.08.2025</t>
  </si>
  <si>
    <t>463.60K</t>
  </si>
  <si>
    <t>07.08.2025</t>
  </si>
  <si>
    <t>512.99K</t>
  </si>
  <si>
    <t>06.08.2025</t>
  </si>
  <si>
    <t>445.42K</t>
  </si>
  <si>
    <t>Opciones con valor dependiene</t>
  </si>
  <si>
    <t>05.08.2025</t>
  </si>
  <si>
    <t>352.83K</t>
  </si>
  <si>
    <t>04.08.2025</t>
  </si>
  <si>
    <t>404.82K</t>
  </si>
  <si>
    <t>opciones con barrera</t>
  </si>
  <si>
    <t>Pay off cdi</t>
  </si>
  <si>
    <t>Pay off Cdo</t>
  </si>
  <si>
    <t>01.08.2025</t>
  </si>
  <si>
    <t>598.02K</t>
  </si>
  <si>
    <t>opcion down in call</t>
  </si>
  <si>
    <t>31.07.2025</t>
  </si>
  <si>
    <t>450.89K</t>
  </si>
  <si>
    <t>30.07.2025</t>
  </si>
  <si>
    <t>462.32K</t>
  </si>
  <si>
    <t>Datos</t>
  </si>
  <si>
    <t>29.07.2025</t>
  </si>
  <si>
    <t>573.32K</t>
  </si>
  <si>
    <t>28.07.2025</t>
  </si>
  <si>
    <t>812.45K</t>
  </si>
  <si>
    <t>25.07.2025</t>
  </si>
  <si>
    <t>1.08M</t>
  </si>
  <si>
    <t>H =</t>
  </si>
  <si>
    <t>24.07.2025</t>
  </si>
  <si>
    <t>563.22K</t>
  </si>
  <si>
    <t>H&lt;K</t>
  </si>
  <si>
    <t>23.07.2025</t>
  </si>
  <si>
    <t>1.70M</t>
  </si>
  <si>
    <r>
      <t>F</t>
    </r>
    <r>
      <rPr>
        <vertAlign val="subscript"/>
        <sz val="11"/>
        <color theme="1"/>
        <rFont val="Aptos Narrow"/>
        <family val="2"/>
        <scheme val="minor"/>
      </rPr>
      <t>0</t>
    </r>
    <r>
      <rPr>
        <sz val="12"/>
        <color theme="1"/>
        <rFont val="Aptos Narrow"/>
        <family val="2"/>
        <scheme val="minor"/>
      </rPr>
      <t xml:space="preserve"> =</t>
    </r>
  </si>
  <si>
    <t>22.07.2025</t>
  </si>
  <si>
    <t>371.33K</t>
  </si>
  <si>
    <t>21.07.2025</t>
  </si>
  <si>
    <t>397.65K</t>
  </si>
  <si>
    <t>18.07.2025</t>
  </si>
  <si>
    <t>257.53K</t>
  </si>
  <si>
    <t>17.07.2025</t>
  </si>
  <si>
    <t>278.95K</t>
  </si>
  <si>
    <r>
      <t>c</t>
    </r>
    <r>
      <rPr>
        <i/>
        <vertAlign val="subscript"/>
        <sz val="11"/>
        <color theme="1"/>
        <rFont val="Aptos Narrow"/>
        <family val="2"/>
        <scheme val="minor"/>
      </rPr>
      <t>do</t>
    </r>
    <r>
      <rPr>
        <i/>
        <sz val="11"/>
        <color theme="1"/>
        <rFont val="Aptos Narrow"/>
        <family val="2"/>
        <scheme val="minor"/>
      </rPr>
      <t xml:space="preserve"> =</t>
    </r>
  </si>
  <si>
    <r>
      <t>c - c</t>
    </r>
    <r>
      <rPr>
        <i/>
        <vertAlign val="subscript"/>
        <sz val="11"/>
        <color theme="1"/>
        <rFont val="Aptos Narrow"/>
        <family val="2"/>
        <scheme val="minor"/>
      </rPr>
      <t>di</t>
    </r>
  </si>
  <si>
    <t>16.07.2025</t>
  </si>
  <si>
    <t>600.49K</t>
  </si>
  <si>
    <t>15.07.2025</t>
  </si>
  <si>
    <t>286.63K</t>
  </si>
  <si>
    <t>14.07.2025</t>
  </si>
  <si>
    <t>360.04K</t>
  </si>
  <si>
    <t>11.07.2025</t>
  </si>
  <si>
    <t>407.55K</t>
  </si>
  <si>
    <t>10.07.2025</t>
  </si>
  <si>
    <t>558.35K</t>
  </si>
  <si>
    <t>09.07.2025</t>
  </si>
  <si>
    <t>409.40K</t>
  </si>
  <si>
    <t>Call vanilla</t>
  </si>
  <si>
    <t>08.07.2025</t>
  </si>
  <si>
    <t>489.41K</t>
  </si>
  <si>
    <t>07.07.2025</t>
  </si>
  <si>
    <t>312.40K</t>
  </si>
  <si>
    <t>04.07.2025</t>
  </si>
  <si>
    <t>330.04K</t>
  </si>
  <si>
    <t>03.07.2025</t>
  </si>
  <si>
    <t>302.08K</t>
  </si>
  <si>
    <t>c =</t>
  </si>
  <si>
    <t>02.07.2025</t>
  </si>
  <si>
    <t>542.06K</t>
  </si>
  <si>
    <t>01.07.2025</t>
  </si>
  <si>
    <t>505.55K</t>
  </si>
  <si>
    <r>
      <t xml:space="preserve"> </t>
    </r>
    <r>
      <rPr>
        <i/>
        <sz val="11"/>
        <color theme="1"/>
        <rFont val="Aptos Narrow"/>
        <family val="2"/>
        <scheme val="minor"/>
      </rPr>
      <t>c</t>
    </r>
    <r>
      <rPr>
        <i/>
        <vertAlign val="subscript"/>
        <sz val="11"/>
        <color theme="1"/>
        <rFont val="Aptos Narrow"/>
        <family val="2"/>
        <scheme val="minor"/>
      </rPr>
      <t>di</t>
    </r>
  </si>
  <si>
    <t>30.06.2025</t>
  </si>
  <si>
    <t>448.76K</t>
  </si>
  <si>
    <t>27.06.2025</t>
  </si>
  <si>
    <t>785.58K</t>
  </si>
  <si>
    <t>l =</t>
  </si>
  <si>
    <t>N(y) =</t>
  </si>
  <si>
    <t>26.06.2025</t>
  </si>
  <si>
    <t>575.58K</t>
  </si>
  <si>
    <t>y =</t>
  </si>
  <si>
    <r>
      <t>N(y-</t>
    </r>
    <r>
      <rPr>
        <sz val="11"/>
        <color theme="1"/>
        <rFont val="Symbol"/>
        <family val="1"/>
        <charset val="2"/>
      </rPr>
      <t>s</t>
    </r>
    <r>
      <rPr>
        <sz val="12"/>
        <color theme="1"/>
        <rFont val="Aptos Narrow"/>
        <family val="2"/>
        <scheme val="minor"/>
      </rPr>
      <t>*raiz(T)) =</t>
    </r>
  </si>
  <si>
    <t>25.06.2025</t>
  </si>
  <si>
    <t>462.34K</t>
  </si>
  <si>
    <t>24.06.2025</t>
  </si>
  <si>
    <t>601.61K</t>
  </si>
  <si>
    <r>
      <t>c</t>
    </r>
    <r>
      <rPr>
        <i/>
        <vertAlign val="subscript"/>
        <sz val="11"/>
        <color theme="1"/>
        <rFont val="Aptos Narrow"/>
        <family val="2"/>
        <scheme val="minor"/>
      </rPr>
      <t>di</t>
    </r>
    <r>
      <rPr>
        <i/>
        <sz val="11"/>
        <color theme="1"/>
        <rFont val="Aptos Narrow"/>
        <family val="2"/>
        <scheme val="minor"/>
      </rPr>
      <t xml:space="preserve"> =</t>
    </r>
  </si>
  <si>
    <t>23.06.2025</t>
  </si>
  <si>
    <t>331.70K</t>
  </si>
  <si>
    <t>20.06.2025</t>
  </si>
  <si>
    <t>996.81K</t>
  </si>
  <si>
    <t>19.06.2025</t>
  </si>
  <si>
    <t>357.91K</t>
  </si>
  <si>
    <t>18.06.2025</t>
  </si>
  <si>
    <t>368.56K</t>
  </si>
  <si>
    <t>17.06.2025</t>
  </si>
  <si>
    <t>505.29K</t>
  </si>
  <si>
    <t>16.06.2025</t>
  </si>
  <si>
    <t>370.26K</t>
  </si>
  <si>
    <t>13.06.2025</t>
  </si>
  <si>
    <t>576.01K</t>
  </si>
  <si>
    <t>12.06.2025</t>
  </si>
  <si>
    <t>333.30K</t>
  </si>
  <si>
    <t>11.06.2025</t>
  </si>
  <si>
    <t>530.42K</t>
  </si>
  <si>
    <t>10.06.2025</t>
  </si>
  <si>
    <t>529.00K</t>
  </si>
  <si>
    <t>09.06.2025</t>
  </si>
  <si>
    <t>209.15K</t>
  </si>
  <si>
    <t>H&gt;K</t>
  </si>
  <si>
    <t>06.06.2025</t>
  </si>
  <si>
    <t>393.24K</t>
  </si>
  <si>
    <r>
      <rPr>
        <vertAlign val="subscript"/>
        <sz val="11"/>
        <color theme="1"/>
        <rFont val="Aptos Narrow"/>
        <family val="2"/>
        <scheme val="minor"/>
      </rPr>
      <t>S0</t>
    </r>
    <r>
      <rPr>
        <sz val="12"/>
        <color theme="1"/>
        <rFont val="Aptos Narrow"/>
        <family val="2"/>
        <scheme val="minor"/>
      </rPr>
      <t xml:space="preserve"> =</t>
    </r>
  </si>
  <si>
    <t>05.06.2025</t>
  </si>
  <si>
    <t>414.97K</t>
  </si>
  <si>
    <t>q=</t>
  </si>
  <si>
    <t>04.06.2025</t>
  </si>
  <si>
    <t>520.90K</t>
  </si>
  <si>
    <t>03.06.2025</t>
  </si>
  <si>
    <t>609.88K</t>
  </si>
  <si>
    <t>02.06.2025</t>
  </si>
  <si>
    <t>690.82K</t>
  </si>
  <si>
    <t>30.05.2025</t>
  </si>
  <si>
    <t>1.30M</t>
  </si>
  <si>
    <r>
      <t>c - c</t>
    </r>
    <r>
      <rPr>
        <i/>
        <vertAlign val="subscript"/>
        <sz val="11"/>
        <color theme="1"/>
        <rFont val="Aptos Narrow"/>
        <family val="2"/>
        <scheme val="minor"/>
      </rPr>
      <t>do</t>
    </r>
  </si>
  <si>
    <t>29.05.2025</t>
  </si>
  <si>
    <t>336.89K</t>
  </si>
  <si>
    <t>28.05.2025</t>
  </si>
  <si>
    <t>512.77K</t>
  </si>
  <si>
    <t>27.05.2025</t>
  </si>
  <si>
    <t>491.83K</t>
  </si>
  <si>
    <t>Lamda</t>
  </si>
  <si>
    <t>26.05.2025</t>
  </si>
  <si>
    <t>664.80K</t>
  </si>
  <si>
    <t>x_1</t>
  </si>
  <si>
    <t>23.05.2025</t>
  </si>
  <si>
    <t>1.44M</t>
  </si>
  <si>
    <t>y_1</t>
  </si>
  <si>
    <t>22.05.2025</t>
  </si>
  <si>
    <t>485.06K</t>
  </si>
  <si>
    <t>x_1,2</t>
  </si>
  <si>
    <t>21.05.2025</t>
  </si>
  <si>
    <t>464.47K</t>
  </si>
  <si>
    <t>y_1,2</t>
  </si>
  <si>
    <t>20.05.2025</t>
  </si>
  <si>
    <t>592.40K</t>
  </si>
  <si>
    <t>N(x1)</t>
  </si>
  <si>
    <t>19.05.2025</t>
  </si>
  <si>
    <t>787.88K</t>
  </si>
  <si>
    <t>N(y1)</t>
  </si>
  <si>
    <t>16.05.2025</t>
  </si>
  <si>
    <t>625.44K</t>
  </si>
  <si>
    <t>N(x1 - )</t>
  </si>
  <si>
    <t>15.05.2025</t>
  </si>
  <si>
    <t>656.60K</t>
  </si>
  <si>
    <t>N(y1 -)</t>
  </si>
  <si>
    <t>14.05.2025</t>
  </si>
  <si>
    <t>641.41K</t>
  </si>
  <si>
    <t>13.05.2025</t>
  </si>
  <si>
    <t>734.90K</t>
  </si>
  <si>
    <t>Cdo</t>
  </si>
  <si>
    <t>12.05.2025</t>
  </si>
  <si>
    <t>821.51K</t>
  </si>
  <si>
    <t xml:space="preserve">c </t>
  </si>
  <si>
    <t>09.05.2025</t>
  </si>
  <si>
    <t>628.33K</t>
  </si>
  <si>
    <t>08.05.2025</t>
  </si>
  <si>
    <t>734.31K</t>
  </si>
  <si>
    <t>Cdi</t>
  </si>
  <si>
    <t>07.05.2025</t>
  </si>
  <si>
    <t>509.67K</t>
  </si>
  <si>
    <t>06.05.2025</t>
  </si>
  <si>
    <t>05.05.2025</t>
  </si>
  <si>
    <t>319.25K</t>
  </si>
  <si>
    <t>02.05.2025</t>
  </si>
  <si>
    <t>625.87K</t>
  </si>
  <si>
    <t>30.04.2025</t>
  </si>
  <si>
    <t>730.54K</t>
  </si>
  <si>
    <t>Up and-in call</t>
  </si>
  <si>
    <t>nota:</t>
  </si>
  <si>
    <t>Caudno H&lt;k entoces el cui se convierte en un call vanilla y cuo es 0</t>
  </si>
  <si>
    <t>29.04.2025</t>
  </si>
  <si>
    <t>778.87K</t>
  </si>
  <si>
    <t>28.04.2025</t>
  </si>
  <si>
    <t>592.31K</t>
  </si>
  <si>
    <t>25.04.2025</t>
  </si>
  <si>
    <t>553.05K</t>
  </si>
  <si>
    <t>24.04.2025</t>
  </si>
  <si>
    <t>626.24K</t>
  </si>
  <si>
    <t>23.04.2025</t>
  </si>
  <si>
    <t>929.46K</t>
  </si>
  <si>
    <t>22.04.2025</t>
  </si>
  <si>
    <t>760.92K</t>
  </si>
  <si>
    <t>17.04.2025</t>
  </si>
  <si>
    <t>727.22K</t>
  </si>
  <si>
    <t>16.04.2025</t>
  </si>
  <si>
    <t>536.12K</t>
  </si>
  <si>
    <t>15.04.2025</t>
  </si>
  <si>
    <t>616.48K</t>
  </si>
  <si>
    <t>14.04.2025</t>
  </si>
  <si>
    <t>628.14K</t>
  </si>
  <si>
    <t>11.04.2025</t>
  </si>
  <si>
    <t>819.81K</t>
  </si>
  <si>
    <r>
      <t>cu</t>
    </r>
    <r>
      <rPr>
        <i/>
        <vertAlign val="subscript"/>
        <sz val="11"/>
        <color theme="1"/>
        <rFont val="Aptos Narrow"/>
        <family val="2"/>
        <scheme val="minor"/>
      </rPr>
      <t>i</t>
    </r>
    <r>
      <rPr>
        <i/>
        <sz val="11"/>
        <color theme="1"/>
        <rFont val="Aptos Narrow"/>
        <family val="2"/>
        <scheme val="minor"/>
      </rPr>
      <t xml:space="preserve"> =</t>
    </r>
  </si>
  <si>
    <r>
      <t>c - cu</t>
    </r>
    <r>
      <rPr>
        <i/>
        <vertAlign val="subscript"/>
        <sz val="11"/>
        <color theme="1"/>
        <rFont val="Aptos Narrow"/>
        <family val="2"/>
        <scheme val="minor"/>
      </rPr>
      <t>o</t>
    </r>
  </si>
  <si>
    <t>10.04.2025</t>
  </si>
  <si>
    <t>1.31M</t>
  </si>
  <si>
    <t>09.04.2025</t>
  </si>
  <si>
    <t>993.95K</t>
  </si>
  <si>
    <t>08.04.2025</t>
  </si>
  <si>
    <t>1.38M</t>
  </si>
  <si>
    <t>07.04.2025</t>
  </si>
  <si>
    <t>1.82M</t>
  </si>
  <si>
    <t>04.04.2025</t>
  </si>
  <si>
    <t>2.13M</t>
  </si>
  <si>
    <t>03.04.2025</t>
  </si>
  <si>
    <t>y</t>
  </si>
  <si>
    <t>cui</t>
  </si>
  <si>
    <t>cuo</t>
  </si>
  <si>
    <t>02.04.2025</t>
  </si>
  <si>
    <t>894.26K</t>
  </si>
  <si>
    <t>01.04.2025</t>
  </si>
  <si>
    <t>834.37K</t>
  </si>
  <si>
    <t>31.03.2025</t>
  </si>
  <si>
    <t>1.28M</t>
  </si>
  <si>
    <t>parte 1</t>
  </si>
  <si>
    <t>28.03.2025</t>
  </si>
  <si>
    <t>1.19M</t>
  </si>
  <si>
    <t>parte 2</t>
  </si>
  <si>
    <t>27.03.2025</t>
  </si>
  <si>
    <t>1.32M</t>
  </si>
  <si>
    <t>parte 3</t>
  </si>
  <si>
    <t>26.03.2025</t>
  </si>
  <si>
    <t>623.28K</t>
  </si>
  <si>
    <t>N(y)</t>
  </si>
  <si>
    <t>25.03.2025</t>
  </si>
  <si>
    <t>459.92K</t>
  </si>
  <si>
    <t>N(-y -)</t>
  </si>
  <si>
    <t>24.03.2025</t>
  </si>
  <si>
    <t>505.47K</t>
  </si>
  <si>
    <t>N(-y)</t>
  </si>
  <si>
    <t>21.03.2025</t>
  </si>
  <si>
    <t>2.29M</t>
  </si>
  <si>
    <t>20.03.2025</t>
  </si>
  <si>
    <t>868.67K</t>
  </si>
  <si>
    <t>N(-y1 + )</t>
  </si>
  <si>
    <t>19.03.2025</t>
  </si>
  <si>
    <t>799.40K</t>
  </si>
  <si>
    <t>18.03.2025</t>
  </si>
  <si>
    <t>735.61K</t>
  </si>
  <si>
    <t>17.03.2025</t>
  </si>
  <si>
    <t>784.80K</t>
  </si>
  <si>
    <t>Cui</t>
  </si>
  <si>
    <t>14.03.2025</t>
  </si>
  <si>
    <t>925.59K</t>
  </si>
  <si>
    <t>13.03.2025</t>
  </si>
  <si>
    <t>718.41K</t>
  </si>
  <si>
    <t>12.03.2025</t>
  </si>
  <si>
    <t>772.49K</t>
  </si>
  <si>
    <t>Cuo</t>
  </si>
  <si>
    <t>11.03.2025</t>
  </si>
  <si>
    <t>1.13M</t>
  </si>
  <si>
    <t>10.03.2025</t>
  </si>
  <si>
    <t>1.12M</t>
  </si>
  <si>
    <t>07.03.2025</t>
  </si>
  <si>
    <t>729.59K</t>
  </si>
  <si>
    <t>06.03.2025</t>
  </si>
  <si>
    <t>835.60K</t>
  </si>
  <si>
    <t>05.03.2025</t>
  </si>
  <si>
    <t>946.65K</t>
  </si>
  <si>
    <t>04.03.2025</t>
  </si>
  <si>
    <t>1.07M</t>
  </si>
  <si>
    <t>03.03.2025</t>
  </si>
  <si>
    <t>28.02.2025</t>
  </si>
  <si>
    <t>826.17K</t>
  </si>
  <si>
    <t>27.02.2025</t>
  </si>
  <si>
    <t>800.24K</t>
  </si>
  <si>
    <t>26.02.2025</t>
  </si>
  <si>
    <t>698.75K</t>
  </si>
  <si>
    <t>25.02.2025</t>
  </si>
  <si>
    <t>980.57K</t>
  </si>
  <si>
    <t>24.02.2025</t>
  </si>
  <si>
    <t>543.40K</t>
  </si>
  <si>
    <t>21.02.2025</t>
  </si>
  <si>
    <t>449.73K</t>
  </si>
  <si>
    <t>20.02.2025</t>
  </si>
  <si>
    <t>508.18K</t>
  </si>
  <si>
    <t>19.02.2025</t>
  </si>
  <si>
    <t>751.17K</t>
  </si>
  <si>
    <t>18.02.2025</t>
  </si>
  <si>
    <t>314.55K</t>
  </si>
  <si>
    <t>17.02.2025</t>
  </si>
  <si>
    <t>424.18K</t>
  </si>
  <si>
    <t>14.02.2025</t>
  </si>
  <si>
    <t>594.22K</t>
  </si>
  <si>
    <t>13.02.2025</t>
  </si>
  <si>
    <t>1.54M</t>
  </si>
  <si>
    <t>12.02.2025</t>
  </si>
  <si>
    <t>452.27K</t>
  </si>
  <si>
    <t>11.02.2025</t>
  </si>
  <si>
    <t>615.95K</t>
  </si>
  <si>
    <t>10.02.2025</t>
  </si>
  <si>
    <t>527.31K</t>
  </si>
  <si>
    <t>07.02.2025</t>
  </si>
  <si>
    <t>861.35K</t>
  </si>
  <si>
    <t>06.02.2025</t>
  </si>
  <si>
    <t>513.43K</t>
  </si>
  <si>
    <t xml:space="preserve">Put up in/out </t>
  </si>
  <si>
    <t>05.02.2025</t>
  </si>
  <si>
    <t>551.46K</t>
  </si>
  <si>
    <t>04.02.2025</t>
  </si>
  <si>
    <t>397.96K</t>
  </si>
  <si>
    <t>03.02.2025</t>
  </si>
  <si>
    <t>893.53K</t>
  </si>
  <si>
    <t>H&gt;k</t>
  </si>
  <si>
    <t>H&lt;k</t>
  </si>
  <si>
    <t>31.01.2025</t>
  </si>
  <si>
    <t>451.89K</t>
  </si>
  <si>
    <t>Pui</t>
  </si>
  <si>
    <t>puo</t>
  </si>
  <si>
    <t>30.01.2025</t>
  </si>
  <si>
    <t>480.00K</t>
  </si>
  <si>
    <t>29.01.2025</t>
  </si>
  <si>
    <t>414.60K</t>
  </si>
  <si>
    <t>28.01.2025</t>
  </si>
  <si>
    <t>638.61K</t>
  </si>
  <si>
    <t>27.01.2025</t>
  </si>
  <si>
    <t>676.80K</t>
  </si>
  <si>
    <t>24.01.2025</t>
  </si>
  <si>
    <t>827.93K</t>
  </si>
  <si>
    <t>23.01.2025</t>
  </si>
  <si>
    <t>525.05K</t>
  </si>
  <si>
    <t>22.01.2025</t>
  </si>
  <si>
    <t>415.79K</t>
  </si>
  <si>
    <t>21.01.2025</t>
  </si>
  <si>
    <t>424.39K</t>
  </si>
  <si>
    <t>20.01.2025</t>
  </si>
  <si>
    <t>832.04K</t>
  </si>
  <si>
    <t>17.01.2025</t>
  </si>
  <si>
    <t>515.00K</t>
  </si>
  <si>
    <t>16.01.2025</t>
  </si>
  <si>
    <t>563.13K</t>
  </si>
  <si>
    <t>puo =</t>
  </si>
  <si>
    <t>p - pui</t>
  </si>
  <si>
    <t>pui =</t>
  </si>
  <si>
    <t>p - puo</t>
  </si>
  <si>
    <t>15.01.2025</t>
  </si>
  <si>
    <t>600.58K</t>
  </si>
  <si>
    <t>14.01.2025</t>
  </si>
  <si>
    <t>628.70K</t>
  </si>
  <si>
    <t>13.01.2025</t>
  </si>
  <si>
    <t>501.71K</t>
  </si>
  <si>
    <t>10.01.2025</t>
  </si>
  <si>
    <t>09.01.2025</t>
  </si>
  <si>
    <t>819.60K</t>
  </si>
  <si>
    <t>08.01.2025</t>
  </si>
  <si>
    <t>659.52K</t>
  </si>
  <si>
    <t>07.01.2025</t>
  </si>
  <si>
    <t>517.60K</t>
  </si>
  <si>
    <t>06.01.2025</t>
  </si>
  <si>
    <t>2.08M</t>
  </si>
  <si>
    <t>03.01.2025</t>
  </si>
  <si>
    <t>665.92K</t>
  </si>
  <si>
    <t>N(-x1)</t>
  </si>
  <si>
    <t>02.01.2025</t>
  </si>
  <si>
    <t>582.29K</t>
  </si>
  <si>
    <t>30.12.2024</t>
  </si>
  <si>
    <t>419.81K</t>
  </si>
  <si>
    <t>N(-x1 +)</t>
  </si>
  <si>
    <t>27.12.2024</t>
  </si>
  <si>
    <t>1.25M</t>
  </si>
  <si>
    <t>23.12.2024</t>
  </si>
  <si>
    <t>947.68K</t>
  </si>
  <si>
    <t>N(-y +)</t>
  </si>
  <si>
    <t>N(-y1)</t>
  </si>
  <si>
    <t>20.12.2024</t>
  </si>
  <si>
    <t>1.77M</t>
  </si>
  <si>
    <t>19.12.2024</t>
  </si>
  <si>
    <t>1.24M</t>
  </si>
  <si>
    <t>18.12.2024</t>
  </si>
  <si>
    <t>823.65K</t>
  </si>
  <si>
    <t>17.12.2024</t>
  </si>
  <si>
    <t>827.64K</t>
  </si>
  <si>
    <t>16.12.2024</t>
  </si>
  <si>
    <t>1.15M</t>
  </si>
  <si>
    <t>13.12.2024</t>
  </si>
  <si>
    <t>897.46K</t>
  </si>
  <si>
    <t>pui</t>
  </si>
  <si>
    <t>12.12.2024</t>
  </si>
  <si>
    <t>680.16K</t>
  </si>
  <si>
    <t xml:space="preserve">p </t>
  </si>
  <si>
    <t>11.12.2024</t>
  </si>
  <si>
    <t>639.97K</t>
  </si>
  <si>
    <t>10.12.2024</t>
  </si>
  <si>
    <t>624.68K</t>
  </si>
  <si>
    <t>09.12.2024</t>
  </si>
  <si>
    <t>811.51K</t>
  </si>
  <si>
    <t>06.12.2024</t>
  </si>
  <si>
    <t>681.04K</t>
  </si>
  <si>
    <t>05.12.2024</t>
  </si>
  <si>
    <t>561.85K</t>
  </si>
  <si>
    <t>04.12.2024</t>
  </si>
  <si>
    <t>921.04K</t>
  </si>
  <si>
    <t>03.12.2024</t>
  </si>
  <si>
    <t>442.34K</t>
  </si>
  <si>
    <t>02.12.2024</t>
  </si>
  <si>
    <t>677.31K</t>
  </si>
  <si>
    <t>29.11.2024</t>
  </si>
  <si>
    <t>564.10K</t>
  </si>
  <si>
    <t>28.11.2024</t>
  </si>
  <si>
    <t>566.53K</t>
  </si>
  <si>
    <t>27.11.2024</t>
  </si>
  <si>
    <t>399.34K</t>
  </si>
  <si>
    <t>Opciones Asiáticas</t>
  </si>
  <si>
    <t>S_average</t>
  </si>
  <si>
    <t>Call</t>
  </si>
  <si>
    <t>Put</t>
  </si>
  <si>
    <t>26.11.2024</t>
  </si>
  <si>
    <t>741.03K</t>
  </si>
  <si>
    <t>25.11.2024</t>
  </si>
  <si>
    <t>1.22M</t>
  </si>
  <si>
    <t>Call/put asiático</t>
  </si>
  <si>
    <t>Average</t>
  </si>
  <si>
    <t>22.11.2024</t>
  </si>
  <si>
    <t>566.65K</t>
  </si>
  <si>
    <t>21.11.2024</t>
  </si>
  <si>
    <t>877.24K</t>
  </si>
  <si>
    <t>Tipo</t>
  </si>
  <si>
    <t>20.11.2024</t>
  </si>
  <si>
    <t>774.77K</t>
  </si>
  <si>
    <r>
      <t>S</t>
    </r>
    <r>
      <rPr>
        <vertAlign val="subscript"/>
        <sz val="11"/>
        <color theme="1"/>
        <rFont val="Aptos Narrow"/>
        <family val="2"/>
        <scheme val="minor"/>
      </rPr>
      <t xml:space="preserve">0 </t>
    </r>
    <r>
      <rPr>
        <sz val="12"/>
        <color theme="1"/>
        <rFont val="Aptos Narrow"/>
        <family val="2"/>
        <scheme val="minor"/>
      </rPr>
      <t>=</t>
    </r>
  </si>
  <si>
    <t>19.11.2024</t>
  </si>
  <si>
    <t>807.18K</t>
  </si>
  <si>
    <t>k =</t>
  </si>
  <si>
    <t>18.11.2024</t>
  </si>
  <si>
    <t>827.27K</t>
  </si>
  <si>
    <t>t =</t>
  </si>
  <si>
    <t>15.11.2024</t>
  </si>
  <si>
    <t>846.54K</t>
  </si>
  <si>
    <t>sigma =</t>
  </si>
  <si>
    <t>14.11.2024</t>
  </si>
  <si>
    <t>1.21M</t>
  </si>
  <si>
    <t>Put_Asian</t>
  </si>
  <si>
    <t>13.11.2024</t>
  </si>
  <si>
    <t>3.00M</t>
  </si>
  <si>
    <t>12.11.2024</t>
  </si>
  <si>
    <t>945.33K</t>
  </si>
  <si>
    <r>
      <t>Calculo Auxiliar para M</t>
    </r>
    <r>
      <rPr>
        <vertAlign val="subscript"/>
        <sz val="11"/>
        <color theme="1"/>
        <rFont val="Aptos Narrow"/>
        <family val="2"/>
        <scheme val="minor"/>
      </rPr>
      <t>2</t>
    </r>
  </si>
  <si>
    <t>11.11.2024</t>
  </si>
  <si>
    <t>616.45K</t>
  </si>
  <si>
    <t>Call_Vanilla</t>
  </si>
  <si>
    <t>Call_Asian</t>
  </si>
  <si>
    <t>Primer Sumando</t>
  </si>
  <si>
    <t>Segundo Sumando</t>
  </si>
  <si>
    <t>08.11.2024</t>
  </si>
  <si>
    <t>07.11.2024</t>
  </si>
  <si>
    <r>
      <t>M</t>
    </r>
    <r>
      <rPr>
        <vertAlign val="subscript"/>
        <sz val="11"/>
        <color theme="1"/>
        <rFont val="Aptos Narrow"/>
        <family val="2"/>
        <scheme val="minor"/>
      </rPr>
      <t xml:space="preserve">1 </t>
    </r>
    <r>
      <rPr>
        <sz val="12"/>
        <color theme="1"/>
        <rFont val="Aptos Narrow"/>
        <family val="2"/>
        <scheme val="minor"/>
      </rPr>
      <t>=</t>
    </r>
  </si>
  <si>
    <t>06.11.2024</t>
  </si>
  <si>
    <t>2.04M</t>
  </si>
  <si>
    <r>
      <t>M</t>
    </r>
    <r>
      <rPr>
        <vertAlign val="subscript"/>
        <sz val="11"/>
        <color theme="1"/>
        <rFont val="Aptos Narrow"/>
        <family val="2"/>
        <scheme val="minor"/>
      </rPr>
      <t xml:space="preserve">2 </t>
    </r>
    <r>
      <rPr>
        <sz val="12"/>
        <color theme="1"/>
        <rFont val="Aptos Narrow"/>
        <family val="2"/>
        <scheme val="minor"/>
      </rPr>
      <t>=</t>
    </r>
  </si>
  <si>
    <t>05.11.2024</t>
  </si>
  <si>
    <t>490.07K</t>
  </si>
  <si>
    <r>
      <t>F</t>
    </r>
    <r>
      <rPr>
        <vertAlign val="subscript"/>
        <sz val="11"/>
        <color theme="1"/>
        <rFont val="Aptos Narrow"/>
        <family val="2"/>
        <scheme val="minor"/>
      </rPr>
      <t>o</t>
    </r>
    <r>
      <rPr>
        <sz val="12"/>
        <color theme="1"/>
        <rFont val="Aptos Narrow"/>
        <family val="2"/>
        <scheme val="minor"/>
      </rPr>
      <t xml:space="preserve"> =</t>
    </r>
  </si>
  <si>
    <t>04.11.2024</t>
  </si>
  <si>
    <t>391.12K</t>
  </si>
  <si>
    <t>Sigma2 =</t>
  </si>
  <si>
    <t>01.11.2024</t>
  </si>
  <si>
    <t>395.25K</t>
  </si>
  <si>
    <t>Sigma =</t>
  </si>
  <si>
    <t>31.10.2024</t>
  </si>
  <si>
    <t>604.63K</t>
  </si>
  <si>
    <t>d1</t>
  </si>
  <si>
    <t>30.10.2024</t>
  </si>
  <si>
    <t>765.19K</t>
  </si>
  <si>
    <t>d2</t>
  </si>
  <si>
    <t>29.10.2024</t>
  </si>
  <si>
    <t>1.55M</t>
  </si>
  <si>
    <t>28.10.2024</t>
  </si>
  <si>
    <t>889.27K</t>
  </si>
  <si>
    <t>25.10.2024</t>
  </si>
  <si>
    <t>546.47K</t>
  </si>
  <si>
    <t>24.10.2024</t>
  </si>
  <si>
    <t>784.83K</t>
  </si>
  <si>
    <t>23.10.2024</t>
  </si>
  <si>
    <t>471.72K</t>
  </si>
  <si>
    <t>22.10.2024</t>
  </si>
  <si>
    <t>330.70K</t>
  </si>
  <si>
    <t>21.10.2024</t>
  </si>
  <si>
    <t>578.55K</t>
  </si>
  <si>
    <t>18.10.2024</t>
  </si>
  <si>
    <t>798.24K</t>
  </si>
  <si>
    <t>17.10.2024</t>
  </si>
  <si>
    <t>279.42K</t>
  </si>
  <si>
    <t>16.10.2024</t>
  </si>
  <si>
    <t>363.75K</t>
  </si>
  <si>
    <r>
      <t>S</t>
    </r>
    <r>
      <rPr>
        <vertAlign val="subscript"/>
        <sz val="11"/>
        <color rgb="FF000000"/>
        <rFont val="Calibri"/>
        <family val="2"/>
      </rPr>
      <t xml:space="preserve">0 </t>
    </r>
    <r>
      <rPr>
        <sz val="11"/>
        <color rgb="FF000000"/>
        <rFont val="Calibri"/>
        <family val="2"/>
      </rPr>
      <t>=</t>
    </r>
  </si>
  <si>
    <t>15.10.2024</t>
  </si>
  <si>
    <t>490.01K</t>
  </si>
  <si>
    <t>14.10.2024</t>
  </si>
  <si>
    <t>295.39K</t>
  </si>
  <si>
    <t>11.10.2024</t>
  </si>
  <si>
    <t>258.68K</t>
  </si>
  <si>
    <t>10.10.2024</t>
  </si>
  <si>
    <t>320.00K</t>
  </si>
  <si>
    <t>09.10.2024</t>
  </si>
  <si>
    <t>409.99K</t>
  </si>
  <si>
    <t>08.10.2024</t>
  </si>
  <si>
    <t>519.21K</t>
  </si>
  <si>
    <t>07.10.2024</t>
  </si>
  <si>
    <t>346.57K</t>
  </si>
  <si>
    <r>
      <t>s</t>
    </r>
    <r>
      <rPr>
        <vertAlign val="subscript"/>
        <sz val="11"/>
        <color rgb="FF000000"/>
        <rFont val="Calibri"/>
        <family val="2"/>
      </rPr>
      <t>A</t>
    </r>
    <r>
      <rPr>
        <sz val="11"/>
        <color rgb="FF000000"/>
        <rFont val="Calibri"/>
        <family val="2"/>
      </rPr>
      <t xml:space="preserve"> =</t>
    </r>
  </si>
  <si>
    <t>04.10.2024</t>
  </si>
  <si>
    <t>754.33K</t>
  </si>
  <si>
    <r>
      <t>b</t>
    </r>
    <r>
      <rPr>
        <vertAlign val="subscript"/>
        <sz val="11"/>
        <color rgb="FF000000"/>
        <rFont val="Calibri Light"/>
        <family val="2"/>
      </rPr>
      <t>a</t>
    </r>
    <r>
      <rPr>
        <sz val="11"/>
        <color rgb="FF000000"/>
        <rFont val="Calibri Light"/>
        <family val="2"/>
      </rPr>
      <t xml:space="preserve"> =</t>
    </r>
  </si>
  <si>
    <t>03.10.2024</t>
  </si>
  <si>
    <t>1.37M</t>
  </si>
  <si>
    <r>
      <t>d</t>
    </r>
    <r>
      <rPr>
        <vertAlign val="subscript"/>
        <sz val="11"/>
        <color rgb="FF000000"/>
        <rFont val="Calibri"/>
        <family val="2"/>
      </rPr>
      <t xml:space="preserve">1 </t>
    </r>
    <r>
      <rPr>
        <sz val="11"/>
        <color rgb="FF000000"/>
        <rFont val="Calibri"/>
        <family val="2"/>
      </rPr>
      <t>=</t>
    </r>
  </si>
  <si>
    <r>
      <t>N(d</t>
    </r>
    <r>
      <rPr>
        <vertAlign val="subscript"/>
        <sz val="11"/>
        <color rgb="FF000000"/>
        <rFont val="Calibri"/>
        <family val="2"/>
      </rPr>
      <t>1</t>
    </r>
    <r>
      <rPr>
        <sz val="11"/>
        <color rgb="FF000000"/>
        <rFont val="Calibri"/>
        <family val="2"/>
      </rPr>
      <t>)=</t>
    </r>
  </si>
  <si>
    <t>02.10.2024</t>
  </si>
  <si>
    <t>313.97K</t>
  </si>
  <si>
    <r>
      <t>d</t>
    </r>
    <r>
      <rPr>
        <vertAlign val="subscript"/>
        <sz val="11"/>
        <color rgb="FF000000"/>
        <rFont val="Calibri"/>
        <family val="2"/>
      </rPr>
      <t xml:space="preserve">2 </t>
    </r>
    <r>
      <rPr>
        <sz val="11"/>
        <color rgb="FF000000"/>
        <rFont val="Calibri"/>
        <family val="2"/>
      </rPr>
      <t>=</t>
    </r>
  </si>
  <si>
    <r>
      <t>N(d</t>
    </r>
    <r>
      <rPr>
        <vertAlign val="subscript"/>
        <sz val="11"/>
        <color rgb="FF000000"/>
        <rFont val="Calibri"/>
        <family val="2"/>
      </rPr>
      <t>2</t>
    </r>
    <r>
      <rPr>
        <sz val="11"/>
        <color rgb="FF000000"/>
        <rFont val="Calibri"/>
        <family val="2"/>
      </rPr>
      <t>)=</t>
    </r>
  </si>
  <si>
    <t>01.10.2024</t>
  </si>
  <si>
    <t>557.89K</t>
  </si>
  <si>
    <t>30.09.2024</t>
  </si>
  <si>
    <t>1.29M</t>
  </si>
  <si>
    <t>27.09.2024</t>
  </si>
  <si>
    <t>p =</t>
  </si>
  <si>
    <t>26.09.2024</t>
  </si>
  <si>
    <t>895.79K</t>
  </si>
  <si>
    <t>25.09.2024</t>
  </si>
  <si>
    <t>546.38K</t>
  </si>
  <si>
    <t>Vanilla:</t>
  </si>
  <si>
    <t>24.09.2024</t>
  </si>
  <si>
    <t>892.98K</t>
  </si>
  <si>
    <t>23.09.2024</t>
  </si>
  <si>
    <t>759.30K</t>
  </si>
  <si>
    <t>20.09.2024</t>
  </si>
  <si>
    <t>19.09.2024</t>
  </si>
  <si>
    <t>581.96K</t>
  </si>
  <si>
    <t>18.09.2024</t>
  </si>
  <si>
    <t>479.94K</t>
  </si>
  <si>
    <t>17.09.2024</t>
  </si>
  <si>
    <t>718.50K</t>
  </si>
  <si>
    <t>16.09.2024</t>
  </si>
  <si>
    <t>367.95K</t>
  </si>
  <si>
    <t>13.09.2024</t>
  </si>
  <si>
    <t>1.05M</t>
  </si>
  <si>
    <t>12.09.2024</t>
  </si>
  <si>
    <t>447.86K</t>
  </si>
  <si>
    <t>11.09.2024</t>
  </si>
  <si>
    <t>764.65K</t>
  </si>
  <si>
    <t>10.09.2024</t>
  </si>
  <si>
    <t>1.92M</t>
  </si>
  <si>
    <t>09.09.2024</t>
  </si>
  <si>
    <t>551.30K</t>
  </si>
  <si>
    <t>06.09.2024</t>
  </si>
  <si>
    <t>768.22K</t>
  </si>
  <si>
    <t>05.09.2024</t>
  </si>
  <si>
    <t>635.19K</t>
  </si>
  <si>
    <t>04.09.2024</t>
  </si>
  <si>
    <t>644.28K</t>
  </si>
  <si>
    <t>03.09.2024</t>
  </si>
  <si>
    <t>558.37K</t>
  </si>
  <si>
    <t>02.09.2024</t>
  </si>
  <si>
    <t>563.57K</t>
  </si>
  <si>
    <t>30.08.2024</t>
  </si>
  <si>
    <t>425.58K</t>
  </si>
  <si>
    <t>29.08.2024</t>
  </si>
  <si>
    <t>287.64K</t>
  </si>
  <si>
    <t>28.08.2024</t>
  </si>
  <si>
    <t>344.46K</t>
  </si>
  <si>
    <t>27.08.2024</t>
  </si>
  <si>
    <t>281.33K</t>
  </si>
  <si>
    <t>26.08.2024</t>
  </si>
  <si>
    <t>193.99K</t>
  </si>
  <si>
    <t>23.08.2024</t>
  </si>
  <si>
    <t>509.65K</t>
  </si>
  <si>
    <t>22.08.2024</t>
  </si>
  <si>
    <t>372.30K</t>
  </si>
  <si>
    <t>21.08.2024</t>
  </si>
  <si>
    <t>444.12K</t>
  </si>
  <si>
    <t>20.08.2024</t>
  </si>
  <si>
    <t>463.41K</t>
  </si>
  <si>
    <t>19.08.2024</t>
  </si>
  <si>
    <t>566.58K</t>
  </si>
  <si>
    <t>16.08.2024</t>
  </si>
  <si>
    <t>406.62K</t>
  </si>
  <si>
    <t>15.08.2024</t>
  </si>
  <si>
    <t>581.63K</t>
  </si>
  <si>
    <t>14.08.2024</t>
  </si>
  <si>
    <t>510.66K</t>
  </si>
  <si>
    <t>13.08.2024</t>
  </si>
  <si>
    <t>418.85K</t>
  </si>
  <si>
    <t>12.08.2024</t>
  </si>
  <si>
    <t>437.36K</t>
  </si>
  <si>
    <t>09.08.2024</t>
  </si>
  <si>
    <t>502.67K</t>
  </si>
  <si>
    <t>Opciones look back</t>
  </si>
  <si>
    <t>08.08.2024</t>
  </si>
  <si>
    <t>496.13K</t>
  </si>
  <si>
    <t>07.08.2024</t>
  </si>
  <si>
    <t>615.69K</t>
  </si>
  <si>
    <t>Call Floating Lookback</t>
  </si>
  <si>
    <t>A=</t>
  </si>
  <si>
    <t>B=</t>
  </si>
  <si>
    <t>C=</t>
  </si>
  <si>
    <t>06.08.2024</t>
  </si>
  <si>
    <t>721.02K</t>
  </si>
  <si>
    <r>
      <t>a</t>
    </r>
    <r>
      <rPr>
        <vertAlign val="subscript"/>
        <sz val="11"/>
        <color theme="1"/>
        <rFont val="Aptos Narrow"/>
        <family val="2"/>
        <scheme val="minor"/>
      </rPr>
      <t>1</t>
    </r>
  </si>
  <si>
    <r>
      <t>N(a</t>
    </r>
    <r>
      <rPr>
        <vertAlign val="subscript"/>
        <sz val="11"/>
        <color theme="1"/>
        <rFont val="Aptos Narrow"/>
        <family val="2"/>
        <scheme val="minor"/>
      </rPr>
      <t>1</t>
    </r>
    <r>
      <rPr>
        <sz val="12"/>
        <color theme="1"/>
        <rFont val="Aptos Narrow"/>
        <family val="2"/>
        <scheme val="minor"/>
      </rPr>
      <t>)</t>
    </r>
  </si>
  <si>
    <r>
      <t>N(-a</t>
    </r>
    <r>
      <rPr>
        <vertAlign val="subscript"/>
        <sz val="11"/>
        <color theme="1"/>
        <rFont val="Aptos Narrow"/>
        <family val="2"/>
        <scheme val="minor"/>
      </rPr>
      <t>1</t>
    </r>
    <r>
      <rPr>
        <sz val="12"/>
        <color theme="1"/>
        <rFont val="Aptos Narrow"/>
        <family val="2"/>
        <scheme val="minor"/>
      </rPr>
      <t>)</t>
    </r>
  </si>
  <si>
    <t>05.08.2024</t>
  </si>
  <si>
    <t>1.46M</t>
  </si>
  <si>
    <r>
      <t>S</t>
    </r>
    <r>
      <rPr>
        <vertAlign val="subscript"/>
        <sz val="11"/>
        <color theme="1"/>
        <rFont val="Aptos Narrow"/>
        <family val="2"/>
        <scheme val="minor"/>
      </rPr>
      <t>min</t>
    </r>
    <r>
      <rPr>
        <sz val="12"/>
        <color theme="1"/>
        <rFont val="Aptos Narrow"/>
        <family val="2"/>
        <scheme val="minor"/>
      </rPr>
      <t xml:space="preserve"> = S</t>
    </r>
    <r>
      <rPr>
        <vertAlign val="subscript"/>
        <sz val="11"/>
        <color theme="1"/>
        <rFont val="Aptos Narrow"/>
        <family val="2"/>
        <scheme val="minor"/>
      </rPr>
      <t>0</t>
    </r>
    <r>
      <rPr>
        <sz val="12"/>
        <color theme="1"/>
        <rFont val="Aptos Narrow"/>
        <family val="2"/>
        <scheme val="minor"/>
      </rPr>
      <t xml:space="preserve"> =</t>
    </r>
  </si>
  <si>
    <r>
      <t>a</t>
    </r>
    <r>
      <rPr>
        <vertAlign val="subscript"/>
        <sz val="11"/>
        <color theme="1"/>
        <rFont val="Aptos Narrow"/>
        <family val="2"/>
        <scheme val="minor"/>
      </rPr>
      <t>2</t>
    </r>
  </si>
  <si>
    <r>
      <t>N(a</t>
    </r>
    <r>
      <rPr>
        <vertAlign val="subscript"/>
        <sz val="11"/>
        <color theme="1"/>
        <rFont val="Aptos Narrow"/>
        <family val="2"/>
        <scheme val="minor"/>
      </rPr>
      <t>2</t>
    </r>
    <r>
      <rPr>
        <sz val="12"/>
        <color theme="1"/>
        <rFont val="Aptos Narrow"/>
        <family val="2"/>
        <scheme val="minor"/>
      </rPr>
      <t>)</t>
    </r>
  </si>
  <si>
    <r>
      <t>N(-a</t>
    </r>
    <r>
      <rPr>
        <vertAlign val="subscript"/>
        <sz val="11"/>
        <color theme="1"/>
        <rFont val="Aptos Narrow"/>
        <family val="2"/>
        <scheme val="minor"/>
      </rPr>
      <t>2</t>
    </r>
    <r>
      <rPr>
        <sz val="12"/>
        <color theme="1"/>
        <rFont val="Aptos Narrow"/>
        <family val="2"/>
        <scheme val="minor"/>
      </rPr>
      <t>)</t>
    </r>
  </si>
  <si>
    <t>02.08.2024</t>
  </si>
  <si>
    <t>629.29K</t>
  </si>
  <si>
    <t>T-t =</t>
  </si>
  <si>
    <r>
      <t>a</t>
    </r>
    <r>
      <rPr>
        <vertAlign val="subscript"/>
        <sz val="11"/>
        <color theme="1"/>
        <rFont val="Aptos Narrow"/>
        <family val="2"/>
        <scheme val="minor"/>
      </rPr>
      <t>3</t>
    </r>
  </si>
  <si>
    <r>
      <t>N(a</t>
    </r>
    <r>
      <rPr>
        <vertAlign val="subscript"/>
        <sz val="11"/>
        <color theme="1"/>
        <rFont val="Aptos Narrow"/>
        <family val="2"/>
        <scheme val="minor"/>
      </rPr>
      <t>3</t>
    </r>
    <r>
      <rPr>
        <sz val="12"/>
        <color theme="1"/>
        <rFont val="Aptos Narrow"/>
        <family val="2"/>
        <scheme val="minor"/>
      </rPr>
      <t>)</t>
    </r>
  </si>
  <si>
    <r>
      <t>N(-a</t>
    </r>
    <r>
      <rPr>
        <vertAlign val="subscript"/>
        <sz val="11"/>
        <color theme="1"/>
        <rFont val="Aptos Narrow"/>
        <family val="2"/>
        <scheme val="minor"/>
      </rPr>
      <t>3</t>
    </r>
    <r>
      <rPr>
        <sz val="12"/>
        <color theme="1"/>
        <rFont val="Aptos Narrow"/>
        <family val="2"/>
        <scheme val="minor"/>
      </rPr>
      <t>)</t>
    </r>
  </si>
  <si>
    <t>01.08.2024</t>
  </si>
  <si>
    <t>1.01M</t>
  </si>
  <si>
    <t>σ =</t>
  </si>
  <si>
    <r>
      <t>Y</t>
    </r>
    <r>
      <rPr>
        <vertAlign val="subscript"/>
        <sz val="11"/>
        <color theme="1"/>
        <rFont val="Aptos Narrow"/>
        <family val="2"/>
        <scheme val="minor"/>
      </rPr>
      <t>1</t>
    </r>
  </si>
  <si>
    <t>31.07.2024</t>
  </si>
  <si>
    <t>442.30K</t>
  </si>
  <si>
    <r>
      <t>σ</t>
    </r>
    <r>
      <rPr>
        <vertAlign val="superscript"/>
        <sz val="11"/>
        <color theme="1"/>
        <rFont val="Aptos Narrow"/>
        <family val="2"/>
        <scheme val="minor"/>
      </rPr>
      <t>2</t>
    </r>
    <r>
      <rPr>
        <sz val="12"/>
        <color theme="1"/>
        <rFont val="Aptos Narrow"/>
        <family val="2"/>
        <scheme val="minor"/>
      </rPr>
      <t xml:space="preserve"> =</t>
    </r>
  </si>
  <si>
    <t>30.07.2024</t>
  </si>
  <si>
    <t>297.87K</t>
  </si>
  <si>
    <t>29.07.2024</t>
  </si>
  <si>
    <t>301.76K</t>
  </si>
  <si>
    <t>26.07.2024</t>
  </si>
  <si>
    <t>415.28K</t>
  </si>
  <si>
    <r>
      <rPr>
        <sz val="11"/>
        <color theme="1"/>
        <rFont val="Symbol"/>
        <family val="1"/>
        <charset val="2"/>
      </rPr>
      <t>s</t>
    </r>
    <r>
      <rPr>
        <vertAlign val="superscript"/>
        <sz val="11"/>
        <color theme="1"/>
        <rFont val="Aptos Narrow"/>
        <family val="2"/>
        <scheme val="minor"/>
      </rPr>
      <t>2</t>
    </r>
    <r>
      <rPr>
        <sz val="12"/>
        <color theme="1"/>
        <rFont val="Aptos Narrow"/>
        <family val="2"/>
        <scheme val="minor"/>
      </rPr>
      <t>/2(r - q) =</t>
    </r>
  </si>
  <si>
    <t>25.07.2024</t>
  </si>
  <si>
    <t>862.84K</t>
  </si>
  <si>
    <t>24.07.2024</t>
  </si>
  <si>
    <t>621.76K</t>
  </si>
  <si>
    <t>Call Vanilla</t>
  </si>
  <si>
    <t>23.07.2024</t>
  </si>
  <si>
    <t>1.60M</t>
  </si>
  <si>
    <t>22.07.2024</t>
  </si>
  <si>
    <t>883.81K</t>
  </si>
  <si>
    <t>19.07.2024</t>
  </si>
  <si>
    <t>707.53K</t>
  </si>
  <si>
    <r>
      <t>N(d</t>
    </r>
    <r>
      <rPr>
        <vertAlign val="subscript"/>
        <sz val="11"/>
        <color theme="1"/>
        <rFont val="Aptos Narrow"/>
        <family val="2"/>
        <scheme val="minor"/>
      </rPr>
      <t>1</t>
    </r>
    <r>
      <rPr>
        <sz val="12"/>
        <color theme="1"/>
        <rFont val="Aptos Narrow"/>
        <family val="2"/>
        <scheme val="minor"/>
      </rPr>
      <t>) =</t>
    </r>
  </si>
  <si>
    <t>18.07.2024</t>
  </si>
  <si>
    <t>673.61K</t>
  </si>
  <si>
    <r>
      <t>N(d</t>
    </r>
    <r>
      <rPr>
        <vertAlign val="subscript"/>
        <sz val="11"/>
        <color theme="1"/>
        <rFont val="Aptos Narrow"/>
        <family val="2"/>
        <scheme val="minor"/>
      </rPr>
      <t>2</t>
    </r>
    <r>
      <rPr>
        <sz val="12"/>
        <color theme="1"/>
        <rFont val="Aptos Narrow"/>
        <family val="2"/>
        <scheme val="minor"/>
      </rPr>
      <t>) =</t>
    </r>
  </si>
  <si>
    <t>17.07.2024</t>
  </si>
  <si>
    <t>440.01K</t>
  </si>
  <si>
    <t>16.07.2024</t>
  </si>
  <si>
    <t>475.97K</t>
  </si>
  <si>
    <t>Call_look</t>
  </si>
  <si>
    <t>Put_look</t>
  </si>
  <si>
    <t>15.07.2024</t>
  </si>
  <si>
    <t>363.46K</t>
  </si>
  <si>
    <t>12.07.2024</t>
  </si>
  <si>
    <t>509.24K</t>
  </si>
  <si>
    <t>11.07.2024</t>
  </si>
  <si>
    <t>597.55K</t>
  </si>
  <si>
    <t>10.07.2024</t>
  </si>
  <si>
    <t>568.26K</t>
  </si>
  <si>
    <t>Tipo Derivado</t>
  </si>
  <si>
    <t>Precio call</t>
  </si>
  <si>
    <t>09.07.2024</t>
  </si>
  <si>
    <t>552.04K</t>
  </si>
  <si>
    <t>Floating Lookback</t>
  </si>
  <si>
    <t>08.07.2024</t>
  </si>
  <si>
    <t>343.26K</t>
  </si>
  <si>
    <t>Vanilla</t>
  </si>
  <si>
    <t>05.07.2024</t>
  </si>
  <si>
    <t>367.80K</t>
  </si>
  <si>
    <t>FLB/Vanilla</t>
  </si>
  <si>
    <t>04.07.2024</t>
  </si>
  <si>
    <t>380.64K</t>
  </si>
  <si>
    <t>03.07.2024</t>
  </si>
  <si>
    <t>708.99K</t>
  </si>
  <si>
    <t>02.07.2024</t>
  </si>
  <si>
    <t>727.34K</t>
  </si>
  <si>
    <t>01.07.2024</t>
  </si>
  <si>
    <t>468.12K</t>
  </si>
  <si>
    <t>28.06.2024</t>
  </si>
  <si>
    <t>584.46K</t>
  </si>
  <si>
    <t>27.06.2024</t>
  </si>
  <si>
    <t>750.01K</t>
  </si>
  <si>
    <t>26.06.2024</t>
  </si>
  <si>
    <t>785.38K</t>
  </si>
  <si>
    <t>Put Floating Lookback</t>
  </si>
  <si>
    <t>25.06.2024</t>
  </si>
  <si>
    <t>402.36K</t>
  </si>
  <si>
    <r>
      <t>b</t>
    </r>
    <r>
      <rPr>
        <vertAlign val="subscript"/>
        <sz val="11"/>
        <color theme="1"/>
        <rFont val="Aptos Narrow"/>
        <family val="2"/>
        <scheme val="minor"/>
      </rPr>
      <t>1</t>
    </r>
    <r>
      <rPr>
        <sz val="12"/>
        <color theme="1"/>
        <rFont val="Aptos Narrow"/>
        <family val="2"/>
        <scheme val="minor"/>
      </rPr>
      <t xml:space="preserve"> =</t>
    </r>
  </si>
  <si>
    <r>
      <t>N(b</t>
    </r>
    <r>
      <rPr>
        <vertAlign val="subscript"/>
        <sz val="11"/>
        <color theme="1"/>
        <rFont val="Aptos Narrow"/>
        <family val="2"/>
        <scheme val="minor"/>
      </rPr>
      <t>1</t>
    </r>
    <r>
      <rPr>
        <sz val="12"/>
        <color theme="1"/>
        <rFont val="Aptos Narrow"/>
        <family val="2"/>
        <scheme val="minor"/>
      </rPr>
      <t>)</t>
    </r>
    <r>
      <rPr>
        <sz val="12"/>
        <color theme="1"/>
        <rFont val="Aptos Narrow"/>
        <family val="2"/>
        <scheme val="minor"/>
      </rPr>
      <t xml:space="preserve"> =</t>
    </r>
  </si>
  <si>
    <r>
      <t>N(-b</t>
    </r>
    <r>
      <rPr>
        <vertAlign val="subscript"/>
        <sz val="11"/>
        <color theme="1"/>
        <rFont val="Aptos Narrow"/>
        <family val="2"/>
        <scheme val="minor"/>
      </rPr>
      <t>1</t>
    </r>
    <r>
      <rPr>
        <sz val="12"/>
        <color theme="1"/>
        <rFont val="Aptos Narrow"/>
        <family val="2"/>
        <scheme val="minor"/>
      </rPr>
      <t>)</t>
    </r>
    <r>
      <rPr>
        <sz val="12"/>
        <color theme="1"/>
        <rFont val="Aptos Narrow"/>
        <family val="2"/>
        <scheme val="minor"/>
      </rPr>
      <t xml:space="preserve"> =</t>
    </r>
  </si>
  <si>
    <t>24.06.2024</t>
  </si>
  <si>
    <t>952.77K</t>
  </si>
  <si>
    <r>
      <t>S</t>
    </r>
    <r>
      <rPr>
        <vertAlign val="subscript"/>
        <sz val="11"/>
        <color theme="1"/>
        <rFont val="Aptos Narrow"/>
        <family val="2"/>
        <scheme val="minor"/>
      </rPr>
      <t>Max</t>
    </r>
    <r>
      <rPr>
        <sz val="12"/>
        <color theme="1"/>
        <rFont val="Aptos Narrow"/>
        <family val="2"/>
        <scheme val="minor"/>
      </rPr>
      <t xml:space="preserve"> = S</t>
    </r>
    <r>
      <rPr>
        <vertAlign val="subscript"/>
        <sz val="11"/>
        <color theme="1"/>
        <rFont val="Aptos Narrow"/>
        <family val="2"/>
        <scheme val="minor"/>
      </rPr>
      <t>0</t>
    </r>
    <r>
      <rPr>
        <sz val="12"/>
        <color theme="1"/>
        <rFont val="Aptos Narrow"/>
        <family val="2"/>
        <scheme val="minor"/>
      </rPr>
      <t xml:space="preserve"> =</t>
    </r>
  </si>
  <si>
    <r>
      <t>b</t>
    </r>
    <r>
      <rPr>
        <vertAlign val="subscript"/>
        <sz val="11"/>
        <color theme="1"/>
        <rFont val="Aptos Narrow"/>
        <family val="2"/>
        <scheme val="minor"/>
      </rPr>
      <t>2</t>
    </r>
    <r>
      <rPr>
        <sz val="12"/>
        <color theme="1"/>
        <rFont val="Aptos Narrow"/>
        <family val="2"/>
        <scheme val="minor"/>
      </rPr>
      <t xml:space="preserve"> =</t>
    </r>
  </si>
  <si>
    <r>
      <t>N(b</t>
    </r>
    <r>
      <rPr>
        <vertAlign val="subscript"/>
        <sz val="11"/>
        <color theme="1"/>
        <rFont val="Aptos Narrow"/>
        <family val="2"/>
        <scheme val="minor"/>
      </rPr>
      <t>2</t>
    </r>
    <r>
      <rPr>
        <sz val="12"/>
        <color theme="1"/>
        <rFont val="Aptos Narrow"/>
        <family val="2"/>
        <scheme val="minor"/>
      </rPr>
      <t>)</t>
    </r>
    <r>
      <rPr>
        <sz val="12"/>
        <color theme="1"/>
        <rFont val="Aptos Narrow"/>
        <family val="2"/>
        <scheme val="minor"/>
      </rPr>
      <t xml:space="preserve"> =</t>
    </r>
  </si>
  <si>
    <r>
      <t>N(-b</t>
    </r>
    <r>
      <rPr>
        <vertAlign val="subscript"/>
        <sz val="11"/>
        <color theme="1"/>
        <rFont val="Aptos Narrow"/>
        <family val="2"/>
        <scheme val="minor"/>
      </rPr>
      <t>2</t>
    </r>
    <r>
      <rPr>
        <sz val="12"/>
        <color theme="1"/>
        <rFont val="Aptos Narrow"/>
        <family val="2"/>
        <scheme val="minor"/>
      </rPr>
      <t>)</t>
    </r>
    <r>
      <rPr>
        <sz val="12"/>
        <color theme="1"/>
        <rFont val="Aptos Narrow"/>
        <family val="2"/>
        <scheme val="minor"/>
      </rPr>
      <t xml:space="preserve"> =</t>
    </r>
  </si>
  <si>
    <t>21.06.2024</t>
  </si>
  <si>
    <t>1.88M</t>
  </si>
  <si>
    <r>
      <t>b</t>
    </r>
    <r>
      <rPr>
        <vertAlign val="subscript"/>
        <sz val="11"/>
        <color theme="1"/>
        <rFont val="Aptos Narrow"/>
        <family val="2"/>
        <scheme val="minor"/>
      </rPr>
      <t>3</t>
    </r>
    <r>
      <rPr>
        <sz val="12"/>
        <color theme="1"/>
        <rFont val="Aptos Narrow"/>
        <family val="2"/>
        <scheme val="minor"/>
      </rPr>
      <t xml:space="preserve"> =</t>
    </r>
  </si>
  <si>
    <r>
      <t>N(b</t>
    </r>
    <r>
      <rPr>
        <vertAlign val="subscript"/>
        <sz val="11"/>
        <color theme="1"/>
        <rFont val="Aptos Narrow"/>
        <family val="2"/>
        <scheme val="minor"/>
      </rPr>
      <t>3</t>
    </r>
    <r>
      <rPr>
        <sz val="12"/>
        <color theme="1"/>
        <rFont val="Aptos Narrow"/>
        <family val="2"/>
        <scheme val="minor"/>
      </rPr>
      <t>)</t>
    </r>
    <r>
      <rPr>
        <sz val="12"/>
        <color theme="1"/>
        <rFont val="Aptos Narrow"/>
        <family val="2"/>
        <scheme val="minor"/>
      </rPr>
      <t xml:space="preserve"> =</t>
    </r>
  </si>
  <si>
    <r>
      <t>N(-b</t>
    </r>
    <r>
      <rPr>
        <vertAlign val="subscript"/>
        <sz val="11"/>
        <color theme="1"/>
        <rFont val="Aptos Narrow"/>
        <family val="2"/>
        <scheme val="minor"/>
      </rPr>
      <t>3</t>
    </r>
    <r>
      <rPr>
        <sz val="12"/>
        <color theme="1"/>
        <rFont val="Aptos Narrow"/>
        <family val="2"/>
        <scheme val="minor"/>
      </rPr>
      <t>)</t>
    </r>
    <r>
      <rPr>
        <sz val="12"/>
        <color theme="1"/>
        <rFont val="Aptos Narrow"/>
        <family val="2"/>
        <scheme val="minor"/>
      </rPr>
      <t xml:space="preserve"> =</t>
    </r>
  </si>
  <si>
    <t>20.06.2024</t>
  </si>
  <si>
    <t>660.18K</t>
  </si>
  <si>
    <r>
      <t>Y</t>
    </r>
    <r>
      <rPr>
        <vertAlign val="subscript"/>
        <sz val="11"/>
        <color theme="1"/>
        <rFont val="Aptos Narrow"/>
        <family val="2"/>
        <scheme val="minor"/>
      </rPr>
      <t>1</t>
    </r>
    <r>
      <rPr>
        <sz val="12"/>
        <color theme="1"/>
        <rFont val="Aptos Narrow"/>
        <family val="2"/>
        <scheme val="minor"/>
      </rPr>
      <t xml:space="preserve"> =</t>
    </r>
  </si>
  <si>
    <t>19.06.2024</t>
  </si>
  <si>
    <t>729.74K</t>
  </si>
  <si>
    <t>18.06.2024</t>
  </si>
  <si>
    <t>17.06.2024</t>
  </si>
  <si>
    <t>14.06.2024</t>
  </si>
  <si>
    <t>1.58M</t>
  </si>
  <si>
    <t>13.06.2024</t>
  </si>
  <si>
    <t>3.10M</t>
  </si>
  <si>
    <t>12.06.2024</t>
  </si>
  <si>
    <t>1.40M</t>
  </si>
  <si>
    <t>11.06.2024</t>
  </si>
  <si>
    <t>10.06.2024</t>
  </si>
  <si>
    <t>820.05K</t>
  </si>
  <si>
    <t>07.06.2024</t>
  </si>
  <si>
    <t>553.70K</t>
  </si>
  <si>
    <t>06.06.2024</t>
  </si>
  <si>
    <t>559.88K</t>
  </si>
  <si>
    <t>05.06.2024</t>
  </si>
  <si>
    <t>516.43K</t>
  </si>
  <si>
    <r>
      <t>N(-d</t>
    </r>
    <r>
      <rPr>
        <vertAlign val="subscript"/>
        <sz val="11"/>
        <color theme="1"/>
        <rFont val="Aptos Narrow"/>
        <family val="2"/>
        <scheme val="minor"/>
      </rPr>
      <t>1</t>
    </r>
    <r>
      <rPr>
        <sz val="12"/>
        <color theme="1"/>
        <rFont val="Aptos Narrow"/>
        <family val="2"/>
        <scheme val="minor"/>
      </rPr>
      <t>) =</t>
    </r>
  </si>
  <si>
    <t>04.06.2024</t>
  </si>
  <si>
    <t>493.13K</t>
  </si>
  <si>
    <r>
      <t>N(-d</t>
    </r>
    <r>
      <rPr>
        <vertAlign val="subscript"/>
        <sz val="11"/>
        <color theme="1"/>
        <rFont val="Aptos Narrow"/>
        <family val="2"/>
        <scheme val="minor"/>
      </rPr>
      <t>2</t>
    </r>
    <r>
      <rPr>
        <sz val="12"/>
        <color theme="1"/>
        <rFont val="Aptos Narrow"/>
        <family val="2"/>
        <scheme val="minor"/>
      </rPr>
      <t>) =</t>
    </r>
  </si>
  <si>
    <t>03.06.2024</t>
  </si>
  <si>
    <t>595.58K</t>
  </si>
  <si>
    <t>31.05.2024</t>
  </si>
  <si>
    <t>723.47K</t>
  </si>
  <si>
    <t>30.05.2024</t>
  </si>
  <si>
    <t>593.26K</t>
  </si>
  <si>
    <t>29.05.2024</t>
  </si>
  <si>
    <t>653.77K</t>
  </si>
  <si>
    <t>Precio put</t>
  </si>
  <si>
    <t>28.05.2024</t>
  </si>
  <si>
    <t>476.57K</t>
  </si>
  <si>
    <t>27.05.2024</t>
  </si>
  <si>
    <t>971.32K</t>
  </si>
  <si>
    <t>24.05.2024</t>
  </si>
  <si>
    <t>551.98K</t>
  </si>
  <si>
    <t>23.05.2024</t>
  </si>
  <si>
    <t>777.19K</t>
  </si>
  <si>
    <t>22.05.2024</t>
  </si>
  <si>
    <t>850.95K</t>
  </si>
  <si>
    <t>21.05.2024</t>
  </si>
  <si>
    <t>461.40K</t>
  </si>
  <si>
    <t>20.05.2024</t>
  </si>
  <si>
    <t>472.63K</t>
  </si>
  <si>
    <t>17.05.2024</t>
  </si>
  <si>
    <t>644.08K</t>
  </si>
  <si>
    <t>flooting fixed look  back</t>
  </si>
  <si>
    <t>16.05.2024</t>
  </si>
  <si>
    <t>552.26K</t>
  </si>
  <si>
    <t>15.05.2024</t>
  </si>
  <si>
    <t>552.70K</t>
  </si>
  <si>
    <t>14.05.2024</t>
  </si>
  <si>
    <t>534.73K</t>
  </si>
  <si>
    <t>13.05.2024</t>
  </si>
  <si>
    <t>593.20K</t>
  </si>
  <si>
    <t>Call fixed Lookback</t>
  </si>
  <si>
    <t>10.05.2024</t>
  </si>
  <si>
    <t>903.03K</t>
  </si>
  <si>
    <t>09.05.2024</t>
  </si>
  <si>
    <t>389.46K</t>
  </si>
  <si>
    <t>08.05.2024</t>
  </si>
  <si>
    <t>443.95K</t>
  </si>
  <si>
    <t>07.05.2024</t>
  </si>
  <si>
    <t>540.59K</t>
  </si>
  <si>
    <t>06.05.2024</t>
  </si>
  <si>
    <t>575.62K</t>
  </si>
  <si>
    <t>03.05.2024</t>
  </si>
  <si>
    <t>485.40K</t>
  </si>
  <si>
    <t>02.05.2024</t>
  </si>
  <si>
    <t>546.71K</t>
  </si>
  <si>
    <t>30.04.2024</t>
  </si>
  <si>
    <t>1.47M</t>
  </si>
  <si>
    <t>29.04.2024</t>
  </si>
  <si>
    <t>386.66K</t>
  </si>
  <si>
    <t>26.04.2024</t>
  </si>
  <si>
    <t>573.45K</t>
  </si>
  <si>
    <t>25.04.2024</t>
  </si>
  <si>
    <t>411.50K</t>
  </si>
  <si>
    <t>24.04.2024</t>
  </si>
  <si>
    <t>375.69K</t>
  </si>
  <si>
    <t>23.04.2024</t>
  </si>
  <si>
    <t>462.21K</t>
  </si>
  <si>
    <t>22.04.2024</t>
  </si>
  <si>
    <t>357.25K</t>
  </si>
  <si>
    <t>19.04.2024</t>
  </si>
  <si>
    <t>498.87K</t>
  </si>
  <si>
    <t>18.04.2024</t>
  </si>
  <si>
    <t>426.03K</t>
  </si>
  <si>
    <t>17.04.2024</t>
  </si>
  <si>
    <t>463.18K</t>
  </si>
  <si>
    <t>call_fl</t>
  </si>
  <si>
    <t>put_fl</t>
  </si>
  <si>
    <t>16.04.2024</t>
  </si>
  <si>
    <t>910.95K</t>
  </si>
  <si>
    <t>15.04.2024</t>
  </si>
  <si>
    <t>566.23K</t>
  </si>
  <si>
    <t>12.04.2024</t>
  </si>
  <si>
    <t>616.06K</t>
  </si>
  <si>
    <t>11.04.2024</t>
  </si>
  <si>
    <t>515.45K</t>
  </si>
  <si>
    <t>Fixed Lookback</t>
  </si>
  <si>
    <t>10.04.2024</t>
  </si>
  <si>
    <t>608.78K</t>
  </si>
  <si>
    <t>09.04.2024</t>
  </si>
  <si>
    <t>643.00K</t>
  </si>
  <si>
    <t>08.04.2024</t>
  </si>
  <si>
    <t>662.80K</t>
  </si>
  <si>
    <t>05.04.2024</t>
  </si>
  <si>
    <t>717.78K</t>
  </si>
  <si>
    <t>04.04.2024</t>
  </si>
  <si>
    <t>774.84K</t>
  </si>
  <si>
    <t>03.04.2024</t>
  </si>
  <si>
    <t>02.04.2024</t>
  </si>
  <si>
    <t>667.68K</t>
  </si>
  <si>
    <t>28.03.2024</t>
  </si>
  <si>
    <t>685.11K</t>
  </si>
  <si>
    <t>27.03.2024</t>
  </si>
  <si>
    <t>26.03.2024</t>
  </si>
  <si>
    <t>956.32K</t>
  </si>
  <si>
    <t>25.03.2024</t>
  </si>
  <si>
    <t>787.06K</t>
  </si>
  <si>
    <t>22.03.2024</t>
  </si>
  <si>
    <t>1.74M</t>
  </si>
  <si>
    <t>21.03.2024</t>
  </si>
  <si>
    <t>20.03.2024</t>
  </si>
  <si>
    <t>711.35K</t>
  </si>
  <si>
    <t>19.03.2024</t>
  </si>
  <si>
    <t>784.55K</t>
  </si>
  <si>
    <t>18.03.2024</t>
  </si>
  <si>
    <t>15.03.2024</t>
  </si>
  <si>
    <t>1.35M</t>
  </si>
  <si>
    <t>14.03.2024</t>
  </si>
  <si>
    <t>785.12K</t>
  </si>
  <si>
    <t>13.03.2024</t>
  </si>
  <si>
    <t>p_fix=c_fl^∗+Ke^(-r(T-t) )-S_0 e^(-q(T-t) )</t>
  </si>
  <si>
    <t xml:space="preserve">Opciones compuestas </t>
  </si>
  <si>
    <t>UXV</t>
  </si>
  <si>
    <t>Datos Put on Call</t>
  </si>
  <si>
    <r>
      <t>S</t>
    </r>
    <r>
      <rPr>
        <vertAlign val="subscript"/>
        <sz val="11"/>
        <color theme="1"/>
        <rFont val="Aptos Narrow"/>
        <family val="2"/>
        <scheme val="minor"/>
      </rPr>
      <t>o</t>
    </r>
    <r>
      <rPr>
        <sz val="12"/>
        <color theme="1"/>
        <rFont val="Aptos Narrow"/>
        <family val="2"/>
        <scheme val="minor"/>
      </rPr>
      <t xml:space="preserve"> =</t>
    </r>
  </si>
  <si>
    <r>
      <t>a</t>
    </r>
    <r>
      <rPr>
        <vertAlign val="subscript"/>
        <sz val="11"/>
        <color theme="1"/>
        <rFont val="Aptos Narrow"/>
        <family val="2"/>
        <scheme val="minor"/>
      </rPr>
      <t>1</t>
    </r>
    <r>
      <rPr>
        <sz val="12"/>
        <color theme="1"/>
        <rFont val="Aptos Narrow"/>
        <family val="2"/>
        <scheme val="minor"/>
      </rPr>
      <t xml:space="preserve"> =</t>
    </r>
  </si>
  <si>
    <r>
      <t>a</t>
    </r>
    <r>
      <rPr>
        <vertAlign val="subscript"/>
        <sz val="11"/>
        <color theme="1"/>
        <rFont val="Aptos Narrow"/>
        <family val="2"/>
        <scheme val="minor"/>
      </rPr>
      <t>2</t>
    </r>
    <r>
      <rPr>
        <sz val="12"/>
        <color theme="1"/>
        <rFont val="Aptos Narrow"/>
        <family val="2"/>
        <scheme val="minor"/>
      </rPr>
      <t xml:space="preserve"> =</t>
    </r>
  </si>
  <si>
    <r>
      <t>T</t>
    </r>
    <r>
      <rPr>
        <vertAlign val="subscript"/>
        <sz val="11"/>
        <color theme="1"/>
        <rFont val="Aptos Narrow"/>
        <family val="2"/>
        <scheme val="minor"/>
      </rPr>
      <t>1</t>
    </r>
    <r>
      <rPr>
        <sz val="12"/>
        <color theme="1"/>
        <rFont val="Aptos Narrow"/>
        <family val="2"/>
        <scheme val="minor"/>
      </rPr>
      <t xml:space="preserve"> =</t>
    </r>
  </si>
  <si>
    <r>
      <t>N(-a</t>
    </r>
    <r>
      <rPr>
        <vertAlign val="subscript"/>
        <sz val="11"/>
        <color theme="1"/>
        <rFont val="Aptos Narrow"/>
        <family val="2"/>
        <scheme val="minor"/>
      </rPr>
      <t>2</t>
    </r>
    <r>
      <rPr>
        <sz val="12"/>
        <color theme="1"/>
        <rFont val="Aptos Narrow"/>
        <family val="2"/>
        <scheme val="minor"/>
      </rPr>
      <t>) =</t>
    </r>
  </si>
  <si>
    <r>
      <t>M[-a</t>
    </r>
    <r>
      <rPr>
        <vertAlign val="subscript"/>
        <sz val="11"/>
        <color theme="1"/>
        <rFont val="Aptos Narrow"/>
        <family val="2"/>
        <scheme val="minor"/>
      </rPr>
      <t>2</t>
    </r>
    <r>
      <rPr>
        <sz val="12"/>
        <color theme="1"/>
        <rFont val="Aptos Narrow"/>
        <family val="2"/>
        <scheme val="minor"/>
      </rPr>
      <t>, b</t>
    </r>
    <r>
      <rPr>
        <vertAlign val="subscript"/>
        <sz val="11"/>
        <color theme="1"/>
        <rFont val="Aptos Narrow"/>
        <family val="2"/>
        <scheme val="minor"/>
      </rPr>
      <t>2</t>
    </r>
    <r>
      <rPr>
        <sz val="12"/>
        <color theme="1"/>
        <rFont val="Aptos Narrow"/>
        <family val="2"/>
        <scheme val="minor"/>
      </rPr>
      <t>, -raiz(T</t>
    </r>
    <r>
      <rPr>
        <vertAlign val="subscript"/>
        <sz val="11"/>
        <color theme="1"/>
        <rFont val="Aptos Narrow"/>
        <family val="2"/>
        <scheme val="minor"/>
      </rPr>
      <t>1</t>
    </r>
    <r>
      <rPr>
        <sz val="12"/>
        <color theme="1"/>
        <rFont val="Aptos Narrow"/>
        <family val="2"/>
        <scheme val="minor"/>
      </rPr>
      <t>/T</t>
    </r>
    <r>
      <rPr>
        <vertAlign val="subscript"/>
        <sz val="11"/>
        <color theme="1"/>
        <rFont val="Aptos Narrow"/>
        <family val="2"/>
        <scheme val="minor"/>
      </rPr>
      <t>2</t>
    </r>
    <r>
      <rPr>
        <sz val="12"/>
        <color theme="1"/>
        <rFont val="Aptos Narrow"/>
        <family val="2"/>
        <scheme val="minor"/>
      </rPr>
      <t>)] =</t>
    </r>
  </si>
  <si>
    <r>
      <t>M[-a</t>
    </r>
    <r>
      <rPr>
        <vertAlign val="subscript"/>
        <sz val="11"/>
        <color theme="1"/>
        <rFont val="Aptos Narrow"/>
        <family val="2"/>
        <scheme val="minor"/>
      </rPr>
      <t>1</t>
    </r>
    <r>
      <rPr>
        <sz val="12"/>
        <color theme="1"/>
        <rFont val="Aptos Narrow"/>
        <family val="2"/>
        <scheme val="minor"/>
      </rPr>
      <t>, b</t>
    </r>
    <r>
      <rPr>
        <vertAlign val="subscript"/>
        <sz val="11"/>
        <color theme="1"/>
        <rFont val="Aptos Narrow"/>
        <family val="2"/>
        <scheme val="minor"/>
      </rPr>
      <t>1</t>
    </r>
    <r>
      <rPr>
        <sz val="12"/>
        <color theme="1"/>
        <rFont val="Aptos Narrow"/>
        <family val="2"/>
        <scheme val="minor"/>
      </rPr>
      <t>, -raiz(T</t>
    </r>
    <r>
      <rPr>
        <vertAlign val="subscript"/>
        <sz val="11"/>
        <color theme="1"/>
        <rFont val="Aptos Narrow"/>
        <family val="2"/>
        <scheme val="minor"/>
      </rPr>
      <t>1</t>
    </r>
    <r>
      <rPr>
        <sz val="12"/>
        <color theme="1"/>
        <rFont val="Aptos Narrow"/>
        <family val="2"/>
        <scheme val="minor"/>
      </rPr>
      <t>/T</t>
    </r>
    <r>
      <rPr>
        <vertAlign val="subscript"/>
        <sz val="11"/>
        <color theme="1"/>
        <rFont val="Aptos Narrow"/>
        <family val="2"/>
        <scheme val="minor"/>
      </rPr>
      <t>2</t>
    </r>
    <r>
      <rPr>
        <sz val="12"/>
        <color theme="1"/>
        <rFont val="Aptos Narrow"/>
        <family val="2"/>
        <scheme val="minor"/>
      </rPr>
      <t>)] =</t>
    </r>
  </si>
  <si>
    <r>
      <t>s</t>
    </r>
    <r>
      <rPr>
        <vertAlign val="superscript"/>
        <sz val="11"/>
        <color theme="1"/>
        <rFont val="Symbol"/>
        <family val="1"/>
        <charset val="2"/>
      </rPr>
      <t>2</t>
    </r>
    <r>
      <rPr>
        <sz val="11"/>
        <color theme="1"/>
        <rFont val="Symbol"/>
        <family val="1"/>
        <charset val="2"/>
      </rPr>
      <t xml:space="preserve"> =</t>
    </r>
  </si>
  <si>
    <t>put-on-call</t>
  </si>
  <si>
    <t>S* =</t>
  </si>
  <si>
    <r>
      <t>Para obtener S* se resuelve con SOLVER® la igualdad de c</t>
    </r>
    <r>
      <rPr>
        <vertAlign val="subscript"/>
        <sz val="11"/>
        <color rgb="FF000000"/>
        <rFont val="Calibri"/>
        <family val="2"/>
      </rPr>
      <t>BSM</t>
    </r>
    <r>
      <rPr>
        <sz val="11"/>
        <color rgb="FF000000"/>
        <rFont val="Calibri"/>
        <family val="2"/>
      </rPr>
      <t xml:space="preserve"> = K</t>
    </r>
    <r>
      <rPr>
        <vertAlign val="subscript"/>
        <sz val="11"/>
        <color rgb="FF000000"/>
        <rFont val="Calibri"/>
        <family val="2"/>
      </rPr>
      <t>1</t>
    </r>
    <r>
      <rPr>
        <sz val="11"/>
        <color rgb="FF000000"/>
        <rFont val="Calibri"/>
        <family val="2"/>
      </rPr>
      <t xml:space="preserve"> </t>
    </r>
  </si>
  <si>
    <r>
      <t>T (=T</t>
    </r>
    <r>
      <rPr>
        <vertAlign val="subscript"/>
        <sz val="11"/>
        <color theme="1"/>
        <rFont val="Aptos Narrow"/>
        <family val="2"/>
        <scheme val="minor"/>
      </rPr>
      <t>2</t>
    </r>
    <r>
      <rPr>
        <sz val="12"/>
        <color theme="1"/>
        <rFont val="Aptos Narrow"/>
        <family val="2"/>
        <scheme val="minor"/>
      </rPr>
      <t>-T</t>
    </r>
    <r>
      <rPr>
        <vertAlign val="subscript"/>
        <sz val="11"/>
        <color theme="1"/>
        <rFont val="Aptos Narrow"/>
        <family val="2"/>
        <scheme val="minor"/>
      </rPr>
      <t>1</t>
    </r>
    <r>
      <rPr>
        <sz val="12"/>
        <color theme="1"/>
        <rFont val="Aptos Narrow"/>
        <family val="2"/>
        <scheme val="minor"/>
      </rPr>
      <t>) =</t>
    </r>
  </si>
  <si>
    <r>
      <t>N(d</t>
    </r>
    <r>
      <rPr>
        <vertAlign val="subscript"/>
        <sz val="11"/>
        <color theme="1"/>
        <rFont val="Aptos Narrow"/>
        <family val="2"/>
        <scheme val="minor"/>
      </rPr>
      <t>1</t>
    </r>
    <r>
      <rPr>
        <sz val="12"/>
        <color theme="1"/>
        <rFont val="Aptos Narrow"/>
        <family val="2"/>
        <scheme val="minor"/>
      </rPr>
      <t>)</t>
    </r>
    <r>
      <rPr>
        <sz val="12"/>
        <color theme="1"/>
        <rFont val="Aptos Narrow"/>
        <family val="2"/>
        <scheme val="minor"/>
      </rPr>
      <t xml:space="preserve"> =</t>
    </r>
  </si>
  <si>
    <t>call-call</t>
  </si>
  <si>
    <t>put-call</t>
  </si>
  <si>
    <t>call-put</t>
  </si>
  <si>
    <t>put-put</t>
  </si>
  <si>
    <r>
      <t>N(d</t>
    </r>
    <r>
      <rPr>
        <vertAlign val="subscript"/>
        <sz val="11"/>
        <color theme="1"/>
        <rFont val="Aptos Narrow"/>
        <family val="2"/>
        <scheme val="minor"/>
      </rPr>
      <t>2</t>
    </r>
    <r>
      <rPr>
        <sz val="12"/>
        <color theme="1"/>
        <rFont val="Aptos Narrow"/>
        <family val="2"/>
        <scheme val="minor"/>
      </rPr>
      <t>)</t>
    </r>
    <r>
      <rPr>
        <sz val="12"/>
        <color theme="1"/>
        <rFont val="Aptos Narrow"/>
        <family val="2"/>
        <scheme val="minor"/>
      </rPr>
      <t xml:space="preserve"> =</t>
    </r>
  </si>
  <si>
    <t>call vanilla</t>
  </si>
  <si>
    <t>call-on-call</t>
  </si>
  <si>
    <r>
      <t>S</t>
    </r>
    <r>
      <rPr>
        <vertAlign val="subscript"/>
        <sz val="11"/>
        <color rgb="FF000000"/>
        <rFont val="Aptos Narrow"/>
        <family val="2"/>
        <scheme val="minor"/>
      </rPr>
      <t>o</t>
    </r>
    <r>
      <rPr>
        <sz val="12"/>
        <color rgb="FF000000"/>
        <rFont val="Aptos Narrow"/>
        <family val="2"/>
        <scheme val="minor"/>
      </rPr>
      <t xml:space="preserve"> =</t>
    </r>
  </si>
  <si>
    <r>
      <t>a</t>
    </r>
    <r>
      <rPr>
        <vertAlign val="subscript"/>
        <sz val="11"/>
        <color rgb="FF000000"/>
        <rFont val="Aptos Narrow"/>
        <family val="2"/>
        <scheme val="minor"/>
      </rPr>
      <t>1</t>
    </r>
    <r>
      <rPr>
        <sz val="12"/>
        <color rgb="FF000000"/>
        <rFont val="Aptos Narrow"/>
        <family val="2"/>
        <scheme val="minor"/>
      </rPr>
      <t xml:space="preserve"> =</t>
    </r>
  </si>
  <si>
    <r>
      <t>a</t>
    </r>
    <r>
      <rPr>
        <vertAlign val="subscript"/>
        <sz val="11"/>
        <color rgb="FF000000"/>
        <rFont val="Aptos Narrow"/>
        <family val="2"/>
        <scheme val="minor"/>
      </rPr>
      <t>2</t>
    </r>
    <r>
      <rPr>
        <sz val="12"/>
        <color rgb="FF000000"/>
        <rFont val="Aptos Narrow"/>
        <family val="2"/>
        <scheme val="minor"/>
      </rPr>
      <t xml:space="preserve"> =</t>
    </r>
  </si>
  <si>
    <r>
      <t>T</t>
    </r>
    <r>
      <rPr>
        <vertAlign val="subscript"/>
        <sz val="11"/>
        <color rgb="FF000000"/>
        <rFont val="Aptos Narrow"/>
        <family val="2"/>
        <scheme val="minor"/>
      </rPr>
      <t>1</t>
    </r>
    <r>
      <rPr>
        <sz val="12"/>
        <color rgb="FF000000"/>
        <rFont val="Aptos Narrow"/>
        <family val="2"/>
        <scheme val="minor"/>
      </rPr>
      <t xml:space="preserve"> =</t>
    </r>
  </si>
  <si>
    <r>
      <t>b</t>
    </r>
    <r>
      <rPr>
        <vertAlign val="subscript"/>
        <sz val="11"/>
        <color rgb="FF000000"/>
        <rFont val="Aptos Narrow"/>
        <family val="2"/>
        <scheme val="minor"/>
      </rPr>
      <t>1</t>
    </r>
    <r>
      <rPr>
        <sz val="12"/>
        <color rgb="FF000000"/>
        <rFont val="Aptos Narrow"/>
        <family val="2"/>
        <scheme val="minor"/>
      </rPr>
      <t xml:space="preserve"> =</t>
    </r>
  </si>
  <si>
    <r>
      <t>b</t>
    </r>
    <r>
      <rPr>
        <vertAlign val="subscript"/>
        <sz val="11"/>
        <color rgb="FF000000"/>
        <rFont val="Aptos Narrow"/>
        <family val="2"/>
        <scheme val="minor"/>
      </rPr>
      <t>2</t>
    </r>
    <r>
      <rPr>
        <sz val="12"/>
        <color rgb="FF000000"/>
        <rFont val="Aptos Narrow"/>
        <family val="2"/>
        <scheme val="minor"/>
      </rPr>
      <t xml:space="preserve"> =</t>
    </r>
  </si>
  <si>
    <r>
      <t>T</t>
    </r>
    <r>
      <rPr>
        <vertAlign val="subscript"/>
        <sz val="11"/>
        <color rgb="FF000000"/>
        <rFont val="Aptos Narrow"/>
        <family val="2"/>
        <scheme val="minor"/>
      </rPr>
      <t>2</t>
    </r>
    <r>
      <rPr>
        <sz val="12"/>
        <color rgb="FF000000"/>
        <rFont val="Aptos Narrow"/>
        <family val="2"/>
        <scheme val="minor"/>
      </rPr>
      <t xml:space="preserve"> =</t>
    </r>
  </si>
  <si>
    <r>
      <t>N(a</t>
    </r>
    <r>
      <rPr>
        <vertAlign val="subscript"/>
        <sz val="11"/>
        <color rgb="FF000000"/>
        <rFont val="Aptos Narrow"/>
        <family val="2"/>
        <scheme val="minor"/>
      </rPr>
      <t>2</t>
    </r>
    <r>
      <rPr>
        <sz val="12"/>
        <color rgb="FF000000"/>
        <rFont val="Aptos Narrow"/>
        <family val="2"/>
        <scheme val="minor"/>
      </rPr>
      <t>) =</t>
    </r>
  </si>
  <si>
    <r>
      <t>K</t>
    </r>
    <r>
      <rPr>
        <vertAlign val="subscript"/>
        <sz val="11"/>
        <color rgb="FF000000"/>
        <rFont val="Aptos Narrow"/>
        <family val="2"/>
        <scheme val="minor"/>
      </rPr>
      <t>1</t>
    </r>
    <r>
      <rPr>
        <sz val="12"/>
        <color rgb="FF000000"/>
        <rFont val="Aptos Narrow"/>
        <family val="2"/>
        <scheme val="minor"/>
      </rPr>
      <t xml:space="preserve"> =</t>
    </r>
  </si>
  <si>
    <r>
      <t>K</t>
    </r>
    <r>
      <rPr>
        <vertAlign val="subscript"/>
        <sz val="11"/>
        <color rgb="FF000000"/>
        <rFont val="Aptos Narrow"/>
        <family val="2"/>
        <scheme val="minor"/>
      </rPr>
      <t>2</t>
    </r>
    <r>
      <rPr>
        <sz val="12"/>
        <color rgb="FF000000"/>
        <rFont val="Aptos Narrow"/>
        <family val="2"/>
        <scheme val="minor"/>
      </rPr>
      <t xml:space="preserve"> =</t>
    </r>
  </si>
  <si>
    <r>
      <t>M[a1, b1,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</si>
  <si>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r>
      <t>M[a2, b2,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</si>
  <si>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r>
      <t>s</t>
    </r>
    <r>
      <rPr>
        <vertAlign val="superscript"/>
        <sz val="11"/>
        <color rgb="FF000000"/>
        <rFont val="Symbol"/>
        <family val="1"/>
        <charset val="2"/>
      </rPr>
      <t>2</t>
    </r>
    <r>
      <rPr>
        <sz val="11"/>
        <color rgb="FF000000"/>
        <rFont val="Symbol"/>
        <family val="1"/>
        <charset val="2"/>
      </rPr>
      <t xml:space="preserve"> =</t>
    </r>
  </si>
  <si>
    <t>call-on-put</t>
  </si>
  <si>
    <r>
      <t>N(-a</t>
    </r>
    <r>
      <rPr>
        <vertAlign val="subscript"/>
        <sz val="11"/>
        <color rgb="FF000000"/>
        <rFont val="Aptos Narrow"/>
        <family val="2"/>
        <scheme val="minor"/>
      </rPr>
      <t>2</t>
    </r>
    <r>
      <rPr>
        <sz val="12"/>
        <color rgb="FF000000"/>
        <rFont val="Aptos Narrow"/>
        <family val="2"/>
        <scheme val="minor"/>
      </rPr>
      <t>) =</t>
    </r>
  </si>
  <si>
    <r>
      <t>M[-a1, -b1,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</si>
  <si>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r>
      <t>M[-a2, -b2,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</si>
  <si>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t>put-on-put</t>
  </si>
  <si>
    <r>
      <t>M[a1, -b1,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</si>
  <si>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r>
      <t>M[a2, -b2, -raiz(T</t>
    </r>
    <r>
      <rPr>
        <vertAlign val="subscript"/>
        <sz val="11"/>
        <color rgb="FF000000"/>
        <rFont val="Aptos Narrow"/>
        <family val="2"/>
        <scheme val="minor"/>
      </rPr>
      <t>1</t>
    </r>
    <r>
      <rPr>
        <sz val="12"/>
        <color rgb="FF000000"/>
        <rFont val="Aptos Narrow"/>
        <family val="2"/>
        <scheme val="minor"/>
      </rPr>
      <t>/T</t>
    </r>
    <r>
      <rPr>
        <vertAlign val="subscript"/>
        <sz val="11"/>
        <color rgb="FF000000"/>
        <rFont val="Aptos Narrow"/>
        <family val="2"/>
        <scheme val="minor"/>
      </rPr>
      <t>2</t>
    </r>
    <r>
      <rPr>
        <sz val="12"/>
        <color rgb="FF000000"/>
        <rFont val="Aptos Narrow"/>
        <family val="2"/>
        <scheme val="minor"/>
      </rPr>
      <t>)] =</t>
    </r>
  </si>
  <si>
    <t>Opciones UxV</t>
  </si>
  <si>
    <t>U =</t>
  </si>
  <si>
    <t>Plata (entrego)</t>
  </si>
  <si>
    <t>V =</t>
  </si>
  <si>
    <t>Oro (recibo)</t>
  </si>
  <si>
    <t>Datos:</t>
  </si>
  <si>
    <r>
      <t>V</t>
    </r>
    <r>
      <rPr>
        <vertAlign val="subscript"/>
        <sz val="11"/>
        <color theme="1"/>
        <rFont val="Aptos Narrow"/>
        <family val="2"/>
        <scheme val="minor"/>
      </rPr>
      <t>0</t>
    </r>
    <r>
      <rPr>
        <sz val="12"/>
        <color theme="1"/>
        <rFont val="Aptos Narrow"/>
        <family val="2"/>
        <scheme val="minor"/>
      </rPr>
      <t xml:space="preserve"> =</t>
    </r>
  </si>
  <si>
    <r>
      <t>U</t>
    </r>
    <r>
      <rPr>
        <vertAlign val="subscript"/>
        <sz val="11"/>
        <color theme="1"/>
        <rFont val="Aptos Narrow"/>
        <family val="2"/>
        <scheme val="minor"/>
      </rPr>
      <t>0</t>
    </r>
    <r>
      <rPr>
        <sz val="12"/>
        <color theme="1"/>
        <rFont val="Aptos Narrow"/>
        <family val="2"/>
        <scheme val="minor"/>
      </rPr>
      <t xml:space="preserve"> =</t>
    </r>
  </si>
  <si>
    <t>sigma=</t>
  </si>
  <si>
    <r>
      <t>C</t>
    </r>
    <r>
      <rPr>
        <vertAlign val="subscript"/>
        <sz val="11"/>
        <color theme="1"/>
        <rFont val="Aptos Narrow"/>
        <family val="2"/>
        <scheme val="minor"/>
      </rPr>
      <t>PlataXOro</t>
    </r>
    <r>
      <rPr>
        <sz val="12"/>
        <color theme="1"/>
        <rFont val="Aptos Narrow"/>
        <family val="2"/>
        <scheme val="minor"/>
      </rPr>
      <t xml:space="preserve"> =</t>
    </r>
  </si>
  <si>
    <t>Tabla de estrategias de opciones financieras</t>
  </si>
  <si>
    <t>Bull Spread con calls</t>
  </si>
  <si>
    <t>Expectativa de estrategia</t>
  </si>
  <si>
    <t>Rango de S_t</t>
  </si>
  <si>
    <t>Pago l-call</t>
  </si>
  <si>
    <t>pago s-call</t>
  </si>
  <si>
    <t>pago total</t>
  </si>
  <si>
    <t>nota</t>
  </si>
  <si>
    <t>Está orientada a la alza en el precio del subyacente; es decir, se construye cuando se espera que el precio del activo se va incrementar.</t>
  </si>
  <si>
    <t>S_t &lt; K_0</t>
  </si>
  <si>
    <t>(-c_l)</t>
  </si>
  <si>
    <t>c_c</t>
  </si>
  <si>
    <t xml:space="preserve">c_c - c_l </t>
  </si>
  <si>
    <t>Largo en una opción call con K0 y corto en una opción call con K1 tal que K1 &gt; K0 y la misma T.</t>
  </si>
  <si>
    <t>K_0 &lt; S_t &lt; K_1</t>
  </si>
  <si>
    <t>S_t - K_0 - c_l</t>
  </si>
  <si>
    <t>S_t - K_0 + c_c - c_l</t>
  </si>
  <si>
    <t>K_1 &lt; S_t</t>
  </si>
  <si>
    <t>k_1 - S_t + c_c</t>
  </si>
  <si>
    <t>K_1 - K_0 + c_c - c_l</t>
  </si>
  <si>
    <t>Bull Spread con puts</t>
  </si>
  <si>
    <t>Pago l-put</t>
  </si>
  <si>
    <t>pago s-put</t>
  </si>
  <si>
    <t xml:space="preserve">K_0 - S_t - p_l </t>
  </si>
  <si>
    <t>p_c - (K-1 - S_t)</t>
  </si>
  <si>
    <t>p_c - p_l  + K_0 - k_1</t>
  </si>
  <si>
    <t>Largo en una opción put con K0 y corto en una opción put con K1 tal que K1 &gt; K0 y la misma T.</t>
  </si>
  <si>
    <t>(- p_l)</t>
  </si>
  <si>
    <t>p_c -p_l + S_t - K_1</t>
  </si>
  <si>
    <t>(-p_l)</t>
  </si>
  <si>
    <t>p_c</t>
  </si>
  <si>
    <t xml:space="preserve">p_c - p_l </t>
  </si>
  <si>
    <t>Bear Spread con puts</t>
  </si>
  <si>
    <t xml:space="preserve">Es una estrategia construida con opciones call o con opciones put que está orientada a la baja en el precio del subyacente; es decir, si se espera que el precio del activo va a disminuir. </t>
  </si>
  <si>
    <t xml:space="preserve">K_1 - S_t - p_l </t>
  </si>
  <si>
    <t>p_c - (K_0 - S_t)</t>
  </si>
  <si>
    <t xml:space="preserve">p_c - p_l + K_1 - K_0 </t>
  </si>
  <si>
    <t>Corto en una opción put con K0 y largo en una opción put con K1 tal que K1 &gt; K0 y la misma T</t>
  </si>
  <si>
    <t xml:space="preserve">p_c - p_l + K_1 - S_t </t>
  </si>
  <si>
    <t>Bear Spread con calls</t>
  </si>
  <si>
    <t>( - c_l )</t>
  </si>
  <si>
    <t>c_s</t>
  </si>
  <si>
    <t>c_s - c_l</t>
  </si>
  <si>
    <t>Corto en una opción call con K0 y largo en una opción call con K1 tal que K1 &gt; K0 y la misma T</t>
  </si>
  <si>
    <t xml:space="preserve"> c_s - ( S_t - k_0)</t>
  </si>
  <si>
    <t>c_s - c_l + K_0 - S_t</t>
  </si>
  <si>
    <t>S_t - k_1 -c_l</t>
  </si>
  <si>
    <t xml:space="preserve"> c_s - (S_t - k_0)</t>
  </si>
  <si>
    <t>c_s - c_l + + K_0 - K_1</t>
  </si>
  <si>
    <t>Box Spread</t>
  </si>
  <si>
    <t>Bull spread</t>
  </si>
  <si>
    <t>Bear spread</t>
  </si>
  <si>
    <t>Es una estrategia construida con opciones call y con opciones put que no tienen alguna expectativa en particular; es decir, es neutral ante movimientos en el precio del subyacente ya que el pago es constante, equivalente a la diferencia de los precios de ejercicio.</t>
  </si>
  <si>
    <t xml:space="preserve">k_1  - k_0  + p_s - p_l </t>
  </si>
  <si>
    <t>c_s + p_s + K_1 - K_0 - c_l - p_l</t>
  </si>
  <si>
    <t>es una combinación de un Bull y Bear spread. El Bull spread es construido con opciones call y precios de ejercicios K0 y K1, y el Bear spread es construido con opciones put con los mismos precios de ejercicio y los mismos vencimientos que el Bull spread.</t>
  </si>
  <si>
    <t>S_t - k_0 + c_s - c_l</t>
  </si>
  <si>
    <t>K_1 - S_t  + P_s - p_l</t>
  </si>
  <si>
    <t>c_s + p_s + K_1 - K_0 - c_l - c_p</t>
  </si>
  <si>
    <t>K_1 - K_0 + c_s - c_l</t>
  </si>
  <si>
    <t>p_s - p_l</t>
  </si>
  <si>
    <t>Butterfly Spread</t>
  </si>
  <si>
    <t xml:space="preserve">call_l en K_0 </t>
  </si>
  <si>
    <t>call_l en K_2</t>
  </si>
  <si>
    <t>Call_s en K_1</t>
  </si>
  <si>
    <t>Es una estrategia que se construye con opciones call y opciones put que está orientada a una baja volatilidad en el precio del subyacente.</t>
  </si>
  <si>
    <t>(-c_0)</t>
  </si>
  <si>
    <t>(-C_2)</t>
  </si>
  <si>
    <t>2c_1</t>
  </si>
  <si>
    <t>2c1 - c_2 - c_0</t>
  </si>
  <si>
    <t>Involucra posiciones en opciones con 3 diferentes precios de ejercicio, y pueden construirse con dos posiciones largas de calls Europeos, uno con un relativo bajo precio de ejercicio K1 y otro con un relativo alto precio de  ejercicio K3, y corto en dos opciones call Europeas con un precio de ejercicio K2, el cual es un promedio de los dos anteriores y cercano al precio spot del activo.</t>
  </si>
  <si>
    <r>
      <t>S</t>
    </r>
    <r>
      <rPr>
        <vertAlign val="subscript"/>
        <sz val="12"/>
        <color rgb="FF000000"/>
        <rFont val="Verdana"/>
        <family val="2"/>
      </rPr>
      <t>T</t>
    </r>
    <r>
      <rPr>
        <sz val="12"/>
        <color rgb="FF000000"/>
        <rFont val="Verdana"/>
        <family val="2"/>
      </rPr>
      <t xml:space="preserve"> – K</t>
    </r>
    <r>
      <rPr>
        <vertAlign val="subscript"/>
        <sz val="12"/>
        <color rgb="FF000000"/>
        <rFont val="Verdana"/>
        <family val="2"/>
      </rPr>
      <t xml:space="preserve">0 </t>
    </r>
    <r>
      <rPr>
        <sz val="12"/>
        <color rgb="FF000000"/>
        <rFont val="Verdana"/>
        <family val="2"/>
      </rPr>
      <t>– c</t>
    </r>
    <r>
      <rPr>
        <vertAlign val="subscript"/>
        <sz val="12"/>
        <color rgb="FF000000"/>
        <rFont val="Verdana"/>
        <family val="2"/>
      </rPr>
      <t>0</t>
    </r>
  </si>
  <si>
    <r>
      <t>S</t>
    </r>
    <r>
      <rPr>
        <vertAlign val="subscript"/>
        <sz val="12"/>
        <color rgb="FF000000"/>
        <rFont val="Verdana"/>
        <family val="2"/>
      </rPr>
      <t>T</t>
    </r>
    <r>
      <rPr>
        <sz val="12"/>
        <color rgb="FF000000"/>
        <rFont val="Verdana"/>
        <family val="2"/>
      </rPr>
      <t xml:space="preserve"> – K</t>
    </r>
    <r>
      <rPr>
        <vertAlign val="subscript"/>
        <sz val="12"/>
        <color rgb="FF000000"/>
        <rFont val="Verdana"/>
        <family val="2"/>
      </rPr>
      <t xml:space="preserve">0 </t>
    </r>
    <r>
      <rPr>
        <sz val="12"/>
        <color rgb="FF000000"/>
        <rFont val="Verdana"/>
        <family val="2"/>
      </rPr>
      <t>+ 2c</t>
    </r>
    <r>
      <rPr>
        <vertAlign val="subscript"/>
        <sz val="12"/>
        <color rgb="FF000000"/>
        <rFont val="Verdana"/>
        <family val="2"/>
      </rPr>
      <t>1</t>
    </r>
    <r>
      <rPr>
        <sz val="12"/>
        <color rgb="FF000000"/>
        <rFont val="Verdana"/>
        <family val="2"/>
      </rPr>
      <t>-c</t>
    </r>
    <r>
      <rPr>
        <vertAlign val="subscript"/>
        <sz val="12"/>
        <color rgb="FF000000"/>
        <rFont val="Verdana"/>
        <family val="2"/>
      </rPr>
      <t>0</t>
    </r>
    <r>
      <rPr>
        <sz val="12"/>
        <color rgb="FF000000"/>
        <rFont val="Verdana"/>
        <family val="2"/>
      </rPr>
      <t>-c</t>
    </r>
    <r>
      <rPr>
        <vertAlign val="subscript"/>
        <sz val="12"/>
        <color rgb="FF000000"/>
        <rFont val="Verdana"/>
        <family val="2"/>
      </rPr>
      <t>2</t>
    </r>
  </si>
  <si>
    <r>
      <t>2(K</t>
    </r>
    <r>
      <rPr>
        <vertAlign val="subscript"/>
        <sz val="12"/>
        <color rgb="FF000000"/>
        <rFont val="Verdana"/>
        <family val="2"/>
      </rPr>
      <t>1</t>
    </r>
    <r>
      <rPr>
        <sz val="12"/>
        <color rgb="FF000000"/>
        <rFont val="Verdana"/>
        <family val="2"/>
      </rPr>
      <t>-S</t>
    </r>
    <r>
      <rPr>
        <vertAlign val="subscript"/>
        <sz val="12"/>
        <color rgb="FF000000"/>
        <rFont val="Verdana"/>
        <family val="2"/>
      </rPr>
      <t>T</t>
    </r>
    <r>
      <rPr>
        <sz val="12"/>
        <color rgb="FF000000"/>
        <rFont val="Verdana"/>
        <family val="2"/>
      </rPr>
      <t>)+2c_1</t>
    </r>
  </si>
  <si>
    <r>
      <t>2K</t>
    </r>
    <r>
      <rPr>
        <vertAlign val="subscript"/>
        <sz val="12"/>
        <color rgb="FF000000"/>
        <rFont val="Verdana"/>
        <family val="2"/>
      </rPr>
      <t>1</t>
    </r>
    <r>
      <rPr>
        <sz val="12"/>
        <color rgb="FF000000"/>
        <rFont val="Verdana"/>
        <family val="2"/>
      </rPr>
      <t>-S</t>
    </r>
    <r>
      <rPr>
        <vertAlign val="subscript"/>
        <sz val="12"/>
        <color rgb="FF000000"/>
        <rFont val="Verdana"/>
        <family val="2"/>
      </rPr>
      <t xml:space="preserve">T </t>
    </r>
    <r>
      <rPr>
        <sz val="12"/>
        <color rgb="FF000000"/>
        <rFont val="Verdana"/>
        <family val="2"/>
      </rPr>
      <t>-K</t>
    </r>
    <r>
      <rPr>
        <vertAlign val="subscript"/>
        <sz val="12"/>
        <color rgb="FF000000"/>
        <rFont val="Verdana"/>
        <family val="2"/>
      </rPr>
      <t>0</t>
    </r>
    <r>
      <rPr>
        <sz val="12"/>
        <color rgb="FF000000"/>
        <rFont val="Verdana"/>
        <family val="2"/>
      </rPr>
      <t>+2c</t>
    </r>
    <r>
      <rPr>
        <vertAlign val="subscript"/>
        <sz val="12"/>
        <color rgb="FF000000"/>
        <rFont val="Verdana"/>
        <family val="2"/>
      </rPr>
      <t>1</t>
    </r>
    <r>
      <rPr>
        <sz val="12"/>
        <color rgb="FF000000"/>
        <rFont val="Verdana"/>
        <family val="2"/>
      </rPr>
      <t>-c</t>
    </r>
    <r>
      <rPr>
        <vertAlign val="subscript"/>
        <sz val="12"/>
        <color rgb="FF000000"/>
        <rFont val="Verdana"/>
        <family val="2"/>
      </rPr>
      <t>0</t>
    </r>
    <r>
      <rPr>
        <sz val="12"/>
        <color rgb="FF000000"/>
        <rFont val="Verdana"/>
        <family val="2"/>
      </rPr>
      <t>-c</t>
    </r>
    <r>
      <rPr>
        <vertAlign val="subscript"/>
        <sz val="12"/>
        <color rgb="FF000000"/>
        <rFont val="Verdana"/>
        <family val="2"/>
      </rPr>
      <t>2</t>
    </r>
  </si>
  <si>
    <t>Calendar Spread</t>
  </si>
  <si>
    <t>call_l</t>
  </si>
  <si>
    <t>call_s</t>
  </si>
  <si>
    <t>Es una estrategia construida con opciones call. Se busca que el precio del. Subyacente se encuentre cerca del strike price en el corto plazo.</t>
  </si>
  <si>
    <t>S_t &lt; K</t>
  </si>
  <si>
    <t xml:space="preserve">c_s - c_l </t>
  </si>
  <si>
    <t>Construcción de un calendar spread:
Corto en una opción call Europea con K y T1;
Largo en una opción call Europea con esa misma K y T2 (T2&gt;T1). Recuerde que a mayor plazo, más costosa es el precio de la opción.</t>
  </si>
  <si>
    <t>K &lt; S_t</t>
  </si>
  <si>
    <t xml:space="preserve">S_t - k - c_l </t>
  </si>
  <si>
    <t>c_s - {S_t - k}</t>
  </si>
  <si>
    <t xml:space="preserve">c_s - c_t </t>
  </si>
  <si>
    <t>Long Straddle</t>
  </si>
  <si>
    <t>put_l</t>
  </si>
  <si>
    <t>Es una estrategia orientada a la volatilidad del precio del subyacente, y se construye comprando un call y put Europeo con el mismo precio de ejercicio y vencimiento</t>
  </si>
  <si>
    <t>(K - S_t) - p_l</t>
  </si>
  <si>
    <t>K - S_t - c_l - p_l</t>
  </si>
  <si>
    <t xml:space="preserve"> S_t &gt; K</t>
  </si>
  <si>
    <t>S_t - k - c_l</t>
  </si>
  <si>
    <t>S_t - K - c_l - p_l</t>
  </si>
  <si>
    <t>Short Straddle</t>
  </si>
  <si>
    <t>put_s</t>
  </si>
  <si>
    <t>En un mercado con volatilidad que se espera tienda a estabilizarse o la volatilidad sea decreciente. Se construye vendiendo un call y put Europeo con el mismo precio de ejercicio y vencimiento</t>
  </si>
  <si>
    <t xml:space="preserve"> p_l - {k - S_t} </t>
  </si>
  <si>
    <t>c_s + p_t - { k - S_t }</t>
  </si>
  <si>
    <t xml:space="preserve">c_s - { S_t - k) </t>
  </si>
  <si>
    <t>p_t</t>
  </si>
  <si>
    <t>Long Strangle</t>
  </si>
  <si>
    <t>Un long Strangle puede construirse con una posición larga en un put y un call (Europeos), con el mismo vencimiento pero el precio de ejercicio del call, K1, mayor que el precio de ejercicio del put, K0</t>
  </si>
  <si>
    <t>{k_0  - S_t } - p_l</t>
  </si>
  <si>
    <t xml:space="preserve">{K_0 - S_t} - c_l - p_l </t>
  </si>
  <si>
    <t>(-1)(c_l + p_l)</t>
  </si>
  <si>
    <t xml:space="preserve">K_1 &lt; S_t </t>
  </si>
  <si>
    <t xml:space="preserve">S_t - k_1 - c_l </t>
  </si>
  <si>
    <t xml:space="preserve">(-p_l) </t>
  </si>
  <si>
    <t xml:space="preserve">S_t - k_1 - c_l - p_l </t>
  </si>
  <si>
    <t>Short Strangle</t>
  </si>
  <si>
    <t>Un long Strangle puede construirse con una posición corta en un put y un call (Europeos), con el mismo vencimiento pero el precio de ejercicio del call, K1, mayor que el precio de ejercicio del put, K0</t>
  </si>
  <si>
    <t xml:space="preserve"> p_s - {K_0 - S_t]</t>
  </si>
  <si>
    <t>c_s + p_s - {K_0 - S_t}</t>
  </si>
  <si>
    <t>p_s</t>
  </si>
  <si>
    <t>c_s + p_s</t>
  </si>
  <si>
    <t>c_s - S_t - K_1</t>
  </si>
  <si>
    <t>c_s + p_s - {S_t - K_1}</t>
  </si>
  <si>
    <t>Strip</t>
  </si>
  <si>
    <t>se espera un movimiento (grande) en el precio del activo; sin embargo, en el strip se considera que este gran movimiento sea a la baja con mayor probabilidad</t>
  </si>
  <si>
    <t>(-c)</t>
  </si>
  <si>
    <t>{K - S_t} - p</t>
  </si>
  <si>
    <t>K - S_t - { p + 2c }</t>
  </si>
  <si>
    <t xml:space="preserve">K &lt; S_t </t>
  </si>
  <si>
    <t>S_t - K - c</t>
  </si>
  <si>
    <t>(-p)</t>
  </si>
  <si>
    <t>2{S_t - K} - {c +p}</t>
  </si>
  <si>
    <t>Strap</t>
  </si>
  <si>
    <t>se espera un movimiento (grande) en el precio del activo; sin embargo, en el strap se espera con una mayor probabilidad que el precio del activo se incremente. Las gráficas que describen la función de pagos de estos instrumentos son las siguientes:</t>
  </si>
  <si>
    <t>K - S_t - p</t>
  </si>
  <si>
    <t>2[K - S_t} - {p -c}</t>
  </si>
  <si>
    <t>S_t - K - { c - p }</t>
  </si>
  <si>
    <t>Derivados Sintéticos</t>
  </si>
  <si>
    <t>Call largo sintético</t>
  </si>
  <si>
    <t xml:space="preserve">S_t </t>
  </si>
  <si>
    <t>Ante la perspectiva a la alza en el precio de un activo, se puede construir un portafolio con la posición larga de la acción y la posición larga de un put Europeo sobre esa acción ATM (suponiendo que en t0, S0=K).</t>
  </si>
  <si>
    <t>S_t - K</t>
  </si>
  <si>
    <t>S_0 = K</t>
  </si>
  <si>
    <t>S_t - K - p_l</t>
  </si>
  <si>
    <t>Put largo sintético</t>
  </si>
  <si>
    <t xml:space="preserve">menos S_t </t>
  </si>
  <si>
    <t>Ante una perspectiva a la baja en el precio de una acción, se puede construir un portafolio con una posición corta de la acción y una posición larga de un call Europeo sobre esa acción</t>
  </si>
  <si>
    <t>K - S_t</t>
  </si>
  <si>
    <t>K - S_t - c_l</t>
  </si>
  <si>
    <t>K -S_t</t>
  </si>
  <si>
    <t>S_t - K -c_l</t>
  </si>
  <si>
    <t>Call corto sintético</t>
  </si>
  <si>
    <t>menos S_t</t>
  </si>
  <si>
    <t>Ante una perspectiva a la baja en el precio de una acción, se puede construir un portafolio con la posición corta de la acción y de un put Europeo sobre esa acción</t>
  </si>
  <si>
    <t xml:space="preserve">K - S_t </t>
  </si>
  <si>
    <t xml:space="preserve">p_s - (K - S_t) </t>
  </si>
  <si>
    <t xml:space="preserve">p_s - {S_t - K} </t>
  </si>
  <si>
    <t>Put corto sintético</t>
  </si>
  <si>
    <t xml:space="preserve"> S_t</t>
  </si>
  <si>
    <t xml:space="preserve">Ante una perspectiva a la alza en el precio de una acción, se puede construir un portafolio con la posición larga de la acción y una posición corta de un call Europeo sobre esa acción </t>
  </si>
  <si>
    <t xml:space="preserve">c_s </t>
  </si>
  <si>
    <t>c_s + {S_t - K}</t>
  </si>
  <si>
    <t>c_s - {S_t - K}</t>
  </si>
  <si>
    <t>Call largo</t>
  </si>
  <si>
    <t>Call corto</t>
  </si>
  <si>
    <t xml:space="preserve"> </t>
  </si>
  <si>
    <r>
      <t>S</t>
    </r>
    <r>
      <rPr>
        <sz val="7"/>
        <color rgb="FF000000"/>
        <rFont val="Calibri"/>
        <family val="2"/>
      </rPr>
      <t xml:space="preserve">0 </t>
    </r>
    <r>
      <rPr>
        <sz val="11"/>
        <color rgb="FF000000"/>
        <rFont val="Calibri"/>
        <family val="2"/>
      </rPr>
      <t>=</t>
    </r>
  </si>
  <si>
    <r>
      <t></t>
    </r>
    <r>
      <rPr>
        <sz val="11"/>
        <color rgb="FF000000"/>
        <rFont val="Calibri"/>
        <family val="2"/>
      </rPr>
      <t xml:space="preserve"> =</t>
    </r>
  </si>
  <si>
    <t>call largo</t>
  </si>
  <si>
    <t>call corto</t>
  </si>
  <si>
    <t>Pay off Bull spread</t>
  </si>
  <si>
    <t>Tipo de cambio FIX</t>
  </si>
  <si>
    <t>Valuación de opción asiática con promedio geométrico</t>
  </si>
  <si>
    <t>Dato</t>
  </si>
  <si>
    <t>Símbolo</t>
  </si>
  <si>
    <t>Valor</t>
  </si>
  <si>
    <t>Concepto</t>
  </si>
  <si>
    <t>Fórmula Excel</t>
  </si>
  <si>
    <t>Precio actual del subyacente</t>
  </si>
  <si>
    <t>S</t>
  </si>
  <si>
    <t>Plazo en años</t>
  </si>
  <si>
    <t>Precio de ejercicio</t>
  </si>
  <si>
    <t>Volatilidad ajustada</t>
  </si>
  <si>
    <t>σ_A</t>
  </si>
  <si>
    <t>Tasa libre de riesgo anual</t>
  </si>
  <si>
    <t>Costo de acarreo ajustado</t>
  </si>
  <si>
    <t>b_A</t>
  </si>
  <si>
    <t>Costo de acarreo anual</t>
  </si>
  <si>
    <t>b</t>
  </si>
  <si>
    <t>Log-moneyness</t>
  </si>
  <si>
    <t>ln(S/K)</t>
  </si>
  <si>
    <t>Volatilidad anual</t>
  </si>
  <si>
    <t>σ</t>
  </si>
  <si>
    <t>Plazo a vencimiento en meses</t>
  </si>
  <si>
    <t>m</t>
  </si>
  <si>
    <t>Tipo de opción</t>
  </si>
  <si>
    <t>call/put</t>
  </si>
  <si>
    <t>N(-d2)</t>
  </si>
  <si>
    <t>Call geométrica</t>
  </si>
  <si>
    <t>Put geométrica</t>
  </si>
  <si>
    <t>V</t>
  </si>
  <si>
    <t>Comparación: put aritmético, put geométrico y put vanilla</t>
  </si>
  <si>
    <t>Misma información del ejercicio: S=80, K=85, r=5%, b=8%, σ=20%, T=3 meses.</t>
  </si>
  <si>
    <t>Put asiático aritmético</t>
  </si>
  <si>
    <t>Put vanilla: Black-Scholes con costo de acarreo</t>
  </si>
  <si>
    <t>Fórmula usada</t>
  </si>
  <si>
    <t>Convierte meses a años.</t>
  </si>
  <si>
    <t>d1 vanilla</t>
  </si>
  <si>
    <t>Teórica: [ln(S/K)+(b+0.5σ²)T]/(σ√T)</t>
  </si>
  <si>
    <t>Primer momento del promedio</t>
  </si>
  <si>
    <t>M1</t>
  </si>
  <si>
    <t>S0·(e^{bT}-1)/(bT)</t>
  </si>
  <si>
    <t>Media del promedio aritmético continuo.</t>
  </si>
  <si>
    <t>d2 vanilla</t>
  </si>
  <si>
    <t>Segundo momento del promedio</t>
  </si>
  <si>
    <t>M2</t>
  </si>
  <si>
    <t>TW/Hull para E[A²]</t>
  </si>
  <si>
    <t>Segundo momento del promedio aritmético continuo.</t>
  </si>
  <si>
    <t>Varianza lognormal efectiva</t>
  </si>
  <si>
    <t>σ_A²</t>
  </si>
  <si>
    <t>LN(M2/M1²)/T</t>
  </si>
  <si>
    <t>Parámetro de varianza anualizada aproximada.</t>
  </si>
  <si>
    <t>Volatilidad efectiva</t>
  </si>
  <si>
    <t>Volatilidad equivalente del promedio.</t>
  </si>
  <si>
    <t>C_van</t>
  </si>
  <si>
    <t>Teórica: S e^{(b-r)T}N(d1)-K e^{-rT}N(d2)</t>
  </si>
  <si>
    <t>d1 aritmético</t>
  </si>
  <si>
    <t>Teórica: [ln(M1/K)+0.5σ_A²T]/(σ_A√T)</t>
  </si>
  <si>
    <t>Umbral normal ajustado.</t>
  </si>
  <si>
    <t>Put vanilla</t>
  </si>
  <si>
    <t>P_van</t>
  </si>
  <si>
    <t>Teórica: K e^{-rT}N(-d2)-S e^{(b-r)T}N(-d1)</t>
  </si>
  <si>
    <t>d2 aritmético</t>
  </si>
  <si>
    <t>Segundo umbral normal.</t>
  </si>
  <si>
    <t>Probabilidad normal para put.</t>
  </si>
  <si>
    <t>Put aritmético</t>
  </si>
  <si>
    <t>P_arit</t>
  </si>
  <si>
    <t>Teórica: e^{-rT}[K N(-d2)-M1 N(-d1)]</t>
  </si>
  <si>
    <t>Prima aproximada por lognormal matching.</t>
  </si>
  <si>
    <t>Relación de orden</t>
  </si>
  <si>
    <t>Instrumento</t>
  </si>
  <si>
    <t>Prima</t>
  </si>
  <si>
    <t>Referencia</t>
  </si>
  <si>
    <t>D63</t>
  </si>
  <si>
    <t>Put asiático geométrico</t>
  </si>
  <si>
    <t>I17</t>
  </si>
  <si>
    <t>I59</t>
  </si>
  <si>
    <t>Conclusión</t>
  </si>
  <si>
    <t>Para precios, el promedio aritmético domina al geométrico: A_arit ≥ A_geom.</t>
  </si>
  <si>
    <t>Como el payoff put (K − x)+ es decreciente en x, se obtiene P_arit ≤ P_geom.</t>
  </si>
  <si>
    <t>El vanilla suele valer más que el asiático porque no suaviza la trayectoria mediante promedio; mantiene más convexidad efectiva.</t>
  </si>
  <si>
    <t>Conclusión del ejercicio: sí se cumple la relación de orden vista en clase.</t>
  </si>
  <si>
    <t>Valuación de opciones Floating Lookback y comparación con Vanilla</t>
  </si>
  <si>
    <t>Ejercicio 10 · Put floating lookback sobre acción sin dividendos</t>
  </si>
  <si>
    <t>Unidad</t>
  </si>
  <si>
    <t>Fuente / nota</t>
  </si>
  <si>
    <t>Fórmula / definición</t>
  </si>
  <si>
    <t>Notas</t>
  </si>
  <si>
    <t>Precio spot actual</t>
  </si>
  <si>
    <t>S0</t>
  </si>
  <si>
    <t>$</t>
  </si>
  <si>
    <t>τ</t>
  </si>
  <si>
    <t>Tiempo remanente</t>
  </si>
  <si>
    <t>τ = T</t>
  </si>
  <si>
    <t>Precio máximo a la fecha</t>
  </si>
  <si>
    <t>S_max</t>
  </si>
  <si>
    <t>Como se está emitiendo: S_max = S0</t>
  </si>
  <si>
    <t>λ</t>
  </si>
  <si>
    <t>σ² / [2(r−q)]</t>
  </si>
  <si>
    <t>Factor de corrección lookback</t>
  </si>
  <si>
    <t>Dividend yield</t>
  </si>
  <si>
    <t>q</t>
  </si>
  <si>
    <t>% anual</t>
  </si>
  <si>
    <t>No paga dividendos</t>
  </si>
  <si>
    <t>b1</t>
  </si>
  <si>
    <t>[ln(Smax/S0)+(-r+q+σ²/2)τ]/(σ√τ)</t>
  </si>
  <si>
    <t>Parámetro del put lookback</t>
  </si>
  <si>
    <t>Tasa libre de riesgo</t>
  </si>
  <si>
    <t>b2</t>
  </si>
  <si>
    <t>b1 − σ√τ</t>
  </si>
  <si>
    <t>b3</t>
  </si>
  <si>
    <t>[ln(Smax/S0)+(r−q−σ²/2)τ]/(σ√τ)</t>
  </si>
  <si>
    <t>Vencimiento</t>
  </si>
  <si>
    <t>meses</t>
  </si>
  <si>
    <t>Y2</t>
  </si>
  <si>
    <t>2(r−q−σ²/2)ln(Smax/S0)/σ²</t>
  </si>
  <si>
    <t>Exponente lookback</t>
  </si>
  <si>
    <t>años</t>
  </si>
  <si>
    <t>T = meses / 12</t>
  </si>
  <si>
    <t>N(b1)</t>
  </si>
  <si>
    <t>Normal estándar acumulada</t>
  </si>
  <si>
    <t>Chequeo intermedio</t>
  </si>
  <si>
    <t>Strike vanilla</t>
  </si>
  <si>
    <t>Supuesto ATM: K = S0</t>
  </si>
  <si>
    <t>N(−b3)</t>
  </si>
  <si>
    <t>Put floating lookback</t>
  </si>
  <si>
    <t>Smax e^{-rτ}[N(b1)−λe^{Y2}N(−b3)] + S0e^{-qτ}λN(−b2) − S0e^{-qτ}N(b2)</t>
  </si>
  <si>
    <t>[ln(S0/K)+(r−q+σ²/2)T]/(σ√T)</t>
  </si>
  <si>
    <t>Vanilla ATM</t>
  </si>
  <si>
    <t>d1 − σ√T</t>
  </si>
  <si>
    <t>Ke^{-rT}N(−d2) − S0e^{-qT}N(−d1)</t>
  </si>
  <si>
    <t>Prima vanilla</t>
  </si>
  <si>
    <t>Diferencia</t>
  </si>
  <si>
    <t>Lookback − Vanilla</t>
  </si>
  <si>
    <t>Debe ser positiva</t>
  </si>
  <si>
    <t>Validación</t>
  </si>
  <si>
    <t>Floating lookback ≥ Vanilla ATM</t>
  </si>
  <si>
    <t>Ejercicio 11 · Call floating lookback sobre índice con dividendos</t>
  </si>
  <si>
    <t>Nivel spot actual</t>
  </si>
  <si>
    <t>índice</t>
  </si>
  <si>
    <t>Precio mínimo a la fecha</t>
  </si>
  <si>
    <t>S_min</t>
  </si>
  <si>
    <t>Como se está emitiendo: S_min = S0</t>
  </si>
  <si>
    <t>a1</t>
  </si>
  <si>
    <t>[ln(S0/Smin)+(r−q+σ²/2)τ]/(σ√τ)</t>
  </si>
  <si>
    <t>Parámetro del call lookback</t>
  </si>
  <si>
    <t>a2</t>
  </si>
  <si>
    <t>a1 − σ√τ</t>
  </si>
  <si>
    <t>a3</t>
  </si>
  <si>
    <t>[ln(S0/Smin)+(−r+q+σ²/2)τ]/(σ√τ)</t>
  </si>
  <si>
    <t>Y1</t>
  </si>
  <si>
    <t>−2(r−q−σ²/2)ln(S0/Smin)/σ²</t>
  </si>
  <si>
    <t>N(a1)</t>
  </si>
  <si>
    <t>N(−a3)</t>
  </si>
  <si>
    <t>Call floating lookback</t>
  </si>
  <si>
    <t>S0e^{-qτ}N(a1) − S0e^{-qτ}λN(−a1) − Smin e^{-rτ}[N(a2)−λe^{Y1}N(−a3)]</t>
  </si>
  <si>
    <t>S0e^{-qT}N(d1) − Ke^{-rT}N(d2)</t>
  </si>
  <si>
    <t>Caso</t>
  </si>
  <si>
    <t>Parámetros</t>
  </si>
  <si>
    <t>Floating lookback</t>
  </si>
  <si>
    <t>Relación esperada</t>
  </si>
  <si>
    <t>Nota</t>
  </si>
  <si>
    <t>S0=50, q=0%, r=10%, σ=40%, T=3m</t>
  </si>
  <si>
    <t>Lookback ≥ Vanilla</t>
  </si>
  <si>
    <t>Smax=S0 al emitirse</t>
  </si>
  <si>
    <t>S0=400, q=4%, r=6%, σ=20%, T=9m</t>
  </si>
  <si>
    <t>Smin=S0 al emitirse</t>
  </si>
  <si>
    <t xml:space="preserve">Opción compuesta call-on-call </t>
  </si>
  <si>
    <t>La normal bivariada M(a,b;ρ) se aproxima dentro del Excel por integración de Simpson, porque Excel no trae una función nativa general para Φ₂.</t>
  </si>
  <si>
    <t>Inputs</t>
  </si>
  <si>
    <t>Resultados</t>
  </si>
  <si>
    <t>Integración auxiliar para M(a,b;ρ) — regla de Simpson</t>
  </si>
  <si>
    <t>Fórmula / descripción</t>
  </si>
  <si>
    <t>Identidad: Φ₂(a,b;ρ)=∫_{−∞}^{a} φ(x)N((b−ρx)/√(1−ρ²))dx; aquí −∞ se aproxima con L = −8.</t>
  </si>
  <si>
    <t>Precio actual del índice</t>
  </si>
  <si>
    <t>S*</t>
  </si>
  <si>
    <t>Raíz de C_BSM(S*,K2,T2−T1)=K1</t>
  </si>
  <si>
    <t>i</t>
  </si>
  <si>
    <t>x para M1</t>
  </si>
  <si>
    <t>peso</t>
  </si>
  <si>
    <t>integrando M1</t>
  </si>
  <si>
    <t>término M1</t>
  </si>
  <si>
    <t>x para M2</t>
  </si>
  <si>
    <t>integrando M2</t>
  </si>
  <si>
    <t>término M2</t>
  </si>
  <si>
    <t>Strike de la opción compuesta</t>
  </si>
  <si>
    <t>K1</t>
  </si>
  <si>
    <t>τ = T2−T1</t>
  </si>
  <si>
    <t>Tiempo remanente del call subyacente en T1</t>
  </si>
  <si>
    <t>Strike del call subyacente</t>
  </si>
  <si>
    <t>K2</t>
  </si>
  <si>
    <t>ρ</t>
  </si>
  <si>
    <t>Correlación = √(T1/T2)</t>
  </si>
  <si>
    <t>Anual, continua</t>
  </si>
  <si>
    <t>Parámetro del umbral S*</t>
  </si>
  <si>
    <t>Dividendos continuos</t>
  </si>
  <si>
    <t>a1 − σ√T1</t>
  </si>
  <si>
    <t>Parámetro del call subyacente</t>
  </si>
  <si>
    <t>Vencimiento opción compuesta</t>
  </si>
  <si>
    <t>T1</t>
  </si>
  <si>
    <t>3 meses = 0.25 años</t>
  </si>
  <si>
    <t>b1 − σ√T2</t>
  </si>
  <si>
    <t>Vencimiento call subyacente</t>
  </si>
  <si>
    <t>T2</t>
  </si>
  <si>
    <t>6 meses = 0.50 años</t>
  </si>
  <si>
    <t>M(a1,b1;ρ)</t>
  </si>
  <si>
    <t>Normal bivariada acumulada</t>
  </si>
  <si>
    <t>N para Simpson</t>
  </si>
  <si>
    <t>N</t>
  </si>
  <si>
    <t>Debe ser par</t>
  </si>
  <si>
    <t>M(a2,b2;ρ)</t>
  </si>
  <si>
    <t>Límite inferior integración</t>
  </si>
  <si>
    <t>L</t>
  </si>
  <si>
    <t>Truncamiento de -∞</t>
  </si>
  <si>
    <t>N(a2)</t>
  </si>
  <si>
    <t>Cota alta para S*</t>
  </si>
  <si>
    <t>U0</t>
  </si>
  <si>
    <t>Cota inicial de bisección</t>
  </si>
  <si>
    <t>Call-on-call</t>
  </si>
  <si>
    <t>Prima de la opción compuesta</t>
  </si>
  <si>
    <t>Call vanilla subyacente hoy</t>
  </si>
  <si>
    <t>Referencia: C_BSM(S0,K2,T2)</t>
  </si>
  <si>
    <t>Paso</t>
  </si>
  <si>
    <t>Expresión</t>
  </si>
  <si>
    <t>Implementación</t>
  </si>
  <si>
    <t>1</t>
  </si>
  <si>
    <t>S* resuelve C_BSM(S*,K2,T2−T1)=K1</t>
  </si>
  <si>
    <t>Bisección en A31:F92</t>
  </si>
  <si>
    <t>2</t>
  </si>
  <si>
    <t>ρ=√(T1/T2)</t>
  </si>
  <si>
    <t>=SQRT(T1/T2)</t>
  </si>
  <si>
    <t>3</t>
  </si>
  <si>
    <t>a1=[ln(S0/S*)+(r−q+σ²/2)T1]/(σ√T1)</t>
  </si>
  <si>
    <t>Celda H8</t>
  </si>
  <si>
    <t>4</t>
  </si>
  <si>
    <t>a2=a1−σ√T1</t>
  </si>
  <si>
    <t>Celda H9</t>
  </si>
  <si>
    <t>5</t>
  </si>
  <si>
    <t>b1=[ln(S0/K2)+(r−q+σ²/2)T2]/(σ√T2)</t>
  </si>
  <si>
    <t>Celda H10</t>
  </si>
  <si>
    <t>6</t>
  </si>
  <si>
    <t>b2=b1−σ√T2</t>
  </si>
  <si>
    <t>Celda H11</t>
  </si>
  <si>
    <t>7</t>
  </si>
  <si>
    <t>M(a,b;ρ)=∫φ(x)N((b−ρx)/√(1−ρ²))dx</t>
  </si>
  <si>
    <t>Simpson en L5:S406</t>
  </si>
  <si>
    <t>8</t>
  </si>
  <si>
    <t>c=S0e^(−qT2)M(a1,b1;ρ)−K2e^(−rT2)M(a2,b2;ρ)−K1e^(−rT1)N(a2)</t>
  </si>
  <si>
    <t>Celda H15</t>
  </si>
  <si>
    <t>En lugar de resolver con solver de Excel usando Newton-Raphson, se utiliza el método de bisección para encontrar S* y mantener un registro de lo utilizado para resolver el enunciado.</t>
  </si>
  <si>
    <t>Iteración</t>
  </si>
  <si>
    <t>Bajo</t>
  </si>
  <si>
    <t>Alto</t>
  </si>
  <si>
    <t>Medio S</t>
  </si>
  <si>
    <t>C_BSM(medio)</t>
  </si>
  <si>
    <t>C_BSM−K1</t>
  </si>
  <si>
    <t>Notas estructuradas con exposición al IPC</t>
  </si>
  <si>
    <t>Estructuración: bono cupón cero + opciones ATM sobre IPC. Supuesto: capitalización continua, conforme al Anexo I.</t>
  </si>
  <si>
    <t>Presupuesto de estructuración</t>
  </si>
  <si>
    <t>Fórmula</t>
  </si>
  <si>
    <t>Resultado</t>
  </si>
  <si>
    <t>Interpretación</t>
  </si>
  <si>
    <t>Nocional</t>
  </si>
  <si>
    <t>moneda base</t>
  </si>
  <si>
    <t>Supuesto: nocional 100</t>
  </si>
  <si>
    <t>Factor de descuento</t>
  </si>
  <si>
    <t>DF = e^{-rT}</t>
  </si>
  <si>
    <t>factor</t>
  </si>
  <si>
    <t>PV de $1 pagadero al vencimiento</t>
  </si>
  <si>
    <t>Plazo</t>
  </si>
  <si>
    <t>PV bono cupón cero</t>
  </si>
  <si>
    <t>PV_Bono = N·DF</t>
  </si>
  <si>
    <t>moneda</t>
  </si>
  <si>
    <t>Monto invertido hoy para garantizar N al vencimiento</t>
  </si>
  <si>
    <t>Tasa a 3 años</t>
  </si>
  <si>
    <t>% anual c.c.</t>
  </si>
  <si>
    <t>Presupuesto opciones</t>
  </si>
  <si>
    <t>Budget = N - PV_Bono</t>
  </si>
  <si>
    <t>Capital disponible para comprar opciones</t>
  </si>
  <si>
    <t>Costo call ATM 3 años</t>
  </si>
  <si>
    <t>C_ATM</t>
  </si>
  <si>
    <t>% del nocional</t>
  </si>
  <si>
    <t>Presupuesto opciones (%)</t>
  </si>
  <si>
    <t>Budget% = Budget/N</t>
  </si>
  <si>
    <t>% nocional</t>
  </si>
  <si>
    <t>Porcentaje de nocional utilizable en derivados</t>
  </si>
  <si>
    <t>Costo put ATM 3 años</t>
  </si>
  <si>
    <t>P_ATM</t>
  </si>
  <si>
    <t>Exposición baja nota iii</t>
  </si>
  <si>
    <t>δ</t>
  </si>
  <si>
    <t>% de caída IPC</t>
  </si>
  <si>
    <t>Retorno IPC para ejemplo</t>
  </si>
  <si>
    <t>R_IPC</t>
  </si>
  <si>
    <t>%</t>
  </si>
  <si>
    <t>Editable para ver pago puntual</t>
  </si>
  <si>
    <t>Notas estructuradas</t>
  </si>
  <si>
    <t>Objetivo</t>
  </si>
  <si>
    <t>Instrumentos</t>
  </si>
  <si>
    <t>Participación subida α/γ</t>
  </si>
  <si>
    <t>Exposición bajada β/δ</t>
  </si>
  <si>
    <t>Prima call comprada</t>
  </si>
  <si>
    <t>Prima put comprada / recibida</t>
  </si>
  <si>
    <t>Costo neto opciones</t>
  </si>
  <si>
    <t>Payoff</t>
  </si>
  <si>
    <t>Pago ejemplo</t>
  </si>
  <si>
    <t>Capital 100% protegido</t>
  </si>
  <si>
    <t>Relación de financiamiento</t>
  </si>
  <si>
    <t>Capital protegido 100% + ganancia proporcional a la subida</t>
  </si>
  <si>
    <t>Bono cupón cero + long call ATM parcial</t>
  </si>
  <si>
    <t>100% + α·max(R_IPC,0)</t>
  </si>
  <si>
    <t>Sí</t>
  </si>
  <si>
    <t>α = Budget% / C_ATM</t>
  </si>
  <si>
    <t>ii</t>
  </si>
  <si>
    <t>Capital protegido 100% + ganancia proporcional a la bajada</t>
  </si>
  <si>
    <t>Bono cupón cero + long put ATM parcial</t>
  </si>
  <si>
    <t>100% + β·max(-R_IPC,0)</t>
  </si>
  <si>
    <t>β = Budget% / P_ATM; se compra put</t>
  </si>
  <si>
    <t>iii</t>
  </si>
  <si>
    <t>Exposición al 25% de baja y potenciación de ganancia</t>
  </si>
  <si>
    <t>Bono cupón cero + long call parcial + short 25% put ATM</t>
  </si>
  <si>
    <t>100% + γ·max(R_IPC,0) - δ·max(-R_IPC,0)</t>
  </si>
  <si>
    <t>No</t>
  </si>
  <si>
    <t>γ = (Budget% + δ·P_ATM) / C_ATM; se vende put</t>
  </si>
  <si>
    <t>Tabla de escenarios: pago al vencimiento por retorno del IPC</t>
  </si>
  <si>
    <t>Nota i: call parcial</t>
  </si>
  <si>
    <t>Nota ii: put parcial</t>
  </si>
  <si>
    <t>Nota iii: call potenciado - short put</t>
  </si>
  <si>
    <t>Resumen</t>
  </si>
  <si>
    <t>Celda/fórmula</t>
  </si>
  <si>
    <t>J6 = EXP(-C8*C7)</t>
  </si>
  <si>
    <t>J7 = C6*J6</t>
  </si>
  <si>
    <t>Budget% = 1 - DF</t>
  </si>
  <si>
    <t>J9 = J8/C6</t>
  </si>
  <si>
    <t>Nota i: α = Budget% / C_ATM</t>
  </si>
  <si>
    <t>D17 = J9/C9</t>
  </si>
  <si>
    <t>Nota ii: β = Budget% / P_ATM</t>
  </si>
  <si>
    <t>E18 = J9/C10</t>
  </si>
  <si>
    <t>Nota iii: γ = (Budget% + δ·P_ATM)/C_ATM</t>
  </si>
  <si>
    <t>D19 = (J9+C11*C10)/C9</t>
  </si>
  <si>
    <t>Pago i = N[1 + α max(R,0)]</t>
  </si>
  <si>
    <t>J17</t>
  </si>
  <si>
    <t>Pago ii = N[1 + β max(-R,0)]</t>
  </si>
  <si>
    <t>J18</t>
  </si>
  <si>
    <t>9</t>
  </si>
  <si>
    <t>Pago iii = N[1 + γ max(R,0) - δ max(-R,0)]</t>
  </si>
  <si>
    <t>J19</t>
  </si>
  <si>
    <t>Notas:
1) El Anexo I usa la descomposición bono cupón cero + derivado para garantizar capital y ajustar participación.
2) Los costos de call y put se tratan como porcentaje del nocional.
3) La Nota iii vende 25% de una put ATM; por eso gana más si sube el IPC, pero ya no conserva protección total si el IPC baja.
4) Si se usara capitalización anual efectiva en lugar de continua, cambian el factor de descuento y las participaciones.</t>
  </si>
  <si>
    <t>La Nota i es adecuada para un inversionista que desea protección total del capital y exposición alcista moderada al IPC. La protección se logra porque la mayor parte del capital se asigna al bono cupón cero, el cual permite recuperar el capital al vencimiento. Sin embargo, la exposición al IPC queda limitada porque el presupuesto residual no alcanza para comprar el 100% de una call at-the-money.
La Nota ii es una versión bajista con protección total del capital. Es útil para un inversionista que espera caídas del IPC o que busca cobertura ante un mercado bajista. La participación bajista es mayor que la participación alcista de la Nota i porque la put at-the-money cuesta 18%, mientras que la call at-the-money cuesta 20%.
La Nota iii introduce un intercambio explícito entre protección y rendimiento potencial. Al vender el 25% de una put at-the-money, la nota recibe una prima adicional y puede comprar más participación en calls. Sin embargo, esta prima adicional no es gratuita: en escenarios negativos, el inversionista queda expuesto al 25% de la caída del IPC. Por eso, la nota potencia la subida, pero pierde la garantía estricta del 100% de capital.</t>
  </si>
  <si>
    <t>Strike</t>
  </si>
  <si>
    <t>Value</t>
  </si>
  <si>
    <t xml:space="preserve">K </t>
  </si>
  <si>
    <t xml:space="preserve">St </t>
  </si>
  <si>
    <t>LC</t>
  </si>
  <si>
    <t>LP</t>
  </si>
  <si>
    <t xml:space="preserve">Pay Off </t>
  </si>
  <si>
    <t>EJERCICIO 17</t>
  </si>
  <si>
    <t>Para construir el butterfly hacemos lo siuguiente:</t>
  </si>
  <si>
    <t>Largo en 1 call con</t>
  </si>
  <si>
    <r>
      <t>K</t>
    </r>
    <r>
      <rPr>
        <vertAlign val="subscript"/>
        <sz val="12"/>
        <color rgb="FF000000"/>
        <rFont val="Arial"/>
        <family val="2"/>
      </rPr>
      <t>1</t>
    </r>
    <r>
      <rPr>
        <sz val="12"/>
        <color rgb="FF000000"/>
        <rFont val="Arial"/>
        <family val="2"/>
      </rPr>
      <t xml:space="preserve"> =</t>
    </r>
  </si>
  <si>
    <r>
      <t>c</t>
    </r>
    <r>
      <rPr>
        <vertAlign val="subscript"/>
        <sz val="12"/>
        <color rgb="FF000000"/>
        <rFont val="Arial"/>
        <family val="2"/>
      </rPr>
      <t>1</t>
    </r>
    <r>
      <rPr>
        <sz val="12"/>
        <color rgb="FF000000"/>
        <rFont val="Arial"/>
        <family val="2"/>
      </rPr>
      <t xml:space="preserve"> =</t>
    </r>
  </si>
  <si>
    <r>
      <t>K</t>
    </r>
    <r>
      <rPr>
        <vertAlign val="subscript"/>
        <sz val="12"/>
        <color rgb="FF000000"/>
        <rFont val="Arial"/>
        <family val="2"/>
      </rPr>
      <t>3</t>
    </r>
    <r>
      <rPr>
        <sz val="12"/>
        <color rgb="FF000000"/>
        <rFont val="Arial"/>
        <family val="2"/>
      </rPr>
      <t xml:space="preserve"> =</t>
    </r>
  </si>
  <si>
    <r>
      <t>c</t>
    </r>
    <r>
      <rPr>
        <vertAlign val="subscript"/>
        <sz val="12"/>
        <color rgb="FF000000"/>
        <rFont val="Arial"/>
        <family val="2"/>
      </rPr>
      <t>3</t>
    </r>
    <r>
      <rPr>
        <sz val="12"/>
        <color rgb="FF000000"/>
        <rFont val="Arial"/>
        <family val="2"/>
      </rPr>
      <t xml:space="preserve"> =</t>
    </r>
  </si>
  <si>
    <t>Corto en dos calls con</t>
  </si>
  <si>
    <r>
      <t>K</t>
    </r>
    <r>
      <rPr>
        <vertAlign val="subscript"/>
        <sz val="12"/>
        <color rgb="FF000000"/>
        <rFont val="Arial"/>
        <family val="2"/>
      </rPr>
      <t>2</t>
    </r>
    <r>
      <rPr>
        <sz val="12"/>
        <color rgb="FF000000"/>
        <rFont val="Arial"/>
        <family val="2"/>
      </rPr>
      <t xml:space="preserve"> =</t>
    </r>
  </si>
  <si>
    <r>
      <t>c</t>
    </r>
    <r>
      <rPr>
        <vertAlign val="subscript"/>
        <sz val="12"/>
        <color rgb="FF000000"/>
        <rFont val="Arial"/>
        <family val="2"/>
      </rPr>
      <t>2</t>
    </r>
    <r>
      <rPr>
        <sz val="12"/>
        <color rgb="FF000000"/>
        <rFont val="Arial"/>
        <family val="2"/>
      </rPr>
      <t xml:space="preserve"> =</t>
    </r>
  </si>
  <si>
    <r>
      <t>S</t>
    </r>
    <r>
      <rPr>
        <b/>
        <vertAlign val="subscript"/>
        <sz val="12"/>
        <color rgb="FF000000"/>
        <rFont val="Arial"/>
        <family val="2"/>
      </rPr>
      <t>T</t>
    </r>
  </si>
  <si>
    <r>
      <t>Pago call con K</t>
    </r>
    <r>
      <rPr>
        <b/>
        <vertAlign val="subscript"/>
        <sz val="12"/>
        <color rgb="FF000000"/>
        <rFont val="Arial"/>
        <family val="2"/>
      </rPr>
      <t>1</t>
    </r>
  </si>
  <si>
    <r>
      <t>Pago call con K</t>
    </r>
    <r>
      <rPr>
        <b/>
        <vertAlign val="subscript"/>
        <sz val="12"/>
        <color rgb="FF000000"/>
        <rFont val="Arial"/>
        <family val="2"/>
      </rPr>
      <t>3</t>
    </r>
  </si>
  <si>
    <r>
      <t>Pago call con K</t>
    </r>
    <r>
      <rPr>
        <b/>
        <vertAlign val="subscript"/>
        <sz val="12"/>
        <color rgb="FF000000"/>
        <rFont val="Arial"/>
        <family val="2"/>
      </rPr>
      <t>2</t>
    </r>
  </si>
  <si>
    <t>Pago Total</t>
  </si>
  <si>
    <t xml:space="preserve">              -  </t>
  </si>
  <si>
    <t>A</t>
  </si>
  <si>
    <t>B</t>
  </si>
  <si>
    <t>St</t>
  </si>
  <si>
    <t>L_A</t>
  </si>
  <si>
    <t>L_B</t>
  </si>
  <si>
    <t>S_A</t>
  </si>
  <si>
    <t>S_B</t>
  </si>
  <si>
    <t>Bear</t>
  </si>
  <si>
    <t>Bull</t>
  </si>
  <si>
    <t xml:space="preserve">Option </t>
  </si>
  <si>
    <t>K (Oz)</t>
  </si>
  <si>
    <t>T (meses)</t>
  </si>
  <si>
    <t>Barrera</t>
  </si>
  <si>
    <t xml:space="preserve">Spot </t>
  </si>
  <si>
    <t>Call DAO</t>
  </si>
  <si>
    <t xml:space="preserve">Subyacente </t>
  </si>
  <si>
    <t>Volatilidad</t>
  </si>
  <si>
    <t xml:space="preserve">Plata </t>
  </si>
  <si>
    <t>Tasa Libre R.</t>
  </si>
  <si>
    <t>Ft</t>
  </si>
  <si>
    <t>C_DAO</t>
  </si>
  <si>
    <t>E[Ft]</t>
  </si>
  <si>
    <t>Price</t>
  </si>
  <si>
    <t>Vanilla Call</t>
  </si>
  <si>
    <t xml:space="preserve">Ejemplo </t>
  </si>
  <si>
    <t>LET(
N,10000,
pasos,31*Table5[T (meses)],
F0,Table5[[Spot ]],
K,Table5[K (Oz)],
B,Table5[Barrera],
sigma,Table6[Volatilidad],
r,Table7[Tasa Libre R.],
T,Table5[T (meses)]/12,
dt,T/pasos,
Z,MAKEARRAY(N,pasos,LAMBDA(i,j,NORM.S.INV(RAND()))),
paths,REDUCE(
    MAKEARRAY(N,1,LAMBDA(i,j,F0)),
    SEQUENCE(,pasos),
    LAMBDA(acc,j,
        HSTACK(
            acc,
            TAKE(acc,,-1)*EXP(-0.5*sigma^2*dt+sigma*SQRT(dt)*CHOOSECOLS(Z,j))
        )
    )
),
FT,TAKE(paths,,-1),
minimos,BYROW(paths,LAMBDA(fila,MIN(fila))),
payoff_vanilla,IF(FT&gt;K,FT-K,0),
payoffs,IF(minimos&lt;=B,0,payoff_vanilla),
EXP(-r*T)*AVERAGE(payoffs)
)</t>
  </si>
  <si>
    <t xml:space="preserve">    </t>
  </si>
  <si>
    <t>Ejemplo</t>
  </si>
  <si>
    <t>Table9[Price]-Table10[C_DAO]</t>
  </si>
  <si>
    <t>t</t>
  </si>
  <si>
    <t>callable</t>
  </si>
  <si>
    <t>C_34</t>
  </si>
  <si>
    <t>C_56</t>
  </si>
  <si>
    <t>C_78</t>
  </si>
  <si>
    <t>C_910</t>
  </si>
  <si>
    <t xml:space="preserve">Call </t>
  </si>
  <si>
    <t>E[x]</t>
  </si>
  <si>
    <t xml:space="preserve">Europea </t>
  </si>
  <si>
    <t>Bono</t>
  </si>
  <si>
    <t xml:space="preserve">Nominal </t>
  </si>
  <si>
    <t>B0</t>
  </si>
  <si>
    <t>Column1</t>
  </si>
  <si>
    <t>Column2</t>
  </si>
  <si>
    <t>TLR</t>
  </si>
  <si>
    <t>Forward</t>
  </si>
  <si>
    <t xml:space="preserve">Volatilidad </t>
  </si>
  <si>
    <t>Cupon</t>
  </si>
  <si>
    <t>Tasa 3m</t>
  </si>
  <si>
    <t>9%</t>
  </si>
  <si>
    <t>Tasa 9m</t>
  </si>
  <si>
    <t>VP</t>
  </si>
  <si>
    <t>B0*</t>
  </si>
  <si>
    <t>Call sobre tasa</t>
  </si>
  <si>
    <t xml:space="preserve">Descuento trimestral </t>
  </si>
  <si>
    <t>Denominación</t>
  </si>
  <si>
    <t xml:space="preserve">millones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</si>
</sst>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quot;$&quot;#,##0;[Red]\-&quot;$&quot;#,##0"/>
    <numFmt numFmtId="165" formatCode="_-&quot;$&quot;* #,##0.00_-;\-&quot;$&quot;* #,##0.00_-;_-&quot;$&quot;* &quot;-&quot;??_-;_-@_-"/>
    <numFmt numFmtId="166" formatCode="_-* #,##0.00_-;\-* #,##0.00_-;_-* &quot;-&quot;??_-;_-@_-"/>
    <numFmt numFmtId="167" formatCode="_-* #,##0.0000_-;\-* #,##0.0000_-;_-* &quot;-&quot;??_-;_-@_-"/>
    <numFmt numFmtId="168" formatCode="_-* #,##0.00000_-;\-* #,##0.00000_-;_-* &quot;-&quot;??_-;_-@_-"/>
    <numFmt numFmtId="169" formatCode="0.000%"/>
    <numFmt numFmtId="170" formatCode="0.0000"/>
    <numFmt numFmtId="171" formatCode="_-* #,##0_-;\-* #,##0_-;_-* &quot;-&quot;??_-;_-@_-"/>
    <numFmt numFmtId="172" formatCode="_-* #,##0.000000_-;\-* #,##0.000000_-;_-* &quot;-&quot;??_-;_-@_-"/>
    <numFmt numFmtId="173" formatCode="#,##0.00_ ;[Red]\-#,##0.00\ "/>
    <numFmt numFmtId="174" formatCode="#,##0.0000_ ;[Red]\-#,##0.0000\ "/>
    <numFmt numFmtId="175" formatCode="0.000"/>
    <numFmt numFmtId="176" formatCode="0.000000%"/>
    <numFmt numFmtId="177" formatCode="\$#,##0.00;[Red]\(\$#,##0.00\);\-"/>
    <numFmt numFmtId="178" formatCode="0.000000"/>
    <numFmt numFmtId="179" formatCode="0.0000%"/>
    <numFmt numFmtId="180" formatCode="\$#,##0.0000;[Red]\(\$#,##0.0000\);\-"/>
    <numFmt numFmtId="181" formatCode="\$0.0000"/>
    <numFmt numFmtId="182" formatCode="#,##0.0000;[Red]\(#,##0.0000\);\-"/>
    <numFmt numFmtId="183" formatCode="#,##0;[Red]\(#,##0\);\-"/>
    <numFmt numFmtId="184" formatCode="#,##0.000000;[Red]\(#,##0.000000\);\-"/>
  </numFmts>
  <fonts count="61">
    <font>
      <sz val="12"/>
      <color theme="1"/>
      <name val="Aptos Narrow"/>
      <family val="2"/>
      <scheme val="minor"/>
    </font>
    <font>
      <sz val="12"/>
      <color theme="1"/>
      <name val="Aptos Narrow"/>
      <family val="2"/>
      <scheme val="minor"/>
    </font>
    <font>
      <sz val="12"/>
      <color rgb="FF000000"/>
      <name val="Aptos Narrow"/>
      <family val="2"/>
      <scheme val="minor"/>
    </font>
    <font>
      <b/>
      <sz val="11"/>
      <color theme="1"/>
      <name val="Aptos Narrow"/>
      <family val="2"/>
      <scheme val="minor"/>
    </font>
    <font>
      <sz val="11"/>
      <color theme="1"/>
      <name val="Aptos Narrow"/>
      <family val="2"/>
      <scheme val="minor"/>
    </font>
    <font>
      <vertAlign val="subscript"/>
      <sz val="11"/>
      <color theme="1"/>
      <name val="Aptos Narrow"/>
      <family val="2"/>
      <scheme val="minor"/>
    </font>
    <font>
      <sz val="11"/>
      <color theme="1"/>
      <name val="Symbol"/>
      <family val="1"/>
      <charset val="2"/>
    </font>
    <font>
      <sz val="11"/>
      <name val="Aptos Narrow"/>
      <family val="2"/>
      <scheme val="minor"/>
    </font>
    <font>
      <vertAlign val="subscript"/>
      <sz val="11"/>
      <name val="Aptos Narrow"/>
      <family val="2"/>
      <scheme val="minor"/>
    </font>
    <font>
      <sz val="12"/>
      <color rgb="FF000000"/>
      <name val="Cambria Math"/>
      <family val="1"/>
    </font>
    <font>
      <sz val="10"/>
      <color theme="1"/>
      <name val="Aptos Narrow (Cuerpo)"/>
    </font>
    <font>
      <i/>
      <sz val="11"/>
      <color theme="1"/>
      <name val="Aptos Narrow"/>
      <family val="2"/>
      <scheme val="minor"/>
    </font>
    <font>
      <i/>
      <vertAlign val="subscript"/>
      <sz val="11"/>
      <color theme="1"/>
      <name val="Aptos Narrow"/>
      <family val="2"/>
      <scheme val="minor"/>
    </font>
    <font>
      <sz val="11"/>
      <color rgb="FFFF0000"/>
      <name val="Aptos Narrow"/>
      <family val="2"/>
      <scheme val="minor"/>
    </font>
    <font>
      <sz val="11"/>
      <color rgb="FF000000"/>
      <name val="Calibri"/>
      <family val="2"/>
    </font>
    <font>
      <vertAlign val="subscript"/>
      <sz val="11"/>
      <color rgb="FF000000"/>
      <name val="Calibri"/>
      <family val="2"/>
    </font>
    <font>
      <sz val="11"/>
      <color rgb="FF000000"/>
      <name val="Symbol"/>
      <family val="1"/>
      <charset val="2"/>
    </font>
    <font>
      <sz val="11"/>
      <color rgb="FF000000"/>
      <name val="Calibri Light"/>
      <family val="2"/>
    </font>
    <font>
      <vertAlign val="subscript"/>
      <sz val="11"/>
      <color rgb="FF000000"/>
      <name val="Calibri Light"/>
      <family val="2"/>
    </font>
    <font>
      <sz val="12"/>
      <color theme="1"/>
      <name val="Proxima Nova Cn Lt"/>
      <family val="2"/>
    </font>
    <font>
      <vertAlign val="superscript"/>
      <sz val="11"/>
      <color theme="1"/>
      <name val="Aptos Narrow"/>
      <family val="2"/>
      <scheme val="minor"/>
    </font>
    <font>
      <sz val="11"/>
      <color theme="1"/>
      <name val="Aptos Narrow"/>
      <family val="1"/>
      <charset val="2"/>
      <scheme val="minor"/>
    </font>
    <font>
      <vertAlign val="superscript"/>
      <sz val="11"/>
      <color theme="1"/>
      <name val="Symbol"/>
      <family val="1"/>
      <charset val="2"/>
    </font>
    <font>
      <b/>
      <sz val="11"/>
      <color theme="1"/>
      <name val="Symbol"/>
      <family val="1"/>
      <charset val="2"/>
    </font>
    <font>
      <b/>
      <sz val="11"/>
      <name val="Aptos Narrow"/>
      <family val="2"/>
      <scheme val="minor"/>
    </font>
    <font>
      <vertAlign val="subscript"/>
      <sz val="11"/>
      <color rgb="FF000000"/>
      <name val="Aptos Narrow"/>
      <family val="2"/>
      <scheme val="minor"/>
    </font>
    <font>
      <vertAlign val="superscript"/>
      <sz val="11"/>
      <color rgb="FF000000"/>
      <name val="Symbol"/>
      <family val="1"/>
      <charset val="2"/>
    </font>
    <font>
      <b/>
      <sz val="11"/>
      <color rgb="FF000000"/>
      <name val="Symbol"/>
      <family val="1"/>
      <charset val="2"/>
    </font>
    <font>
      <sz val="18"/>
      <color theme="3"/>
      <name val="Aptos Display"/>
      <family val="2"/>
      <scheme val="major"/>
    </font>
    <font>
      <b/>
      <sz val="15"/>
      <color theme="3"/>
      <name val="Aptos Narrow"/>
      <family val="2"/>
      <scheme val="minor"/>
    </font>
    <font>
      <b/>
      <sz val="12"/>
      <color theme="0"/>
      <name val="Aptos Narrow"/>
      <family val="2"/>
      <scheme val="minor"/>
    </font>
    <font>
      <sz val="18"/>
      <color rgb="FF000000"/>
      <name val="Verdana"/>
      <family val="2"/>
    </font>
    <font>
      <sz val="9"/>
      <color theme="1"/>
      <name val="Aptos Narrow"/>
      <family val="2"/>
      <scheme val="minor"/>
    </font>
    <font>
      <sz val="10"/>
      <color theme="1"/>
      <name val="Aptos Narrow"/>
      <family val="2"/>
      <scheme val="minor"/>
    </font>
    <font>
      <vertAlign val="subscript"/>
      <sz val="12"/>
      <color rgb="FF000000"/>
      <name val="Verdana"/>
      <family val="2"/>
    </font>
    <font>
      <sz val="12"/>
      <color rgb="FF000000"/>
      <name val="Verdana"/>
      <family val="2"/>
    </font>
    <font>
      <sz val="7"/>
      <color rgb="FF000000"/>
      <name val="Calibri"/>
      <family val="2"/>
    </font>
    <font>
      <sz val="11"/>
      <color rgb="FF000000"/>
      <name val="Segoe UI Symbol"/>
      <family val="2"/>
    </font>
    <font>
      <sz val="8"/>
      <color theme="1"/>
      <name val="Aptos Narrow"/>
      <family val="2"/>
      <scheme val="minor"/>
    </font>
    <font>
      <sz val="12"/>
      <name val="Aptos Narrow"/>
      <family val="2"/>
      <scheme val="minor"/>
    </font>
    <font>
      <sz val="12"/>
      <color rgb="FF000000"/>
      <name val="Arial"/>
    </font>
    <font>
      <b/>
      <sz val="12"/>
      <color rgb="FF000000"/>
      <name val="Arial"/>
    </font>
    <font>
      <u/>
      <sz val="12"/>
      <color rgb="FF000000"/>
      <name val="Arial"/>
    </font>
    <font>
      <vertAlign val="subscript"/>
      <sz val="12"/>
      <color rgb="FF000000"/>
      <name val="Arial"/>
      <family val="2"/>
    </font>
    <font>
      <sz val="12"/>
      <color rgb="FF000000"/>
      <name val="Arial"/>
      <family val="2"/>
    </font>
    <font>
      <b/>
      <vertAlign val="subscript"/>
      <sz val="12"/>
      <color rgb="FF000000"/>
      <name val="Arial"/>
      <family val="2"/>
    </font>
    <font>
      <sz val="11"/>
      <color rgb="FF006100"/>
      <name val="Aptos Narrow"/>
      <family val="2"/>
      <scheme val="minor"/>
    </font>
    <font>
      <sz val="12"/>
      <color theme="0"/>
      <name val="Aptos Narrow"/>
      <family val="2"/>
      <scheme val="minor"/>
    </font>
    <font>
      <sz val="11"/>
      <name val="Carlito"/>
    </font>
    <font>
      <b/>
      <sz val="12"/>
      <color rgb="FFFFFFFF"/>
      <name val="Aptos Narrow"/>
      <family val="2"/>
      <scheme val="minor"/>
    </font>
    <font>
      <b/>
      <sz val="12"/>
      <name val="Aptos Narrow"/>
      <family val="2"/>
      <scheme val="minor"/>
    </font>
    <font>
      <sz val="12"/>
      <color rgb="FF555555"/>
      <name val="Aptos Narrow"/>
      <family val="2"/>
      <scheme val="minor"/>
    </font>
    <font>
      <b/>
      <sz val="12"/>
      <color rgb="FF006100"/>
      <name val="Aptos Narrow"/>
      <family val="2"/>
      <scheme val="minor"/>
    </font>
    <font>
      <i/>
      <sz val="12"/>
      <color rgb="FF1F1F1F"/>
      <name val="Aptos Narrow"/>
      <family val="2"/>
      <scheme val="minor"/>
    </font>
    <font>
      <b/>
      <sz val="12"/>
      <color rgb="FF000000"/>
      <name val="Aptos Narrow"/>
      <family val="2"/>
      <scheme val="minor"/>
    </font>
    <font>
      <i/>
      <sz val="12"/>
      <name val="Aptos Narrow"/>
      <family val="2"/>
      <scheme val="minor"/>
    </font>
    <font>
      <b/>
      <sz val="12"/>
      <color rgb="FF166534"/>
      <name val="Aptos Narrow"/>
      <family val="2"/>
      <scheme val="minor"/>
    </font>
    <font>
      <i/>
      <sz val="12"/>
      <color rgb="FF1F2937"/>
      <name val="Aptos Narrow"/>
      <family val="2"/>
      <scheme val="minor"/>
    </font>
    <font>
      <b/>
      <sz val="12"/>
      <color rgb="FF375623"/>
      <name val="Aptos Narrow"/>
      <family val="2"/>
      <scheme val="minor"/>
    </font>
    <font>
      <b/>
      <sz val="12"/>
      <color rgb="FF9C0006"/>
      <name val="Aptos Narrow"/>
      <family val="2"/>
      <scheme val="minor"/>
    </font>
    <font>
      <sz val="12"/>
      <color rgb="FF1F2937"/>
      <name val="Aptos Narrow"/>
      <family val="2"/>
      <scheme val="minor"/>
    </font>
  </fonts>
  <fills count="29">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C000"/>
        <bgColor indexed="64"/>
      </patternFill>
    </fill>
    <fill>
      <patternFill patternType="solid">
        <fgColor rgb="FFA5A5A5"/>
      </patternFill>
    </fill>
    <fill>
      <patternFill patternType="solid">
        <fgColor theme="0"/>
        <bgColor rgb="FF000000"/>
      </patternFill>
    </fill>
    <fill>
      <patternFill patternType="solid">
        <fgColor rgb="FFFFC000"/>
        <bgColor rgb="FF000000"/>
      </patternFill>
    </fill>
    <fill>
      <patternFill patternType="solid">
        <fgColor rgb="FFC6EFCE"/>
      </patternFill>
    </fill>
    <fill>
      <patternFill patternType="solid">
        <fgColor rgb="FF1F4E78"/>
      </patternFill>
    </fill>
    <fill>
      <patternFill patternType="solid">
        <fgColor rgb="FFD9EAD3"/>
      </patternFill>
    </fill>
    <fill>
      <patternFill patternType="solid">
        <fgColor rgb="FFFFF2CC"/>
      </patternFill>
    </fill>
    <fill>
      <patternFill patternType="solid">
        <fgColor rgb="FFE2F0D9"/>
      </patternFill>
    </fill>
    <fill>
      <patternFill patternType="solid">
        <fgColor rgb="FF1F4E79"/>
      </patternFill>
    </fill>
    <fill>
      <patternFill patternType="solid">
        <fgColor rgb="FFD9EAF7"/>
      </patternFill>
    </fill>
    <fill>
      <patternFill patternType="solid">
        <fgColor rgb="FF5B9BD5"/>
      </patternFill>
    </fill>
    <fill>
      <patternFill patternType="solid">
        <fgColor rgb="FF305496"/>
      </patternFill>
    </fill>
    <fill>
      <patternFill patternType="solid">
        <fgColor rgb="FFEAF4FB"/>
      </patternFill>
    </fill>
    <fill>
      <patternFill patternType="solid">
        <fgColor rgb="FFF8FBFD"/>
      </patternFill>
    </fill>
    <fill>
      <patternFill patternType="solid">
        <fgColor rgb="FFF3F6F8"/>
      </patternFill>
    </fill>
    <fill>
      <patternFill patternType="solid">
        <fgColor rgb="FF14532D"/>
      </patternFill>
    </fill>
    <fill>
      <patternFill patternType="solid">
        <fgColor rgb="FFE5E7EB"/>
      </patternFill>
    </fill>
    <fill>
      <patternFill patternType="solid">
        <fgColor rgb="FFFCE4D6"/>
      </patternFill>
    </fill>
    <fill>
      <patternFill patternType="solid">
        <fgColor rgb="FFFEF3C7"/>
      </patternFill>
    </fill>
    <fill>
      <patternFill patternType="solid">
        <fgColor rgb="FF78350F"/>
      </patternFill>
    </fill>
    <fill>
      <patternFill patternType="solid">
        <fgColor rgb="FF0B1F3A"/>
      </patternFill>
    </fill>
    <fill>
      <patternFill patternType="solid">
        <fgColor rgb="FF1F2937"/>
      </patternFill>
    </fill>
    <fill>
      <patternFill patternType="solid">
        <fgColor rgb="FFEAF2F8"/>
      </patternFill>
    </fill>
    <fill>
      <patternFill patternType="solid">
        <fgColor rgb="FF17365D"/>
      </patternFill>
    </fill>
  </fills>
  <borders count="57">
    <border>
      <left/>
      <right/>
      <top/>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diagonal/>
    </border>
    <border>
      <left style="thin">
        <color indexed="64"/>
      </left>
      <right/>
      <top/>
      <bottom style="medium">
        <color indexed="64"/>
      </bottom>
      <diagonal/>
    </border>
    <border>
      <left/>
      <right/>
      <top/>
      <bottom style="thick">
        <color theme="4"/>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medium">
        <color indexed="64"/>
      </left>
      <right style="double">
        <color rgb="FF3F3F3F"/>
      </right>
      <top style="medium">
        <color indexed="64"/>
      </top>
      <bottom/>
      <diagonal/>
    </border>
    <border>
      <left style="double">
        <color rgb="FF3F3F3F"/>
      </left>
      <right style="double">
        <color rgb="FF3F3F3F"/>
      </right>
      <top style="medium">
        <color indexed="64"/>
      </top>
      <bottom/>
      <diagonal/>
    </border>
    <border>
      <left style="double">
        <color rgb="FF3F3F3F"/>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double">
        <color rgb="FF3F3F3F"/>
      </left>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double">
        <color rgb="FF3F3F3F"/>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medium">
        <color indexed="64"/>
      </left>
      <right style="medium">
        <color indexed="64"/>
      </right>
      <top style="medium">
        <color indexed="64"/>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s>
  <cellStyleXfs count="12">
    <xf numFmtId="0" fontId="0" fillId="0" borderId="0"/>
    <xf numFmtId="165" fontId="1" fillId="0" borderId="0" applyFont="0" applyFill="0" applyBorder="0" applyAlignment="0" applyProtection="0"/>
    <xf numFmtId="9" fontId="1" fillId="0" borderId="0" applyFont="0" applyFill="0" applyBorder="0" applyAlignment="0" applyProtection="0"/>
    <xf numFmtId="166" fontId="1" fillId="0" borderId="0" applyFont="0" applyFill="0" applyBorder="0" applyAlignment="0" applyProtection="0"/>
    <xf numFmtId="0" fontId="19" fillId="0" borderId="0"/>
    <xf numFmtId="0" fontId="4" fillId="0" borderId="0"/>
    <xf numFmtId="9" fontId="19" fillId="0" borderId="0" applyFont="0" applyFill="0" applyBorder="0" applyAlignment="0" applyProtection="0"/>
    <xf numFmtId="0" fontId="28" fillId="0" borderId="0" applyNumberFormat="0" applyFill="0" applyBorder="0" applyAlignment="0" applyProtection="0"/>
    <xf numFmtId="0" fontId="29" fillId="0" borderId="25" applyNumberFormat="0" applyFill="0" applyAlignment="0" applyProtection="0"/>
    <xf numFmtId="0" fontId="30" fillId="5" borderId="26" applyNumberFormat="0" applyAlignment="0" applyProtection="0"/>
    <xf numFmtId="0" fontId="46" fillId="8" borderId="0" applyNumberFormat="0" applyBorder="0" applyAlignment="0" applyProtection="0"/>
    <xf numFmtId="0" fontId="48" fillId="0" borderId="0"/>
  </cellStyleXfs>
  <cellXfs count="576">
    <xf numFmtId="0" fontId="0" fillId="0" borderId="0" xfId="0"/>
    <xf numFmtId="0" fontId="0" fillId="3" borderId="0" xfId="0" applyFill="1"/>
    <xf numFmtId="0" fontId="4" fillId="0" borderId="0" xfId="0" applyFont="1"/>
    <xf numFmtId="0" fontId="4" fillId="0" borderId="4" xfId="0" applyFont="1" applyBorder="1" applyAlignment="1">
      <alignment horizontal="right"/>
    </xf>
    <xf numFmtId="166" fontId="4" fillId="0" borderId="5" xfId="3" applyFont="1" applyBorder="1"/>
    <xf numFmtId="167" fontId="4" fillId="0" borderId="5" xfId="3" applyNumberFormat="1" applyFont="1" applyBorder="1"/>
    <xf numFmtId="167" fontId="4" fillId="0" borderId="7" xfId="3" applyNumberFormat="1" applyFont="1" applyBorder="1"/>
    <xf numFmtId="0" fontId="4" fillId="0" borderId="11" xfId="0" applyFont="1" applyBorder="1"/>
    <xf numFmtId="0" fontId="4" fillId="0" borderId="4" xfId="0" applyFont="1" applyBorder="1"/>
    <xf numFmtId="0" fontId="4" fillId="0" borderId="6" xfId="0" applyFont="1" applyBorder="1"/>
    <xf numFmtId="2" fontId="4" fillId="2" borderId="8" xfId="0" applyNumberFormat="1" applyFont="1" applyFill="1" applyBorder="1" applyAlignment="1">
      <alignment horizontal="center" vertical="center"/>
    </xf>
    <xf numFmtId="170" fontId="4" fillId="2" borderId="9" xfId="0" applyNumberFormat="1" applyFont="1" applyFill="1" applyBorder="1" applyAlignment="1">
      <alignment horizontal="right" vertical="center"/>
    </xf>
    <xf numFmtId="170" fontId="4" fillId="0" borderId="0" xfId="0" applyNumberFormat="1" applyFont="1" applyAlignment="1">
      <alignment horizontal="right"/>
    </xf>
    <xf numFmtId="0" fontId="4" fillId="0" borderId="16" xfId="0" applyFont="1" applyBorder="1" applyAlignment="1">
      <alignment horizontal="center" wrapText="1"/>
    </xf>
    <xf numFmtId="171" fontId="7" fillId="2" borderId="16" xfId="3" applyNumberFormat="1" applyFont="1" applyFill="1" applyBorder="1"/>
    <xf numFmtId="171" fontId="7" fillId="2" borderId="8" xfId="3" applyNumberFormat="1" applyFont="1" applyFill="1" applyBorder="1"/>
    <xf numFmtId="166" fontId="7" fillId="2" borderId="10" xfId="3" applyFont="1" applyFill="1" applyBorder="1"/>
    <xf numFmtId="166" fontId="7" fillId="2" borderId="9" xfId="3" applyFont="1" applyFill="1" applyBorder="1"/>
    <xf numFmtId="0" fontId="4" fillId="0" borderId="11" xfId="0" applyFont="1" applyBorder="1" applyAlignment="1">
      <alignment horizontal="right"/>
    </xf>
    <xf numFmtId="167" fontId="4" fillId="0" borderId="13" xfId="3" applyNumberFormat="1" applyFont="1" applyBorder="1"/>
    <xf numFmtId="166" fontId="4" fillId="0" borderId="13" xfId="3" applyFont="1" applyBorder="1"/>
    <xf numFmtId="166" fontId="4" fillId="0" borderId="0" xfId="3" applyFont="1" applyBorder="1"/>
    <xf numFmtId="172" fontId="13" fillId="0" borderId="17" xfId="3" applyNumberFormat="1" applyFont="1" applyBorder="1"/>
    <xf numFmtId="172" fontId="13" fillId="0" borderId="4" xfId="3" applyNumberFormat="1" applyFont="1" applyBorder="1"/>
    <xf numFmtId="172" fontId="13" fillId="0" borderId="0" xfId="3" applyNumberFormat="1" applyFont="1" applyBorder="1"/>
    <xf numFmtId="172" fontId="13" fillId="0" borderId="5" xfId="3" applyNumberFormat="1" applyFont="1" applyBorder="1"/>
    <xf numFmtId="172" fontId="13" fillId="0" borderId="18" xfId="3" applyNumberFormat="1" applyFont="1" applyBorder="1"/>
    <xf numFmtId="172" fontId="13" fillId="0" borderId="6" xfId="3" applyNumberFormat="1" applyFont="1" applyBorder="1"/>
    <xf numFmtId="172" fontId="13" fillId="0" borderId="14" xfId="3" applyNumberFormat="1" applyFont="1" applyBorder="1"/>
    <xf numFmtId="172" fontId="13" fillId="0" borderId="7" xfId="3" applyNumberFormat="1" applyFont="1" applyBorder="1"/>
    <xf numFmtId="0" fontId="4" fillId="0" borderId="6" xfId="0" applyFont="1" applyBorder="1" applyAlignment="1">
      <alignment horizontal="right"/>
    </xf>
    <xf numFmtId="0" fontId="4" fillId="3" borderId="4" xfId="0" applyFont="1" applyFill="1" applyBorder="1" applyAlignment="1">
      <alignment horizontal="right"/>
    </xf>
    <xf numFmtId="166" fontId="4" fillId="3" borderId="5" xfId="3" applyFont="1" applyFill="1" applyBorder="1"/>
    <xf numFmtId="165" fontId="4" fillId="2" borderId="9" xfId="1" applyFont="1" applyFill="1" applyBorder="1" applyAlignment="1">
      <alignment horizontal="right" vertical="center"/>
    </xf>
    <xf numFmtId="0" fontId="4" fillId="0" borderId="0" xfId="5"/>
    <xf numFmtId="0" fontId="0" fillId="3" borderId="11" xfId="0" applyFill="1" applyBorder="1" applyAlignment="1">
      <alignment horizontal="right"/>
    </xf>
    <xf numFmtId="175" fontId="0" fillId="3" borderId="13" xfId="0" applyNumberFormat="1" applyFill="1" applyBorder="1"/>
    <xf numFmtId="0" fontId="0" fillId="3" borderId="11" xfId="0" applyFill="1" applyBorder="1" applyAlignment="1">
      <alignment horizontal="center"/>
    </xf>
    <xf numFmtId="167" fontId="0" fillId="3" borderId="12" xfId="3" applyNumberFormat="1" applyFont="1" applyFill="1" applyBorder="1"/>
    <xf numFmtId="0" fontId="0" fillId="3" borderId="12" xfId="0" applyFill="1" applyBorder="1" applyAlignment="1">
      <alignment horizontal="center"/>
    </xf>
    <xf numFmtId="167" fontId="0" fillId="3" borderId="13" xfId="3" applyNumberFormat="1" applyFont="1" applyFill="1" applyBorder="1"/>
    <xf numFmtId="0" fontId="0" fillId="3" borderId="4" xfId="0" applyFill="1" applyBorder="1" applyAlignment="1">
      <alignment horizontal="right"/>
    </xf>
    <xf numFmtId="175" fontId="0" fillId="3" borderId="5" xfId="3" applyNumberFormat="1" applyFont="1" applyFill="1" applyBorder="1"/>
    <xf numFmtId="0" fontId="0" fillId="3" borderId="4" xfId="0" applyFill="1" applyBorder="1" applyAlignment="1">
      <alignment horizontal="center"/>
    </xf>
    <xf numFmtId="167" fontId="0" fillId="3" borderId="0" xfId="3" applyNumberFormat="1" applyFont="1" applyFill="1" applyBorder="1"/>
    <xf numFmtId="0" fontId="0" fillId="3" borderId="0" xfId="0" applyFill="1" applyAlignment="1">
      <alignment horizontal="center"/>
    </xf>
    <xf numFmtId="167" fontId="0" fillId="3" borderId="5" xfId="3" applyNumberFormat="1" applyFont="1" applyFill="1" applyBorder="1"/>
    <xf numFmtId="0" fontId="6" fillId="3" borderId="6" xfId="0" applyFont="1" applyFill="1" applyBorder="1" applyAlignment="1">
      <alignment horizontal="center"/>
    </xf>
    <xf numFmtId="167" fontId="0" fillId="3" borderId="14" xfId="3" applyNumberFormat="1" applyFont="1" applyFill="1" applyBorder="1"/>
    <xf numFmtId="0" fontId="0" fillId="3" borderId="14" xfId="0" applyFill="1" applyBorder="1" applyAlignment="1">
      <alignment horizontal="center"/>
    </xf>
    <xf numFmtId="167" fontId="0" fillId="3" borderId="7" xfId="3" applyNumberFormat="1" applyFont="1" applyFill="1" applyBorder="1"/>
    <xf numFmtId="175" fontId="0" fillId="3" borderId="5" xfId="0" applyNumberFormat="1" applyFill="1" applyBorder="1"/>
    <xf numFmtId="0" fontId="0" fillId="3" borderId="23" xfId="0" applyFill="1" applyBorder="1" applyAlignment="1">
      <alignment horizontal="right"/>
    </xf>
    <xf numFmtId="169" fontId="0" fillId="3" borderId="5" xfId="2" applyNumberFormat="1" applyFont="1" applyFill="1" applyBorder="1"/>
    <xf numFmtId="0" fontId="0" fillId="3" borderId="6" xfId="0" applyFill="1" applyBorder="1"/>
    <xf numFmtId="0" fontId="0" fillId="3" borderId="24" xfId="0" applyFill="1" applyBorder="1" applyAlignment="1">
      <alignment horizontal="right"/>
    </xf>
    <xf numFmtId="0" fontId="6" fillId="3" borderId="4" xfId="0" applyFont="1" applyFill="1" applyBorder="1" applyAlignment="1">
      <alignment horizontal="right"/>
    </xf>
    <xf numFmtId="10" fontId="0" fillId="3" borderId="5" xfId="2" applyNumberFormat="1" applyFont="1" applyFill="1" applyBorder="1"/>
    <xf numFmtId="0" fontId="23" fillId="3" borderId="0" xfId="0" applyFont="1" applyFill="1" applyAlignment="1">
      <alignment horizontal="center"/>
    </xf>
    <xf numFmtId="0" fontId="0" fillId="3" borderId="6" xfId="0" applyFill="1" applyBorder="1" applyAlignment="1">
      <alignment horizontal="right"/>
    </xf>
    <xf numFmtId="175" fontId="0" fillId="3" borderId="7" xfId="3" applyNumberFormat="1" applyFont="1" applyFill="1" applyBorder="1"/>
    <xf numFmtId="0" fontId="7" fillId="3" borderId="0" xfId="0" applyFont="1" applyFill="1"/>
    <xf numFmtId="0" fontId="4" fillId="3" borderId="0" xfId="0" applyFont="1" applyFill="1"/>
    <xf numFmtId="166" fontId="7" fillId="3" borderId="5" xfId="3" applyFont="1" applyFill="1" applyBorder="1"/>
    <xf numFmtId="175" fontId="7" fillId="3" borderId="5" xfId="0" applyNumberFormat="1" applyFont="1" applyFill="1" applyBorder="1"/>
    <xf numFmtId="0" fontId="23" fillId="3" borderId="4" xfId="0" applyFont="1" applyFill="1" applyBorder="1" applyAlignment="1">
      <alignment horizontal="right"/>
    </xf>
    <xf numFmtId="10" fontId="7" fillId="3" borderId="5" xfId="0" applyNumberFormat="1" applyFont="1" applyFill="1" applyBorder="1"/>
    <xf numFmtId="169" fontId="7" fillId="3" borderId="5" xfId="0" applyNumberFormat="1" applyFont="1" applyFill="1" applyBorder="1"/>
    <xf numFmtId="0" fontId="4" fillId="3" borderId="6" xfId="0" applyFont="1" applyFill="1" applyBorder="1" applyAlignment="1">
      <alignment horizontal="right"/>
    </xf>
    <xf numFmtId="169" fontId="7" fillId="3" borderId="7" xfId="0" applyNumberFormat="1" applyFont="1" applyFill="1" applyBorder="1"/>
    <xf numFmtId="167" fontId="7" fillId="3" borderId="13" xfId="3" applyNumberFormat="1" applyFont="1" applyFill="1" applyBorder="1"/>
    <xf numFmtId="0" fontId="13" fillId="3" borderId="0" xfId="0" applyFont="1" applyFill="1"/>
    <xf numFmtId="167" fontId="7" fillId="3" borderId="5" xfId="3" applyNumberFormat="1" applyFont="1" applyFill="1" applyBorder="1"/>
    <xf numFmtId="167" fontId="7" fillId="3" borderId="7" xfId="3" applyNumberFormat="1" applyFont="1" applyFill="1" applyBorder="1"/>
    <xf numFmtId="0" fontId="3" fillId="3" borderId="8" xfId="0" applyFont="1" applyFill="1" applyBorder="1"/>
    <xf numFmtId="170" fontId="24" fillId="3" borderId="9" xfId="0" applyNumberFormat="1" applyFont="1" applyFill="1" applyBorder="1"/>
    <xf numFmtId="9" fontId="4" fillId="3" borderId="0" xfId="2" applyFont="1" applyFill="1"/>
    <xf numFmtId="2" fontId="4" fillId="0" borderId="5" xfId="0" applyNumberFormat="1" applyFont="1" applyBorder="1"/>
    <xf numFmtId="0" fontId="0" fillId="0" borderId="0" xfId="0" applyAlignment="1">
      <alignment wrapText="1"/>
    </xf>
    <xf numFmtId="0" fontId="0" fillId="3" borderId="27" xfId="0" applyFill="1" applyBorder="1"/>
    <xf numFmtId="0" fontId="30" fillId="5" borderId="28" xfId="9" applyBorder="1"/>
    <xf numFmtId="0" fontId="30" fillId="5" borderId="29" xfId="9" applyBorder="1"/>
    <xf numFmtId="0" fontId="30" fillId="5" borderId="30" xfId="9" applyBorder="1"/>
    <xf numFmtId="0" fontId="0" fillId="3" borderId="32" xfId="0" applyFill="1" applyBorder="1"/>
    <xf numFmtId="0" fontId="0" fillId="3" borderId="34" xfId="0" applyFill="1" applyBorder="1"/>
    <xf numFmtId="0" fontId="0" fillId="3" borderId="35" xfId="0" applyFill="1" applyBorder="1"/>
    <xf numFmtId="0" fontId="0" fillId="0" borderId="4" xfId="0" applyBorder="1"/>
    <xf numFmtId="0" fontId="0" fillId="3" borderId="27" xfId="0" applyFill="1" applyBorder="1" applyAlignment="1">
      <alignment wrapText="1"/>
    </xf>
    <xf numFmtId="0" fontId="0" fillId="3" borderId="32" xfId="0" applyFill="1" applyBorder="1" applyAlignment="1">
      <alignment wrapText="1"/>
    </xf>
    <xf numFmtId="0" fontId="0" fillId="3" borderId="34" xfId="0" applyFill="1" applyBorder="1" applyAlignment="1">
      <alignment wrapText="1"/>
    </xf>
    <xf numFmtId="0" fontId="0" fillId="3" borderId="35" xfId="0" applyFill="1" applyBorder="1" applyAlignment="1">
      <alignment wrapText="1"/>
    </xf>
    <xf numFmtId="0" fontId="0" fillId="3" borderId="27" xfId="0" applyFill="1" applyBorder="1" applyAlignment="1">
      <alignment horizontal="center" wrapText="1"/>
    </xf>
    <xf numFmtId="0" fontId="0" fillId="3" borderId="34" xfId="0" applyFill="1" applyBorder="1" applyAlignment="1">
      <alignment horizontal="center" wrapText="1"/>
    </xf>
    <xf numFmtId="0" fontId="0" fillId="3" borderId="27" xfId="0" applyFill="1" applyBorder="1" applyAlignment="1">
      <alignment horizontal="left" wrapText="1"/>
    </xf>
    <xf numFmtId="0" fontId="0" fillId="3" borderId="34" xfId="0" applyFill="1" applyBorder="1" applyAlignment="1">
      <alignment horizontal="left" wrapText="1"/>
    </xf>
    <xf numFmtId="0" fontId="30" fillId="5" borderId="36" xfId="9" applyBorder="1"/>
    <xf numFmtId="0" fontId="0" fillId="3" borderId="27" xfId="0" applyFill="1" applyBorder="1" applyAlignment="1">
      <alignment horizontal="center"/>
    </xf>
    <xf numFmtId="0" fontId="0" fillId="3" borderId="27" xfId="0" applyFill="1" applyBorder="1" applyAlignment="1">
      <alignment horizontal="center" vertical="center" wrapText="1"/>
    </xf>
    <xf numFmtId="0" fontId="30" fillId="5" borderId="41" xfId="9" applyBorder="1"/>
    <xf numFmtId="0" fontId="30" fillId="5" borderId="42" xfId="9" applyBorder="1"/>
    <xf numFmtId="0" fontId="30" fillId="5" borderId="43" xfId="9" applyBorder="1"/>
    <xf numFmtId="0" fontId="33" fillId="0" borderId="4" xfId="0" applyFont="1" applyBorder="1" applyAlignment="1">
      <alignment wrapText="1"/>
    </xf>
    <xf numFmtId="0" fontId="33" fillId="0" borderId="0" xfId="0" applyFont="1" applyAlignment="1">
      <alignment wrapText="1"/>
    </xf>
    <xf numFmtId="0" fontId="32" fillId="0" borderId="4" xfId="0" applyFont="1" applyBorder="1" applyAlignment="1">
      <alignment wrapText="1"/>
    </xf>
    <xf numFmtId="0" fontId="32" fillId="0" borderId="0" xfId="0" applyFont="1" applyAlignment="1">
      <alignment wrapText="1"/>
    </xf>
    <xf numFmtId="0" fontId="31" fillId="0" borderId="0" xfId="0" applyFont="1"/>
    <xf numFmtId="0" fontId="0" fillId="3" borderId="27" xfId="0" applyFill="1" applyBorder="1" applyAlignment="1">
      <alignment horizontal="center" vertical="center"/>
    </xf>
    <xf numFmtId="0" fontId="0" fillId="3" borderId="32" xfId="0" applyFill="1" applyBorder="1" applyAlignment="1">
      <alignment horizontal="center" vertical="center" wrapText="1"/>
    </xf>
    <xf numFmtId="0" fontId="30" fillId="5" borderId="46" xfId="9" applyBorder="1"/>
    <xf numFmtId="0" fontId="14" fillId="0" borderId="0" xfId="0" applyFont="1" applyAlignment="1">
      <alignment horizontal="left" vertical="center"/>
    </xf>
    <xf numFmtId="0" fontId="14" fillId="0" borderId="49" xfId="0" applyFont="1" applyBorder="1" applyAlignment="1">
      <alignment vertical="center" wrapText="1"/>
    </xf>
    <xf numFmtId="0" fontId="14" fillId="0" borderId="51" xfId="0" applyFont="1" applyBorder="1" applyAlignment="1">
      <alignment vertical="center" wrapText="1"/>
    </xf>
    <xf numFmtId="0" fontId="37" fillId="0" borderId="49" xfId="0" applyFont="1" applyBorder="1" applyAlignment="1">
      <alignment vertical="center" wrapText="1"/>
    </xf>
    <xf numFmtId="0" fontId="37" fillId="0" borderId="51" xfId="0" applyFont="1" applyBorder="1" applyAlignment="1">
      <alignment vertical="center" wrapText="1"/>
    </xf>
    <xf numFmtId="0" fontId="14" fillId="0" borderId="50" xfId="0" applyFont="1" applyBorder="1" applyAlignment="1">
      <alignment horizontal="center" vertical="center" wrapText="1"/>
    </xf>
    <xf numFmtId="10" fontId="14" fillId="0" borderId="50" xfId="0" applyNumberFormat="1" applyFont="1" applyBorder="1" applyAlignment="1">
      <alignment horizontal="center" vertical="center" wrapText="1"/>
    </xf>
    <xf numFmtId="2" fontId="14" fillId="0" borderId="50" xfId="0" applyNumberFormat="1" applyFont="1" applyBorder="1" applyAlignment="1">
      <alignment horizontal="center" vertical="center" wrapText="1"/>
    </xf>
    <xf numFmtId="14" fontId="0" fillId="0" borderId="0" xfId="0" applyNumberFormat="1"/>
    <xf numFmtId="2" fontId="0" fillId="0" borderId="0" xfId="0" applyNumberFormat="1"/>
    <xf numFmtId="2" fontId="4" fillId="0" borderId="13" xfId="0" applyNumberFormat="1" applyFont="1" applyBorder="1"/>
    <xf numFmtId="2" fontId="4" fillId="0" borderId="7" xfId="0" applyNumberFormat="1" applyFont="1" applyBorder="1"/>
    <xf numFmtId="0" fontId="2" fillId="3" borderId="0" xfId="0" applyFont="1" applyFill="1"/>
    <xf numFmtId="165" fontId="0" fillId="3" borderId="0" xfId="1" applyFont="1" applyFill="1"/>
    <xf numFmtId="10" fontId="0" fillId="3" borderId="0" xfId="2" applyNumberFormat="1" applyFont="1" applyFill="1"/>
    <xf numFmtId="165" fontId="0" fillId="3" borderId="0" xfId="0" applyNumberFormat="1" applyFill="1"/>
    <xf numFmtId="0" fontId="4" fillId="3" borderId="0" xfId="0" applyFont="1" applyFill="1" applyAlignment="1">
      <alignment horizontal="left" vertical="center" wrapText="1"/>
    </xf>
    <xf numFmtId="0" fontId="9" fillId="3" borderId="0" xfId="0" applyFont="1" applyFill="1"/>
    <xf numFmtId="165" fontId="4" fillId="3" borderId="5" xfId="0" applyNumberFormat="1" applyFont="1" applyFill="1" applyBorder="1"/>
    <xf numFmtId="10" fontId="4" fillId="3" borderId="5" xfId="0" applyNumberFormat="1" applyFont="1" applyFill="1" applyBorder="1"/>
    <xf numFmtId="9" fontId="4" fillId="3" borderId="5" xfId="0" applyNumberFormat="1" applyFont="1" applyFill="1" applyBorder="1"/>
    <xf numFmtId="0" fontId="4" fillId="3" borderId="5" xfId="0" applyFont="1" applyFill="1" applyBorder="1"/>
    <xf numFmtId="164" fontId="4" fillId="3" borderId="5" xfId="0" applyNumberFormat="1" applyFont="1" applyFill="1" applyBorder="1"/>
    <xf numFmtId="9" fontId="4" fillId="3" borderId="4" xfId="0" applyNumberFormat="1" applyFont="1" applyFill="1" applyBorder="1" applyAlignment="1">
      <alignment horizontal="right"/>
    </xf>
    <xf numFmtId="167" fontId="4" fillId="3" borderId="5" xfId="3" applyNumberFormat="1" applyFont="1" applyFill="1" applyBorder="1"/>
    <xf numFmtId="166" fontId="4" fillId="3" borderId="0" xfId="0" applyNumberFormat="1" applyFont="1" applyFill="1"/>
    <xf numFmtId="9" fontId="4" fillId="3" borderId="6" xfId="0" applyNumberFormat="1" applyFont="1" applyFill="1" applyBorder="1" applyAlignment="1">
      <alignment horizontal="right"/>
    </xf>
    <xf numFmtId="166" fontId="4" fillId="3" borderId="7" xfId="3" applyFont="1" applyFill="1" applyBorder="1"/>
    <xf numFmtId="0" fontId="4" fillId="3" borderId="12" xfId="0" applyFont="1" applyFill="1" applyBorder="1"/>
    <xf numFmtId="0" fontId="4" fillId="3" borderId="13" xfId="0" applyFont="1" applyFill="1" applyBorder="1"/>
    <xf numFmtId="167" fontId="4" fillId="3" borderId="7" xfId="3" applyNumberFormat="1" applyFont="1" applyFill="1" applyBorder="1"/>
    <xf numFmtId="0" fontId="4" fillId="3" borderId="0" xfId="0" applyFont="1" applyFill="1" applyAlignment="1">
      <alignment horizontal="right"/>
    </xf>
    <xf numFmtId="0" fontId="4" fillId="3" borderId="11" xfId="0" applyFont="1" applyFill="1" applyBorder="1" applyAlignment="1">
      <alignment horizontal="right"/>
    </xf>
    <xf numFmtId="166" fontId="4" fillId="3" borderId="13" xfId="3" applyFont="1" applyFill="1" applyBorder="1"/>
    <xf numFmtId="0" fontId="4" fillId="3" borderId="11" xfId="0" applyFont="1" applyFill="1" applyBorder="1"/>
    <xf numFmtId="0" fontId="4" fillId="3" borderId="4" xfId="0" applyFont="1" applyFill="1" applyBorder="1"/>
    <xf numFmtId="168" fontId="4" fillId="3" borderId="5" xfId="3" applyNumberFormat="1" applyFont="1" applyFill="1" applyBorder="1"/>
    <xf numFmtId="0" fontId="4" fillId="3" borderId="8" xfId="0" applyFont="1" applyFill="1" applyBorder="1"/>
    <xf numFmtId="165" fontId="4" fillId="3" borderId="9" xfId="1" applyFont="1" applyFill="1" applyBorder="1"/>
    <xf numFmtId="0" fontId="4" fillId="3" borderId="8" xfId="0" applyFont="1" applyFill="1" applyBorder="1" applyAlignment="1">
      <alignment horizontal="right"/>
    </xf>
    <xf numFmtId="164" fontId="0" fillId="3" borderId="0" xfId="0" applyNumberFormat="1" applyFill="1"/>
    <xf numFmtId="165" fontId="4" fillId="3" borderId="5" xfId="1" applyFont="1" applyFill="1" applyBorder="1"/>
    <xf numFmtId="0" fontId="6" fillId="3" borderId="6" xfId="0" applyFont="1" applyFill="1" applyBorder="1" applyAlignment="1">
      <alignment horizontal="right"/>
    </xf>
    <xf numFmtId="9" fontId="4" fillId="3" borderId="7" xfId="0" applyNumberFormat="1" applyFont="1" applyFill="1" applyBorder="1"/>
    <xf numFmtId="0" fontId="11" fillId="3" borderId="8" xfId="0" applyFont="1" applyFill="1" applyBorder="1" applyAlignment="1">
      <alignment horizontal="center"/>
    </xf>
    <xf numFmtId="0" fontId="11" fillId="3" borderId="9" xfId="0" applyFont="1" applyFill="1" applyBorder="1" applyAlignment="1">
      <alignment horizontal="center"/>
    </xf>
    <xf numFmtId="0" fontId="0" fillId="3" borderId="11" xfId="0" applyFill="1" applyBorder="1"/>
    <xf numFmtId="167" fontId="4" fillId="3" borderId="0" xfId="3" applyNumberFormat="1" applyFont="1" applyFill="1" applyBorder="1"/>
    <xf numFmtId="0" fontId="0" fillId="3" borderId="0" xfId="0" applyFill="1" applyAlignment="1">
      <alignment horizontal="right"/>
    </xf>
    <xf numFmtId="165" fontId="4" fillId="3" borderId="14" xfId="1" applyFont="1" applyFill="1" applyBorder="1"/>
    <xf numFmtId="0" fontId="4" fillId="3" borderId="14" xfId="0" applyFont="1" applyFill="1" applyBorder="1"/>
    <xf numFmtId="0" fontId="4" fillId="3" borderId="7" xfId="0" applyFont="1" applyFill="1" applyBorder="1"/>
    <xf numFmtId="0" fontId="11" fillId="3" borderId="6" xfId="0" applyFont="1" applyFill="1" applyBorder="1" applyAlignment="1">
      <alignment horizontal="center"/>
    </xf>
    <xf numFmtId="0" fontId="4" fillId="3" borderId="6" xfId="0" applyFont="1" applyFill="1" applyBorder="1"/>
    <xf numFmtId="10" fontId="4" fillId="3" borderId="7" xfId="0" applyNumberFormat="1" applyFont="1" applyFill="1" applyBorder="1"/>
    <xf numFmtId="2" fontId="4" fillId="3" borderId="8" xfId="0" applyNumberFormat="1" applyFont="1" applyFill="1" applyBorder="1" applyAlignment="1">
      <alignment horizontal="center" vertical="center"/>
    </xf>
    <xf numFmtId="170" fontId="4" fillId="3" borderId="9" xfId="0" applyNumberFormat="1" applyFont="1" applyFill="1" applyBorder="1" applyAlignment="1">
      <alignment horizontal="right" vertical="center"/>
    </xf>
    <xf numFmtId="170" fontId="4" fillId="3" borderId="0" xfId="0" applyNumberFormat="1" applyFont="1" applyFill="1" applyAlignment="1">
      <alignment horizontal="right"/>
    </xf>
    <xf numFmtId="0" fontId="4" fillId="3" borderId="16" xfId="0" applyFont="1" applyFill="1" applyBorder="1" applyAlignment="1">
      <alignment horizontal="center" wrapText="1"/>
    </xf>
    <xf numFmtId="171" fontId="7" fillId="3" borderId="16" xfId="3" applyNumberFormat="1" applyFont="1" applyFill="1" applyBorder="1"/>
    <xf numFmtId="171" fontId="7" fillId="3" borderId="8" xfId="3" applyNumberFormat="1" applyFont="1" applyFill="1" applyBorder="1"/>
    <xf numFmtId="166" fontId="7" fillId="3" borderId="10" xfId="3" applyFont="1" applyFill="1" applyBorder="1"/>
    <xf numFmtId="166" fontId="7" fillId="3" borderId="9" xfId="3" applyFont="1" applyFill="1" applyBorder="1"/>
    <xf numFmtId="167" fontId="4" fillId="3" borderId="13" xfId="3" applyNumberFormat="1" applyFont="1" applyFill="1" applyBorder="1"/>
    <xf numFmtId="166" fontId="4" fillId="3" borderId="0" xfId="3" applyFont="1" applyFill="1" applyBorder="1"/>
    <xf numFmtId="172" fontId="13" fillId="3" borderId="17" xfId="3" applyNumberFormat="1" applyFont="1" applyFill="1" applyBorder="1"/>
    <xf numFmtId="172" fontId="13" fillId="3" borderId="4" xfId="3" applyNumberFormat="1" applyFont="1" applyFill="1" applyBorder="1"/>
    <xf numFmtId="172" fontId="13" fillId="3" borderId="0" xfId="3" applyNumberFormat="1" applyFont="1" applyFill="1" applyBorder="1"/>
    <xf numFmtId="172" fontId="13" fillId="3" borderId="5" xfId="3" applyNumberFormat="1" applyFont="1" applyFill="1" applyBorder="1"/>
    <xf numFmtId="172" fontId="13" fillId="3" borderId="18" xfId="3" applyNumberFormat="1" applyFont="1" applyFill="1" applyBorder="1"/>
    <xf numFmtId="172" fontId="13" fillId="3" borderId="6" xfId="3" applyNumberFormat="1" applyFont="1" applyFill="1" applyBorder="1"/>
    <xf numFmtId="172" fontId="13" fillId="3" borderId="14" xfId="3" applyNumberFormat="1" applyFont="1" applyFill="1" applyBorder="1"/>
    <xf numFmtId="172" fontId="13" fillId="3" borderId="7" xfId="3" applyNumberFormat="1" applyFont="1" applyFill="1" applyBorder="1"/>
    <xf numFmtId="0" fontId="14" fillId="3" borderId="0" xfId="0" applyFont="1" applyFill="1"/>
    <xf numFmtId="0" fontId="14" fillId="6" borderId="0" xfId="0" applyFont="1" applyFill="1"/>
    <xf numFmtId="0" fontId="0" fillId="3" borderId="0" xfId="4" applyFont="1" applyFill="1"/>
    <xf numFmtId="0" fontId="7" fillId="3" borderId="2" xfId="4" applyFont="1" applyFill="1" applyBorder="1" applyAlignment="1">
      <alignment horizontal="center"/>
    </xf>
    <xf numFmtId="2" fontId="7" fillId="3" borderId="15" xfId="4" applyNumberFormat="1" applyFont="1" applyFill="1" applyBorder="1"/>
    <xf numFmtId="0" fontId="7" fillId="3" borderId="15" xfId="4" applyFont="1" applyFill="1" applyBorder="1" applyAlignment="1">
      <alignment horizontal="center"/>
    </xf>
    <xf numFmtId="173" fontId="7" fillId="3" borderId="3" xfId="5" applyNumberFormat="1" applyFont="1" applyFill="1" applyBorder="1"/>
    <xf numFmtId="0" fontId="0" fillId="3" borderId="4" xfId="4" applyFont="1" applyFill="1" applyBorder="1" applyAlignment="1">
      <alignment horizontal="right"/>
    </xf>
    <xf numFmtId="0" fontId="0" fillId="3" borderId="5" xfId="4" applyFont="1" applyFill="1" applyBorder="1"/>
    <xf numFmtId="0" fontId="4" fillId="3" borderId="4" xfId="4" applyFont="1" applyFill="1" applyBorder="1" applyAlignment="1">
      <alignment horizontal="center"/>
    </xf>
    <xf numFmtId="174" fontId="0" fillId="3" borderId="0" xfId="5" applyNumberFormat="1" applyFont="1" applyFill="1"/>
    <xf numFmtId="0" fontId="0" fillId="3" borderId="0" xfId="4" applyFont="1" applyFill="1" applyAlignment="1">
      <alignment horizontal="center"/>
    </xf>
    <xf numFmtId="174" fontId="0" fillId="3" borderId="5" xfId="5" applyNumberFormat="1" applyFont="1" applyFill="1" applyBorder="1"/>
    <xf numFmtId="10" fontId="0" fillId="3" borderId="5" xfId="4" applyNumberFormat="1" applyFont="1" applyFill="1" applyBorder="1"/>
    <xf numFmtId="0" fontId="4" fillId="3" borderId="6" xfId="4" applyFont="1" applyFill="1" applyBorder="1" applyAlignment="1">
      <alignment horizontal="center"/>
    </xf>
    <xf numFmtId="174" fontId="0" fillId="3" borderId="14" xfId="5" applyNumberFormat="1" applyFont="1" applyFill="1" applyBorder="1"/>
    <xf numFmtId="0" fontId="3" fillId="3" borderId="14" xfId="4" applyFont="1" applyFill="1" applyBorder="1"/>
    <xf numFmtId="174" fontId="0" fillId="3" borderId="7" xfId="5" applyNumberFormat="1" applyFont="1" applyFill="1" applyBorder="1"/>
    <xf numFmtId="10" fontId="0" fillId="3" borderId="5" xfId="6" applyNumberFormat="1" applyFont="1" applyFill="1" applyBorder="1"/>
    <xf numFmtId="9" fontId="0" fillId="3" borderId="5" xfId="4" applyNumberFormat="1" applyFont="1" applyFill="1" applyBorder="1"/>
    <xf numFmtId="0" fontId="21" fillId="3" borderId="6" xfId="4" applyFont="1" applyFill="1" applyBorder="1" applyAlignment="1">
      <alignment horizontal="right"/>
    </xf>
    <xf numFmtId="166" fontId="0" fillId="3" borderId="7" xfId="3" applyFont="1" applyFill="1" applyBorder="1"/>
    <xf numFmtId="166" fontId="0" fillId="3" borderId="5" xfId="3" applyFont="1" applyFill="1" applyBorder="1"/>
    <xf numFmtId="9" fontId="0" fillId="3" borderId="5" xfId="3" applyNumberFormat="1" applyFont="1" applyFill="1" applyBorder="1"/>
    <xf numFmtId="0" fontId="0" fillId="3" borderId="6" xfId="4" applyFont="1" applyFill="1" applyBorder="1" applyAlignment="1">
      <alignment horizontal="right"/>
    </xf>
    <xf numFmtId="10" fontId="0" fillId="3" borderId="7" xfId="2" applyNumberFormat="1" applyFont="1" applyFill="1" applyBorder="1"/>
    <xf numFmtId="2" fontId="0" fillId="3" borderId="2" xfId="0" applyNumberFormat="1" applyFill="1" applyBorder="1" applyAlignment="1">
      <alignment horizontal="center"/>
    </xf>
    <xf numFmtId="0" fontId="0" fillId="3" borderId="3" xfId="4" applyFont="1" applyFill="1" applyBorder="1" applyAlignment="1">
      <alignment horizontal="center"/>
    </xf>
    <xf numFmtId="167" fontId="0" fillId="3" borderId="5" xfId="3" applyNumberFormat="1" applyFont="1" applyFill="1" applyBorder="1" applyAlignment="1">
      <alignment horizontal="center"/>
    </xf>
    <xf numFmtId="10" fontId="0" fillId="3" borderId="7" xfId="2" applyNumberFormat="1" applyFont="1" applyFill="1" applyBorder="1" applyAlignment="1">
      <alignment horizontal="right"/>
    </xf>
    <xf numFmtId="0" fontId="7" fillId="3" borderId="2" xfId="4" applyFont="1" applyFill="1" applyBorder="1" applyAlignment="1">
      <alignment horizontal="right"/>
    </xf>
    <xf numFmtId="0" fontId="7" fillId="3" borderId="15" xfId="4" applyFont="1" applyFill="1" applyBorder="1" applyAlignment="1">
      <alignment horizontal="right"/>
    </xf>
    <xf numFmtId="0" fontId="0" fillId="3" borderId="0" xfId="4" applyFont="1" applyFill="1" applyAlignment="1">
      <alignment horizontal="right"/>
    </xf>
    <xf numFmtId="166" fontId="0" fillId="3" borderId="5" xfId="4" applyNumberFormat="1" applyFont="1" applyFill="1" applyBorder="1"/>
    <xf numFmtId="0" fontId="4" fillId="3" borderId="0" xfId="5" applyFill="1"/>
    <xf numFmtId="172" fontId="0" fillId="3" borderId="13" xfId="3" applyNumberFormat="1" applyFont="1" applyFill="1" applyBorder="1"/>
    <xf numFmtId="172" fontId="0" fillId="3" borderId="7" xfId="3" applyNumberFormat="1" applyFont="1" applyFill="1" applyBorder="1"/>
    <xf numFmtId="0" fontId="0" fillId="3" borderId="8" xfId="0" applyFill="1" applyBorder="1"/>
    <xf numFmtId="167" fontId="0" fillId="3" borderId="9" xfId="3" applyNumberFormat="1" applyFont="1" applyFill="1" applyBorder="1"/>
    <xf numFmtId="0" fontId="9" fillId="3" borderId="0" xfId="0" applyFont="1" applyFill="1" applyAlignment="1">
      <alignment horizontal="center" vertical="center"/>
    </xf>
    <xf numFmtId="166" fontId="7" fillId="3" borderId="13" xfId="3" applyFont="1" applyFill="1" applyBorder="1"/>
    <xf numFmtId="0" fontId="2" fillId="6" borderId="11" xfId="0" applyFont="1" applyFill="1" applyBorder="1" applyAlignment="1">
      <alignment horizontal="right"/>
    </xf>
    <xf numFmtId="175" fontId="2" fillId="6" borderId="13" xfId="0" applyNumberFormat="1" applyFont="1" applyFill="1" applyBorder="1"/>
    <xf numFmtId="0" fontId="2" fillId="6" borderId="0" xfId="0" applyFont="1" applyFill="1"/>
    <xf numFmtId="0" fontId="2" fillId="6" borderId="11" xfId="0" applyFont="1" applyFill="1" applyBorder="1" applyAlignment="1">
      <alignment horizontal="center"/>
    </xf>
    <xf numFmtId="0" fontId="2" fillId="6" borderId="12" xfId="0" applyFont="1" applyFill="1" applyBorder="1" applyAlignment="1">
      <alignment horizontal="center"/>
    </xf>
    <xf numFmtId="0" fontId="2" fillId="6" borderId="4" xfId="0" applyFont="1" applyFill="1" applyBorder="1" applyAlignment="1">
      <alignment horizontal="right"/>
    </xf>
    <xf numFmtId="175" fontId="2" fillId="6" borderId="5" xfId="0" applyNumberFormat="1" applyFont="1" applyFill="1" applyBorder="1"/>
    <xf numFmtId="0" fontId="2" fillId="6" borderId="4" xfId="0" applyFont="1" applyFill="1" applyBorder="1" applyAlignment="1">
      <alignment horizontal="center"/>
    </xf>
    <xf numFmtId="0" fontId="2" fillId="6" borderId="0" xfId="0" applyFont="1" applyFill="1" applyAlignment="1">
      <alignment horizontal="center"/>
    </xf>
    <xf numFmtId="0" fontId="16" fillId="6" borderId="6" xfId="0" applyFont="1" applyFill="1" applyBorder="1" applyAlignment="1">
      <alignment horizontal="center"/>
    </xf>
    <xf numFmtId="0" fontId="2" fillId="6" borderId="14" xfId="0" applyFont="1" applyFill="1" applyBorder="1" applyAlignment="1">
      <alignment horizontal="center"/>
    </xf>
    <xf numFmtId="0" fontId="2" fillId="6" borderId="23" xfId="0" applyFont="1" applyFill="1" applyBorder="1" applyAlignment="1">
      <alignment horizontal="right"/>
    </xf>
    <xf numFmtId="172" fontId="2" fillId="3" borderId="13" xfId="0" applyNumberFormat="1" applyFont="1" applyFill="1" applyBorder="1"/>
    <xf numFmtId="169" fontId="2" fillId="6" borderId="5" xfId="0" applyNumberFormat="1" applyFont="1" applyFill="1" applyBorder="1"/>
    <xf numFmtId="0" fontId="2" fillId="6" borderId="6" xfId="0" applyFont="1" applyFill="1" applyBorder="1"/>
    <xf numFmtId="0" fontId="2" fillId="6" borderId="24" xfId="0" applyFont="1" applyFill="1" applyBorder="1" applyAlignment="1">
      <alignment horizontal="right"/>
    </xf>
    <xf numFmtId="172" fontId="2" fillId="3" borderId="7" xfId="0" applyNumberFormat="1" applyFont="1" applyFill="1" applyBorder="1"/>
    <xf numFmtId="0" fontId="16" fillId="6" borderId="4" xfId="0" applyFont="1" applyFill="1" applyBorder="1" applyAlignment="1">
      <alignment horizontal="right"/>
    </xf>
    <xf numFmtId="10" fontId="2" fillId="6" borderId="5" xfId="0" applyNumberFormat="1" applyFont="1" applyFill="1" applyBorder="1"/>
    <xf numFmtId="0" fontId="27" fillId="6" borderId="0" xfId="0" applyFont="1" applyFill="1" applyAlignment="1">
      <alignment horizontal="center"/>
    </xf>
    <xf numFmtId="0" fontId="2" fillId="6" borderId="6" xfId="0" applyFont="1" applyFill="1" applyBorder="1" applyAlignment="1">
      <alignment horizontal="right"/>
    </xf>
    <xf numFmtId="175" fontId="2" fillId="6" borderId="7" xfId="0" applyNumberFormat="1" applyFont="1" applyFill="1" applyBorder="1"/>
    <xf numFmtId="0" fontId="3" fillId="3" borderId="0" xfId="0" applyFont="1" applyFill="1" applyAlignment="1">
      <alignment horizontal="right" vertical="center" wrapText="1"/>
    </xf>
    <xf numFmtId="0" fontId="3" fillId="3" borderId="0" xfId="0" applyFont="1" applyFill="1" applyAlignment="1">
      <alignment horizontal="left" vertical="center" wrapText="1"/>
    </xf>
    <xf numFmtId="0" fontId="3" fillId="3" borderId="0" xfId="0" applyFont="1" applyFill="1" applyAlignment="1">
      <alignment vertical="center" wrapText="1"/>
    </xf>
    <xf numFmtId="171" fontId="0" fillId="3" borderId="0" xfId="3" applyNumberFormat="1" applyFont="1" applyFill="1" applyAlignment="1">
      <alignment vertical="center" wrapText="1"/>
    </xf>
    <xf numFmtId="176" fontId="4" fillId="3" borderId="0" xfId="2" applyNumberFormat="1" applyFont="1" applyFill="1"/>
    <xf numFmtId="0" fontId="4" fillId="3" borderId="11" xfId="0" applyFont="1" applyFill="1" applyBorder="1" applyAlignment="1">
      <alignment horizontal="right" vertical="center" wrapText="1"/>
    </xf>
    <xf numFmtId="171" fontId="4" fillId="3" borderId="13" xfId="3" applyNumberFormat="1" applyFont="1" applyFill="1" applyBorder="1" applyAlignment="1">
      <alignment vertical="center" wrapText="1"/>
    </xf>
    <xf numFmtId="0" fontId="4" fillId="3" borderId="4" xfId="0" applyFont="1" applyFill="1" applyBorder="1" applyAlignment="1">
      <alignment horizontal="right" vertical="center" wrapText="1"/>
    </xf>
    <xf numFmtId="171" fontId="4" fillId="3" borderId="5" xfId="3" applyNumberFormat="1" applyFont="1" applyFill="1" applyBorder="1" applyAlignment="1">
      <alignment vertical="center" wrapText="1"/>
    </xf>
    <xf numFmtId="0" fontId="4" fillId="3" borderId="5" xfId="0" applyFont="1" applyFill="1" applyBorder="1" applyAlignment="1">
      <alignment vertical="center" wrapText="1"/>
    </xf>
    <xf numFmtId="9" fontId="4" fillId="3" borderId="5" xfId="0" applyNumberFormat="1" applyFont="1" applyFill="1" applyBorder="1" applyAlignment="1">
      <alignment vertical="center" wrapText="1"/>
    </xf>
    <xf numFmtId="167" fontId="7" fillId="3" borderId="0" xfId="3" applyNumberFormat="1" applyFont="1" applyFill="1" applyAlignment="1">
      <alignment horizontal="left" vertical="center"/>
    </xf>
    <xf numFmtId="0" fontId="4" fillId="3" borderId="6" xfId="0" applyFont="1" applyFill="1" applyBorder="1" applyAlignment="1">
      <alignment horizontal="right" vertical="center" wrapText="1"/>
    </xf>
    <xf numFmtId="170" fontId="4" fillId="3" borderId="7" xfId="0" applyNumberFormat="1" applyFont="1" applyFill="1" applyBorder="1" applyAlignment="1">
      <alignment vertical="center" wrapText="1"/>
    </xf>
    <xf numFmtId="167" fontId="4" fillId="3" borderId="0" xfId="3" applyNumberFormat="1" applyFont="1" applyFill="1" applyAlignment="1">
      <alignment vertical="center" wrapText="1"/>
    </xf>
    <xf numFmtId="167" fontId="4" fillId="3" borderId="13" xfId="3" applyNumberFormat="1" applyFont="1" applyFill="1" applyBorder="1" applyAlignment="1">
      <alignment vertical="center" wrapText="1"/>
    </xf>
    <xf numFmtId="167" fontId="4" fillId="3" borderId="5" xfId="3" applyNumberFormat="1" applyFont="1" applyFill="1" applyBorder="1" applyAlignment="1">
      <alignment vertical="center" wrapText="1"/>
    </xf>
    <xf numFmtId="167" fontId="4" fillId="3" borderId="7" xfId="3" applyNumberFormat="1" applyFont="1" applyFill="1" applyBorder="1" applyAlignment="1">
      <alignment vertical="center" wrapText="1"/>
    </xf>
    <xf numFmtId="0" fontId="4" fillId="3" borderId="8" xfId="0" applyFont="1" applyFill="1" applyBorder="1" applyAlignment="1">
      <alignment vertical="center" wrapText="1"/>
    </xf>
    <xf numFmtId="166" fontId="4" fillId="3" borderId="9" xfId="3" applyFont="1" applyFill="1" applyBorder="1" applyAlignment="1">
      <alignment vertical="center" wrapText="1"/>
    </xf>
    <xf numFmtId="165" fontId="2" fillId="3" borderId="13" xfId="1" applyFont="1" applyFill="1" applyBorder="1"/>
    <xf numFmtId="0" fontId="0" fillId="3" borderId="4" xfId="0" applyFill="1" applyBorder="1"/>
    <xf numFmtId="165" fontId="0" fillId="3" borderId="5" xfId="0" applyNumberFormat="1" applyFill="1" applyBorder="1"/>
    <xf numFmtId="0" fontId="0" fillId="3" borderId="5" xfId="0" applyFill="1" applyBorder="1"/>
    <xf numFmtId="10" fontId="0" fillId="3" borderId="5" xfId="0" applyNumberFormat="1" applyFill="1" applyBorder="1"/>
    <xf numFmtId="0" fontId="0" fillId="3" borderId="7" xfId="0" applyFill="1" applyBorder="1"/>
    <xf numFmtId="165" fontId="0" fillId="3" borderId="13" xfId="0" applyNumberFormat="1" applyFill="1" applyBorder="1"/>
    <xf numFmtId="0" fontId="39" fillId="4" borderId="11" xfId="0" applyFont="1" applyFill="1" applyBorder="1"/>
    <xf numFmtId="165" fontId="39" fillId="4" borderId="13" xfId="0" applyNumberFormat="1" applyFont="1" applyFill="1" applyBorder="1"/>
    <xf numFmtId="0" fontId="39" fillId="4" borderId="6" xfId="0" applyFont="1" applyFill="1" applyBorder="1"/>
    <xf numFmtId="165" fontId="39" fillId="4" borderId="7" xfId="0" applyNumberFormat="1" applyFont="1" applyFill="1" applyBorder="1"/>
    <xf numFmtId="0" fontId="0" fillId="4" borderId="11" xfId="0" applyFill="1" applyBorder="1"/>
    <xf numFmtId="0" fontId="0" fillId="4" borderId="13" xfId="0" applyFill="1" applyBorder="1"/>
    <xf numFmtId="0" fontId="0" fillId="4" borderId="4" xfId="0" applyFill="1" applyBorder="1"/>
    <xf numFmtId="165" fontId="0" fillId="4" borderId="5" xfId="1" applyFont="1" applyFill="1" applyBorder="1"/>
    <xf numFmtId="0" fontId="0" fillId="4" borderId="6" xfId="0" applyFill="1" applyBorder="1"/>
    <xf numFmtId="165" fontId="0" fillId="4" borderId="7" xfId="1" applyFont="1" applyFill="1" applyBorder="1"/>
    <xf numFmtId="9" fontId="4" fillId="4" borderId="11" xfId="0" applyNumberFormat="1" applyFont="1" applyFill="1" applyBorder="1" applyAlignment="1">
      <alignment horizontal="right"/>
    </xf>
    <xf numFmtId="165" fontId="4" fillId="4" borderId="13" xfId="1" applyFont="1" applyFill="1" applyBorder="1"/>
    <xf numFmtId="9" fontId="7" fillId="4" borderId="6" xfId="0" applyNumberFormat="1" applyFont="1" applyFill="1" applyBorder="1" applyAlignment="1">
      <alignment horizontal="right"/>
    </xf>
    <xf numFmtId="165" fontId="7" fillId="4" borderId="7" xfId="1" applyFont="1" applyFill="1" applyBorder="1"/>
    <xf numFmtId="0" fontId="4" fillId="4" borderId="11" xfId="0" applyFont="1" applyFill="1" applyBorder="1" applyAlignment="1">
      <alignment horizontal="right"/>
    </xf>
    <xf numFmtId="0" fontId="4" fillId="4" borderId="6" xfId="0" applyFont="1" applyFill="1" applyBorder="1" applyAlignment="1">
      <alignment horizontal="right"/>
    </xf>
    <xf numFmtId="166" fontId="4" fillId="4" borderId="7" xfId="3" applyFont="1" applyFill="1" applyBorder="1"/>
    <xf numFmtId="166" fontId="4" fillId="4" borderId="13" xfId="3" applyFont="1" applyFill="1" applyBorder="1" applyAlignment="1">
      <alignment horizontal="center"/>
    </xf>
    <xf numFmtId="0" fontId="0" fillId="4" borderId="52" xfId="0" applyFill="1" applyBorder="1"/>
    <xf numFmtId="0" fontId="0" fillId="4" borderId="18" xfId="0" applyFill="1" applyBorder="1"/>
    <xf numFmtId="0" fontId="0" fillId="3" borderId="13" xfId="0" applyFill="1" applyBorder="1"/>
    <xf numFmtId="165" fontId="4" fillId="3" borderId="0" xfId="0" applyNumberFormat="1" applyFont="1" applyFill="1"/>
    <xf numFmtId="165" fontId="4" fillId="3" borderId="14" xfId="0" applyNumberFormat="1" applyFont="1" applyFill="1" applyBorder="1"/>
    <xf numFmtId="165" fontId="0" fillId="3" borderId="7" xfId="0" applyNumberFormat="1" applyFill="1" applyBorder="1"/>
    <xf numFmtId="0" fontId="4" fillId="3" borderId="11" xfId="0" applyFont="1" applyFill="1" applyBorder="1" applyAlignment="1">
      <alignment horizontal="center"/>
    </xf>
    <xf numFmtId="0" fontId="4" fillId="3" borderId="12" xfId="0" applyFont="1" applyFill="1" applyBorder="1" applyAlignment="1">
      <alignment horizontal="center"/>
    </xf>
    <xf numFmtId="0" fontId="0" fillId="3" borderId="13" xfId="0" applyFill="1" applyBorder="1" applyAlignment="1">
      <alignment horizontal="center"/>
    </xf>
    <xf numFmtId="0" fontId="4" fillId="3" borderId="4" xfId="0" applyFont="1" applyFill="1" applyBorder="1" applyAlignment="1">
      <alignment horizontal="center"/>
    </xf>
    <xf numFmtId="165" fontId="4" fillId="3" borderId="0" xfId="0" applyNumberFormat="1" applyFont="1" applyFill="1" applyAlignment="1">
      <alignment horizontal="center"/>
    </xf>
    <xf numFmtId="165" fontId="0" fillId="3" borderId="5" xfId="0" applyNumberFormat="1" applyFill="1" applyBorder="1" applyAlignment="1">
      <alignment horizontal="center"/>
    </xf>
    <xf numFmtId="0" fontId="4" fillId="3" borderId="6" xfId="0" applyFont="1" applyFill="1" applyBorder="1" applyAlignment="1">
      <alignment horizontal="center"/>
    </xf>
    <xf numFmtId="165" fontId="4" fillId="3" borderId="14" xfId="0" applyNumberFormat="1" applyFont="1" applyFill="1" applyBorder="1" applyAlignment="1">
      <alignment horizontal="center"/>
    </xf>
    <xf numFmtId="165" fontId="0" fillId="3" borderId="7" xfId="0" applyNumberFormat="1" applyFill="1" applyBorder="1" applyAlignment="1">
      <alignment horizontal="center"/>
    </xf>
    <xf numFmtId="0" fontId="4" fillId="4" borderId="8" xfId="0" applyFont="1" applyFill="1" applyBorder="1"/>
    <xf numFmtId="166" fontId="4" fillId="4" borderId="9" xfId="3" applyFont="1" applyFill="1" applyBorder="1"/>
    <xf numFmtId="0" fontId="4" fillId="4" borderId="8" xfId="0" applyFont="1" applyFill="1" applyBorder="1" applyAlignment="1">
      <alignment horizontal="right"/>
    </xf>
    <xf numFmtId="165" fontId="4" fillId="4" borderId="9" xfId="1" applyFont="1" applyFill="1" applyBorder="1"/>
    <xf numFmtId="167" fontId="4" fillId="3" borderId="12" xfId="3" applyNumberFormat="1" applyFont="1" applyFill="1" applyBorder="1"/>
    <xf numFmtId="0" fontId="4" fillId="3" borderId="12" xfId="0" applyFont="1" applyFill="1" applyBorder="1" applyAlignment="1">
      <alignment horizontal="right"/>
    </xf>
    <xf numFmtId="167" fontId="4" fillId="3" borderId="14" xfId="3" applyNumberFormat="1" applyFont="1" applyFill="1" applyBorder="1"/>
    <xf numFmtId="0" fontId="4" fillId="3" borderId="14" xfId="0" applyFont="1" applyFill="1" applyBorder="1" applyAlignment="1">
      <alignment horizontal="right"/>
    </xf>
    <xf numFmtId="0" fontId="4" fillId="3" borderId="13" xfId="0" applyFont="1" applyFill="1" applyBorder="1" applyAlignment="1">
      <alignment horizontal="center"/>
    </xf>
    <xf numFmtId="165" fontId="4" fillId="3" borderId="5" xfId="1" applyFont="1" applyFill="1" applyBorder="1" applyAlignment="1">
      <alignment horizontal="center"/>
    </xf>
    <xf numFmtId="165" fontId="4" fillId="3" borderId="7" xfId="1" applyFont="1" applyFill="1" applyBorder="1" applyAlignment="1">
      <alignment horizontal="center"/>
    </xf>
    <xf numFmtId="0" fontId="11" fillId="4" borderId="8" xfId="0" applyFont="1" applyFill="1" applyBorder="1" applyAlignment="1">
      <alignment horizontal="center"/>
    </xf>
    <xf numFmtId="165" fontId="0" fillId="3" borderId="5" xfId="1" applyFont="1" applyFill="1" applyBorder="1"/>
    <xf numFmtId="0" fontId="0" fillId="4" borderId="8" xfId="0" applyFill="1" applyBorder="1"/>
    <xf numFmtId="165" fontId="0" fillId="4" borderId="9" xfId="0" applyNumberFormat="1" applyFill="1" applyBorder="1"/>
    <xf numFmtId="165" fontId="0" fillId="4" borderId="13" xfId="0" applyNumberFormat="1" applyFill="1" applyBorder="1"/>
    <xf numFmtId="165" fontId="0" fillId="4" borderId="7" xfId="0" applyNumberFormat="1" applyFill="1" applyBorder="1"/>
    <xf numFmtId="0" fontId="0" fillId="3" borderId="12" xfId="0" applyFill="1" applyBorder="1"/>
    <xf numFmtId="164" fontId="0" fillId="3" borderId="4" xfId="0" applyNumberFormat="1" applyFill="1" applyBorder="1" applyAlignment="1">
      <alignment horizontal="center"/>
    </xf>
    <xf numFmtId="165" fontId="0" fillId="3" borderId="0" xfId="0" applyNumberFormat="1" applyFill="1" applyAlignment="1">
      <alignment horizontal="center"/>
    </xf>
    <xf numFmtId="164" fontId="0" fillId="3" borderId="6" xfId="0" applyNumberFormat="1" applyFill="1" applyBorder="1" applyAlignment="1">
      <alignment horizontal="center"/>
    </xf>
    <xf numFmtId="165" fontId="0" fillId="3" borderId="14" xfId="0" applyNumberFormat="1" applyFill="1" applyBorder="1" applyAlignment="1">
      <alignment horizontal="center"/>
    </xf>
    <xf numFmtId="165" fontId="0" fillId="3" borderId="0" xfId="1" applyFont="1" applyFill="1" applyBorder="1" applyAlignment="1">
      <alignment horizontal="center"/>
    </xf>
    <xf numFmtId="165" fontId="0" fillId="3" borderId="5" xfId="1" applyFont="1" applyFill="1" applyBorder="1" applyAlignment="1">
      <alignment horizontal="center"/>
    </xf>
    <xf numFmtId="0" fontId="0" fillId="3" borderId="6" xfId="0" applyFill="1" applyBorder="1" applyAlignment="1">
      <alignment horizontal="center"/>
    </xf>
    <xf numFmtId="165" fontId="0" fillId="3" borderId="14" xfId="1" applyFont="1" applyFill="1" applyBorder="1" applyAlignment="1">
      <alignment horizontal="center"/>
    </xf>
    <xf numFmtId="165" fontId="0" fillId="3" borderId="7" xfId="1" applyFont="1" applyFill="1" applyBorder="1" applyAlignment="1">
      <alignment horizontal="center"/>
    </xf>
    <xf numFmtId="169" fontId="0" fillId="3" borderId="7" xfId="2" applyNumberFormat="1" applyFont="1" applyFill="1" applyBorder="1"/>
    <xf numFmtId="0" fontId="4" fillId="3" borderId="13" xfId="0" applyFont="1" applyFill="1" applyBorder="1" applyAlignment="1">
      <alignment horizontal="right"/>
    </xf>
    <xf numFmtId="2" fontId="4" fillId="4" borderId="8" xfId="0" applyNumberFormat="1" applyFont="1" applyFill="1" applyBorder="1" applyAlignment="1">
      <alignment horizontal="center" vertical="center"/>
    </xf>
    <xf numFmtId="165" fontId="4" fillId="4" borderId="9" xfId="1" applyFont="1" applyFill="1" applyBorder="1" applyAlignment="1">
      <alignment horizontal="right" vertical="center"/>
    </xf>
    <xf numFmtId="10" fontId="14" fillId="3" borderId="7" xfId="0" applyNumberFormat="1" applyFont="1" applyFill="1" applyBorder="1"/>
    <xf numFmtId="0" fontId="16" fillId="3" borderId="11" xfId="0" applyFont="1" applyFill="1" applyBorder="1"/>
    <xf numFmtId="10" fontId="14" fillId="3" borderId="12" xfId="0" applyNumberFormat="1" applyFont="1" applyFill="1" applyBorder="1"/>
    <xf numFmtId="0" fontId="14" fillId="3" borderId="12" xfId="0" applyFont="1" applyFill="1" applyBorder="1"/>
    <xf numFmtId="0" fontId="14" fillId="3" borderId="13" xfId="0" applyFont="1" applyFill="1" applyBorder="1"/>
    <xf numFmtId="0" fontId="17" fillId="3" borderId="4" xfId="0" applyFont="1" applyFill="1" applyBorder="1"/>
    <xf numFmtId="0" fontId="14" fillId="3" borderId="5" xfId="0" applyFont="1" applyFill="1" applyBorder="1"/>
    <xf numFmtId="172" fontId="14" fillId="3" borderId="14" xfId="0" applyNumberFormat="1" applyFont="1" applyFill="1" applyBorder="1"/>
    <xf numFmtId="0" fontId="14" fillId="3" borderId="7" xfId="0" applyFont="1" applyFill="1" applyBorder="1"/>
    <xf numFmtId="0" fontId="14" fillId="3" borderId="11" xfId="0" applyFont="1" applyFill="1" applyBorder="1"/>
    <xf numFmtId="0" fontId="14" fillId="3" borderId="4" xfId="0" applyFont="1" applyFill="1" applyBorder="1"/>
    <xf numFmtId="168" fontId="14" fillId="3" borderId="0" xfId="0" applyNumberFormat="1" applyFont="1" applyFill="1"/>
    <xf numFmtId="168" fontId="14" fillId="3" borderId="14" xfId="0" applyNumberFormat="1" applyFont="1" applyFill="1" applyBorder="1"/>
    <xf numFmtId="0" fontId="14" fillId="7" borderId="11" xfId="0" applyFont="1" applyFill="1" applyBorder="1"/>
    <xf numFmtId="167" fontId="14" fillId="7" borderId="13" xfId="0" applyNumberFormat="1" applyFont="1" applyFill="1" applyBorder="1"/>
    <xf numFmtId="0" fontId="14" fillId="7" borderId="6" xfId="0" applyFont="1" applyFill="1" applyBorder="1"/>
    <xf numFmtId="167" fontId="14" fillId="7" borderId="7" xfId="0" applyNumberFormat="1" applyFont="1" applyFill="1" applyBorder="1"/>
    <xf numFmtId="10" fontId="14" fillId="3" borderId="5" xfId="0" applyNumberFormat="1" applyFont="1" applyFill="1" applyBorder="1"/>
    <xf numFmtId="0" fontId="14" fillId="3" borderId="6" xfId="0" applyFont="1" applyFill="1" applyBorder="1"/>
    <xf numFmtId="0" fontId="14" fillId="3" borderId="14" xfId="0" applyFont="1" applyFill="1" applyBorder="1"/>
    <xf numFmtId="0" fontId="14" fillId="4" borderId="11" xfId="0" applyFont="1" applyFill="1" applyBorder="1"/>
    <xf numFmtId="167" fontId="14" fillId="4" borderId="13" xfId="0" applyNumberFormat="1" applyFont="1" applyFill="1" applyBorder="1"/>
    <xf numFmtId="0" fontId="14" fillId="4" borderId="6" xfId="0" applyFont="1" applyFill="1" applyBorder="1"/>
    <xf numFmtId="167" fontId="14" fillId="4" borderId="7" xfId="0" applyNumberFormat="1" applyFont="1" applyFill="1" applyBorder="1"/>
    <xf numFmtId="0" fontId="0" fillId="4" borderId="4" xfId="0" applyFill="1" applyBorder="1" applyAlignment="1">
      <alignment horizontal="right"/>
    </xf>
    <xf numFmtId="167" fontId="0" fillId="4" borderId="5" xfId="3" applyNumberFormat="1" applyFont="1" applyFill="1" applyBorder="1" applyAlignment="1">
      <alignment horizontal="center"/>
    </xf>
    <xf numFmtId="166" fontId="0" fillId="3" borderId="0" xfId="0" applyNumberFormat="1" applyFill="1"/>
    <xf numFmtId="166" fontId="0" fillId="3" borderId="5" xfId="0" applyNumberFormat="1" applyFill="1" applyBorder="1"/>
    <xf numFmtId="166" fontId="0" fillId="3" borderId="14" xfId="0" applyNumberFormat="1" applyFill="1" applyBorder="1"/>
    <xf numFmtId="166" fontId="0" fillId="3" borderId="7" xfId="0" applyNumberFormat="1" applyFill="1" applyBorder="1"/>
    <xf numFmtId="166" fontId="0" fillId="3" borderId="0" xfId="0" applyNumberFormat="1" applyFill="1" applyAlignment="1">
      <alignment horizontal="center"/>
    </xf>
    <xf numFmtId="166" fontId="0" fillId="3" borderId="5" xfId="0" applyNumberFormat="1" applyFill="1" applyBorder="1" applyAlignment="1">
      <alignment horizontal="center"/>
    </xf>
    <xf numFmtId="166" fontId="0" fillId="3" borderId="14" xfId="0" applyNumberFormat="1" applyFill="1" applyBorder="1" applyAlignment="1">
      <alignment horizontal="center"/>
    </xf>
    <xf numFmtId="166" fontId="0" fillId="3" borderId="7" xfId="0" applyNumberFormat="1" applyFill="1" applyBorder="1" applyAlignment="1">
      <alignment horizontal="center"/>
    </xf>
    <xf numFmtId="0" fontId="2" fillId="7" borderId="8" xfId="0" applyFont="1" applyFill="1" applyBorder="1"/>
    <xf numFmtId="167" fontId="2" fillId="7" borderId="9" xfId="0" applyNumberFormat="1" applyFont="1" applyFill="1" applyBorder="1"/>
    <xf numFmtId="0" fontId="39" fillId="3" borderId="1" xfId="0" applyFont="1" applyFill="1" applyBorder="1"/>
    <xf numFmtId="165" fontId="39" fillId="3" borderId="0" xfId="1" applyFont="1" applyFill="1"/>
    <xf numFmtId="0" fontId="39" fillId="3" borderId="0" xfId="0" applyFont="1" applyFill="1"/>
    <xf numFmtId="10" fontId="39" fillId="3" borderId="0" xfId="0" applyNumberFormat="1" applyFont="1" applyFill="1"/>
    <xf numFmtId="10" fontId="39" fillId="3" borderId="0" xfId="2" applyNumberFormat="1" applyFont="1" applyFill="1"/>
    <xf numFmtId="0" fontId="40" fillId="0" borderId="0" xfId="0" applyFont="1"/>
    <xf numFmtId="0" fontId="41" fillId="0" borderId="0" xfId="0" applyFont="1"/>
    <xf numFmtId="0" fontId="42" fillId="0" borderId="0" xfId="0" applyFont="1"/>
    <xf numFmtId="0" fontId="41" fillId="0" borderId="2" xfId="0" applyFont="1" applyBorder="1"/>
    <xf numFmtId="0" fontId="41" fillId="0" borderId="15" xfId="0" applyFont="1" applyBorder="1"/>
    <xf numFmtId="0" fontId="41" fillId="0" borderId="3" xfId="0" applyFont="1" applyBorder="1"/>
    <xf numFmtId="0" fontId="40" fillId="0" borderId="4" xfId="0" applyFont="1" applyBorder="1"/>
    <xf numFmtId="0" fontId="40" fillId="0" borderId="5" xfId="0" applyFont="1" applyBorder="1"/>
    <xf numFmtId="0" fontId="0" fillId="0" borderId="53" xfId="0" applyBorder="1"/>
    <xf numFmtId="0" fontId="0" fillId="0" borderId="54" xfId="0" applyBorder="1"/>
    <xf numFmtId="0" fontId="0" fillId="0" borderId="55" xfId="0" applyBorder="1"/>
    <xf numFmtId="0" fontId="0" fillId="0" borderId="56" xfId="0" applyBorder="1"/>
    <xf numFmtId="9" fontId="0" fillId="0" borderId="0" xfId="0" applyNumberFormat="1"/>
    <xf numFmtId="10" fontId="0" fillId="0" borderId="0" xfId="0" applyNumberFormat="1"/>
    <xf numFmtId="0" fontId="47" fillId="0" borderId="0" xfId="0" applyFont="1" applyAlignment="1">
      <alignment vertical="center" wrapText="1"/>
    </xf>
    <xf numFmtId="0" fontId="0" fillId="0" borderId="0" xfId="0" applyAlignment="1">
      <alignment vertical="center" wrapText="1"/>
    </xf>
    <xf numFmtId="178" fontId="0" fillId="0" borderId="0" xfId="0" applyNumberFormat="1" applyAlignment="1">
      <alignment horizontal="right" vertical="center" wrapText="1"/>
    </xf>
    <xf numFmtId="179" fontId="0" fillId="0" borderId="0" xfId="0" applyNumberFormat="1" applyAlignment="1">
      <alignment horizontal="right" vertical="center" wrapText="1"/>
    </xf>
    <xf numFmtId="180" fontId="0" fillId="0" borderId="0" xfId="0" applyNumberFormat="1" applyAlignment="1">
      <alignment horizontal="right" vertical="center" wrapText="1"/>
    </xf>
    <xf numFmtId="0" fontId="0" fillId="0" borderId="0" xfId="0" applyAlignment="1">
      <alignment vertical="top" wrapText="1"/>
    </xf>
    <xf numFmtId="178" fontId="0" fillId="0" borderId="0" xfId="0" applyNumberFormat="1" applyAlignment="1">
      <alignment vertical="top" wrapText="1"/>
    </xf>
    <xf numFmtId="0" fontId="50" fillId="10" borderId="0" xfId="0" applyFont="1" applyFill="1" applyAlignment="1">
      <alignment horizontal="center" vertical="center" wrapText="1"/>
    </xf>
    <xf numFmtId="0" fontId="50" fillId="0" borderId="0" xfId="0" applyFont="1" applyAlignment="1">
      <alignment horizontal="center" vertical="center" wrapText="1"/>
    </xf>
    <xf numFmtId="177" fontId="30" fillId="11" borderId="0" xfId="0" applyNumberFormat="1" applyFont="1" applyFill="1" applyAlignment="1">
      <alignment horizontal="right" vertical="center" wrapText="1"/>
    </xf>
    <xf numFmtId="0" fontId="51" fillId="0" borderId="0" xfId="0" applyFont="1" applyAlignment="1">
      <alignment vertical="center" wrapText="1"/>
    </xf>
    <xf numFmtId="10" fontId="30" fillId="11" borderId="0" xfId="0" applyNumberFormat="1" applyFont="1" applyFill="1" applyAlignment="1">
      <alignment horizontal="right" vertical="center" wrapText="1"/>
    </xf>
    <xf numFmtId="1" fontId="30" fillId="11" borderId="0" xfId="0" applyNumberFormat="1" applyFont="1" applyFill="1" applyAlignment="1">
      <alignment horizontal="right" vertical="center" wrapText="1"/>
    </xf>
    <xf numFmtId="49" fontId="30" fillId="11" borderId="0" xfId="0" applyNumberFormat="1" applyFont="1" applyFill="1" applyAlignment="1">
      <alignment horizontal="right" vertical="center" wrapText="1"/>
    </xf>
    <xf numFmtId="0" fontId="52" fillId="8" borderId="0" xfId="10" applyFont="1" applyAlignment="1">
      <alignment vertical="center" wrapText="1"/>
    </xf>
    <xf numFmtId="180" fontId="52" fillId="8" borderId="0" xfId="10" applyNumberFormat="1" applyFont="1" applyAlignment="1">
      <alignment horizontal="right" vertical="center" wrapText="1"/>
    </xf>
    <xf numFmtId="0" fontId="49" fillId="13" borderId="0" xfId="0" applyFont="1" applyFill="1" applyAlignment="1">
      <alignment horizontal="center" vertical="center" wrapText="1"/>
    </xf>
    <xf numFmtId="0" fontId="49" fillId="15" borderId="0" xfId="0" applyFont="1" applyFill="1" applyAlignment="1">
      <alignment horizontal="center" vertical="center" wrapText="1"/>
    </xf>
    <xf numFmtId="0" fontId="52" fillId="8" borderId="0" xfId="10" applyFont="1" applyAlignment="1">
      <alignment vertical="top" wrapText="1"/>
    </xf>
    <xf numFmtId="178" fontId="52" fillId="8" borderId="0" xfId="10" applyNumberFormat="1" applyFont="1" applyAlignment="1">
      <alignment vertical="top" wrapText="1"/>
    </xf>
    <xf numFmtId="0" fontId="49" fillId="0" borderId="0" xfId="0" applyFont="1" applyAlignment="1">
      <alignment horizontal="center" vertical="center" wrapText="1"/>
    </xf>
    <xf numFmtId="181" fontId="52" fillId="8" borderId="0" xfId="10" applyNumberFormat="1" applyFont="1" applyAlignment="1">
      <alignment vertical="top" wrapText="1"/>
    </xf>
    <xf numFmtId="181" fontId="50" fillId="0" borderId="0" xfId="0" applyNumberFormat="1" applyFont="1" applyAlignment="1">
      <alignment vertical="top" wrapText="1"/>
    </xf>
    <xf numFmtId="0" fontId="49" fillId="15" borderId="0" xfId="11" applyFont="1" applyFill="1" applyAlignment="1">
      <alignment horizontal="center" vertical="center" wrapText="1"/>
    </xf>
    <xf numFmtId="0" fontId="39" fillId="0" borderId="0" xfId="11" applyFont="1"/>
    <xf numFmtId="0" fontId="39" fillId="0" borderId="0" xfId="11" applyFont="1" applyAlignment="1">
      <alignment wrapText="1"/>
    </xf>
    <xf numFmtId="0" fontId="2" fillId="17" borderId="0" xfId="11" applyFont="1" applyFill="1" applyAlignment="1">
      <alignment vertical="center" wrapText="1"/>
    </xf>
    <xf numFmtId="177" fontId="30" fillId="11" borderId="0" xfId="11" applyNumberFormat="1" applyFont="1" applyFill="1" applyAlignment="1">
      <alignment horizontal="right" vertical="center" wrapText="1"/>
    </xf>
    <xf numFmtId="0" fontId="2" fillId="18" borderId="0" xfId="11" applyFont="1" applyFill="1" applyAlignment="1">
      <alignment vertical="center" wrapText="1"/>
    </xf>
    <xf numFmtId="182" fontId="2" fillId="18" borderId="0" xfId="11" applyNumberFormat="1" applyFont="1" applyFill="1" applyAlignment="1">
      <alignment vertical="center" wrapText="1"/>
    </xf>
    <xf numFmtId="10" fontId="30" fillId="11" borderId="0" xfId="11" applyNumberFormat="1" applyFont="1" applyFill="1" applyAlignment="1">
      <alignment horizontal="right" vertical="center" wrapText="1"/>
    </xf>
    <xf numFmtId="183" fontId="30" fillId="11" borderId="0" xfId="11" applyNumberFormat="1" applyFont="1" applyFill="1" applyAlignment="1">
      <alignment horizontal="right" vertical="center" wrapText="1"/>
    </xf>
    <xf numFmtId="182" fontId="47" fillId="19" borderId="0" xfId="11" applyNumberFormat="1" applyFont="1" applyFill="1" applyAlignment="1">
      <alignment horizontal="right" vertical="center" wrapText="1"/>
    </xf>
    <xf numFmtId="177" fontId="47" fillId="19" borderId="0" xfId="11" applyNumberFormat="1" applyFont="1" applyFill="1" applyAlignment="1">
      <alignment horizontal="right" vertical="center" wrapText="1"/>
    </xf>
    <xf numFmtId="0" fontId="52" fillId="8" borderId="0" xfId="10" applyFont="1" applyAlignment="1">
      <alignment horizontal="center" vertical="center" wrapText="1"/>
    </xf>
    <xf numFmtId="182" fontId="30" fillId="11" borderId="0" xfId="11" applyNumberFormat="1" applyFont="1" applyFill="1" applyAlignment="1">
      <alignment horizontal="right" vertical="center" wrapText="1"/>
    </xf>
    <xf numFmtId="182" fontId="52" fillId="8" borderId="0" xfId="10" applyNumberFormat="1" applyFont="1" applyAlignment="1">
      <alignment horizontal="right" vertical="center" wrapText="1"/>
    </xf>
    <xf numFmtId="180" fontId="54" fillId="18" borderId="0" xfId="11" applyNumberFormat="1" applyFont="1" applyFill="1" applyAlignment="1">
      <alignment horizontal="right" vertical="center" wrapText="1"/>
    </xf>
    <xf numFmtId="182" fontId="54" fillId="18" borderId="0" xfId="11" applyNumberFormat="1" applyFont="1" applyFill="1" applyAlignment="1">
      <alignment horizontal="right" vertical="center" wrapText="1"/>
    </xf>
    <xf numFmtId="0" fontId="2" fillId="0" borderId="0" xfId="11" applyFont="1" applyAlignment="1">
      <alignment vertical="top" wrapText="1"/>
    </xf>
    <xf numFmtId="0" fontId="50" fillId="21" borderId="0" xfId="11" applyFont="1" applyFill="1" applyAlignment="1">
      <alignment horizontal="center"/>
    </xf>
    <xf numFmtId="0" fontId="47" fillId="11" borderId="0" xfId="11" applyFont="1" applyFill="1"/>
    <xf numFmtId="184" fontId="39" fillId="0" borderId="0" xfId="11" applyNumberFormat="1" applyFont="1"/>
    <xf numFmtId="0" fontId="50" fillId="22" borderId="0" xfId="11" applyFont="1" applyFill="1" applyAlignment="1">
      <alignment horizontal="center"/>
    </xf>
    <xf numFmtId="1" fontId="39" fillId="0" borderId="0" xfId="11" applyNumberFormat="1" applyFont="1"/>
    <xf numFmtId="178" fontId="39" fillId="0" borderId="0" xfId="11" applyNumberFormat="1" applyFont="1"/>
    <xf numFmtId="10" fontId="47" fillId="11" borderId="0" xfId="11" applyNumberFormat="1" applyFont="1" applyFill="1"/>
    <xf numFmtId="2" fontId="47" fillId="11" borderId="0" xfId="11" applyNumberFormat="1" applyFont="1" applyFill="1"/>
    <xf numFmtId="1" fontId="47" fillId="11" borderId="0" xfId="11" applyNumberFormat="1" applyFont="1" applyFill="1"/>
    <xf numFmtId="0" fontId="52" fillId="8" borderId="0" xfId="10" applyFont="1"/>
    <xf numFmtId="180" fontId="52" fillId="8" borderId="0" xfId="10" applyNumberFormat="1" applyFont="1"/>
    <xf numFmtId="180" fontId="39" fillId="0" borderId="0" xfId="11" applyNumberFormat="1" applyFont="1"/>
    <xf numFmtId="0" fontId="49" fillId="0" borderId="0" xfId="11" applyFont="1"/>
    <xf numFmtId="0" fontId="50" fillId="21" borderId="0" xfId="11" applyFont="1" applyFill="1" applyAlignment="1">
      <alignment horizontal="center" wrapText="1"/>
    </xf>
    <xf numFmtId="0" fontId="50" fillId="12" borderId="0" xfId="11" applyFont="1" applyFill="1" applyAlignment="1">
      <alignment horizontal="center"/>
    </xf>
    <xf numFmtId="0" fontId="39" fillId="0" borderId="1" xfId="11" applyFont="1" applyBorder="1"/>
    <xf numFmtId="0" fontId="39" fillId="0" borderId="1" xfId="11" applyFont="1" applyBorder="1" applyAlignment="1">
      <alignment wrapText="1"/>
    </xf>
    <xf numFmtId="0" fontId="56" fillId="0" borderId="0" xfId="11" applyFont="1" applyAlignment="1">
      <alignment horizontal="center"/>
    </xf>
    <xf numFmtId="0" fontId="39" fillId="0" borderId="0" xfId="11" applyFont="1" applyAlignment="1">
      <alignment vertical="center"/>
    </xf>
    <xf numFmtId="0" fontId="49" fillId="16" borderId="0" xfId="11" applyFont="1" applyFill="1" applyAlignment="1">
      <alignment horizontal="center" vertical="center"/>
    </xf>
    <xf numFmtId="177" fontId="47" fillId="11" borderId="0" xfId="11" applyNumberFormat="1" applyFont="1" applyFill="1" applyAlignment="1">
      <alignment horizontal="right" vertical="center"/>
    </xf>
    <xf numFmtId="0" fontId="39" fillId="0" borderId="0" xfId="11" applyFont="1" applyAlignment="1">
      <alignment vertical="center" wrapText="1"/>
    </xf>
    <xf numFmtId="177" fontId="39" fillId="0" borderId="0" xfId="11" applyNumberFormat="1" applyFont="1" applyAlignment="1">
      <alignment vertical="center"/>
    </xf>
    <xf numFmtId="2" fontId="47" fillId="11" borderId="0" xfId="11" applyNumberFormat="1" applyFont="1" applyFill="1" applyAlignment="1">
      <alignment horizontal="right" vertical="center"/>
    </xf>
    <xf numFmtId="10" fontId="47" fillId="11" borderId="0" xfId="11" applyNumberFormat="1" applyFont="1" applyFill="1" applyAlignment="1">
      <alignment horizontal="right" vertical="center"/>
    </xf>
    <xf numFmtId="10" fontId="39" fillId="0" borderId="0" xfId="11" applyNumberFormat="1" applyFont="1" applyAlignment="1">
      <alignment vertical="center"/>
    </xf>
    <xf numFmtId="0" fontId="49" fillId="16" borderId="0" xfId="11" applyFont="1" applyFill="1" applyAlignment="1">
      <alignment horizontal="center" vertical="center" wrapText="1"/>
    </xf>
    <xf numFmtId="10" fontId="39" fillId="0" borderId="0" xfId="11" applyNumberFormat="1" applyFont="1" applyAlignment="1">
      <alignment vertical="center" wrapText="1"/>
    </xf>
    <xf numFmtId="177" fontId="39" fillId="0" borderId="0" xfId="11" applyNumberFormat="1" applyFont="1" applyAlignment="1">
      <alignment vertical="center" wrapText="1"/>
    </xf>
    <xf numFmtId="0" fontId="58" fillId="12" borderId="0" xfId="11" applyFont="1" applyFill="1" applyAlignment="1">
      <alignment horizontal="center" vertical="center" wrapText="1"/>
    </xf>
    <xf numFmtId="0" fontId="59" fillId="22" borderId="0" xfId="11" applyFont="1" applyFill="1" applyAlignment="1">
      <alignment horizontal="center" vertical="center" wrapText="1"/>
    </xf>
    <xf numFmtId="9" fontId="39" fillId="0" borderId="0" xfId="11" applyNumberFormat="1" applyFont="1" applyAlignment="1">
      <alignment horizontal="right" vertical="center"/>
    </xf>
    <xf numFmtId="177" fontId="39" fillId="0" borderId="0" xfId="11" applyNumberFormat="1" applyFont="1" applyAlignment="1">
      <alignment horizontal="right" vertical="center"/>
    </xf>
    <xf numFmtId="170" fontId="39" fillId="0" borderId="0" xfId="11" applyNumberFormat="1" applyFont="1" applyAlignment="1">
      <alignment vertical="center" wrapText="1"/>
    </xf>
    <xf numFmtId="0" fontId="49" fillId="25" borderId="0" xfId="11" applyFont="1" applyFill="1" applyAlignment="1">
      <alignment horizontal="left" vertical="center"/>
    </xf>
    <xf numFmtId="0" fontId="39" fillId="0" borderId="0" xfId="11" applyFont="1" applyAlignment="1">
      <alignment vertical="center"/>
    </xf>
    <xf numFmtId="0" fontId="49" fillId="25" borderId="0" xfId="11" applyFont="1" applyFill="1" applyAlignment="1">
      <alignment horizontal="center" vertical="center"/>
    </xf>
    <xf numFmtId="0" fontId="39" fillId="0" borderId="8" xfId="11" applyFont="1" applyBorder="1" applyAlignment="1">
      <alignment horizontal="left" vertical="center" wrapText="1"/>
    </xf>
    <xf numFmtId="0" fontId="39" fillId="0" borderId="10" xfId="11" applyFont="1" applyBorder="1" applyAlignment="1">
      <alignment horizontal="left" vertical="center" wrapText="1"/>
    </xf>
    <xf numFmtId="0" fontId="39" fillId="0" borderId="9" xfId="11" applyFont="1" applyBorder="1" applyAlignment="1">
      <alignment horizontal="left" vertical="center" wrapText="1"/>
    </xf>
    <xf numFmtId="0" fontId="57" fillId="27" borderId="0" xfId="11" applyFont="1" applyFill="1" applyAlignment="1">
      <alignment horizontal="center" vertical="center"/>
    </xf>
    <xf numFmtId="0" fontId="49" fillId="28" borderId="0" xfId="11" applyFont="1" applyFill="1" applyAlignment="1">
      <alignment horizontal="left" vertical="center"/>
    </xf>
    <xf numFmtId="0" fontId="60" fillId="27" borderId="0" xfId="11" applyFont="1" applyFill="1" applyAlignment="1">
      <alignment horizontal="left" vertical="center" wrapText="1"/>
    </xf>
    <xf numFmtId="0" fontId="7" fillId="3" borderId="2" xfId="0" applyFont="1" applyFill="1" applyBorder="1" applyAlignment="1">
      <alignment horizontal="center"/>
    </xf>
    <xf numFmtId="0" fontId="7" fillId="3" borderId="3" xfId="0" applyFont="1" applyFill="1" applyBorder="1" applyAlignment="1">
      <alignment horizontal="center"/>
    </xf>
    <xf numFmtId="0" fontId="0" fillId="4" borderId="19" xfId="0" applyFill="1" applyBorder="1" applyAlignment="1">
      <alignment horizontal="center"/>
    </xf>
    <xf numFmtId="0" fontId="0" fillId="4" borderId="21" xfId="0" applyFill="1" applyBorder="1" applyAlignment="1">
      <alignment horizontal="center"/>
    </xf>
    <xf numFmtId="165" fontId="0" fillId="4" borderId="20" xfId="1" applyFont="1" applyFill="1" applyBorder="1" applyAlignment="1">
      <alignment horizontal="center"/>
    </xf>
    <xf numFmtId="165" fontId="0" fillId="4" borderId="22" xfId="1" applyFont="1" applyFill="1" applyBorder="1" applyAlignment="1">
      <alignment horizontal="center"/>
    </xf>
    <xf numFmtId="0" fontId="4" fillId="3" borderId="2" xfId="0" applyFont="1" applyFill="1" applyBorder="1" applyAlignment="1">
      <alignment horizontal="center"/>
    </xf>
    <xf numFmtId="0" fontId="4" fillId="3" borderId="3" xfId="0" applyFont="1" applyFill="1" applyBorder="1" applyAlignment="1">
      <alignment horizontal="center"/>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3" borderId="0" xfId="0" applyFont="1" applyFill="1" applyAlignment="1">
      <alignment horizontal="center" vertical="center" wrapText="1"/>
    </xf>
    <xf numFmtId="0" fontId="3" fillId="3" borderId="2" xfId="0" applyFont="1" applyFill="1" applyBorder="1" applyAlignment="1">
      <alignment horizontal="center"/>
    </xf>
    <xf numFmtId="0" fontId="3" fillId="3" borderId="3" xfId="0" applyFont="1" applyFill="1" applyBorder="1" applyAlignment="1">
      <alignment horizontal="center"/>
    </xf>
    <xf numFmtId="0" fontId="0" fillId="3" borderId="14" xfId="0" applyFill="1" applyBorder="1" applyAlignment="1">
      <alignment horizontal="center"/>
    </xf>
    <xf numFmtId="0" fontId="0" fillId="3" borderId="0" xfId="0" applyFill="1" applyAlignment="1">
      <alignment horizontal="center"/>
    </xf>
    <xf numFmtId="0" fontId="7" fillId="3" borderId="14" xfId="0" applyFont="1" applyFill="1" applyBorder="1" applyAlignment="1">
      <alignment horizontal="center" wrapText="1"/>
    </xf>
    <xf numFmtId="0" fontId="4" fillId="3" borderId="8" xfId="0" applyFont="1" applyFill="1" applyBorder="1" applyAlignment="1">
      <alignment horizontal="center" vertical="center"/>
    </xf>
    <xf numFmtId="0" fontId="4" fillId="3" borderId="10" xfId="0" applyFont="1" applyFill="1" applyBorder="1" applyAlignment="1">
      <alignment horizontal="center" vertical="center"/>
    </xf>
    <xf numFmtId="0" fontId="4" fillId="3" borderId="9" xfId="0" applyFont="1" applyFill="1" applyBorder="1" applyAlignment="1">
      <alignment horizontal="center" vertical="center"/>
    </xf>
    <xf numFmtId="0" fontId="0" fillId="3" borderId="39" xfId="0" applyFill="1" applyBorder="1" applyAlignment="1">
      <alignment horizontal="center" wrapText="1"/>
    </xf>
    <xf numFmtId="0" fontId="0" fillId="3" borderId="45" xfId="0" applyFill="1" applyBorder="1" applyAlignment="1">
      <alignment horizontal="center" wrapText="1"/>
    </xf>
    <xf numFmtId="0" fontId="0" fillId="3" borderId="37" xfId="0" applyFill="1" applyBorder="1" applyAlignment="1">
      <alignment horizontal="center" wrapText="1"/>
    </xf>
    <xf numFmtId="0" fontId="0" fillId="3" borderId="44" xfId="0" applyFill="1" applyBorder="1" applyAlignment="1">
      <alignment horizontal="center" wrapText="1"/>
    </xf>
    <xf numFmtId="49" fontId="0" fillId="3" borderId="31" xfId="0" applyNumberFormat="1" applyFill="1" applyBorder="1" applyAlignment="1">
      <alignment horizontal="left" wrapText="1"/>
    </xf>
    <xf numFmtId="49" fontId="0" fillId="3" borderId="27" xfId="0" applyNumberFormat="1" applyFill="1" applyBorder="1" applyAlignment="1">
      <alignment horizontal="left" wrapText="1"/>
    </xf>
    <xf numFmtId="49" fontId="0" fillId="3" borderId="33" xfId="0" applyNumberFormat="1" applyFill="1" applyBorder="1" applyAlignment="1">
      <alignment horizontal="left" wrapText="1"/>
    </xf>
    <xf numFmtId="49" fontId="0" fillId="3" borderId="34" xfId="0" applyNumberFormat="1" applyFill="1" applyBorder="1" applyAlignment="1">
      <alignment horizontal="left" wrapText="1"/>
    </xf>
    <xf numFmtId="0" fontId="29" fillId="0" borderId="25" xfId="8" applyAlignment="1">
      <alignment horizontal="center"/>
    </xf>
    <xf numFmtId="49" fontId="33" fillId="3" borderId="31" xfId="0" applyNumberFormat="1" applyFont="1" applyFill="1" applyBorder="1" applyAlignment="1">
      <alignment horizontal="left" wrapText="1"/>
    </xf>
    <xf numFmtId="49" fontId="33" fillId="3" borderId="27" xfId="0" applyNumberFormat="1" applyFont="1" applyFill="1" applyBorder="1" applyAlignment="1">
      <alignment horizontal="left" wrapText="1"/>
    </xf>
    <xf numFmtId="49" fontId="33" fillId="3" borderId="33" xfId="0" applyNumberFormat="1" applyFont="1" applyFill="1" applyBorder="1" applyAlignment="1">
      <alignment horizontal="left" wrapText="1"/>
    </xf>
    <xf numFmtId="49" fontId="33" fillId="3" borderId="34" xfId="0" applyNumberFormat="1" applyFont="1" applyFill="1" applyBorder="1" applyAlignment="1">
      <alignment horizontal="left" wrapText="1"/>
    </xf>
    <xf numFmtId="0" fontId="0" fillId="3" borderId="38" xfId="0" applyFill="1" applyBorder="1" applyAlignment="1">
      <alignment horizontal="center" wrapText="1"/>
    </xf>
    <xf numFmtId="0" fontId="29" fillId="0" borderId="11" xfId="8" applyBorder="1" applyAlignment="1">
      <alignment horizontal="center"/>
    </xf>
    <xf numFmtId="0" fontId="29" fillId="0" borderId="12" xfId="8" applyBorder="1" applyAlignment="1">
      <alignment horizontal="center"/>
    </xf>
    <xf numFmtId="0" fontId="29" fillId="0" borderId="13" xfId="8" applyBorder="1" applyAlignment="1">
      <alignment horizontal="center"/>
    </xf>
    <xf numFmtId="49" fontId="32" fillId="3" borderId="31" xfId="0" applyNumberFormat="1" applyFont="1" applyFill="1" applyBorder="1" applyAlignment="1">
      <alignment horizontal="left" wrapText="1"/>
    </xf>
    <xf numFmtId="49" fontId="32" fillId="3" borderId="27" xfId="0" applyNumberFormat="1" applyFont="1" applyFill="1" applyBorder="1" applyAlignment="1">
      <alignment horizontal="left" wrapText="1"/>
    </xf>
    <xf numFmtId="49" fontId="32" fillId="3" borderId="33" xfId="0" applyNumberFormat="1" applyFont="1" applyFill="1" applyBorder="1" applyAlignment="1">
      <alignment horizontal="left" wrapText="1"/>
    </xf>
    <xf numFmtId="49" fontId="32" fillId="3" borderId="34" xfId="0" applyNumberFormat="1" applyFont="1" applyFill="1" applyBorder="1" applyAlignment="1">
      <alignment horizontal="left" wrapText="1"/>
    </xf>
    <xf numFmtId="0" fontId="0" fillId="3" borderId="37" xfId="0" applyFill="1" applyBorder="1" applyAlignment="1">
      <alignment horizontal="center"/>
    </xf>
    <xf numFmtId="0" fontId="0" fillId="3" borderId="38" xfId="0" applyFill="1" applyBorder="1" applyAlignment="1">
      <alignment horizontal="center"/>
    </xf>
    <xf numFmtId="0" fontId="0" fillId="3" borderId="40" xfId="0" applyFill="1" applyBorder="1" applyAlignment="1">
      <alignment horizontal="center" wrapText="1"/>
    </xf>
    <xf numFmtId="0" fontId="33" fillId="0" borderId="4" xfId="0" applyFont="1" applyBorder="1" applyAlignment="1">
      <alignment horizontal="right" wrapText="1"/>
    </xf>
    <xf numFmtId="0" fontId="33" fillId="0" borderId="0" xfId="0" applyFont="1" applyAlignment="1">
      <alignment horizontal="right" wrapText="1"/>
    </xf>
    <xf numFmtId="0" fontId="0" fillId="0" borderId="4" xfId="0" applyBorder="1" applyAlignment="1">
      <alignment horizontal="center"/>
    </xf>
    <xf numFmtId="0" fontId="0" fillId="0" borderId="0" xfId="0" applyAlignment="1">
      <alignment horizontal="center"/>
    </xf>
    <xf numFmtId="0" fontId="0" fillId="0" borderId="4" xfId="0" applyBorder="1" applyAlignment="1">
      <alignment horizontal="right" wrapText="1"/>
    </xf>
    <xf numFmtId="0" fontId="0" fillId="0" borderId="0" xfId="0" applyAlignment="1">
      <alignment horizontal="right" wrapText="1"/>
    </xf>
    <xf numFmtId="0" fontId="32" fillId="0" borderId="4" xfId="0" applyFont="1" applyBorder="1" applyAlignment="1">
      <alignment horizontal="right" wrapText="1"/>
    </xf>
    <xf numFmtId="0" fontId="32" fillId="0" borderId="0" xfId="0" applyFont="1" applyAlignment="1">
      <alignment horizontal="right" wrapText="1"/>
    </xf>
    <xf numFmtId="49" fontId="33" fillId="3" borderId="31" xfId="0" applyNumberFormat="1" applyFont="1" applyFill="1" applyBorder="1" applyAlignment="1">
      <alignment horizontal="left" vertical="center" wrapText="1"/>
    </xf>
    <xf numFmtId="49" fontId="33" fillId="3" borderId="27" xfId="0" applyNumberFormat="1" applyFont="1" applyFill="1" applyBorder="1" applyAlignment="1">
      <alignment horizontal="left" vertical="center" wrapText="1"/>
    </xf>
    <xf numFmtId="49" fontId="33" fillId="3" borderId="33" xfId="0" applyNumberFormat="1" applyFont="1" applyFill="1" applyBorder="1" applyAlignment="1">
      <alignment horizontal="left" vertical="center" wrapText="1"/>
    </xf>
    <xf numFmtId="49" fontId="33" fillId="3" borderId="34" xfId="0" applyNumberFormat="1" applyFont="1" applyFill="1" applyBorder="1" applyAlignment="1">
      <alignment horizontal="left" vertical="center" wrapText="1"/>
    </xf>
    <xf numFmtId="0" fontId="0" fillId="3" borderId="4" xfId="0" applyFill="1" applyBorder="1" applyAlignment="1">
      <alignment horizontal="center" vertical="center" wrapText="1"/>
    </xf>
    <xf numFmtId="0" fontId="0" fillId="3" borderId="37" xfId="0" applyFill="1" applyBorder="1" applyAlignment="1">
      <alignment horizontal="center" vertical="center"/>
    </xf>
    <xf numFmtId="0" fontId="0" fillId="3" borderId="38" xfId="0" applyFill="1" applyBorder="1" applyAlignment="1">
      <alignment horizontal="center" vertical="center"/>
    </xf>
    <xf numFmtId="0" fontId="0" fillId="3" borderId="37" xfId="0" applyFill="1" applyBorder="1" applyAlignment="1">
      <alignment horizontal="center" vertical="center" wrapText="1"/>
    </xf>
    <xf numFmtId="0" fontId="0" fillId="3" borderId="38" xfId="0" applyFill="1" applyBorder="1" applyAlignment="1">
      <alignment horizontal="center" vertical="center" wrapText="1"/>
    </xf>
    <xf numFmtId="0" fontId="0" fillId="3" borderId="39" xfId="0" applyFill="1" applyBorder="1" applyAlignment="1">
      <alignment horizontal="center" vertical="center" wrapText="1"/>
    </xf>
    <xf numFmtId="0" fontId="0" fillId="3" borderId="40" xfId="0" applyFill="1" applyBorder="1" applyAlignment="1">
      <alignment horizontal="center" vertical="center" wrapText="1"/>
    </xf>
    <xf numFmtId="0" fontId="28" fillId="0" borderId="0" xfId="7" applyAlignment="1">
      <alignment horizontal="center"/>
    </xf>
    <xf numFmtId="0" fontId="14" fillId="0" borderId="47" xfId="0" applyFont="1" applyBorder="1" applyAlignment="1">
      <alignment vertical="center" wrapText="1"/>
    </xf>
    <xf numFmtId="0" fontId="14" fillId="0" borderId="48" xfId="0" applyFont="1" applyBorder="1" applyAlignment="1">
      <alignment vertical="center" wrapText="1"/>
    </xf>
    <xf numFmtId="49" fontId="38" fillId="3" borderId="31" xfId="0" applyNumberFormat="1" applyFont="1" applyFill="1" applyBorder="1" applyAlignment="1">
      <alignment horizontal="left" wrapText="1"/>
    </xf>
    <xf numFmtId="49" fontId="38" fillId="3" borderId="27" xfId="0" applyNumberFormat="1" applyFont="1" applyFill="1" applyBorder="1" applyAlignment="1">
      <alignment horizontal="left" wrapText="1"/>
    </xf>
    <xf numFmtId="49" fontId="38" fillId="3" borderId="33" xfId="0" applyNumberFormat="1" applyFont="1" applyFill="1" applyBorder="1" applyAlignment="1">
      <alignment horizontal="left" wrapText="1"/>
    </xf>
    <xf numFmtId="49" fontId="38" fillId="3" borderId="34" xfId="0" applyNumberFormat="1" applyFont="1" applyFill="1" applyBorder="1" applyAlignment="1">
      <alignment horizontal="left" wrapText="1"/>
    </xf>
    <xf numFmtId="0" fontId="4" fillId="0" borderId="8" xfId="0" applyFont="1" applyBorder="1" applyAlignment="1">
      <alignment horizontal="center" vertical="center"/>
    </xf>
    <xf numFmtId="0" fontId="4" fillId="0" borderId="10" xfId="0" applyFont="1" applyBorder="1" applyAlignment="1">
      <alignment horizontal="center" vertical="center"/>
    </xf>
    <xf numFmtId="0" fontId="4" fillId="0" borderId="9" xfId="0" applyFont="1" applyBorder="1" applyAlignment="1">
      <alignment horizontal="center" vertical="center"/>
    </xf>
    <xf numFmtId="0" fontId="0" fillId="2" borderId="19" xfId="0" applyFill="1" applyBorder="1" applyAlignment="1">
      <alignment horizontal="center"/>
    </xf>
    <xf numFmtId="0" fontId="0" fillId="2" borderId="21" xfId="0" applyFill="1" applyBorder="1" applyAlignment="1">
      <alignment horizontal="center"/>
    </xf>
    <xf numFmtId="165" fontId="0" fillId="2" borderId="20" xfId="1" applyFont="1" applyFill="1" applyBorder="1" applyAlignment="1">
      <alignment horizontal="center"/>
    </xf>
    <xf numFmtId="165" fontId="0" fillId="2" borderId="22" xfId="1" applyFont="1" applyFill="1" applyBorder="1" applyAlignment="1">
      <alignment horizontal="center"/>
    </xf>
    <xf numFmtId="0" fontId="7" fillId="0" borderId="14" xfId="0" applyFont="1" applyBorder="1" applyAlignment="1">
      <alignment horizontal="center" wrapText="1"/>
    </xf>
    <xf numFmtId="0" fontId="0" fillId="0" borderId="6" xfId="0" applyBorder="1" applyAlignment="1">
      <alignment vertical="top" wrapText="1"/>
    </xf>
    <xf numFmtId="0" fontId="0" fillId="0" borderId="14" xfId="0" applyBorder="1" applyAlignment="1">
      <alignment vertical="top" wrapText="1"/>
    </xf>
    <xf numFmtId="0" fontId="0" fillId="0" borderId="7" xfId="0" applyBorder="1" applyAlignment="1">
      <alignment vertical="top" wrapText="1"/>
    </xf>
    <xf numFmtId="49" fontId="52" fillId="8" borderId="0" xfId="10" applyNumberFormat="1" applyFont="1" applyAlignment="1">
      <alignment horizontal="center" vertical="top" wrapText="1"/>
    </xf>
    <xf numFmtId="0" fontId="49" fillId="13" borderId="0" xfId="0" applyFont="1" applyFill="1" applyAlignment="1">
      <alignment horizontal="center" vertical="center" wrapText="1"/>
    </xf>
    <xf numFmtId="0" fontId="0" fillId="0" borderId="11" xfId="0" applyBorder="1" applyAlignment="1">
      <alignment vertical="top" wrapText="1"/>
    </xf>
    <xf numFmtId="0" fontId="0" fillId="0" borderId="12" xfId="0" applyBorder="1" applyAlignment="1">
      <alignment vertical="top" wrapText="1"/>
    </xf>
    <xf numFmtId="0" fontId="0" fillId="0" borderId="13" xfId="0" applyBorder="1" applyAlignment="1">
      <alignment vertical="top" wrapText="1"/>
    </xf>
    <xf numFmtId="0" fontId="53" fillId="14" borderId="0" xfId="0" applyFont="1" applyFill="1" applyAlignment="1">
      <alignment horizontal="center" wrapText="1"/>
    </xf>
    <xf numFmtId="0" fontId="49" fillId="9" borderId="0" xfId="0" applyFont="1" applyFill="1" applyAlignment="1">
      <alignment horizontal="center" vertical="center" wrapText="1"/>
    </xf>
    <xf numFmtId="0" fontId="0" fillId="0" borderId="4" xfId="0" applyBorder="1" applyAlignment="1">
      <alignment vertical="top" wrapText="1"/>
    </xf>
    <xf numFmtId="0" fontId="0" fillId="0" borderId="0" xfId="0" applyAlignment="1">
      <alignment vertical="top" wrapText="1"/>
    </xf>
    <xf numFmtId="0" fontId="0" fillId="0" borderId="5" xfId="0" applyBorder="1" applyAlignment="1">
      <alignment vertical="top" wrapText="1"/>
    </xf>
    <xf numFmtId="0" fontId="49" fillId="9" borderId="0" xfId="11" applyFont="1" applyFill="1" applyAlignment="1">
      <alignment horizontal="center" vertical="center" wrapText="1"/>
    </xf>
    <xf numFmtId="0" fontId="49" fillId="16" borderId="0" xfId="11" applyFont="1" applyFill="1" applyAlignment="1">
      <alignment horizontal="left" wrapText="1"/>
    </xf>
    <xf numFmtId="0" fontId="49" fillId="9" borderId="0" xfId="11" applyFont="1" applyFill="1" applyAlignment="1">
      <alignment horizontal="left" wrapText="1"/>
    </xf>
    <xf numFmtId="0" fontId="2" fillId="18" borderId="0" xfId="11" applyFont="1" applyFill="1" applyAlignment="1">
      <alignment horizontal="center" vertical="center" wrapText="1"/>
    </xf>
    <xf numFmtId="0" fontId="49" fillId="15" borderId="0" xfId="11" applyFont="1" applyFill="1" applyAlignment="1">
      <alignment horizontal="center" vertical="center" wrapText="1"/>
    </xf>
    <xf numFmtId="0" fontId="49" fillId="20" borderId="0" xfId="11" applyFont="1" applyFill="1" applyAlignment="1">
      <alignment horizontal="center"/>
    </xf>
    <xf numFmtId="0" fontId="49" fillId="24" borderId="0" xfId="11" applyFont="1" applyFill="1" applyAlignment="1">
      <alignment horizontal="center"/>
    </xf>
    <xf numFmtId="0" fontId="55" fillId="23" borderId="0" xfId="11" applyFont="1" applyFill="1" applyAlignment="1">
      <alignment horizontal="center" wrapText="1"/>
    </xf>
    <xf numFmtId="0" fontId="39" fillId="0" borderId="0" xfId="11" applyFont="1" applyAlignment="1">
      <alignment horizontal="center" wrapText="1"/>
    </xf>
    <xf numFmtId="0" fontId="49" fillId="26" borderId="0" xfId="11" applyFont="1" applyFill="1" applyAlignment="1">
      <alignment horizontal="center" vertical="center"/>
    </xf>
    <xf numFmtId="0" fontId="49" fillId="25" borderId="0" xfId="11" applyFont="1" applyFill="1" applyAlignment="1">
      <alignment horizontal="center"/>
    </xf>
    <xf numFmtId="0" fontId="40" fillId="0" borderId="0" xfId="0" applyFont="1"/>
  </cellXfs>
  <cellStyles count="12">
    <cellStyle name="Check Cell" xfId="9" builtinId="23"/>
    <cellStyle name="Comma" xfId="3" builtinId="3"/>
    <cellStyle name="Currency" xfId="1" builtinId="4"/>
    <cellStyle name="Good" xfId="10" builtinId="26"/>
    <cellStyle name="Heading 1" xfId="8" builtinId="16"/>
    <cellStyle name="Normal" xfId="0" builtinId="0"/>
    <cellStyle name="Normal 2" xfId="11" xr:uid="{58C375C3-41E2-4219-B71C-6911D91FD118}"/>
    <cellStyle name="Normal 2 2" xfId="5" xr:uid="{1573EF33-709D-424C-B18D-071964F29224}"/>
    <cellStyle name="Normal 4" xfId="4" xr:uid="{637D8D37-2E82-5F42-B30A-B71020B1D9B2}"/>
    <cellStyle name="Percent" xfId="2" builtinId="5"/>
    <cellStyle name="Percent 3" xfId="6" xr:uid="{91391B18-AFD3-204C-885F-4867E28D102B}"/>
    <cellStyle name="Title" xfId="7" builtinId="15"/>
  </cellStyles>
  <dxfs count="21">
    <dxf>
      <font>
        <color rgb="FF9C0006"/>
      </font>
      <fill>
        <patternFill patternType="solid">
          <bgColor rgb="FFFCE4D6"/>
        </patternFill>
      </fill>
    </dxf>
    <dxf>
      <numFmt numFmtId="13" formatCode="0%"/>
    </dxf>
    <dxf>
      <numFmt numFmtId="13" formatCode="0%"/>
    </dxf>
    <dxf>
      <numFmt numFmtId="13" formatCode="0%"/>
    </dxf>
    <dxf>
      <numFmt numFmtId="14" formatCode="0.00%"/>
    </dxf>
    <dxf>
      <numFmt numFmtId="13" formatCode="0%"/>
    </dxf>
    <dxf>
      <numFmt numFmtId="13" formatCode="0%"/>
    </dxf>
    <dxf>
      <numFmt numFmtId="13" formatCode="0%"/>
    </dxf>
    <dxf>
      <numFmt numFmtId="0" formatCode="General"/>
    </dxf>
    <dxf>
      <numFmt numFmtId="0" formatCode="General"/>
    </dxf>
    <dxf>
      <numFmt numFmtId="13" formatCode="0%"/>
    </dxf>
    <dxf>
      <numFmt numFmtId="13" formatCode="0%"/>
    </dxf>
    <dxf>
      <numFmt numFmtId="0" formatCode="General"/>
    </dxf>
    <dxf>
      <numFmt numFmtId="0" formatCode="General"/>
    </dxf>
    <dxf>
      <numFmt numFmtId="0" formatCode="General"/>
    </dxf>
    <dxf>
      <border diagonalUp="0" diagonalDown="0">
        <left style="thin">
          <color rgb="FF000000"/>
        </left>
        <right/>
        <top style="thin">
          <color rgb="FF000000"/>
        </top>
        <bottom/>
        <vertical/>
        <horizontal/>
      </border>
    </dxf>
    <dxf>
      <border diagonalUp="0" diagonalDown="0">
        <left/>
        <right style="thin">
          <color rgb="FF000000"/>
        </right>
        <top style="thin">
          <color rgb="FF000000"/>
        </top>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
      <border diagonalUp="0" diagonalDown="0" outline="0">
        <left style="thin">
          <color rgb="FF000000"/>
        </left>
        <right style="thin">
          <color rgb="FF000000"/>
        </right>
        <top/>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8.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9.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0.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1.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2.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5.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6.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7.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8.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9.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MX"/>
              <a:t> Precio</a:t>
            </a:r>
            <a:r>
              <a:rPr lang="es-MX" baseline="0"/>
              <a:t> de cierre de Porsche AG</a:t>
            </a:r>
            <a:r>
              <a:rPr lang="es-MX"/>
              <a:t>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scatterChart>
        <c:scatterStyle val="smoothMarker"/>
        <c:varyColors val="0"/>
        <c:ser>
          <c:idx val="0"/>
          <c:order val="0"/>
          <c:tx>
            <c:strRef>
              <c:f>'Ejercicio 1 al 3'!$B$1</c:f>
              <c:strCache>
                <c:ptCount val="1"/>
                <c:pt idx="0">
                  <c:v> Cierre </c:v>
                </c:pt>
              </c:strCache>
            </c:strRef>
          </c:tx>
          <c:spPr>
            <a:ln w="9525" cap="rnd">
              <a:solidFill>
                <a:schemeClr val="accent1"/>
              </a:solidFill>
              <a:round/>
            </a:ln>
            <a:effectLst/>
          </c:spPr>
          <c:marker>
            <c:symbol val="none"/>
          </c:marker>
          <c:trendline>
            <c:spPr>
              <a:ln w="9525" cap="rnd">
                <a:solidFill>
                  <a:schemeClr val="accent1"/>
                </a:solidFill>
              </a:ln>
              <a:effectLst/>
            </c:spPr>
            <c:trendlineType val="linear"/>
            <c:dispRSqr val="0"/>
            <c:dispEq val="0"/>
          </c:trendline>
          <c:xVal>
            <c:strRef>
              <c:f>'Ejercicio 1 al 3'!$A$2:$A$508</c:f>
              <c:strCache>
                <c:ptCount val="507"/>
                <c:pt idx="0">
                  <c:v>13.03.2026</c:v>
                </c:pt>
                <c:pt idx="1">
                  <c:v>12.03.2026</c:v>
                </c:pt>
                <c:pt idx="2">
                  <c:v>11.03.2026</c:v>
                </c:pt>
                <c:pt idx="3">
                  <c:v>10.03.2026</c:v>
                </c:pt>
                <c:pt idx="4">
                  <c:v>09.03.2026</c:v>
                </c:pt>
                <c:pt idx="5">
                  <c:v>06.03.2026</c:v>
                </c:pt>
                <c:pt idx="6">
                  <c:v>05.03.2026</c:v>
                </c:pt>
                <c:pt idx="7">
                  <c:v>04.03.2026</c:v>
                </c:pt>
                <c:pt idx="8">
                  <c:v>03.03.2026</c:v>
                </c:pt>
                <c:pt idx="9">
                  <c:v>02.03.2026</c:v>
                </c:pt>
                <c:pt idx="10">
                  <c:v>27.02.2026</c:v>
                </c:pt>
                <c:pt idx="11">
                  <c:v>26.02.2026</c:v>
                </c:pt>
                <c:pt idx="12">
                  <c:v>25.02.2026</c:v>
                </c:pt>
                <c:pt idx="13">
                  <c:v>24.02.2026</c:v>
                </c:pt>
                <c:pt idx="14">
                  <c:v>23.02.2026</c:v>
                </c:pt>
                <c:pt idx="15">
                  <c:v>20.02.2026</c:v>
                </c:pt>
                <c:pt idx="16">
                  <c:v>19.02.2026</c:v>
                </c:pt>
                <c:pt idx="17">
                  <c:v>18.02.2026</c:v>
                </c:pt>
                <c:pt idx="18">
                  <c:v>17.02.2026</c:v>
                </c:pt>
                <c:pt idx="19">
                  <c:v>16.02.2026</c:v>
                </c:pt>
                <c:pt idx="20">
                  <c:v>13.02.2026</c:v>
                </c:pt>
                <c:pt idx="21">
                  <c:v>12.02.2026</c:v>
                </c:pt>
                <c:pt idx="22">
                  <c:v>11.02.2026</c:v>
                </c:pt>
                <c:pt idx="23">
                  <c:v>10.02.2026</c:v>
                </c:pt>
                <c:pt idx="24">
                  <c:v>09.02.2026</c:v>
                </c:pt>
                <c:pt idx="25">
                  <c:v>06.02.2026</c:v>
                </c:pt>
                <c:pt idx="26">
                  <c:v>05.02.2026</c:v>
                </c:pt>
                <c:pt idx="27">
                  <c:v>04.02.2026</c:v>
                </c:pt>
                <c:pt idx="28">
                  <c:v>03.02.2026</c:v>
                </c:pt>
                <c:pt idx="29">
                  <c:v>02.02.2026</c:v>
                </c:pt>
                <c:pt idx="30">
                  <c:v>30.01.2026</c:v>
                </c:pt>
                <c:pt idx="31">
                  <c:v>29.01.2026</c:v>
                </c:pt>
                <c:pt idx="32">
                  <c:v>28.01.2026</c:v>
                </c:pt>
                <c:pt idx="33">
                  <c:v>27.01.2026</c:v>
                </c:pt>
                <c:pt idx="34">
                  <c:v>26.01.2026</c:v>
                </c:pt>
                <c:pt idx="35">
                  <c:v>23.01.2026</c:v>
                </c:pt>
                <c:pt idx="36">
                  <c:v>22.01.2026</c:v>
                </c:pt>
                <c:pt idx="37">
                  <c:v>21.01.2026</c:v>
                </c:pt>
                <c:pt idx="38">
                  <c:v>20.01.2026</c:v>
                </c:pt>
                <c:pt idx="39">
                  <c:v>19.01.2026</c:v>
                </c:pt>
                <c:pt idx="40">
                  <c:v>16.01.2026</c:v>
                </c:pt>
                <c:pt idx="41">
                  <c:v>15.01.2026</c:v>
                </c:pt>
                <c:pt idx="42">
                  <c:v>14.01.2026</c:v>
                </c:pt>
                <c:pt idx="43">
                  <c:v>13.01.2026</c:v>
                </c:pt>
                <c:pt idx="44">
                  <c:v>12.01.2026</c:v>
                </c:pt>
                <c:pt idx="45">
                  <c:v>09.01.2026</c:v>
                </c:pt>
                <c:pt idx="46">
                  <c:v>08.01.2026</c:v>
                </c:pt>
                <c:pt idx="47">
                  <c:v>07.01.2026</c:v>
                </c:pt>
                <c:pt idx="48">
                  <c:v>06.01.2026</c:v>
                </c:pt>
                <c:pt idx="49">
                  <c:v>05.01.2026</c:v>
                </c:pt>
                <c:pt idx="50">
                  <c:v>02.01.2026</c:v>
                </c:pt>
                <c:pt idx="51">
                  <c:v>30.12.2025</c:v>
                </c:pt>
                <c:pt idx="52">
                  <c:v>29.12.2025</c:v>
                </c:pt>
                <c:pt idx="53">
                  <c:v>23.12.2025</c:v>
                </c:pt>
                <c:pt idx="54">
                  <c:v>22.12.2025</c:v>
                </c:pt>
                <c:pt idx="55">
                  <c:v>19.12.2025</c:v>
                </c:pt>
                <c:pt idx="56">
                  <c:v>18.12.2025</c:v>
                </c:pt>
                <c:pt idx="57">
                  <c:v>17.12.2025</c:v>
                </c:pt>
                <c:pt idx="58">
                  <c:v>16.12.2025</c:v>
                </c:pt>
                <c:pt idx="59">
                  <c:v>15.12.2025</c:v>
                </c:pt>
                <c:pt idx="60">
                  <c:v>12.12.2025</c:v>
                </c:pt>
                <c:pt idx="61">
                  <c:v>11.12.2025</c:v>
                </c:pt>
                <c:pt idx="62">
                  <c:v>10.12.2025</c:v>
                </c:pt>
                <c:pt idx="63">
                  <c:v>09.12.2025</c:v>
                </c:pt>
                <c:pt idx="64">
                  <c:v>08.12.2025</c:v>
                </c:pt>
                <c:pt idx="65">
                  <c:v>05.12.2025</c:v>
                </c:pt>
                <c:pt idx="66">
                  <c:v>04.12.2025</c:v>
                </c:pt>
                <c:pt idx="67">
                  <c:v>03.12.2025</c:v>
                </c:pt>
                <c:pt idx="68">
                  <c:v>02.12.2025</c:v>
                </c:pt>
                <c:pt idx="69">
                  <c:v>01.12.2025</c:v>
                </c:pt>
                <c:pt idx="70">
                  <c:v>28.11.2025</c:v>
                </c:pt>
                <c:pt idx="71">
                  <c:v>27.11.2025</c:v>
                </c:pt>
                <c:pt idx="72">
                  <c:v>26.11.2025</c:v>
                </c:pt>
                <c:pt idx="73">
                  <c:v>25.11.2025</c:v>
                </c:pt>
                <c:pt idx="74">
                  <c:v>24.11.2025</c:v>
                </c:pt>
                <c:pt idx="75">
                  <c:v>21.11.2025</c:v>
                </c:pt>
                <c:pt idx="76">
                  <c:v>20.11.2025</c:v>
                </c:pt>
                <c:pt idx="77">
                  <c:v>19.11.2025</c:v>
                </c:pt>
                <c:pt idx="78">
                  <c:v>18.11.2025</c:v>
                </c:pt>
                <c:pt idx="79">
                  <c:v>17.11.2025</c:v>
                </c:pt>
                <c:pt idx="80">
                  <c:v>14.11.2025</c:v>
                </c:pt>
                <c:pt idx="81">
                  <c:v>13.11.2025</c:v>
                </c:pt>
                <c:pt idx="82">
                  <c:v>12.11.2025</c:v>
                </c:pt>
                <c:pt idx="83">
                  <c:v>11.11.2025</c:v>
                </c:pt>
                <c:pt idx="84">
                  <c:v>10.11.2025</c:v>
                </c:pt>
                <c:pt idx="85">
                  <c:v>07.11.2025</c:v>
                </c:pt>
                <c:pt idx="86">
                  <c:v>06.11.2025</c:v>
                </c:pt>
                <c:pt idx="87">
                  <c:v>05.11.2025</c:v>
                </c:pt>
                <c:pt idx="88">
                  <c:v>04.11.2025</c:v>
                </c:pt>
                <c:pt idx="89">
                  <c:v>03.11.2025</c:v>
                </c:pt>
                <c:pt idx="90">
                  <c:v>31.10.2025</c:v>
                </c:pt>
                <c:pt idx="91">
                  <c:v>30.10.2025</c:v>
                </c:pt>
                <c:pt idx="92">
                  <c:v>29.10.2025</c:v>
                </c:pt>
                <c:pt idx="93">
                  <c:v>28.10.2025</c:v>
                </c:pt>
                <c:pt idx="94">
                  <c:v>27.10.2025</c:v>
                </c:pt>
                <c:pt idx="95">
                  <c:v>24.10.2025</c:v>
                </c:pt>
                <c:pt idx="96">
                  <c:v>23.10.2025</c:v>
                </c:pt>
                <c:pt idx="97">
                  <c:v>22.10.2025</c:v>
                </c:pt>
                <c:pt idx="98">
                  <c:v>21.10.2025</c:v>
                </c:pt>
                <c:pt idx="99">
                  <c:v>20.10.2025</c:v>
                </c:pt>
                <c:pt idx="100">
                  <c:v>17.10.2025</c:v>
                </c:pt>
                <c:pt idx="101">
                  <c:v>16.10.2025</c:v>
                </c:pt>
                <c:pt idx="102">
                  <c:v>15.10.2025</c:v>
                </c:pt>
                <c:pt idx="103">
                  <c:v>14.10.2025</c:v>
                </c:pt>
                <c:pt idx="104">
                  <c:v>13.10.2025</c:v>
                </c:pt>
                <c:pt idx="105">
                  <c:v>10.10.2025</c:v>
                </c:pt>
                <c:pt idx="106">
                  <c:v>09.10.2025</c:v>
                </c:pt>
                <c:pt idx="107">
                  <c:v>08.10.2025</c:v>
                </c:pt>
                <c:pt idx="108">
                  <c:v>07.10.2025</c:v>
                </c:pt>
                <c:pt idx="109">
                  <c:v>06.10.2025</c:v>
                </c:pt>
                <c:pt idx="110">
                  <c:v>03.10.2025</c:v>
                </c:pt>
                <c:pt idx="111">
                  <c:v>02.10.2025</c:v>
                </c:pt>
                <c:pt idx="112">
                  <c:v>01.10.2025</c:v>
                </c:pt>
                <c:pt idx="113">
                  <c:v>30.09.2025</c:v>
                </c:pt>
                <c:pt idx="114">
                  <c:v>29.09.2025</c:v>
                </c:pt>
                <c:pt idx="115">
                  <c:v>26.09.2025</c:v>
                </c:pt>
                <c:pt idx="116">
                  <c:v>25.09.2025</c:v>
                </c:pt>
                <c:pt idx="117">
                  <c:v>24.09.2025</c:v>
                </c:pt>
                <c:pt idx="118">
                  <c:v>23.09.2025</c:v>
                </c:pt>
                <c:pt idx="119">
                  <c:v>22.09.2025</c:v>
                </c:pt>
                <c:pt idx="120">
                  <c:v>19.09.2025</c:v>
                </c:pt>
                <c:pt idx="121">
                  <c:v>18.09.2025</c:v>
                </c:pt>
                <c:pt idx="122">
                  <c:v>17.09.2025</c:v>
                </c:pt>
                <c:pt idx="123">
                  <c:v>16.09.2025</c:v>
                </c:pt>
                <c:pt idx="124">
                  <c:v>15.09.2025</c:v>
                </c:pt>
                <c:pt idx="125">
                  <c:v>12.09.2025</c:v>
                </c:pt>
                <c:pt idx="126">
                  <c:v>11.09.2025</c:v>
                </c:pt>
                <c:pt idx="127">
                  <c:v>10.09.2025</c:v>
                </c:pt>
                <c:pt idx="128">
                  <c:v>09.09.2025</c:v>
                </c:pt>
                <c:pt idx="129">
                  <c:v>08.09.2025</c:v>
                </c:pt>
                <c:pt idx="130">
                  <c:v>05.09.2025</c:v>
                </c:pt>
                <c:pt idx="131">
                  <c:v>04.09.2025</c:v>
                </c:pt>
                <c:pt idx="132">
                  <c:v>03.09.2025</c:v>
                </c:pt>
                <c:pt idx="133">
                  <c:v>02.09.2025</c:v>
                </c:pt>
                <c:pt idx="134">
                  <c:v>01.09.2025</c:v>
                </c:pt>
                <c:pt idx="135">
                  <c:v>29.08.2025</c:v>
                </c:pt>
                <c:pt idx="136">
                  <c:v>28.08.2025</c:v>
                </c:pt>
                <c:pt idx="137">
                  <c:v>27.08.2025</c:v>
                </c:pt>
                <c:pt idx="138">
                  <c:v>26.08.2025</c:v>
                </c:pt>
                <c:pt idx="139">
                  <c:v>25.08.2025</c:v>
                </c:pt>
                <c:pt idx="140">
                  <c:v>22.08.2025</c:v>
                </c:pt>
                <c:pt idx="141">
                  <c:v>21.08.2025</c:v>
                </c:pt>
                <c:pt idx="142">
                  <c:v>20.08.2025</c:v>
                </c:pt>
                <c:pt idx="143">
                  <c:v>19.08.2025</c:v>
                </c:pt>
                <c:pt idx="144">
                  <c:v>18.08.2025</c:v>
                </c:pt>
                <c:pt idx="145">
                  <c:v>15.08.2025</c:v>
                </c:pt>
                <c:pt idx="146">
                  <c:v>14.08.2025</c:v>
                </c:pt>
                <c:pt idx="147">
                  <c:v>13.08.2025</c:v>
                </c:pt>
                <c:pt idx="148">
                  <c:v>12.08.2025</c:v>
                </c:pt>
                <c:pt idx="149">
                  <c:v>11.08.2025</c:v>
                </c:pt>
                <c:pt idx="150">
                  <c:v>08.08.2025</c:v>
                </c:pt>
                <c:pt idx="151">
                  <c:v>07.08.2025</c:v>
                </c:pt>
                <c:pt idx="152">
                  <c:v>06.08.2025</c:v>
                </c:pt>
                <c:pt idx="153">
                  <c:v>05.08.2025</c:v>
                </c:pt>
                <c:pt idx="154">
                  <c:v>04.08.2025</c:v>
                </c:pt>
                <c:pt idx="155">
                  <c:v>01.08.2025</c:v>
                </c:pt>
                <c:pt idx="156">
                  <c:v>31.07.2025</c:v>
                </c:pt>
                <c:pt idx="157">
                  <c:v>30.07.2025</c:v>
                </c:pt>
                <c:pt idx="158">
                  <c:v>29.07.2025</c:v>
                </c:pt>
                <c:pt idx="159">
                  <c:v>28.07.2025</c:v>
                </c:pt>
                <c:pt idx="160">
                  <c:v>25.07.2025</c:v>
                </c:pt>
                <c:pt idx="161">
                  <c:v>24.07.2025</c:v>
                </c:pt>
                <c:pt idx="162">
                  <c:v>23.07.2025</c:v>
                </c:pt>
                <c:pt idx="163">
                  <c:v>22.07.2025</c:v>
                </c:pt>
                <c:pt idx="164">
                  <c:v>21.07.2025</c:v>
                </c:pt>
                <c:pt idx="165">
                  <c:v>18.07.2025</c:v>
                </c:pt>
                <c:pt idx="166">
                  <c:v>17.07.2025</c:v>
                </c:pt>
                <c:pt idx="167">
                  <c:v>16.07.2025</c:v>
                </c:pt>
                <c:pt idx="168">
                  <c:v>15.07.2025</c:v>
                </c:pt>
                <c:pt idx="169">
                  <c:v>14.07.2025</c:v>
                </c:pt>
                <c:pt idx="170">
                  <c:v>11.07.2025</c:v>
                </c:pt>
                <c:pt idx="171">
                  <c:v>10.07.2025</c:v>
                </c:pt>
                <c:pt idx="172">
                  <c:v>09.07.2025</c:v>
                </c:pt>
                <c:pt idx="173">
                  <c:v>08.07.2025</c:v>
                </c:pt>
                <c:pt idx="174">
                  <c:v>07.07.2025</c:v>
                </c:pt>
                <c:pt idx="175">
                  <c:v>04.07.2025</c:v>
                </c:pt>
                <c:pt idx="176">
                  <c:v>03.07.2025</c:v>
                </c:pt>
                <c:pt idx="177">
                  <c:v>02.07.2025</c:v>
                </c:pt>
                <c:pt idx="178">
                  <c:v>01.07.2025</c:v>
                </c:pt>
                <c:pt idx="179">
                  <c:v>30.06.2025</c:v>
                </c:pt>
                <c:pt idx="180">
                  <c:v>27.06.2025</c:v>
                </c:pt>
                <c:pt idx="181">
                  <c:v>26.06.2025</c:v>
                </c:pt>
                <c:pt idx="182">
                  <c:v>25.06.2025</c:v>
                </c:pt>
                <c:pt idx="183">
                  <c:v>24.06.2025</c:v>
                </c:pt>
                <c:pt idx="184">
                  <c:v>23.06.2025</c:v>
                </c:pt>
                <c:pt idx="185">
                  <c:v>20.06.2025</c:v>
                </c:pt>
                <c:pt idx="186">
                  <c:v>19.06.2025</c:v>
                </c:pt>
                <c:pt idx="187">
                  <c:v>18.06.2025</c:v>
                </c:pt>
                <c:pt idx="188">
                  <c:v>17.06.2025</c:v>
                </c:pt>
                <c:pt idx="189">
                  <c:v>16.06.2025</c:v>
                </c:pt>
                <c:pt idx="190">
                  <c:v>13.06.2025</c:v>
                </c:pt>
                <c:pt idx="191">
                  <c:v>12.06.2025</c:v>
                </c:pt>
                <c:pt idx="192">
                  <c:v>11.06.2025</c:v>
                </c:pt>
                <c:pt idx="193">
                  <c:v>10.06.2025</c:v>
                </c:pt>
                <c:pt idx="194">
                  <c:v>09.06.2025</c:v>
                </c:pt>
                <c:pt idx="195">
                  <c:v>06.06.2025</c:v>
                </c:pt>
                <c:pt idx="196">
                  <c:v>05.06.2025</c:v>
                </c:pt>
                <c:pt idx="197">
                  <c:v>04.06.2025</c:v>
                </c:pt>
                <c:pt idx="198">
                  <c:v>03.06.2025</c:v>
                </c:pt>
                <c:pt idx="199">
                  <c:v>02.06.2025</c:v>
                </c:pt>
                <c:pt idx="200">
                  <c:v>30.05.2025</c:v>
                </c:pt>
                <c:pt idx="201">
                  <c:v>29.05.2025</c:v>
                </c:pt>
                <c:pt idx="202">
                  <c:v>28.05.2025</c:v>
                </c:pt>
                <c:pt idx="203">
                  <c:v>27.05.2025</c:v>
                </c:pt>
                <c:pt idx="204">
                  <c:v>26.05.2025</c:v>
                </c:pt>
                <c:pt idx="205">
                  <c:v>23.05.2025</c:v>
                </c:pt>
                <c:pt idx="206">
                  <c:v>22.05.2025</c:v>
                </c:pt>
                <c:pt idx="207">
                  <c:v>21.05.2025</c:v>
                </c:pt>
                <c:pt idx="208">
                  <c:v>20.05.2025</c:v>
                </c:pt>
                <c:pt idx="209">
                  <c:v>19.05.2025</c:v>
                </c:pt>
                <c:pt idx="210">
                  <c:v>16.05.2025</c:v>
                </c:pt>
                <c:pt idx="211">
                  <c:v>15.05.2025</c:v>
                </c:pt>
                <c:pt idx="212">
                  <c:v>14.05.2025</c:v>
                </c:pt>
                <c:pt idx="213">
                  <c:v>13.05.2025</c:v>
                </c:pt>
                <c:pt idx="214">
                  <c:v>12.05.2025</c:v>
                </c:pt>
                <c:pt idx="215">
                  <c:v>09.05.2025</c:v>
                </c:pt>
                <c:pt idx="216">
                  <c:v>08.05.2025</c:v>
                </c:pt>
                <c:pt idx="217">
                  <c:v>07.05.2025</c:v>
                </c:pt>
                <c:pt idx="218">
                  <c:v>06.05.2025</c:v>
                </c:pt>
                <c:pt idx="219">
                  <c:v>05.05.2025</c:v>
                </c:pt>
                <c:pt idx="220">
                  <c:v>02.05.2025</c:v>
                </c:pt>
                <c:pt idx="221">
                  <c:v>30.04.2025</c:v>
                </c:pt>
                <c:pt idx="222">
                  <c:v>29.04.2025</c:v>
                </c:pt>
                <c:pt idx="223">
                  <c:v>28.04.2025</c:v>
                </c:pt>
                <c:pt idx="224">
                  <c:v>25.04.2025</c:v>
                </c:pt>
                <c:pt idx="225">
                  <c:v>24.04.2025</c:v>
                </c:pt>
                <c:pt idx="226">
                  <c:v>23.04.2025</c:v>
                </c:pt>
                <c:pt idx="227">
                  <c:v>22.04.2025</c:v>
                </c:pt>
                <c:pt idx="228">
                  <c:v>17.04.2025</c:v>
                </c:pt>
                <c:pt idx="229">
                  <c:v>16.04.2025</c:v>
                </c:pt>
                <c:pt idx="230">
                  <c:v>15.04.2025</c:v>
                </c:pt>
                <c:pt idx="231">
                  <c:v>14.04.2025</c:v>
                </c:pt>
                <c:pt idx="232">
                  <c:v>11.04.2025</c:v>
                </c:pt>
                <c:pt idx="233">
                  <c:v>10.04.2025</c:v>
                </c:pt>
                <c:pt idx="234">
                  <c:v>09.04.2025</c:v>
                </c:pt>
                <c:pt idx="235">
                  <c:v>08.04.2025</c:v>
                </c:pt>
                <c:pt idx="236">
                  <c:v>07.04.2025</c:v>
                </c:pt>
                <c:pt idx="237">
                  <c:v>04.04.2025</c:v>
                </c:pt>
                <c:pt idx="238">
                  <c:v>03.04.2025</c:v>
                </c:pt>
                <c:pt idx="239">
                  <c:v>02.04.2025</c:v>
                </c:pt>
                <c:pt idx="240">
                  <c:v>01.04.2025</c:v>
                </c:pt>
                <c:pt idx="241">
                  <c:v>31.03.2025</c:v>
                </c:pt>
                <c:pt idx="242">
                  <c:v>28.03.2025</c:v>
                </c:pt>
                <c:pt idx="243">
                  <c:v>27.03.2025</c:v>
                </c:pt>
                <c:pt idx="244">
                  <c:v>26.03.2025</c:v>
                </c:pt>
                <c:pt idx="245">
                  <c:v>25.03.2025</c:v>
                </c:pt>
                <c:pt idx="246">
                  <c:v>24.03.2025</c:v>
                </c:pt>
                <c:pt idx="247">
                  <c:v>21.03.2025</c:v>
                </c:pt>
                <c:pt idx="248">
                  <c:v>20.03.2025</c:v>
                </c:pt>
                <c:pt idx="249">
                  <c:v>19.03.2025</c:v>
                </c:pt>
                <c:pt idx="250">
                  <c:v>18.03.2025</c:v>
                </c:pt>
                <c:pt idx="251">
                  <c:v>17.03.2025</c:v>
                </c:pt>
                <c:pt idx="252">
                  <c:v>14.03.2025</c:v>
                </c:pt>
                <c:pt idx="253">
                  <c:v>13.03.2025</c:v>
                </c:pt>
                <c:pt idx="254">
                  <c:v>12.03.2025</c:v>
                </c:pt>
                <c:pt idx="255">
                  <c:v>11.03.2025</c:v>
                </c:pt>
                <c:pt idx="256">
                  <c:v>10.03.2025</c:v>
                </c:pt>
                <c:pt idx="257">
                  <c:v>07.03.2025</c:v>
                </c:pt>
                <c:pt idx="258">
                  <c:v>06.03.2025</c:v>
                </c:pt>
                <c:pt idx="259">
                  <c:v>05.03.2025</c:v>
                </c:pt>
                <c:pt idx="260">
                  <c:v>04.03.2025</c:v>
                </c:pt>
                <c:pt idx="261">
                  <c:v>03.03.2025</c:v>
                </c:pt>
                <c:pt idx="262">
                  <c:v>28.02.2025</c:v>
                </c:pt>
                <c:pt idx="263">
                  <c:v>27.02.2025</c:v>
                </c:pt>
                <c:pt idx="264">
                  <c:v>26.02.2025</c:v>
                </c:pt>
                <c:pt idx="265">
                  <c:v>25.02.2025</c:v>
                </c:pt>
                <c:pt idx="266">
                  <c:v>24.02.2025</c:v>
                </c:pt>
                <c:pt idx="267">
                  <c:v>21.02.2025</c:v>
                </c:pt>
                <c:pt idx="268">
                  <c:v>20.02.2025</c:v>
                </c:pt>
                <c:pt idx="269">
                  <c:v>19.02.2025</c:v>
                </c:pt>
                <c:pt idx="270">
                  <c:v>18.02.2025</c:v>
                </c:pt>
                <c:pt idx="271">
                  <c:v>17.02.2025</c:v>
                </c:pt>
                <c:pt idx="272">
                  <c:v>14.02.2025</c:v>
                </c:pt>
                <c:pt idx="273">
                  <c:v>13.02.2025</c:v>
                </c:pt>
                <c:pt idx="274">
                  <c:v>12.02.2025</c:v>
                </c:pt>
                <c:pt idx="275">
                  <c:v>11.02.2025</c:v>
                </c:pt>
                <c:pt idx="276">
                  <c:v>10.02.2025</c:v>
                </c:pt>
                <c:pt idx="277">
                  <c:v>07.02.2025</c:v>
                </c:pt>
                <c:pt idx="278">
                  <c:v>06.02.2025</c:v>
                </c:pt>
                <c:pt idx="279">
                  <c:v>05.02.2025</c:v>
                </c:pt>
                <c:pt idx="280">
                  <c:v>04.02.2025</c:v>
                </c:pt>
                <c:pt idx="281">
                  <c:v>03.02.2025</c:v>
                </c:pt>
                <c:pt idx="282">
                  <c:v>31.01.2025</c:v>
                </c:pt>
                <c:pt idx="283">
                  <c:v>30.01.2025</c:v>
                </c:pt>
                <c:pt idx="284">
                  <c:v>29.01.2025</c:v>
                </c:pt>
                <c:pt idx="285">
                  <c:v>28.01.2025</c:v>
                </c:pt>
                <c:pt idx="286">
                  <c:v>27.01.2025</c:v>
                </c:pt>
                <c:pt idx="287">
                  <c:v>24.01.2025</c:v>
                </c:pt>
                <c:pt idx="288">
                  <c:v>23.01.2025</c:v>
                </c:pt>
                <c:pt idx="289">
                  <c:v>22.01.2025</c:v>
                </c:pt>
                <c:pt idx="290">
                  <c:v>21.01.2025</c:v>
                </c:pt>
                <c:pt idx="291">
                  <c:v>20.01.2025</c:v>
                </c:pt>
                <c:pt idx="292">
                  <c:v>17.01.2025</c:v>
                </c:pt>
                <c:pt idx="293">
                  <c:v>16.01.2025</c:v>
                </c:pt>
                <c:pt idx="294">
                  <c:v>15.01.2025</c:v>
                </c:pt>
                <c:pt idx="295">
                  <c:v>14.01.2025</c:v>
                </c:pt>
                <c:pt idx="296">
                  <c:v>13.01.2025</c:v>
                </c:pt>
                <c:pt idx="297">
                  <c:v>10.01.2025</c:v>
                </c:pt>
                <c:pt idx="298">
                  <c:v>09.01.2025</c:v>
                </c:pt>
                <c:pt idx="299">
                  <c:v>08.01.2025</c:v>
                </c:pt>
                <c:pt idx="300">
                  <c:v>07.01.2025</c:v>
                </c:pt>
                <c:pt idx="301">
                  <c:v>06.01.2025</c:v>
                </c:pt>
                <c:pt idx="302">
                  <c:v>03.01.2025</c:v>
                </c:pt>
                <c:pt idx="303">
                  <c:v>02.01.2025</c:v>
                </c:pt>
                <c:pt idx="304">
                  <c:v>30.12.2024</c:v>
                </c:pt>
                <c:pt idx="305">
                  <c:v>27.12.2024</c:v>
                </c:pt>
                <c:pt idx="306">
                  <c:v>23.12.2024</c:v>
                </c:pt>
                <c:pt idx="307">
                  <c:v>20.12.2024</c:v>
                </c:pt>
                <c:pt idx="308">
                  <c:v>19.12.2024</c:v>
                </c:pt>
                <c:pt idx="309">
                  <c:v>18.12.2024</c:v>
                </c:pt>
                <c:pt idx="310">
                  <c:v>17.12.2024</c:v>
                </c:pt>
                <c:pt idx="311">
                  <c:v>16.12.2024</c:v>
                </c:pt>
                <c:pt idx="312">
                  <c:v>13.12.2024</c:v>
                </c:pt>
                <c:pt idx="313">
                  <c:v>12.12.2024</c:v>
                </c:pt>
                <c:pt idx="314">
                  <c:v>11.12.2024</c:v>
                </c:pt>
                <c:pt idx="315">
                  <c:v>10.12.2024</c:v>
                </c:pt>
                <c:pt idx="316">
                  <c:v>09.12.2024</c:v>
                </c:pt>
                <c:pt idx="317">
                  <c:v>06.12.2024</c:v>
                </c:pt>
                <c:pt idx="318">
                  <c:v>05.12.2024</c:v>
                </c:pt>
                <c:pt idx="319">
                  <c:v>04.12.2024</c:v>
                </c:pt>
                <c:pt idx="320">
                  <c:v>03.12.2024</c:v>
                </c:pt>
                <c:pt idx="321">
                  <c:v>02.12.2024</c:v>
                </c:pt>
                <c:pt idx="322">
                  <c:v>29.11.2024</c:v>
                </c:pt>
                <c:pt idx="323">
                  <c:v>28.11.2024</c:v>
                </c:pt>
                <c:pt idx="324">
                  <c:v>27.11.2024</c:v>
                </c:pt>
                <c:pt idx="325">
                  <c:v>26.11.2024</c:v>
                </c:pt>
                <c:pt idx="326">
                  <c:v>25.11.2024</c:v>
                </c:pt>
                <c:pt idx="327">
                  <c:v>22.11.2024</c:v>
                </c:pt>
                <c:pt idx="328">
                  <c:v>21.11.2024</c:v>
                </c:pt>
                <c:pt idx="329">
                  <c:v>20.11.2024</c:v>
                </c:pt>
                <c:pt idx="330">
                  <c:v>19.11.2024</c:v>
                </c:pt>
                <c:pt idx="331">
                  <c:v>18.11.2024</c:v>
                </c:pt>
                <c:pt idx="332">
                  <c:v>15.11.2024</c:v>
                </c:pt>
                <c:pt idx="333">
                  <c:v>14.11.2024</c:v>
                </c:pt>
                <c:pt idx="334">
                  <c:v>13.11.2024</c:v>
                </c:pt>
                <c:pt idx="335">
                  <c:v>12.11.2024</c:v>
                </c:pt>
                <c:pt idx="336">
                  <c:v>11.11.2024</c:v>
                </c:pt>
                <c:pt idx="337">
                  <c:v>08.11.2024</c:v>
                </c:pt>
                <c:pt idx="338">
                  <c:v>07.11.2024</c:v>
                </c:pt>
                <c:pt idx="339">
                  <c:v>06.11.2024</c:v>
                </c:pt>
                <c:pt idx="340">
                  <c:v>05.11.2024</c:v>
                </c:pt>
                <c:pt idx="341">
                  <c:v>04.11.2024</c:v>
                </c:pt>
                <c:pt idx="342">
                  <c:v>01.11.2024</c:v>
                </c:pt>
                <c:pt idx="343">
                  <c:v>31.10.2024</c:v>
                </c:pt>
                <c:pt idx="344">
                  <c:v>30.10.2024</c:v>
                </c:pt>
                <c:pt idx="345">
                  <c:v>29.10.2024</c:v>
                </c:pt>
                <c:pt idx="346">
                  <c:v>28.10.2024</c:v>
                </c:pt>
                <c:pt idx="347">
                  <c:v>25.10.2024</c:v>
                </c:pt>
                <c:pt idx="348">
                  <c:v>24.10.2024</c:v>
                </c:pt>
                <c:pt idx="349">
                  <c:v>23.10.2024</c:v>
                </c:pt>
                <c:pt idx="350">
                  <c:v>22.10.2024</c:v>
                </c:pt>
                <c:pt idx="351">
                  <c:v>21.10.2024</c:v>
                </c:pt>
                <c:pt idx="352">
                  <c:v>18.10.2024</c:v>
                </c:pt>
                <c:pt idx="353">
                  <c:v>17.10.2024</c:v>
                </c:pt>
                <c:pt idx="354">
                  <c:v>16.10.2024</c:v>
                </c:pt>
                <c:pt idx="355">
                  <c:v>15.10.2024</c:v>
                </c:pt>
                <c:pt idx="356">
                  <c:v>14.10.2024</c:v>
                </c:pt>
                <c:pt idx="357">
                  <c:v>11.10.2024</c:v>
                </c:pt>
                <c:pt idx="358">
                  <c:v>10.10.2024</c:v>
                </c:pt>
                <c:pt idx="359">
                  <c:v>09.10.2024</c:v>
                </c:pt>
                <c:pt idx="360">
                  <c:v>08.10.2024</c:v>
                </c:pt>
                <c:pt idx="361">
                  <c:v>07.10.2024</c:v>
                </c:pt>
                <c:pt idx="362">
                  <c:v>04.10.2024</c:v>
                </c:pt>
                <c:pt idx="363">
                  <c:v>03.10.2024</c:v>
                </c:pt>
                <c:pt idx="364">
                  <c:v>02.10.2024</c:v>
                </c:pt>
                <c:pt idx="365">
                  <c:v>01.10.2024</c:v>
                </c:pt>
                <c:pt idx="366">
                  <c:v>30.09.2024</c:v>
                </c:pt>
                <c:pt idx="367">
                  <c:v>27.09.2024</c:v>
                </c:pt>
                <c:pt idx="368">
                  <c:v>26.09.2024</c:v>
                </c:pt>
                <c:pt idx="369">
                  <c:v>25.09.2024</c:v>
                </c:pt>
                <c:pt idx="370">
                  <c:v>24.09.2024</c:v>
                </c:pt>
                <c:pt idx="371">
                  <c:v>23.09.2024</c:v>
                </c:pt>
                <c:pt idx="372">
                  <c:v>20.09.2024</c:v>
                </c:pt>
                <c:pt idx="373">
                  <c:v>19.09.2024</c:v>
                </c:pt>
                <c:pt idx="374">
                  <c:v>18.09.2024</c:v>
                </c:pt>
                <c:pt idx="375">
                  <c:v>17.09.2024</c:v>
                </c:pt>
                <c:pt idx="376">
                  <c:v>16.09.2024</c:v>
                </c:pt>
                <c:pt idx="377">
                  <c:v>13.09.2024</c:v>
                </c:pt>
                <c:pt idx="378">
                  <c:v>12.09.2024</c:v>
                </c:pt>
                <c:pt idx="379">
                  <c:v>11.09.2024</c:v>
                </c:pt>
                <c:pt idx="380">
                  <c:v>10.09.2024</c:v>
                </c:pt>
                <c:pt idx="381">
                  <c:v>09.09.2024</c:v>
                </c:pt>
                <c:pt idx="382">
                  <c:v>06.09.2024</c:v>
                </c:pt>
                <c:pt idx="383">
                  <c:v>05.09.2024</c:v>
                </c:pt>
                <c:pt idx="384">
                  <c:v>04.09.2024</c:v>
                </c:pt>
                <c:pt idx="385">
                  <c:v>03.09.2024</c:v>
                </c:pt>
                <c:pt idx="386">
                  <c:v>02.09.2024</c:v>
                </c:pt>
                <c:pt idx="387">
                  <c:v>30.08.2024</c:v>
                </c:pt>
                <c:pt idx="388">
                  <c:v>29.08.2024</c:v>
                </c:pt>
                <c:pt idx="389">
                  <c:v>28.08.2024</c:v>
                </c:pt>
                <c:pt idx="390">
                  <c:v>27.08.2024</c:v>
                </c:pt>
                <c:pt idx="391">
                  <c:v>26.08.2024</c:v>
                </c:pt>
                <c:pt idx="392">
                  <c:v>23.08.2024</c:v>
                </c:pt>
                <c:pt idx="393">
                  <c:v>22.08.2024</c:v>
                </c:pt>
                <c:pt idx="394">
                  <c:v>21.08.2024</c:v>
                </c:pt>
                <c:pt idx="395">
                  <c:v>20.08.2024</c:v>
                </c:pt>
                <c:pt idx="396">
                  <c:v>19.08.2024</c:v>
                </c:pt>
                <c:pt idx="397">
                  <c:v>16.08.2024</c:v>
                </c:pt>
                <c:pt idx="398">
                  <c:v>15.08.2024</c:v>
                </c:pt>
                <c:pt idx="399">
                  <c:v>14.08.2024</c:v>
                </c:pt>
                <c:pt idx="400">
                  <c:v>13.08.2024</c:v>
                </c:pt>
                <c:pt idx="401">
                  <c:v>12.08.2024</c:v>
                </c:pt>
                <c:pt idx="402">
                  <c:v>09.08.2024</c:v>
                </c:pt>
                <c:pt idx="403">
                  <c:v>08.08.2024</c:v>
                </c:pt>
                <c:pt idx="404">
                  <c:v>07.08.2024</c:v>
                </c:pt>
                <c:pt idx="405">
                  <c:v>06.08.2024</c:v>
                </c:pt>
                <c:pt idx="406">
                  <c:v>05.08.2024</c:v>
                </c:pt>
                <c:pt idx="407">
                  <c:v>02.08.2024</c:v>
                </c:pt>
                <c:pt idx="408">
                  <c:v>01.08.2024</c:v>
                </c:pt>
                <c:pt idx="409">
                  <c:v>31.07.2024</c:v>
                </c:pt>
                <c:pt idx="410">
                  <c:v>30.07.2024</c:v>
                </c:pt>
                <c:pt idx="411">
                  <c:v>29.07.2024</c:v>
                </c:pt>
                <c:pt idx="412">
                  <c:v>26.07.2024</c:v>
                </c:pt>
                <c:pt idx="413">
                  <c:v>25.07.2024</c:v>
                </c:pt>
                <c:pt idx="414">
                  <c:v>24.07.2024</c:v>
                </c:pt>
                <c:pt idx="415">
                  <c:v>23.07.2024</c:v>
                </c:pt>
                <c:pt idx="416">
                  <c:v>22.07.2024</c:v>
                </c:pt>
                <c:pt idx="417">
                  <c:v>19.07.2024</c:v>
                </c:pt>
                <c:pt idx="418">
                  <c:v>18.07.2024</c:v>
                </c:pt>
                <c:pt idx="419">
                  <c:v>17.07.2024</c:v>
                </c:pt>
                <c:pt idx="420">
                  <c:v>16.07.2024</c:v>
                </c:pt>
                <c:pt idx="421">
                  <c:v>15.07.2024</c:v>
                </c:pt>
                <c:pt idx="422">
                  <c:v>12.07.2024</c:v>
                </c:pt>
                <c:pt idx="423">
                  <c:v>11.07.2024</c:v>
                </c:pt>
                <c:pt idx="424">
                  <c:v>10.07.2024</c:v>
                </c:pt>
                <c:pt idx="425">
                  <c:v>09.07.2024</c:v>
                </c:pt>
                <c:pt idx="426">
                  <c:v>08.07.2024</c:v>
                </c:pt>
                <c:pt idx="427">
                  <c:v>05.07.2024</c:v>
                </c:pt>
                <c:pt idx="428">
                  <c:v>04.07.2024</c:v>
                </c:pt>
                <c:pt idx="429">
                  <c:v>03.07.2024</c:v>
                </c:pt>
                <c:pt idx="430">
                  <c:v>02.07.2024</c:v>
                </c:pt>
                <c:pt idx="431">
                  <c:v>01.07.2024</c:v>
                </c:pt>
                <c:pt idx="432">
                  <c:v>28.06.2024</c:v>
                </c:pt>
                <c:pt idx="433">
                  <c:v>27.06.2024</c:v>
                </c:pt>
                <c:pt idx="434">
                  <c:v>26.06.2024</c:v>
                </c:pt>
                <c:pt idx="435">
                  <c:v>25.06.2024</c:v>
                </c:pt>
                <c:pt idx="436">
                  <c:v>24.06.2024</c:v>
                </c:pt>
                <c:pt idx="437">
                  <c:v>21.06.2024</c:v>
                </c:pt>
                <c:pt idx="438">
                  <c:v>20.06.2024</c:v>
                </c:pt>
                <c:pt idx="439">
                  <c:v>19.06.2024</c:v>
                </c:pt>
                <c:pt idx="440">
                  <c:v>18.06.2024</c:v>
                </c:pt>
                <c:pt idx="441">
                  <c:v>17.06.2024</c:v>
                </c:pt>
                <c:pt idx="442">
                  <c:v>14.06.2024</c:v>
                </c:pt>
                <c:pt idx="443">
                  <c:v>13.06.2024</c:v>
                </c:pt>
                <c:pt idx="444">
                  <c:v>12.06.2024</c:v>
                </c:pt>
                <c:pt idx="445">
                  <c:v>11.06.2024</c:v>
                </c:pt>
                <c:pt idx="446">
                  <c:v>10.06.2024</c:v>
                </c:pt>
                <c:pt idx="447">
                  <c:v>07.06.2024</c:v>
                </c:pt>
                <c:pt idx="448">
                  <c:v>06.06.2024</c:v>
                </c:pt>
                <c:pt idx="449">
                  <c:v>05.06.2024</c:v>
                </c:pt>
                <c:pt idx="450">
                  <c:v>04.06.2024</c:v>
                </c:pt>
                <c:pt idx="451">
                  <c:v>03.06.2024</c:v>
                </c:pt>
                <c:pt idx="452">
                  <c:v>31.05.2024</c:v>
                </c:pt>
                <c:pt idx="453">
                  <c:v>30.05.2024</c:v>
                </c:pt>
                <c:pt idx="454">
                  <c:v>29.05.2024</c:v>
                </c:pt>
                <c:pt idx="455">
                  <c:v>28.05.2024</c:v>
                </c:pt>
                <c:pt idx="456">
                  <c:v>27.05.2024</c:v>
                </c:pt>
                <c:pt idx="457">
                  <c:v>24.05.2024</c:v>
                </c:pt>
                <c:pt idx="458">
                  <c:v>23.05.2024</c:v>
                </c:pt>
                <c:pt idx="459">
                  <c:v>22.05.2024</c:v>
                </c:pt>
                <c:pt idx="460">
                  <c:v>21.05.2024</c:v>
                </c:pt>
                <c:pt idx="461">
                  <c:v>20.05.2024</c:v>
                </c:pt>
                <c:pt idx="462">
                  <c:v>17.05.2024</c:v>
                </c:pt>
                <c:pt idx="463">
                  <c:v>16.05.2024</c:v>
                </c:pt>
                <c:pt idx="464">
                  <c:v>15.05.2024</c:v>
                </c:pt>
                <c:pt idx="465">
                  <c:v>14.05.2024</c:v>
                </c:pt>
                <c:pt idx="466">
                  <c:v>13.05.2024</c:v>
                </c:pt>
                <c:pt idx="467">
                  <c:v>10.05.2024</c:v>
                </c:pt>
                <c:pt idx="468">
                  <c:v>09.05.2024</c:v>
                </c:pt>
                <c:pt idx="469">
                  <c:v>08.05.2024</c:v>
                </c:pt>
                <c:pt idx="470">
                  <c:v>07.05.2024</c:v>
                </c:pt>
                <c:pt idx="471">
                  <c:v>06.05.2024</c:v>
                </c:pt>
                <c:pt idx="472">
                  <c:v>03.05.2024</c:v>
                </c:pt>
                <c:pt idx="473">
                  <c:v>02.05.2024</c:v>
                </c:pt>
                <c:pt idx="474">
                  <c:v>30.04.2024</c:v>
                </c:pt>
                <c:pt idx="475">
                  <c:v>29.04.2024</c:v>
                </c:pt>
                <c:pt idx="476">
                  <c:v>26.04.2024</c:v>
                </c:pt>
                <c:pt idx="477">
                  <c:v>25.04.2024</c:v>
                </c:pt>
                <c:pt idx="478">
                  <c:v>24.04.2024</c:v>
                </c:pt>
                <c:pt idx="479">
                  <c:v>23.04.2024</c:v>
                </c:pt>
                <c:pt idx="480">
                  <c:v>22.04.2024</c:v>
                </c:pt>
                <c:pt idx="481">
                  <c:v>19.04.2024</c:v>
                </c:pt>
                <c:pt idx="482">
                  <c:v>18.04.2024</c:v>
                </c:pt>
                <c:pt idx="483">
                  <c:v>17.04.2024</c:v>
                </c:pt>
                <c:pt idx="484">
                  <c:v>16.04.2024</c:v>
                </c:pt>
                <c:pt idx="485">
                  <c:v>15.04.2024</c:v>
                </c:pt>
                <c:pt idx="486">
                  <c:v>12.04.2024</c:v>
                </c:pt>
                <c:pt idx="487">
                  <c:v>11.04.2024</c:v>
                </c:pt>
                <c:pt idx="488">
                  <c:v>10.04.2024</c:v>
                </c:pt>
                <c:pt idx="489">
                  <c:v>09.04.2024</c:v>
                </c:pt>
                <c:pt idx="490">
                  <c:v>08.04.2024</c:v>
                </c:pt>
                <c:pt idx="491">
                  <c:v>05.04.2024</c:v>
                </c:pt>
                <c:pt idx="492">
                  <c:v>04.04.2024</c:v>
                </c:pt>
                <c:pt idx="493">
                  <c:v>03.04.2024</c:v>
                </c:pt>
                <c:pt idx="494">
                  <c:v>02.04.2024</c:v>
                </c:pt>
                <c:pt idx="495">
                  <c:v>28.03.2024</c:v>
                </c:pt>
                <c:pt idx="496">
                  <c:v>27.03.2024</c:v>
                </c:pt>
                <c:pt idx="497">
                  <c:v>26.03.2024</c:v>
                </c:pt>
                <c:pt idx="498">
                  <c:v>25.03.2024</c:v>
                </c:pt>
                <c:pt idx="499">
                  <c:v>22.03.2024</c:v>
                </c:pt>
                <c:pt idx="500">
                  <c:v>21.03.2024</c:v>
                </c:pt>
                <c:pt idx="501">
                  <c:v>20.03.2024</c:v>
                </c:pt>
                <c:pt idx="502">
                  <c:v>19.03.2024</c:v>
                </c:pt>
                <c:pt idx="503">
                  <c:v>18.03.2024</c:v>
                </c:pt>
                <c:pt idx="504">
                  <c:v>15.03.2024</c:v>
                </c:pt>
                <c:pt idx="505">
                  <c:v>14.03.2024</c:v>
                </c:pt>
                <c:pt idx="506">
                  <c:v>13.03.2024</c:v>
                </c:pt>
              </c:strCache>
            </c:strRef>
          </c:xVal>
          <c:yVal>
            <c:numRef>
              <c:f>'Ejercicio 1 al 3'!$B$2:$B$508</c:f>
              <c:numCache>
                <c:formatCode>_-"$"* #,##0.00_-;\-"$"* #,##0.00_-;_-"$"* "-"??_-;_-@_-</c:formatCode>
                <c:ptCount val="507"/>
                <c:pt idx="0">
                  <c:v>32.31</c:v>
                </c:pt>
                <c:pt idx="1">
                  <c:v>32.96</c:v>
                </c:pt>
                <c:pt idx="2">
                  <c:v>33.380000000000003</c:v>
                </c:pt>
                <c:pt idx="3">
                  <c:v>33.380000000000003</c:v>
                </c:pt>
                <c:pt idx="4">
                  <c:v>32.47</c:v>
                </c:pt>
                <c:pt idx="5">
                  <c:v>33.520000000000003</c:v>
                </c:pt>
                <c:pt idx="6">
                  <c:v>34.090000000000003</c:v>
                </c:pt>
                <c:pt idx="7">
                  <c:v>34.200000000000003</c:v>
                </c:pt>
                <c:pt idx="8">
                  <c:v>33.880000000000003</c:v>
                </c:pt>
                <c:pt idx="9">
                  <c:v>34.97</c:v>
                </c:pt>
                <c:pt idx="10">
                  <c:v>36.03</c:v>
                </c:pt>
                <c:pt idx="11">
                  <c:v>36.29</c:v>
                </c:pt>
                <c:pt idx="12">
                  <c:v>35.94</c:v>
                </c:pt>
                <c:pt idx="13">
                  <c:v>36.229999999999997</c:v>
                </c:pt>
                <c:pt idx="14">
                  <c:v>35.96</c:v>
                </c:pt>
                <c:pt idx="15">
                  <c:v>36.81</c:v>
                </c:pt>
                <c:pt idx="16">
                  <c:v>35.97</c:v>
                </c:pt>
                <c:pt idx="17">
                  <c:v>36.21</c:v>
                </c:pt>
                <c:pt idx="18">
                  <c:v>35.76</c:v>
                </c:pt>
                <c:pt idx="19">
                  <c:v>35.56</c:v>
                </c:pt>
                <c:pt idx="20">
                  <c:v>35.869999999999997</c:v>
                </c:pt>
                <c:pt idx="21">
                  <c:v>35.81</c:v>
                </c:pt>
                <c:pt idx="22">
                  <c:v>35.840000000000003</c:v>
                </c:pt>
                <c:pt idx="23">
                  <c:v>35.85</c:v>
                </c:pt>
                <c:pt idx="24">
                  <c:v>35.229999999999997</c:v>
                </c:pt>
                <c:pt idx="25">
                  <c:v>35.26</c:v>
                </c:pt>
                <c:pt idx="26">
                  <c:v>35.6</c:v>
                </c:pt>
                <c:pt idx="27">
                  <c:v>36.5</c:v>
                </c:pt>
                <c:pt idx="28">
                  <c:v>35.78</c:v>
                </c:pt>
                <c:pt idx="29">
                  <c:v>36.270000000000003</c:v>
                </c:pt>
                <c:pt idx="30">
                  <c:v>36.24</c:v>
                </c:pt>
                <c:pt idx="31">
                  <c:v>36.270000000000003</c:v>
                </c:pt>
                <c:pt idx="32">
                  <c:v>36.270000000000003</c:v>
                </c:pt>
                <c:pt idx="33">
                  <c:v>36.270000000000003</c:v>
                </c:pt>
                <c:pt idx="34">
                  <c:v>37.14</c:v>
                </c:pt>
                <c:pt idx="35">
                  <c:v>37.119999999999997</c:v>
                </c:pt>
                <c:pt idx="36">
                  <c:v>37.659999999999997</c:v>
                </c:pt>
                <c:pt idx="37">
                  <c:v>36.1</c:v>
                </c:pt>
                <c:pt idx="38">
                  <c:v>35.64</c:v>
                </c:pt>
                <c:pt idx="39">
                  <c:v>36.11</c:v>
                </c:pt>
                <c:pt idx="40">
                  <c:v>37.51</c:v>
                </c:pt>
                <c:pt idx="41">
                  <c:v>38.04</c:v>
                </c:pt>
                <c:pt idx="42">
                  <c:v>38.36</c:v>
                </c:pt>
                <c:pt idx="43">
                  <c:v>38.06</c:v>
                </c:pt>
                <c:pt idx="44">
                  <c:v>38.26</c:v>
                </c:pt>
                <c:pt idx="45">
                  <c:v>38.619999999999997</c:v>
                </c:pt>
                <c:pt idx="46">
                  <c:v>38.630000000000003</c:v>
                </c:pt>
                <c:pt idx="47">
                  <c:v>38.67</c:v>
                </c:pt>
                <c:pt idx="48">
                  <c:v>38.979999999999997</c:v>
                </c:pt>
                <c:pt idx="49">
                  <c:v>39.380000000000003</c:v>
                </c:pt>
                <c:pt idx="50">
                  <c:v>40.479999999999997</c:v>
                </c:pt>
                <c:pt idx="51">
                  <c:v>39.92</c:v>
                </c:pt>
                <c:pt idx="52">
                  <c:v>39.64</c:v>
                </c:pt>
                <c:pt idx="53">
                  <c:v>39.74</c:v>
                </c:pt>
                <c:pt idx="54">
                  <c:v>39.85</c:v>
                </c:pt>
                <c:pt idx="55">
                  <c:v>40</c:v>
                </c:pt>
                <c:pt idx="56">
                  <c:v>40.03</c:v>
                </c:pt>
                <c:pt idx="57">
                  <c:v>40.25</c:v>
                </c:pt>
                <c:pt idx="58">
                  <c:v>40.51</c:v>
                </c:pt>
                <c:pt idx="59">
                  <c:v>40.98</c:v>
                </c:pt>
                <c:pt idx="60">
                  <c:v>40.86</c:v>
                </c:pt>
                <c:pt idx="61">
                  <c:v>41.06</c:v>
                </c:pt>
                <c:pt idx="62">
                  <c:v>40.729999999999997</c:v>
                </c:pt>
                <c:pt idx="63">
                  <c:v>41.05</c:v>
                </c:pt>
                <c:pt idx="64">
                  <c:v>40.909999999999997</c:v>
                </c:pt>
                <c:pt idx="65">
                  <c:v>40.47</c:v>
                </c:pt>
                <c:pt idx="66">
                  <c:v>39.840000000000003</c:v>
                </c:pt>
                <c:pt idx="67">
                  <c:v>37.54</c:v>
                </c:pt>
                <c:pt idx="68">
                  <c:v>37.61</c:v>
                </c:pt>
                <c:pt idx="69">
                  <c:v>37.299999999999997</c:v>
                </c:pt>
                <c:pt idx="70">
                  <c:v>37.130000000000003</c:v>
                </c:pt>
                <c:pt idx="71">
                  <c:v>36.950000000000003</c:v>
                </c:pt>
                <c:pt idx="72">
                  <c:v>36.700000000000003</c:v>
                </c:pt>
                <c:pt idx="73">
                  <c:v>36.68</c:v>
                </c:pt>
                <c:pt idx="74">
                  <c:v>36.119999999999997</c:v>
                </c:pt>
                <c:pt idx="75">
                  <c:v>35.78</c:v>
                </c:pt>
                <c:pt idx="76">
                  <c:v>35.4</c:v>
                </c:pt>
                <c:pt idx="77">
                  <c:v>35.6</c:v>
                </c:pt>
                <c:pt idx="78">
                  <c:v>36.22</c:v>
                </c:pt>
                <c:pt idx="79">
                  <c:v>37.03</c:v>
                </c:pt>
                <c:pt idx="80">
                  <c:v>37.42</c:v>
                </c:pt>
                <c:pt idx="81">
                  <c:v>37.729999999999997</c:v>
                </c:pt>
                <c:pt idx="82">
                  <c:v>37.28</c:v>
                </c:pt>
                <c:pt idx="83">
                  <c:v>36.47</c:v>
                </c:pt>
                <c:pt idx="84">
                  <c:v>35.79</c:v>
                </c:pt>
                <c:pt idx="85">
                  <c:v>35.479999999999997</c:v>
                </c:pt>
                <c:pt idx="86">
                  <c:v>34.880000000000003</c:v>
                </c:pt>
                <c:pt idx="87">
                  <c:v>35.229999999999997</c:v>
                </c:pt>
                <c:pt idx="88">
                  <c:v>34.67</c:v>
                </c:pt>
                <c:pt idx="89">
                  <c:v>35.06</c:v>
                </c:pt>
                <c:pt idx="90">
                  <c:v>34.46</c:v>
                </c:pt>
                <c:pt idx="91">
                  <c:v>34.68</c:v>
                </c:pt>
                <c:pt idx="92">
                  <c:v>35.51</c:v>
                </c:pt>
                <c:pt idx="93">
                  <c:v>35.119999999999997</c:v>
                </c:pt>
                <c:pt idx="94">
                  <c:v>35.119999999999997</c:v>
                </c:pt>
                <c:pt idx="95">
                  <c:v>34.68</c:v>
                </c:pt>
                <c:pt idx="96">
                  <c:v>34.450000000000003</c:v>
                </c:pt>
                <c:pt idx="97">
                  <c:v>34.49</c:v>
                </c:pt>
                <c:pt idx="98">
                  <c:v>34.770000000000003</c:v>
                </c:pt>
                <c:pt idx="99">
                  <c:v>34.520000000000003</c:v>
                </c:pt>
                <c:pt idx="100">
                  <c:v>34.22</c:v>
                </c:pt>
                <c:pt idx="101">
                  <c:v>33.99</c:v>
                </c:pt>
                <c:pt idx="102">
                  <c:v>33.74</c:v>
                </c:pt>
                <c:pt idx="103">
                  <c:v>33.51</c:v>
                </c:pt>
                <c:pt idx="104">
                  <c:v>33.659999999999997</c:v>
                </c:pt>
                <c:pt idx="105">
                  <c:v>33.25</c:v>
                </c:pt>
                <c:pt idx="106">
                  <c:v>33.76</c:v>
                </c:pt>
                <c:pt idx="107">
                  <c:v>33.71</c:v>
                </c:pt>
                <c:pt idx="108">
                  <c:v>34.42</c:v>
                </c:pt>
                <c:pt idx="109">
                  <c:v>34.270000000000003</c:v>
                </c:pt>
                <c:pt idx="110">
                  <c:v>34.25</c:v>
                </c:pt>
                <c:pt idx="111">
                  <c:v>34.21</c:v>
                </c:pt>
                <c:pt idx="112">
                  <c:v>33.74</c:v>
                </c:pt>
                <c:pt idx="113">
                  <c:v>33.450000000000003</c:v>
                </c:pt>
                <c:pt idx="114">
                  <c:v>33.479999999999997</c:v>
                </c:pt>
                <c:pt idx="115">
                  <c:v>33.159999999999997</c:v>
                </c:pt>
                <c:pt idx="116">
                  <c:v>33.03</c:v>
                </c:pt>
                <c:pt idx="117">
                  <c:v>33.130000000000003</c:v>
                </c:pt>
                <c:pt idx="118">
                  <c:v>33.07</c:v>
                </c:pt>
                <c:pt idx="119">
                  <c:v>32.26</c:v>
                </c:pt>
                <c:pt idx="120">
                  <c:v>35.15</c:v>
                </c:pt>
                <c:pt idx="121">
                  <c:v>35.200000000000003</c:v>
                </c:pt>
                <c:pt idx="122">
                  <c:v>35.74</c:v>
                </c:pt>
                <c:pt idx="123">
                  <c:v>36.01</c:v>
                </c:pt>
                <c:pt idx="124">
                  <c:v>36.26</c:v>
                </c:pt>
                <c:pt idx="125">
                  <c:v>36.270000000000003</c:v>
                </c:pt>
                <c:pt idx="126">
                  <c:v>36.659999999999997</c:v>
                </c:pt>
                <c:pt idx="127">
                  <c:v>36.020000000000003</c:v>
                </c:pt>
                <c:pt idx="128">
                  <c:v>36.25</c:v>
                </c:pt>
                <c:pt idx="129">
                  <c:v>36.299999999999997</c:v>
                </c:pt>
                <c:pt idx="130">
                  <c:v>36.15</c:v>
                </c:pt>
                <c:pt idx="131">
                  <c:v>35.69</c:v>
                </c:pt>
                <c:pt idx="132">
                  <c:v>36.119999999999997</c:v>
                </c:pt>
                <c:pt idx="133">
                  <c:v>35.86</c:v>
                </c:pt>
                <c:pt idx="134">
                  <c:v>36.409999999999997</c:v>
                </c:pt>
                <c:pt idx="135">
                  <c:v>36.39</c:v>
                </c:pt>
                <c:pt idx="136">
                  <c:v>36.67</c:v>
                </c:pt>
                <c:pt idx="137">
                  <c:v>36.83</c:v>
                </c:pt>
                <c:pt idx="138">
                  <c:v>37.43</c:v>
                </c:pt>
                <c:pt idx="139">
                  <c:v>37.54</c:v>
                </c:pt>
                <c:pt idx="140">
                  <c:v>37.770000000000003</c:v>
                </c:pt>
                <c:pt idx="141">
                  <c:v>37.36</c:v>
                </c:pt>
                <c:pt idx="142">
                  <c:v>37.299999999999997</c:v>
                </c:pt>
                <c:pt idx="143">
                  <c:v>37.130000000000003</c:v>
                </c:pt>
                <c:pt idx="144">
                  <c:v>36.28</c:v>
                </c:pt>
                <c:pt idx="145">
                  <c:v>36.659999999999997</c:v>
                </c:pt>
                <c:pt idx="146">
                  <c:v>36.549999999999997</c:v>
                </c:pt>
                <c:pt idx="147">
                  <c:v>36.619999999999997</c:v>
                </c:pt>
                <c:pt idx="148">
                  <c:v>36.229999999999997</c:v>
                </c:pt>
                <c:pt idx="149">
                  <c:v>36.18</c:v>
                </c:pt>
                <c:pt idx="150">
                  <c:v>35.89</c:v>
                </c:pt>
                <c:pt idx="151">
                  <c:v>35.21</c:v>
                </c:pt>
                <c:pt idx="152">
                  <c:v>34.99</c:v>
                </c:pt>
                <c:pt idx="153">
                  <c:v>34.75</c:v>
                </c:pt>
                <c:pt idx="154">
                  <c:v>34.24</c:v>
                </c:pt>
                <c:pt idx="155">
                  <c:v>34.67</c:v>
                </c:pt>
                <c:pt idx="156">
                  <c:v>35.33</c:v>
                </c:pt>
                <c:pt idx="157">
                  <c:v>35.54</c:v>
                </c:pt>
                <c:pt idx="158">
                  <c:v>36.119999999999997</c:v>
                </c:pt>
                <c:pt idx="159">
                  <c:v>36.369999999999997</c:v>
                </c:pt>
                <c:pt idx="160">
                  <c:v>37.130000000000003</c:v>
                </c:pt>
                <c:pt idx="161">
                  <c:v>36.01</c:v>
                </c:pt>
                <c:pt idx="162">
                  <c:v>35.83</c:v>
                </c:pt>
                <c:pt idx="163">
                  <c:v>34.19</c:v>
                </c:pt>
                <c:pt idx="164">
                  <c:v>34.35</c:v>
                </c:pt>
                <c:pt idx="165">
                  <c:v>34.1</c:v>
                </c:pt>
                <c:pt idx="166">
                  <c:v>34.200000000000003</c:v>
                </c:pt>
                <c:pt idx="167">
                  <c:v>34.1</c:v>
                </c:pt>
                <c:pt idx="168">
                  <c:v>34.61</c:v>
                </c:pt>
                <c:pt idx="169">
                  <c:v>34.32</c:v>
                </c:pt>
                <c:pt idx="170">
                  <c:v>34.89</c:v>
                </c:pt>
                <c:pt idx="171">
                  <c:v>34.74</c:v>
                </c:pt>
                <c:pt idx="172">
                  <c:v>34.06</c:v>
                </c:pt>
                <c:pt idx="173">
                  <c:v>34.020000000000003</c:v>
                </c:pt>
                <c:pt idx="174">
                  <c:v>33.68</c:v>
                </c:pt>
                <c:pt idx="175">
                  <c:v>33.659999999999997</c:v>
                </c:pt>
                <c:pt idx="176">
                  <c:v>34.229999999999997</c:v>
                </c:pt>
                <c:pt idx="177">
                  <c:v>34.14</c:v>
                </c:pt>
                <c:pt idx="178">
                  <c:v>33.700000000000003</c:v>
                </c:pt>
                <c:pt idx="179">
                  <c:v>33.69</c:v>
                </c:pt>
                <c:pt idx="180">
                  <c:v>34.19</c:v>
                </c:pt>
                <c:pt idx="181">
                  <c:v>33.049999999999997</c:v>
                </c:pt>
                <c:pt idx="182">
                  <c:v>33.49</c:v>
                </c:pt>
                <c:pt idx="183">
                  <c:v>33.659999999999997</c:v>
                </c:pt>
                <c:pt idx="184">
                  <c:v>33.119999999999997</c:v>
                </c:pt>
                <c:pt idx="185">
                  <c:v>33.24</c:v>
                </c:pt>
                <c:pt idx="186">
                  <c:v>33.020000000000003</c:v>
                </c:pt>
                <c:pt idx="187">
                  <c:v>33.15</c:v>
                </c:pt>
                <c:pt idx="188">
                  <c:v>33.229999999999997</c:v>
                </c:pt>
                <c:pt idx="189">
                  <c:v>33.71</c:v>
                </c:pt>
                <c:pt idx="190">
                  <c:v>33.86</c:v>
                </c:pt>
                <c:pt idx="191">
                  <c:v>34.340000000000003</c:v>
                </c:pt>
                <c:pt idx="192">
                  <c:v>34.56</c:v>
                </c:pt>
                <c:pt idx="193">
                  <c:v>34.74</c:v>
                </c:pt>
                <c:pt idx="194">
                  <c:v>34.31</c:v>
                </c:pt>
                <c:pt idx="195">
                  <c:v>34.06</c:v>
                </c:pt>
                <c:pt idx="196">
                  <c:v>34.479999999999997</c:v>
                </c:pt>
                <c:pt idx="197">
                  <c:v>34.32</c:v>
                </c:pt>
                <c:pt idx="198">
                  <c:v>34.409999999999997</c:v>
                </c:pt>
                <c:pt idx="199">
                  <c:v>34.46</c:v>
                </c:pt>
                <c:pt idx="200">
                  <c:v>35.1</c:v>
                </c:pt>
                <c:pt idx="201">
                  <c:v>35.47</c:v>
                </c:pt>
                <c:pt idx="202">
                  <c:v>35.340000000000003</c:v>
                </c:pt>
                <c:pt idx="203">
                  <c:v>35.1</c:v>
                </c:pt>
                <c:pt idx="204">
                  <c:v>35.29</c:v>
                </c:pt>
                <c:pt idx="205">
                  <c:v>36.479999999999997</c:v>
                </c:pt>
                <c:pt idx="206">
                  <c:v>37.35</c:v>
                </c:pt>
                <c:pt idx="207">
                  <c:v>37.729999999999997</c:v>
                </c:pt>
                <c:pt idx="208">
                  <c:v>37.96</c:v>
                </c:pt>
                <c:pt idx="209">
                  <c:v>37.29</c:v>
                </c:pt>
                <c:pt idx="210">
                  <c:v>37.89</c:v>
                </c:pt>
                <c:pt idx="211">
                  <c:v>37.979999999999997</c:v>
                </c:pt>
                <c:pt idx="212">
                  <c:v>38.39</c:v>
                </c:pt>
                <c:pt idx="213">
                  <c:v>38.090000000000003</c:v>
                </c:pt>
                <c:pt idx="214">
                  <c:v>37.299999999999997</c:v>
                </c:pt>
                <c:pt idx="215">
                  <c:v>37.369999999999997</c:v>
                </c:pt>
                <c:pt idx="216">
                  <c:v>37.04</c:v>
                </c:pt>
                <c:pt idx="217">
                  <c:v>36.64</c:v>
                </c:pt>
                <c:pt idx="218">
                  <c:v>36.659999999999997</c:v>
                </c:pt>
                <c:pt idx="219">
                  <c:v>36.450000000000003</c:v>
                </c:pt>
                <c:pt idx="220">
                  <c:v>36.76</c:v>
                </c:pt>
                <c:pt idx="221">
                  <c:v>36.17</c:v>
                </c:pt>
                <c:pt idx="222">
                  <c:v>36.78</c:v>
                </c:pt>
                <c:pt idx="223">
                  <c:v>36.770000000000003</c:v>
                </c:pt>
                <c:pt idx="224">
                  <c:v>36.5</c:v>
                </c:pt>
                <c:pt idx="225">
                  <c:v>35.979999999999997</c:v>
                </c:pt>
                <c:pt idx="226">
                  <c:v>35.29</c:v>
                </c:pt>
                <c:pt idx="227">
                  <c:v>34.75</c:v>
                </c:pt>
                <c:pt idx="228">
                  <c:v>33.75</c:v>
                </c:pt>
                <c:pt idx="229">
                  <c:v>33.29</c:v>
                </c:pt>
                <c:pt idx="230">
                  <c:v>33.61</c:v>
                </c:pt>
                <c:pt idx="231">
                  <c:v>32.93</c:v>
                </c:pt>
                <c:pt idx="232">
                  <c:v>32.39</c:v>
                </c:pt>
                <c:pt idx="233">
                  <c:v>31.9</c:v>
                </c:pt>
                <c:pt idx="234">
                  <c:v>31.47</c:v>
                </c:pt>
                <c:pt idx="235">
                  <c:v>32.090000000000003</c:v>
                </c:pt>
                <c:pt idx="236">
                  <c:v>32.200000000000003</c:v>
                </c:pt>
                <c:pt idx="237">
                  <c:v>32.71</c:v>
                </c:pt>
                <c:pt idx="238">
                  <c:v>33.549999999999997</c:v>
                </c:pt>
                <c:pt idx="239">
                  <c:v>34.49</c:v>
                </c:pt>
                <c:pt idx="240">
                  <c:v>34.44</c:v>
                </c:pt>
                <c:pt idx="241">
                  <c:v>34.56</c:v>
                </c:pt>
                <c:pt idx="242">
                  <c:v>35.74</c:v>
                </c:pt>
                <c:pt idx="243">
                  <c:v>36.44</c:v>
                </c:pt>
                <c:pt idx="244">
                  <c:v>37.380000000000003</c:v>
                </c:pt>
                <c:pt idx="245">
                  <c:v>37.700000000000003</c:v>
                </c:pt>
                <c:pt idx="246">
                  <c:v>37.49</c:v>
                </c:pt>
                <c:pt idx="247">
                  <c:v>37.36</c:v>
                </c:pt>
                <c:pt idx="248">
                  <c:v>37.67</c:v>
                </c:pt>
                <c:pt idx="249">
                  <c:v>38.64</c:v>
                </c:pt>
                <c:pt idx="250">
                  <c:v>39.229999999999997</c:v>
                </c:pt>
                <c:pt idx="251">
                  <c:v>38.229999999999997</c:v>
                </c:pt>
                <c:pt idx="252">
                  <c:v>38.020000000000003</c:v>
                </c:pt>
                <c:pt idx="253">
                  <c:v>38.119999999999997</c:v>
                </c:pt>
                <c:pt idx="254">
                  <c:v>38.67</c:v>
                </c:pt>
                <c:pt idx="255">
                  <c:v>38.99</c:v>
                </c:pt>
                <c:pt idx="256">
                  <c:v>39.590000000000003</c:v>
                </c:pt>
                <c:pt idx="257">
                  <c:v>38.94</c:v>
                </c:pt>
                <c:pt idx="258">
                  <c:v>39.159999999999997</c:v>
                </c:pt>
                <c:pt idx="259">
                  <c:v>37.840000000000003</c:v>
                </c:pt>
                <c:pt idx="260">
                  <c:v>37.520000000000003</c:v>
                </c:pt>
                <c:pt idx="261">
                  <c:v>38.92</c:v>
                </c:pt>
                <c:pt idx="262">
                  <c:v>37.57</c:v>
                </c:pt>
                <c:pt idx="263">
                  <c:v>37.79</c:v>
                </c:pt>
                <c:pt idx="264">
                  <c:v>39.090000000000003</c:v>
                </c:pt>
                <c:pt idx="265">
                  <c:v>38.61</c:v>
                </c:pt>
                <c:pt idx="266">
                  <c:v>37.68</c:v>
                </c:pt>
                <c:pt idx="267">
                  <c:v>36.99</c:v>
                </c:pt>
                <c:pt idx="268">
                  <c:v>36.53</c:v>
                </c:pt>
                <c:pt idx="269">
                  <c:v>36.93</c:v>
                </c:pt>
                <c:pt idx="270">
                  <c:v>37.979999999999997</c:v>
                </c:pt>
                <c:pt idx="271">
                  <c:v>38.06</c:v>
                </c:pt>
                <c:pt idx="272">
                  <c:v>38.090000000000003</c:v>
                </c:pt>
                <c:pt idx="273">
                  <c:v>37.869999999999997</c:v>
                </c:pt>
                <c:pt idx="274">
                  <c:v>36.299999999999997</c:v>
                </c:pt>
                <c:pt idx="275">
                  <c:v>36.26</c:v>
                </c:pt>
                <c:pt idx="276">
                  <c:v>36.869999999999997</c:v>
                </c:pt>
                <c:pt idx="277">
                  <c:v>36.659999999999997</c:v>
                </c:pt>
                <c:pt idx="278">
                  <c:v>37.409999999999997</c:v>
                </c:pt>
                <c:pt idx="279">
                  <c:v>36.93</c:v>
                </c:pt>
                <c:pt idx="280">
                  <c:v>37.44</c:v>
                </c:pt>
                <c:pt idx="281">
                  <c:v>37.56</c:v>
                </c:pt>
                <c:pt idx="282">
                  <c:v>38.200000000000003</c:v>
                </c:pt>
                <c:pt idx="283">
                  <c:v>37.9</c:v>
                </c:pt>
                <c:pt idx="284">
                  <c:v>37.520000000000003</c:v>
                </c:pt>
                <c:pt idx="285">
                  <c:v>37.68</c:v>
                </c:pt>
                <c:pt idx="286">
                  <c:v>37.619999999999997</c:v>
                </c:pt>
                <c:pt idx="287">
                  <c:v>37.31</c:v>
                </c:pt>
                <c:pt idx="288">
                  <c:v>37</c:v>
                </c:pt>
                <c:pt idx="289">
                  <c:v>36.909999999999997</c:v>
                </c:pt>
                <c:pt idx="290">
                  <c:v>37.11</c:v>
                </c:pt>
                <c:pt idx="291">
                  <c:v>37.01</c:v>
                </c:pt>
                <c:pt idx="292">
                  <c:v>36.520000000000003</c:v>
                </c:pt>
                <c:pt idx="293">
                  <c:v>36.479999999999997</c:v>
                </c:pt>
                <c:pt idx="294">
                  <c:v>36.56</c:v>
                </c:pt>
                <c:pt idx="295">
                  <c:v>35.880000000000003</c:v>
                </c:pt>
                <c:pt idx="296">
                  <c:v>35.880000000000003</c:v>
                </c:pt>
                <c:pt idx="297">
                  <c:v>35.72</c:v>
                </c:pt>
                <c:pt idx="298">
                  <c:v>35.6</c:v>
                </c:pt>
                <c:pt idx="299">
                  <c:v>36.32</c:v>
                </c:pt>
                <c:pt idx="300">
                  <c:v>36.53</c:v>
                </c:pt>
                <c:pt idx="301">
                  <c:v>36.619999999999997</c:v>
                </c:pt>
                <c:pt idx="302">
                  <c:v>35.979999999999997</c:v>
                </c:pt>
                <c:pt idx="303">
                  <c:v>36.26</c:v>
                </c:pt>
                <c:pt idx="304">
                  <c:v>36.35</c:v>
                </c:pt>
                <c:pt idx="305">
                  <c:v>36.090000000000003</c:v>
                </c:pt>
                <c:pt idx="306">
                  <c:v>35.18</c:v>
                </c:pt>
                <c:pt idx="307">
                  <c:v>35.76</c:v>
                </c:pt>
                <c:pt idx="308">
                  <c:v>35.619999999999997</c:v>
                </c:pt>
                <c:pt idx="309">
                  <c:v>35.869999999999997</c:v>
                </c:pt>
                <c:pt idx="310">
                  <c:v>35.69</c:v>
                </c:pt>
                <c:pt idx="311">
                  <c:v>35.22</c:v>
                </c:pt>
                <c:pt idx="312">
                  <c:v>36.01</c:v>
                </c:pt>
                <c:pt idx="313">
                  <c:v>35.86</c:v>
                </c:pt>
                <c:pt idx="314">
                  <c:v>35.729999999999997</c:v>
                </c:pt>
                <c:pt idx="315">
                  <c:v>35.71</c:v>
                </c:pt>
                <c:pt idx="316">
                  <c:v>35.479999999999997</c:v>
                </c:pt>
                <c:pt idx="317">
                  <c:v>34.9</c:v>
                </c:pt>
                <c:pt idx="318">
                  <c:v>34.659999999999997</c:v>
                </c:pt>
                <c:pt idx="319">
                  <c:v>34.53</c:v>
                </c:pt>
                <c:pt idx="320">
                  <c:v>34.25</c:v>
                </c:pt>
                <c:pt idx="321">
                  <c:v>34.54</c:v>
                </c:pt>
                <c:pt idx="322">
                  <c:v>34.619999999999997</c:v>
                </c:pt>
                <c:pt idx="323">
                  <c:v>34.31</c:v>
                </c:pt>
                <c:pt idx="324">
                  <c:v>34</c:v>
                </c:pt>
                <c:pt idx="325">
                  <c:v>33.86</c:v>
                </c:pt>
                <c:pt idx="326">
                  <c:v>34.549999999999997</c:v>
                </c:pt>
                <c:pt idx="327">
                  <c:v>34.28</c:v>
                </c:pt>
                <c:pt idx="328">
                  <c:v>33.96</c:v>
                </c:pt>
                <c:pt idx="329">
                  <c:v>34.22</c:v>
                </c:pt>
                <c:pt idx="330">
                  <c:v>34.85</c:v>
                </c:pt>
                <c:pt idx="331">
                  <c:v>35.229999999999997</c:v>
                </c:pt>
                <c:pt idx="332">
                  <c:v>35.58</c:v>
                </c:pt>
                <c:pt idx="333">
                  <c:v>35.020000000000003</c:v>
                </c:pt>
                <c:pt idx="334">
                  <c:v>34.39</c:v>
                </c:pt>
                <c:pt idx="335">
                  <c:v>36.65</c:v>
                </c:pt>
                <c:pt idx="336">
                  <c:v>36.92</c:v>
                </c:pt>
                <c:pt idx="337">
                  <c:v>36.979999999999997</c:v>
                </c:pt>
                <c:pt idx="338">
                  <c:v>37.69</c:v>
                </c:pt>
                <c:pt idx="339">
                  <c:v>36.9</c:v>
                </c:pt>
                <c:pt idx="340">
                  <c:v>38.32</c:v>
                </c:pt>
                <c:pt idx="341">
                  <c:v>38.33</c:v>
                </c:pt>
                <c:pt idx="342">
                  <c:v>38.229999999999997</c:v>
                </c:pt>
                <c:pt idx="343">
                  <c:v>38.130000000000003</c:v>
                </c:pt>
                <c:pt idx="344">
                  <c:v>38.380000000000003</c:v>
                </c:pt>
                <c:pt idx="345">
                  <c:v>38.44</c:v>
                </c:pt>
                <c:pt idx="346">
                  <c:v>39.71</c:v>
                </c:pt>
                <c:pt idx="347">
                  <c:v>40.369999999999997</c:v>
                </c:pt>
                <c:pt idx="348">
                  <c:v>40.08</c:v>
                </c:pt>
                <c:pt idx="349">
                  <c:v>39.65</c:v>
                </c:pt>
                <c:pt idx="350">
                  <c:v>39.86</c:v>
                </c:pt>
                <c:pt idx="351">
                  <c:v>39.93</c:v>
                </c:pt>
                <c:pt idx="352">
                  <c:v>40.24</c:v>
                </c:pt>
                <c:pt idx="353">
                  <c:v>39.67</c:v>
                </c:pt>
                <c:pt idx="354">
                  <c:v>39.71</c:v>
                </c:pt>
                <c:pt idx="355">
                  <c:v>39.72</c:v>
                </c:pt>
                <c:pt idx="356">
                  <c:v>39.86</c:v>
                </c:pt>
                <c:pt idx="357">
                  <c:v>39.840000000000003</c:v>
                </c:pt>
                <c:pt idx="358">
                  <c:v>39.85</c:v>
                </c:pt>
                <c:pt idx="359">
                  <c:v>39.93</c:v>
                </c:pt>
                <c:pt idx="360">
                  <c:v>39.630000000000003</c:v>
                </c:pt>
                <c:pt idx="361">
                  <c:v>40.04</c:v>
                </c:pt>
                <c:pt idx="362">
                  <c:v>39.82</c:v>
                </c:pt>
                <c:pt idx="363">
                  <c:v>39.14</c:v>
                </c:pt>
                <c:pt idx="364">
                  <c:v>40.590000000000003</c:v>
                </c:pt>
                <c:pt idx="365">
                  <c:v>40.74</c:v>
                </c:pt>
                <c:pt idx="366">
                  <c:v>41.08</c:v>
                </c:pt>
                <c:pt idx="367">
                  <c:v>42.29</c:v>
                </c:pt>
                <c:pt idx="368">
                  <c:v>41.38</c:v>
                </c:pt>
                <c:pt idx="369">
                  <c:v>40.799999999999997</c:v>
                </c:pt>
                <c:pt idx="370">
                  <c:v>41.22</c:v>
                </c:pt>
                <c:pt idx="371">
                  <c:v>40.590000000000003</c:v>
                </c:pt>
                <c:pt idx="372">
                  <c:v>39.81</c:v>
                </c:pt>
                <c:pt idx="373">
                  <c:v>40.98</c:v>
                </c:pt>
                <c:pt idx="374">
                  <c:v>40.64</c:v>
                </c:pt>
                <c:pt idx="375">
                  <c:v>40.24</c:v>
                </c:pt>
                <c:pt idx="376">
                  <c:v>39.770000000000003</c:v>
                </c:pt>
                <c:pt idx="377">
                  <c:v>39.79</c:v>
                </c:pt>
                <c:pt idx="378">
                  <c:v>38.81</c:v>
                </c:pt>
                <c:pt idx="379">
                  <c:v>38.78</c:v>
                </c:pt>
                <c:pt idx="380">
                  <c:v>38.380000000000003</c:v>
                </c:pt>
                <c:pt idx="381">
                  <c:v>39.54</c:v>
                </c:pt>
                <c:pt idx="382">
                  <c:v>39.22</c:v>
                </c:pt>
                <c:pt idx="383">
                  <c:v>40.06</c:v>
                </c:pt>
                <c:pt idx="384">
                  <c:v>39.9</c:v>
                </c:pt>
                <c:pt idx="385">
                  <c:v>40.32</c:v>
                </c:pt>
                <c:pt idx="386">
                  <c:v>40.89</c:v>
                </c:pt>
                <c:pt idx="387">
                  <c:v>40.67</c:v>
                </c:pt>
                <c:pt idx="388">
                  <c:v>40.75</c:v>
                </c:pt>
                <c:pt idx="389">
                  <c:v>40.58</c:v>
                </c:pt>
                <c:pt idx="390">
                  <c:v>40.770000000000003</c:v>
                </c:pt>
                <c:pt idx="391">
                  <c:v>40.81</c:v>
                </c:pt>
                <c:pt idx="392">
                  <c:v>40.770000000000003</c:v>
                </c:pt>
                <c:pt idx="393">
                  <c:v>40.520000000000003</c:v>
                </c:pt>
                <c:pt idx="394">
                  <c:v>40.409999999999997</c:v>
                </c:pt>
                <c:pt idx="395">
                  <c:v>40.14</c:v>
                </c:pt>
                <c:pt idx="396">
                  <c:v>40.33</c:v>
                </c:pt>
                <c:pt idx="397">
                  <c:v>39.93</c:v>
                </c:pt>
                <c:pt idx="398">
                  <c:v>39.78</c:v>
                </c:pt>
                <c:pt idx="399">
                  <c:v>39.06</c:v>
                </c:pt>
                <c:pt idx="400">
                  <c:v>38.72</c:v>
                </c:pt>
                <c:pt idx="401">
                  <c:v>38.46</c:v>
                </c:pt>
                <c:pt idx="402">
                  <c:v>38.68</c:v>
                </c:pt>
                <c:pt idx="403">
                  <c:v>38.76</c:v>
                </c:pt>
                <c:pt idx="404">
                  <c:v>38.83</c:v>
                </c:pt>
                <c:pt idx="405">
                  <c:v>38.409999999999997</c:v>
                </c:pt>
                <c:pt idx="406">
                  <c:v>38.85</c:v>
                </c:pt>
                <c:pt idx="407">
                  <c:v>39.9</c:v>
                </c:pt>
                <c:pt idx="408">
                  <c:v>40.44</c:v>
                </c:pt>
                <c:pt idx="409">
                  <c:v>41.33</c:v>
                </c:pt>
                <c:pt idx="410">
                  <c:v>41.4</c:v>
                </c:pt>
                <c:pt idx="411">
                  <c:v>41.46</c:v>
                </c:pt>
                <c:pt idx="412">
                  <c:v>41.42</c:v>
                </c:pt>
                <c:pt idx="413">
                  <c:v>41.46</c:v>
                </c:pt>
                <c:pt idx="414">
                  <c:v>41.21</c:v>
                </c:pt>
                <c:pt idx="415">
                  <c:v>41.46</c:v>
                </c:pt>
                <c:pt idx="416">
                  <c:v>42.7</c:v>
                </c:pt>
                <c:pt idx="417">
                  <c:v>42.53</c:v>
                </c:pt>
                <c:pt idx="418">
                  <c:v>43.26</c:v>
                </c:pt>
                <c:pt idx="419">
                  <c:v>42.86</c:v>
                </c:pt>
                <c:pt idx="420">
                  <c:v>43.01</c:v>
                </c:pt>
                <c:pt idx="421">
                  <c:v>43.41</c:v>
                </c:pt>
                <c:pt idx="422">
                  <c:v>43.46</c:v>
                </c:pt>
                <c:pt idx="423">
                  <c:v>43.25</c:v>
                </c:pt>
                <c:pt idx="424">
                  <c:v>42.77</c:v>
                </c:pt>
                <c:pt idx="425">
                  <c:v>42.67</c:v>
                </c:pt>
                <c:pt idx="426">
                  <c:v>42.82</c:v>
                </c:pt>
                <c:pt idx="427">
                  <c:v>42.82</c:v>
                </c:pt>
                <c:pt idx="428">
                  <c:v>42.91</c:v>
                </c:pt>
                <c:pt idx="429">
                  <c:v>42.69</c:v>
                </c:pt>
                <c:pt idx="430">
                  <c:v>42.23</c:v>
                </c:pt>
                <c:pt idx="431">
                  <c:v>42.33</c:v>
                </c:pt>
                <c:pt idx="432">
                  <c:v>42.21</c:v>
                </c:pt>
                <c:pt idx="433">
                  <c:v>41.8</c:v>
                </c:pt>
                <c:pt idx="434">
                  <c:v>42.21</c:v>
                </c:pt>
                <c:pt idx="435">
                  <c:v>42.7</c:v>
                </c:pt>
                <c:pt idx="436">
                  <c:v>42.94</c:v>
                </c:pt>
                <c:pt idx="437">
                  <c:v>42.56</c:v>
                </c:pt>
                <c:pt idx="438">
                  <c:v>43.05</c:v>
                </c:pt>
                <c:pt idx="439">
                  <c:v>42.6</c:v>
                </c:pt>
                <c:pt idx="440">
                  <c:v>42.91</c:v>
                </c:pt>
                <c:pt idx="441">
                  <c:v>42.72</c:v>
                </c:pt>
                <c:pt idx="442">
                  <c:v>42.46</c:v>
                </c:pt>
                <c:pt idx="443">
                  <c:v>43</c:v>
                </c:pt>
                <c:pt idx="444">
                  <c:v>45.66</c:v>
                </c:pt>
                <c:pt idx="445">
                  <c:v>49.19</c:v>
                </c:pt>
                <c:pt idx="446">
                  <c:v>49.57</c:v>
                </c:pt>
                <c:pt idx="447">
                  <c:v>49.44</c:v>
                </c:pt>
                <c:pt idx="448">
                  <c:v>50.08</c:v>
                </c:pt>
                <c:pt idx="449">
                  <c:v>50.1</c:v>
                </c:pt>
                <c:pt idx="450">
                  <c:v>50.18</c:v>
                </c:pt>
                <c:pt idx="451">
                  <c:v>50.44</c:v>
                </c:pt>
                <c:pt idx="452">
                  <c:v>50.52</c:v>
                </c:pt>
                <c:pt idx="453">
                  <c:v>50.1</c:v>
                </c:pt>
                <c:pt idx="454">
                  <c:v>49.5</c:v>
                </c:pt>
                <c:pt idx="455">
                  <c:v>50.34</c:v>
                </c:pt>
                <c:pt idx="456">
                  <c:v>49.92</c:v>
                </c:pt>
                <c:pt idx="457">
                  <c:v>48.57</c:v>
                </c:pt>
                <c:pt idx="458">
                  <c:v>48.07</c:v>
                </c:pt>
                <c:pt idx="459">
                  <c:v>48.62</c:v>
                </c:pt>
                <c:pt idx="460">
                  <c:v>49.43</c:v>
                </c:pt>
                <c:pt idx="461">
                  <c:v>49.41</c:v>
                </c:pt>
                <c:pt idx="462">
                  <c:v>49.64</c:v>
                </c:pt>
                <c:pt idx="463">
                  <c:v>49.89</c:v>
                </c:pt>
                <c:pt idx="464">
                  <c:v>50.08</c:v>
                </c:pt>
                <c:pt idx="465">
                  <c:v>50.54</c:v>
                </c:pt>
                <c:pt idx="466">
                  <c:v>50.02</c:v>
                </c:pt>
                <c:pt idx="467">
                  <c:v>49.32</c:v>
                </c:pt>
                <c:pt idx="468">
                  <c:v>49.63</c:v>
                </c:pt>
                <c:pt idx="469">
                  <c:v>49.2</c:v>
                </c:pt>
                <c:pt idx="470">
                  <c:v>49.6</c:v>
                </c:pt>
                <c:pt idx="471">
                  <c:v>49.13</c:v>
                </c:pt>
                <c:pt idx="472">
                  <c:v>48.73</c:v>
                </c:pt>
                <c:pt idx="473">
                  <c:v>48.04</c:v>
                </c:pt>
                <c:pt idx="474">
                  <c:v>47.93</c:v>
                </c:pt>
                <c:pt idx="475">
                  <c:v>49.26</c:v>
                </c:pt>
                <c:pt idx="476">
                  <c:v>49.35</c:v>
                </c:pt>
                <c:pt idx="477">
                  <c:v>48.94</c:v>
                </c:pt>
                <c:pt idx="478">
                  <c:v>49.34</c:v>
                </c:pt>
                <c:pt idx="479">
                  <c:v>49.5</c:v>
                </c:pt>
                <c:pt idx="480">
                  <c:v>49.23</c:v>
                </c:pt>
                <c:pt idx="481">
                  <c:v>48.97</c:v>
                </c:pt>
                <c:pt idx="482">
                  <c:v>49.38</c:v>
                </c:pt>
                <c:pt idx="483">
                  <c:v>49.03</c:v>
                </c:pt>
                <c:pt idx="484">
                  <c:v>49.56</c:v>
                </c:pt>
                <c:pt idx="485">
                  <c:v>50.56</c:v>
                </c:pt>
                <c:pt idx="486">
                  <c:v>50.62</c:v>
                </c:pt>
                <c:pt idx="487">
                  <c:v>51.12</c:v>
                </c:pt>
                <c:pt idx="488">
                  <c:v>51.54</c:v>
                </c:pt>
                <c:pt idx="489">
                  <c:v>51.38</c:v>
                </c:pt>
                <c:pt idx="490">
                  <c:v>51.4</c:v>
                </c:pt>
                <c:pt idx="491">
                  <c:v>50.74</c:v>
                </c:pt>
                <c:pt idx="492">
                  <c:v>51.26</c:v>
                </c:pt>
                <c:pt idx="493">
                  <c:v>50.58</c:v>
                </c:pt>
                <c:pt idx="494">
                  <c:v>48.97</c:v>
                </c:pt>
                <c:pt idx="495">
                  <c:v>49.12</c:v>
                </c:pt>
                <c:pt idx="496">
                  <c:v>49.04</c:v>
                </c:pt>
                <c:pt idx="497">
                  <c:v>49.17</c:v>
                </c:pt>
                <c:pt idx="498">
                  <c:v>48.68</c:v>
                </c:pt>
                <c:pt idx="499">
                  <c:v>49</c:v>
                </c:pt>
                <c:pt idx="500">
                  <c:v>48.55</c:v>
                </c:pt>
                <c:pt idx="501">
                  <c:v>48.78</c:v>
                </c:pt>
                <c:pt idx="502">
                  <c:v>48.46</c:v>
                </c:pt>
                <c:pt idx="503">
                  <c:v>48.34</c:v>
                </c:pt>
                <c:pt idx="504">
                  <c:v>47.27</c:v>
                </c:pt>
                <c:pt idx="505">
                  <c:v>46.97</c:v>
                </c:pt>
                <c:pt idx="506">
                  <c:v>47.54</c:v>
                </c:pt>
              </c:numCache>
            </c:numRef>
          </c:yVal>
          <c:smooth val="1"/>
          <c:extLst>
            <c:ext xmlns:c16="http://schemas.microsoft.com/office/drawing/2014/chart" uri="{C3380CC4-5D6E-409C-BE32-E72D297353CC}">
              <c16:uniqueId val="{00000000-E4EB-1047-B2E5-7E46FF5862B0}"/>
            </c:ext>
          </c:extLst>
        </c:ser>
        <c:dLbls>
          <c:showLegendKey val="0"/>
          <c:showVal val="0"/>
          <c:showCatName val="0"/>
          <c:showSerName val="0"/>
          <c:showPercent val="0"/>
          <c:showBubbleSize val="0"/>
        </c:dLbls>
        <c:axId val="924784095"/>
        <c:axId val="926429295"/>
      </c:scatterChart>
      <c:valAx>
        <c:axId val="924784095"/>
        <c:scaling>
          <c:orientation val="minMax"/>
        </c:scaling>
        <c:delete val="0"/>
        <c:axPos val="b"/>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MX"/>
                  <a:t>Días transcurridos desde el</a:t>
                </a:r>
                <a:r>
                  <a:rPr lang="es-MX" baseline="0"/>
                  <a:t> 13 de marzo de 2024</a:t>
                </a:r>
                <a:endParaRPr lang="es-MX"/>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MX"/>
            </a:p>
          </c:txPr>
        </c:title>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926429295"/>
        <c:crosses val="autoZero"/>
        <c:crossBetween val="midCat"/>
      </c:valAx>
      <c:valAx>
        <c:axId val="926429295"/>
        <c:scaling>
          <c:orientation val="minMax"/>
        </c:scaling>
        <c:delete val="0"/>
        <c:axPos val="l"/>
        <c:majorGridlines>
          <c:spPr>
            <a:ln w="9525" cap="flat" cmpd="sng" algn="ctr">
              <a:solidFill>
                <a:schemeClr val="tx2">
                  <a:lumMod val="15000"/>
                  <a:lumOff val="85000"/>
                </a:schemeClr>
              </a:solidFill>
              <a:round/>
            </a:ln>
            <a:effectLst/>
          </c:spPr>
        </c:majorGridlines>
        <c:minorGridlines>
          <c:spPr>
            <a:ln>
              <a:solidFill>
                <a:schemeClr val="tx2">
                  <a:lumMod val="5000"/>
                  <a:lumOff val="95000"/>
                </a:schemeClr>
              </a:solidFill>
            </a:ln>
            <a:effectLst/>
          </c:spPr>
        </c:min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MX"/>
            </a:p>
          </c:txPr>
        </c:title>
        <c:numFmt formatCode="_-&quot;$&quot;* #,##0.00_-;\-&quot;$&quot;* #,##0.00_-;_-&quot;$&quot;* &quot;-&quot;??_-;_-@_-" sourceLinked="1"/>
        <c:majorTickMark val="out"/>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9247840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Rendimiento Diario Porsche AG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scatterChart>
        <c:scatterStyle val="smoothMarker"/>
        <c:varyColors val="0"/>
        <c:ser>
          <c:idx val="0"/>
          <c:order val="0"/>
          <c:tx>
            <c:strRef>
              <c:f>'Ejercicio 1 al 3'!$H$1</c:f>
              <c:strCache>
                <c:ptCount val="1"/>
                <c:pt idx="0">
                  <c:v>Rendimiento Diario</c:v>
                </c:pt>
              </c:strCache>
            </c:strRef>
          </c:tx>
          <c:spPr>
            <a:ln w="9525" cap="rnd">
              <a:solidFill>
                <a:schemeClr val="accent1"/>
              </a:solidFill>
              <a:round/>
            </a:ln>
            <a:effectLst/>
          </c:spPr>
          <c:marker>
            <c:symbol val="none"/>
          </c:marker>
          <c:xVal>
            <c:strRef>
              <c:f>'Ejercicio 1 al 3'!$A$2:$A$507</c:f>
              <c:strCache>
                <c:ptCount val="506"/>
                <c:pt idx="0">
                  <c:v>13.03.2026</c:v>
                </c:pt>
                <c:pt idx="1">
                  <c:v>12.03.2026</c:v>
                </c:pt>
                <c:pt idx="2">
                  <c:v>11.03.2026</c:v>
                </c:pt>
                <c:pt idx="3">
                  <c:v>10.03.2026</c:v>
                </c:pt>
                <c:pt idx="4">
                  <c:v>09.03.2026</c:v>
                </c:pt>
                <c:pt idx="5">
                  <c:v>06.03.2026</c:v>
                </c:pt>
                <c:pt idx="6">
                  <c:v>05.03.2026</c:v>
                </c:pt>
                <c:pt idx="7">
                  <c:v>04.03.2026</c:v>
                </c:pt>
                <c:pt idx="8">
                  <c:v>03.03.2026</c:v>
                </c:pt>
                <c:pt idx="9">
                  <c:v>02.03.2026</c:v>
                </c:pt>
                <c:pt idx="10">
                  <c:v>27.02.2026</c:v>
                </c:pt>
                <c:pt idx="11">
                  <c:v>26.02.2026</c:v>
                </c:pt>
                <c:pt idx="12">
                  <c:v>25.02.2026</c:v>
                </c:pt>
                <c:pt idx="13">
                  <c:v>24.02.2026</c:v>
                </c:pt>
                <c:pt idx="14">
                  <c:v>23.02.2026</c:v>
                </c:pt>
                <c:pt idx="15">
                  <c:v>20.02.2026</c:v>
                </c:pt>
                <c:pt idx="16">
                  <c:v>19.02.2026</c:v>
                </c:pt>
                <c:pt idx="17">
                  <c:v>18.02.2026</c:v>
                </c:pt>
                <c:pt idx="18">
                  <c:v>17.02.2026</c:v>
                </c:pt>
                <c:pt idx="19">
                  <c:v>16.02.2026</c:v>
                </c:pt>
                <c:pt idx="20">
                  <c:v>13.02.2026</c:v>
                </c:pt>
                <c:pt idx="21">
                  <c:v>12.02.2026</c:v>
                </c:pt>
                <c:pt idx="22">
                  <c:v>11.02.2026</c:v>
                </c:pt>
                <c:pt idx="23">
                  <c:v>10.02.2026</c:v>
                </c:pt>
                <c:pt idx="24">
                  <c:v>09.02.2026</c:v>
                </c:pt>
                <c:pt idx="25">
                  <c:v>06.02.2026</c:v>
                </c:pt>
                <c:pt idx="26">
                  <c:v>05.02.2026</c:v>
                </c:pt>
                <c:pt idx="27">
                  <c:v>04.02.2026</c:v>
                </c:pt>
                <c:pt idx="28">
                  <c:v>03.02.2026</c:v>
                </c:pt>
                <c:pt idx="29">
                  <c:v>02.02.2026</c:v>
                </c:pt>
                <c:pt idx="30">
                  <c:v>30.01.2026</c:v>
                </c:pt>
                <c:pt idx="31">
                  <c:v>29.01.2026</c:v>
                </c:pt>
                <c:pt idx="32">
                  <c:v>28.01.2026</c:v>
                </c:pt>
                <c:pt idx="33">
                  <c:v>27.01.2026</c:v>
                </c:pt>
                <c:pt idx="34">
                  <c:v>26.01.2026</c:v>
                </c:pt>
                <c:pt idx="35">
                  <c:v>23.01.2026</c:v>
                </c:pt>
                <c:pt idx="36">
                  <c:v>22.01.2026</c:v>
                </c:pt>
                <c:pt idx="37">
                  <c:v>21.01.2026</c:v>
                </c:pt>
                <c:pt idx="38">
                  <c:v>20.01.2026</c:v>
                </c:pt>
                <c:pt idx="39">
                  <c:v>19.01.2026</c:v>
                </c:pt>
                <c:pt idx="40">
                  <c:v>16.01.2026</c:v>
                </c:pt>
                <c:pt idx="41">
                  <c:v>15.01.2026</c:v>
                </c:pt>
                <c:pt idx="42">
                  <c:v>14.01.2026</c:v>
                </c:pt>
                <c:pt idx="43">
                  <c:v>13.01.2026</c:v>
                </c:pt>
                <c:pt idx="44">
                  <c:v>12.01.2026</c:v>
                </c:pt>
                <c:pt idx="45">
                  <c:v>09.01.2026</c:v>
                </c:pt>
                <c:pt idx="46">
                  <c:v>08.01.2026</c:v>
                </c:pt>
                <c:pt idx="47">
                  <c:v>07.01.2026</c:v>
                </c:pt>
                <c:pt idx="48">
                  <c:v>06.01.2026</c:v>
                </c:pt>
                <c:pt idx="49">
                  <c:v>05.01.2026</c:v>
                </c:pt>
                <c:pt idx="50">
                  <c:v>02.01.2026</c:v>
                </c:pt>
                <c:pt idx="51">
                  <c:v>30.12.2025</c:v>
                </c:pt>
                <c:pt idx="52">
                  <c:v>29.12.2025</c:v>
                </c:pt>
                <c:pt idx="53">
                  <c:v>23.12.2025</c:v>
                </c:pt>
                <c:pt idx="54">
                  <c:v>22.12.2025</c:v>
                </c:pt>
                <c:pt idx="55">
                  <c:v>19.12.2025</c:v>
                </c:pt>
                <c:pt idx="56">
                  <c:v>18.12.2025</c:v>
                </c:pt>
                <c:pt idx="57">
                  <c:v>17.12.2025</c:v>
                </c:pt>
                <c:pt idx="58">
                  <c:v>16.12.2025</c:v>
                </c:pt>
                <c:pt idx="59">
                  <c:v>15.12.2025</c:v>
                </c:pt>
                <c:pt idx="60">
                  <c:v>12.12.2025</c:v>
                </c:pt>
                <c:pt idx="61">
                  <c:v>11.12.2025</c:v>
                </c:pt>
                <c:pt idx="62">
                  <c:v>10.12.2025</c:v>
                </c:pt>
                <c:pt idx="63">
                  <c:v>09.12.2025</c:v>
                </c:pt>
                <c:pt idx="64">
                  <c:v>08.12.2025</c:v>
                </c:pt>
                <c:pt idx="65">
                  <c:v>05.12.2025</c:v>
                </c:pt>
                <c:pt idx="66">
                  <c:v>04.12.2025</c:v>
                </c:pt>
                <c:pt idx="67">
                  <c:v>03.12.2025</c:v>
                </c:pt>
                <c:pt idx="68">
                  <c:v>02.12.2025</c:v>
                </c:pt>
                <c:pt idx="69">
                  <c:v>01.12.2025</c:v>
                </c:pt>
                <c:pt idx="70">
                  <c:v>28.11.2025</c:v>
                </c:pt>
                <c:pt idx="71">
                  <c:v>27.11.2025</c:v>
                </c:pt>
                <c:pt idx="72">
                  <c:v>26.11.2025</c:v>
                </c:pt>
                <c:pt idx="73">
                  <c:v>25.11.2025</c:v>
                </c:pt>
                <c:pt idx="74">
                  <c:v>24.11.2025</c:v>
                </c:pt>
                <c:pt idx="75">
                  <c:v>21.11.2025</c:v>
                </c:pt>
                <c:pt idx="76">
                  <c:v>20.11.2025</c:v>
                </c:pt>
                <c:pt idx="77">
                  <c:v>19.11.2025</c:v>
                </c:pt>
                <c:pt idx="78">
                  <c:v>18.11.2025</c:v>
                </c:pt>
                <c:pt idx="79">
                  <c:v>17.11.2025</c:v>
                </c:pt>
                <c:pt idx="80">
                  <c:v>14.11.2025</c:v>
                </c:pt>
                <c:pt idx="81">
                  <c:v>13.11.2025</c:v>
                </c:pt>
                <c:pt idx="82">
                  <c:v>12.11.2025</c:v>
                </c:pt>
                <c:pt idx="83">
                  <c:v>11.11.2025</c:v>
                </c:pt>
                <c:pt idx="84">
                  <c:v>10.11.2025</c:v>
                </c:pt>
                <c:pt idx="85">
                  <c:v>07.11.2025</c:v>
                </c:pt>
                <c:pt idx="86">
                  <c:v>06.11.2025</c:v>
                </c:pt>
                <c:pt idx="87">
                  <c:v>05.11.2025</c:v>
                </c:pt>
                <c:pt idx="88">
                  <c:v>04.11.2025</c:v>
                </c:pt>
                <c:pt idx="89">
                  <c:v>03.11.2025</c:v>
                </c:pt>
                <c:pt idx="90">
                  <c:v>31.10.2025</c:v>
                </c:pt>
                <c:pt idx="91">
                  <c:v>30.10.2025</c:v>
                </c:pt>
                <c:pt idx="92">
                  <c:v>29.10.2025</c:v>
                </c:pt>
                <c:pt idx="93">
                  <c:v>28.10.2025</c:v>
                </c:pt>
                <c:pt idx="94">
                  <c:v>27.10.2025</c:v>
                </c:pt>
                <c:pt idx="95">
                  <c:v>24.10.2025</c:v>
                </c:pt>
                <c:pt idx="96">
                  <c:v>23.10.2025</c:v>
                </c:pt>
                <c:pt idx="97">
                  <c:v>22.10.2025</c:v>
                </c:pt>
                <c:pt idx="98">
                  <c:v>21.10.2025</c:v>
                </c:pt>
                <c:pt idx="99">
                  <c:v>20.10.2025</c:v>
                </c:pt>
                <c:pt idx="100">
                  <c:v>17.10.2025</c:v>
                </c:pt>
                <c:pt idx="101">
                  <c:v>16.10.2025</c:v>
                </c:pt>
                <c:pt idx="102">
                  <c:v>15.10.2025</c:v>
                </c:pt>
                <c:pt idx="103">
                  <c:v>14.10.2025</c:v>
                </c:pt>
                <c:pt idx="104">
                  <c:v>13.10.2025</c:v>
                </c:pt>
                <c:pt idx="105">
                  <c:v>10.10.2025</c:v>
                </c:pt>
                <c:pt idx="106">
                  <c:v>09.10.2025</c:v>
                </c:pt>
                <c:pt idx="107">
                  <c:v>08.10.2025</c:v>
                </c:pt>
                <c:pt idx="108">
                  <c:v>07.10.2025</c:v>
                </c:pt>
                <c:pt idx="109">
                  <c:v>06.10.2025</c:v>
                </c:pt>
                <c:pt idx="110">
                  <c:v>03.10.2025</c:v>
                </c:pt>
                <c:pt idx="111">
                  <c:v>02.10.2025</c:v>
                </c:pt>
                <c:pt idx="112">
                  <c:v>01.10.2025</c:v>
                </c:pt>
                <c:pt idx="113">
                  <c:v>30.09.2025</c:v>
                </c:pt>
                <c:pt idx="114">
                  <c:v>29.09.2025</c:v>
                </c:pt>
                <c:pt idx="115">
                  <c:v>26.09.2025</c:v>
                </c:pt>
                <c:pt idx="116">
                  <c:v>25.09.2025</c:v>
                </c:pt>
                <c:pt idx="117">
                  <c:v>24.09.2025</c:v>
                </c:pt>
                <c:pt idx="118">
                  <c:v>23.09.2025</c:v>
                </c:pt>
                <c:pt idx="119">
                  <c:v>22.09.2025</c:v>
                </c:pt>
                <c:pt idx="120">
                  <c:v>19.09.2025</c:v>
                </c:pt>
                <c:pt idx="121">
                  <c:v>18.09.2025</c:v>
                </c:pt>
                <c:pt idx="122">
                  <c:v>17.09.2025</c:v>
                </c:pt>
                <c:pt idx="123">
                  <c:v>16.09.2025</c:v>
                </c:pt>
                <c:pt idx="124">
                  <c:v>15.09.2025</c:v>
                </c:pt>
                <c:pt idx="125">
                  <c:v>12.09.2025</c:v>
                </c:pt>
                <c:pt idx="126">
                  <c:v>11.09.2025</c:v>
                </c:pt>
                <c:pt idx="127">
                  <c:v>10.09.2025</c:v>
                </c:pt>
                <c:pt idx="128">
                  <c:v>09.09.2025</c:v>
                </c:pt>
                <c:pt idx="129">
                  <c:v>08.09.2025</c:v>
                </c:pt>
                <c:pt idx="130">
                  <c:v>05.09.2025</c:v>
                </c:pt>
                <c:pt idx="131">
                  <c:v>04.09.2025</c:v>
                </c:pt>
                <c:pt idx="132">
                  <c:v>03.09.2025</c:v>
                </c:pt>
                <c:pt idx="133">
                  <c:v>02.09.2025</c:v>
                </c:pt>
                <c:pt idx="134">
                  <c:v>01.09.2025</c:v>
                </c:pt>
                <c:pt idx="135">
                  <c:v>29.08.2025</c:v>
                </c:pt>
                <c:pt idx="136">
                  <c:v>28.08.2025</c:v>
                </c:pt>
                <c:pt idx="137">
                  <c:v>27.08.2025</c:v>
                </c:pt>
                <c:pt idx="138">
                  <c:v>26.08.2025</c:v>
                </c:pt>
                <c:pt idx="139">
                  <c:v>25.08.2025</c:v>
                </c:pt>
                <c:pt idx="140">
                  <c:v>22.08.2025</c:v>
                </c:pt>
                <c:pt idx="141">
                  <c:v>21.08.2025</c:v>
                </c:pt>
                <c:pt idx="142">
                  <c:v>20.08.2025</c:v>
                </c:pt>
                <c:pt idx="143">
                  <c:v>19.08.2025</c:v>
                </c:pt>
                <c:pt idx="144">
                  <c:v>18.08.2025</c:v>
                </c:pt>
                <c:pt idx="145">
                  <c:v>15.08.2025</c:v>
                </c:pt>
                <c:pt idx="146">
                  <c:v>14.08.2025</c:v>
                </c:pt>
                <c:pt idx="147">
                  <c:v>13.08.2025</c:v>
                </c:pt>
                <c:pt idx="148">
                  <c:v>12.08.2025</c:v>
                </c:pt>
                <c:pt idx="149">
                  <c:v>11.08.2025</c:v>
                </c:pt>
                <c:pt idx="150">
                  <c:v>08.08.2025</c:v>
                </c:pt>
                <c:pt idx="151">
                  <c:v>07.08.2025</c:v>
                </c:pt>
                <c:pt idx="152">
                  <c:v>06.08.2025</c:v>
                </c:pt>
                <c:pt idx="153">
                  <c:v>05.08.2025</c:v>
                </c:pt>
                <c:pt idx="154">
                  <c:v>04.08.2025</c:v>
                </c:pt>
                <c:pt idx="155">
                  <c:v>01.08.2025</c:v>
                </c:pt>
                <c:pt idx="156">
                  <c:v>31.07.2025</c:v>
                </c:pt>
                <c:pt idx="157">
                  <c:v>30.07.2025</c:v>
                </c:pt>
                <c:pt idx="158">
                  <c:v>29.07.2025</c:v>
                </c:pt>
                <c:pt idx="159">
                  <c:v>28.07.2025</c:v>
                </c:pt>
                <c:pt idx="160">
                  <c:v>25.07.2025</c:v>
                </c:pt>
                <c:pt idx="161">
                  <c:v>24.07.2025</c:v>
                </c:pt>
                <c:pt idx="162">
                  <c:v>23.07.2025</c:v>
                </c:pt>
                <c:pt idx="163">
                  <c:v>22.07.2025</c:v>
                </c:pt>
                <c:pt idx="164">
                  <c:v>21.07.2025</c:v>
                </c:pt>
                <c:pt idx="165">
                  <c:v>18.07.2025</c:v>
                </c:pt>
                <c:pt idx="166">
                  <c:v>17.07.2025</c:v>
                </c:pt>
                <c:pt idx="167">
                  <c:v>16.07.2025</c:v>
                </c:pt>
                <c:pt idx="168">
                  <c:v>15.07.2025</c:v>
                </c:pt>
                <c:pt idx="169">
                  <c:v>14.07.2025</c:v>
                </c:pt>
                <c:pt idx="170">
                  <c:v>11.07.2025</c:v>
                </c:pt>
                <c:pt idx="171">
                  <c:v>10.07.2025</c:v>
                </c:pt>
                <c:pt idx="172">
                  <c:v>09.07.2025</c:v>
                </c:pt>
                <c:pt idx="173">
                  <c:v>08.07.2025</c:v>
                </c:pt>
                <c:pt idx="174">
                  <c:v>07.07.2025</c:v>
                </c:pt>
                <c:pt idx="175">
                  <c:v>04.07.2025</c:v>
                </c:pt>
                <c:pt idx="176">
                  <c:v>03.07.2025</c:v>
                </c:pt>
                <c:pt idx="177">
                  <c:v>02.07.2025</c:v>
                </c:pt>
                <c:pt idx="178">
                  <c:v>01.07.2025</c:v>
                </c:pt>
                <c:pt idx="179">
                  <c:v>30.06.2025</c:v>
                </c:pt>
                <c:pt idx="180">
                  <c:v>27.06.2025</c:v>
                </c:pt>
                <c:pt idx="181">
                  <c:v>26.06.2025</c:v>
                </c:pt>
                <c:pt idx="182">
                  <c:v>25.06.2025</c:v>
                </c:pt>
                <c:pt idx="183">
                  <c:v>24.06.2025</c:v>
                </c:pt>
                <c:pt idx="184">
                  <c:v>23.06.2025</c:v>
                </c:pt>
                <c:pt idx="185">
                  <c:v>20.06.2025</c:v>
                </c:pt>
                <c:pt idx="186">
                  <c:v>19.06.2025</c:v>
                </c:pt>
                <c:pt idx="187">
                  <c:v>18.06.2025</c:v>
                </c:pt>
                <c:pt idx="188">
                  <c:v>17.06.2025</c:v>
                </c:pt>
                <c:pt idx="189">
                  <c:v>16.06.2025</c:v>
                </c:pt>
                <c:pt idx="190">
                  <c:v>13.06.2025</c:v>
                </c:pt>
                <c:pt idx="191">
                  <c:v>12.06.2025</c:v>
                </c:pt>
                <c:pt idx="192">
                  <c:v>11.06.2025</c:v>
                </c:pt>
                <c:pt idx="193">
                  <c:v>10.06.2025</c:v>
                </c:pt>
                <c:pt idx="194">
                  <c:v>09.06.2025</c:v>
                </c:pt>
                <c:pt idx="195">
                  <c:v>06.06.2025</c:v>
                </c:pt>
                <c:pt idx="196">
                  <c:v>05.06.2025</c:v>
                </c:pt>
                <c:pt idx="197">
                  <c:v>04.06.2025</c:v>
                </c:pt>
                <c:pt idx="198">
                  <c:v>03.06.2025</c:v>
                </c:pt>
                <c:pt idx="199">
                  <c:v>02.06.2025</c:v>
                </c:pt>
                <c:pt idx="200">
                  <c:v>30.05.2025</c:v>
                </c:pt>
                <c:pt idx="201">
                  <c:v>29.05.2025</c:v>
                </c:pt>
                <c:pt idx="202">
                  <c:v>28.05.2025</c:v>
                </c:pt>
                <c:pt idx="203">
                  <c:v>27.05.2025</c:v>
                </c:pt>
                <c:pt idx="204">
                  <c:v>26.05.2025</c:v>
                </c:pt>
                <c:pt idx="205">
                  <c:v>23.05.2025</c:v>
                </c:pt>
                <c:pt idx="206">
                  <c:v>22.05.2025</c:v>
                </c:pt>
                <c:pt idx="207">
                  <c:v>21.05.2025</c:v>
                </c:pt>
                <c:pt idx="208">
                  <c:v>20.05.2025</c:v>
                </c:pt>
                <c:pt idx="209">
                  <c:v>19.05.2025</c:v>
                </c:pt>
                <c:pt idx="210">
                  <c:v>16.05.2025</c:v>
                </c:pt>
                <c:pt idx="211">
                  <c:v>15.05.2025</c:v>
                </c:pt>
                <c:pt idx="212">
                  <c:v>14.05.2025</c:v>
                </c:pt>
                <c:pt idx="213">
                  <c:v>13.05.2025</c:v>
                </c:pt>
                <c:pt idx="214">
                  <c:v>12.05.2025</c:v>
                </c:pt>
                <c:pt idx="215">
                  <c:v>09.05.2025</c:v>
                </c:pt>
                <c:pt idx="216">
                  <c:v>08.05.2025</c:v>
                </c:pt>
                <c:pt idx="217">
                  <c:v>07.05.2025</c:v>
                </c:pt>
                <c:pt idx="218">
                  <c:v>06.05.2025</c:v>
                </c:pt>
                <c:pt idx="219">
                  <c:v>05.05.2025</c:v>
                </c:pt>
                <c:pt idx="220">
                  <c:v>02.05.2025</c:v>
                </c:pt>
                <c:pt idx="221">
                  <c:v>30.04.2025</c:v>
                </c:pt>
                <c:pt idx="222">
                  <c:v>29.04.2025</c:v>
                </c:pt>
                <c:pt idx="223">
                  <c:v>28.04.2025</c:v>
                </c:pt>
                <c:pt idx="224">
                  <c:v>25.04.2025</c:v>
                </c:pt>
                <c:pt idx="225">
                  <c:v>24.04.2025</c:v>
                </c:pt>
                <c:pt idx="226">
                  <c:v>23.04.2025</c:v>
                </c:pt>
                <c:pt idx="227">
                  <c:v>22.04.2025</c:v>
                </c:pt>
                <c:pt idx="228">
                  <c:v>17.04.2025</c:v>
                </c:pt>
                <c:pt idx="229">
                  <c:v>16.04.2025</c:v>
                </c:pt>
                <c:pt idx="230">
                  <c:v>15.04.2025</c:v>
                </c:pt>
                <c:pt idx="231">
                  <c:v>14.04.2025</c:v>
                </c:pt>
                <c:pt idx="232">
                  <c:v>11.04.2025</c:v>
                </c:pt>
                <c:pt idx="233">
                  <c:v>10.04.2025</c:v>
                </c:pt>
                <c:pt idx="234">
                  <c:v>09.04.2025</c:v>
                </c:pt>
                <c:pt idx="235">
                  <c:v>08.04.2025</c:v>
                </c:pt>
                <c:pt idx="236">
                  <c:v>07.04.2025</c:v>
                </c:pt>
                <c:pt idx="237">
                  <c:v>04.04.2025</c:v>
                </c:pt>
                <c:pt idx="238">
                  <c:v>03.04.2025</c:v>
                </c:pt>
                <c:pt idx="239">
                  <c:v>02.04.2025</c:v>
                </c:pt>
                <c:pt idx="240">
                  <c:v>01.04.2025</c:v>
                </c:pt>
                <c:pt idx="241">
                  <c:v>31.03.2025</c:v>
                </c:pt>
                <c:pt idx="242">
                  <c:v>28.03.2025</c:v>
                </c:pt>
                <c:pt idx="243">
                  <c:v>27.03.2025</c:v>
                </c:pt>
                <c:pt idx="244">
                  <c:v>26.03.2025</c:v>
                </c:pt>
                <c:pt idx="245">
                  <c:v>25.03.2025</c:v>
                </c:pt>
                <c:pt idx="246">
                  <c:v>24.03.2025</c:v>
                </c:pt>
                <c:pt idx="247">
                  <c:v>21.03.2025</c:v>
                </c:pt>
                <c:pt idx="248">
                  <c:v>20.03.2025</c:v>
                </c:pt>
                <c:pt idx="249">
                  <c:v>19.03.2025</c:v>
                </c:pt>
                <c:pt idx="250">
                  <c:v>18.03.2025</c:v>
                </c:pt>
                <c:pt idx="251">
                  <c:v>17.03.2025</c:v>
                </c:pt>
                <c:pt idx="252">
                  <c:v>14.03.2025</c:v>
                </c:pt>
                <c:pt idx="253">
                  <c:v>13.03.2025</c:v>
                </c:pt>
                <c:pt idx="254">
                  <c:v>12.03.2025</c:v>
                </c:pt>
                <c:pt idx="255">
                  <c:v>11.03.2025</c:v>
                </c:pt>
                <c:pt idx="256">
                  <c:v>10.03.2025</c:v>
                </c:pt>
                <c:pt idx="257">
                  <c:v>07.03.2025</c:v>
                </c:pt>
                <c:pt idx="258">
                  <c:v>06.03.2025</c:v>
                </c:pt>
                <c:pt idx="259">
                  <c:v>05.03.2025</c:v>
                </c:pt>
                <c:pt idx="260">
                  <c:v>04.03.2025</c:v>
                </c:pt>
                <c:pt idx="261">
                  <c:v>03.03.2025</c:v>
                </c:pt>
                <c:pt idx="262">
                  <c:v>28.02.2025</c:v>
                </c:pt>
                <c:pt idx="263">
                  <c:v>27.02.2025</c:v>
                </c:pt>
                <c:pt idx="264">
                  <c:v>26.02.2025</c:v>
                </c:pt>
                <c:pt idx="265">
                  <c:v>25.02.2025</c:v>
                </c:pt>
                <c:pt idx="266">
                  <c:v>24.02.2025</c:v>
                </c:pt>
                <c:pt idx="267">
                  <c:v>21.02.2025</c:v>
                </c:pt>
                <c:pt idx="268">
                  <c:v>20.02.2025</c:v>
                </c:pt>
                <c:pt idx="269">
                  <c:v>19.02.2025</c:v>
                </c:pt>
                <c:pt idx="270">
                  <c:v>18.02.2025</c:v>
                </c:pt>
                <c:pt idx="271">
                  <c:v>17.02.2025</c:v>
                </c:pt>
                <c:pt idx="272">
                  <c:v>14.02.2025</c:v>
                </c:pt>
                <c:pt idx="273">
                  <c:v>13.02.2025</c:v>
                </c:pt>
                <c:pt idx="274">
                  <c:v>12.02.2025</c:v>
                </c:pt>
                <c:pt idx="275">
                  <c:v>11.02.2025</c:v>
                </c:pt>
                <c:pt idx="276">
                  <c:v>10.02.2025</c:v>
                </c:pt>
                <c:pt idx="277">
                  <c:v>07.02.2025</c:v>
                </c:pt>
                <c:pt idx="278">
                  <c:v>06.02.2025</c:v>
                </c:pt>
                <c:pt idx="279">
                  <c:v>05.02.2025</c:v>
                </c:pt>
                <c:pt idx="280">
                  <c:v>04.02.2025</c:v>
                </c:pt>
                <c:pt idx="281">
                  <c:v>03.02.2025</c:v>
                </c:pt>
                <c:pt idx="282">
                  <c:v>31.01.2025</c:v>
                </c:pt>
                <c:pt idx="283">
                  <c:v>30.01.2025</c:v>
                </c:pt>
                <c:pt idx="284">
                  <c:v>29.01.2025</c:v>
                </c:pt>
                <c:pt idx="285">
                  <c:v>28.01.2025</c:v>
                </c:pt>
                <c:pt idx="286">
                  <c:v>27.01.2025</c:v>
                </c:pt>
                <c:pt idx="287">
                  <c:v>24.01.2025</c:v>
                </c:pt>
                <c:pt idx="288">
                  <c:v>23.01.2025</c:v>
                </c:pt>
                <c:pt idx="289">
                  <c:v>22.01.2025</c:v>
                </c:pt>
                <c:pt idx="290">
                  <c:v>21.01.2025</c:v>
                </c:pt>
                <c:pt idx="291">
                  <c:v>20.01.2025</c:v>
                </c:pt>
                <c:pt idx="292">
                  <c:v>17.01.2025</c:v>
                </c:pt>
                <c:pt idx="293">
                  <c:v>16.01.2025</c:v>
                </c:pt>
                <c:pt idx="294">
                  <c:v>15.01.2025</c:v>
                </c:pt>
                <c:pt idx="295">
                  <c:v>14.01.2025</c:v>
                </c:pt>
                <c:pt idx="296">
                  <c:v>13.01.2025</c:v>
                </c:pt>
                <c:pt idx="297">
                  <c:v>10.01.2025</c:v>
                </c:pt>
                <c:pt idx="298">
                  <c:v>09.01.2025</c:v>
                </c:pt>
                <c:pt idx="299">
                  <c:v>08.01.2025</c:v>
                </c:pt>
                <c:pt idx="300">
                  <c:v>07.01.2025</c:v>
                </c:pt>
                <c:pt idx="301">
                  <c:v>06.01.2025</c:v>
                </c:pt>
                <c:pt idx="302">
                  <c:v>03.01.2025</c:v>
                </c:pt>
                <c:pt idx="303">
                  <c:v>02.01.2025</c:v>
                </c:pt>
                <c:pt idx="304">
                  <c:v>30.12.2024</c:v>
                </c:pt>
                <c:pt idx="305">
                  <c:v>27.12.2024</c:v>
                </c:pt>
                <c:pt idx="306">
                  <c:v>23.12.2024</c:v>
                </c:pt>
                <c:pt idx="307">
                  <c:v>20.12.2024</c:v>
                </c:pt>
                <c:pt idx="308">
                  <c:v>19.12.2024</c:v>
                </c:pt>
                <c:pt idx="309">
                  <c:v>18.12.2024</c:v>
                </c:pt>
                <c:pt idx="310">
                  <c:v>17.12.2024</c:v>
                </c:pt>
                <c:pt idx="311">
                  <c:v>16.12.2024</c:v>
                </c:pt>
                <c:pt idx="312">
                  <c:v>13.12.2024</c:v>
                </c:pt>
                <c:pt idx="313">
                  <c:v>12.12.2024</c:v>
                </c:pt>
                <c:pt idx="314">
                  <c:v>11.12.2024</c:v>
                </c:pt>
                <c:pt idx="315">
                  <c:v>10.12.2024</c:v>
                </c:pt>
                <c:pt idx="316">
                  <c:v>09.12.2024</c:v>
                </c:pt>
                <c:pt idx="317">
                  <c:v>06.12.2024</c:v>
                </c:pt>
                <c:pt idx="318">
                  <c:v>05.12.2024</c:v>
                </c:pt>
                <c:pt idx="319">
                  <c:v>04.12.2024</c:v>
                </c:pt>
                <c:pt idx="320">
                  <c:v>03.12.2024</c:v>
                </c:pt>
                <c:pt idx="321">
                  <c:v>02.12.2024</c:v>
                </c:pt>
                <c:pt idx="322">
                  <c:v>29.11.2024</c:v>
                </c:pt>
                <c:pt idx="323">
                  <c:v>28.11.2024</c:v>
                </c:pt>
                <c:pt idx="324">
                  <c:v>27.11.2024</c:v>
                </c:pt>
                <c:pt idx="325">
                  <c:v>26.11.2024</c:v>
                </c:pt>
                <c:pt idx="326">
                  <c:v>25.11.2024</c:v>
                </c:pt>
                <c:pt idx="327">
                  <c:v>22.11.2024</c:v>
                </c:pt>
                <c:pt idx="328">
                  <c:v>21.11.2024</c:v>
                </c:pt>
                <c:pt idx="329">
                  <c:v>20.11.2024</c:v>
                </c:pt>
                <c:pt idx="330">
                  <c:v>19.11.2024</c:v>
                </c:pt>
                <c:pt idx="331">
                  <c:v>18.11.2024</c:v>
                </c:pt>
                <c:pt idx="332">
                  <c:v>15.11.2024</c:v>
                </c:pt>
                <c:pt idx="333">
                  <c:v>14.11.2024</c:v>
                </c:pt>
                <c:pt idx="334">
                  <c:v>13.11.2024</c:v>
                </c:pt>
                <c:pt idx="335">
                  <c:v>12.11.2024</c:v>
                </c:pt>
                <c:pt idx="336">
                  <c:v>11.11.2024</c:v>
                </c:pt>
                <c:pt idx="337">
                  <c:v>08.11.2024</c:v>
                </c:pt>
                <c:pt idx="338">
                  <c:v>07.11.2024</c:v>
                </c:pt>
                <c:pt idx="339">
                  <c:v>06.11.2024</c:v>
                </c:pt>
                <c:pt idx="340">
                  <c:v>05.11.2024</c:v>
                </c:pt>
                <c:pt idx="341">
                  <c:v>04.11.2024</c:v>
                </c:pt>
                <c:pt idx="342">
                  <c:v>01.11.2024</c:v>
                </c:pt>
                <c:pt idx="343">
                  <c:v>31.10.2024</c:v>
                </c:pt>
                <c:pt idx="344">
                  <c:v>30.10.2024</c:v>
                </c:pt>
                <c:pt idx="345">
                  <c:v>29.10.2024</c:v>
                </c:pt>
                <c:pt idx="346">
                  <c:v>28.10.2024</c:v>
                </c:pt>
                <c:pt idx="347">
                  <c:v>25.10.2024</c:v>
                </c:pt>
                <c:pt idx="348">
                  <c:v>24.10.2024</c:v>
                </c:pt>
                <c:pt idx="349">
                  <c:v>23.10.2024</c:v>
                </c:pt>
                <c:pt idx="350">
                  <c:v>22.10.2024</c:v>
                </c:pt>
                <c:pt idx="351">
                  <c:v>21.10.2024</c:v>
                </c:pt>
                <c:pt idx="352">
                  <c:v>18.10.2024</c:v>
                </c:pt>
                <c:pt idx="353">
                  <c:v>17.10.2024</c:v>
                </c:pt>
                <c:pt idx="354">
                  <c:v>16.10.2024</c:v>
                </c:pt>
                <c:pt idx="355">
                  <c:v>15.10.2024</c:v>
                </c:pt>
                <c:pt idx="356">
                  <c:v>14.10.2024</c:v>
                </c:pt>
                <c:pt idx="357">
                  <c:v>11.10.2024</c:v>
                </c:pt>
                <c:pt idx="358">
                  <c:v>10.10.2024</c:v>
                </c:pt>
                <c:pt idx="359">
                  <c:v>09.10.2024</c:v>
                </c:pt>
                <c:pt idx="360">
                  <c:v>08.10.2024</c:v>
                </c:pt>
                <c:pt idx="361">
                  <c:v>07.10.2024</c:v>
                </c:pt>
                <c:pt idx="362">
                  <c:v>04.10.2024</c:v>
                </c:pt>
                <c:pt idx="363">
                  <c:v>03.10.2024</c:v>
                </c:pt>
                <c:pt idx="364">
                  <c:v>02.10.2024</c:v>
                </c:pt>
                <c:pt idx="365">
                  <c:v>01.10.2024</c:v>
                </c:pt>
                <c:pt idx="366">
                  <c:v>30.09.2024</c:v>
                </c:pt>
                <c:pt idx="367">
                  <c:v>27.09.2024</c:v>
                </c:pt>
                <c:pt idx="368">
                  <c:v>26.09.2024</c:v>
                </c:pt>
                <c:pt idx="369">
                  <c:v>25.09.2024</c:v>
                </c:pt>
                <c:pt idx="370">
                  <c:v>24.09.2024</c:v>
                </c:pt>
                <c:pt idx="371">
                  <c:v>23.09.2024</c:v>
                </c:pt>
                <c:pt idx="372">
                  <c:v>20.09.2024</c:v>
                </c:pt>
                <c:pt idx="373">
                  <c:v>19.09.2024</c:v>
                </c:pt>
                <c:pt idx="374">
                  <c:v>18.09.2024</c:v>
                </c:pt>
                <c:pt idx="375">
                  <c:v>17.09.2024</c:v>
                </c:pt>
                <c:pt idx="376">
                  <c:v>16.09.2024</c:v>
                </c:pt>
                <c:pt idx="377">
                  <c:v>13.09.2024</c:v>
                </c:pt>
                <c:pt idx="378">
                  <c:v>12.09.2024</c:v>
                </c:pt>
                <c:pt idx="379">
                  <c:v>11.09.2024</c:v>
                </c:pt>
                <c:pt idx="380">
                  <c:v>10.09.2024</c:v>
                </c:pt>
                <c:pt idx="381">
                  <c:v>09.09.2024</c:v>
                </c:pt>
                <c:pt idx="382">
                  <c:v>06.09.2024</c:v>
                </c:pt>
                <c:pt idx="383">
                  <c:v>05.09.2024</c:v>
                </c:pt>
                <c:pt idx="384">
                  <c:v>04.09.2024</c:v>
                </c:pt>
                <c:pt idx="385">
                  <c:v>03.09.2024</c:v>
                </c:pt>
                <c:pt idx="386">
                  <c:v>02.09.2024</c:v>
                </c:pt>
                <c:pt idx="387">
                  <c:v>30.08.2024</c:v>
                </c:pt>
                <c:pt idx="388">
                  <c:v>29.08.2024</c:v>
                </c:pt>
                <c:pt idx="389">
                  <c:v>28.08.2024</c:v>
                </c:pt>
                <c:pt idx="390">
                  <c:v>27.08.2024</c:v>
                </c:pt>
                <c:pt idx="391">
                  <c:v>26.08.2024</c:v>
                </c:pt>
                <c:pt idx="392">
                  <c:v>23.08.2024</c:v>
                </c:pt>
                <c:pt idx="393">
                  <c:v>22.08.2024</c:v>
                </c:pt>
                <c:pt idx="394">
                  <c:v>21.08.2024</c:v>
                </c:pt>
                <c:pt idx="395">
                  <c:v>20.08.2024</c:v>
                </c:pt>
                <c:pt idx="396">
                  <c:v>19.08.2024</c:v>
                </c:pt>
                <c:pt idx="397">
                  <c:v>16.08.2024</c:v>
                </c:pt>
                <c:pt idx="398">
                  <c:v>15.08.2024</c:v>
                </c:pt>
                <c:pt idx="399">
                  <c:v>14.08.2024</c:v>
                </c:pt>
                <c:pt idx="400">
                  <c:v>13.08.2024</c:v>
                </c:pt>
                <c:pt idx="401">
                  <c:v>12.08.2024</c:v>
                </c:pt>
                <c:pt idx="402">
                  <c:v>09.08.2024</c:v>
                </c:pt>
                <c:pt idx="403">
                  <c:v>08.08.2024</c:v>
                </c:pt>
                <c:pt idx="404">
                  <c:v>07.08.2024</c:v>
                </c:pt>
                <c:pt idx="405">
                  <c:v>06.08.2024</c:v>
                </c:pt>
                <c:pt idx="406">
                  <c:v>05.08.2024</c:v>
                </c:pt>
                <c:pt idx="407">
                  <c:v>02.08.2024</c:v>
                </c:pt>
                <c:pt idx="408">
                  <c:v>01.08.2024</c:v>
                </c:pt>
                <c:pt idx="409">
                  <c:v>31.07.2024</c:v>
                </c:pt>
                <c:pt idx="410">
                  <c:v>30.07.2024</c:v>
                </c:pt>
                <c:pt idx="411">
                  <c:v>29.07.2024</c:v>
                </c:pt>
                <c:pt idx="412">
                  <c:v>26.07.2024</c:v>
                </c:pt>
                <c:pt idx="413">
                  <c:v>25.07.2024</c:v>
                </c:pt>
                <c:pt idx="414">
                  <c:v>24.07.2024</c:v>
                </c:pt>
                <c:pt idx="415">
                  <c:v>23.07.2024</c:v>
                </c:pt>
                <c:pt idx="416">
                  <c:v>22.07.2024</c:v>
                </c:pt>
                <c:pt idx="417">
                  <c:v>19.07.2024</c:v>
                </c:pt>
                <c:pt idx="418">
                  <c:v>18.07.2024</c:v>
                </c:pt>
                <c:pt idx="419">
                  <c:v>17.07.2024</c:v>
                </c:pt>
                <c:pt idx="420">
                  <c:v>16.07.2024</c:v>
                </c:pt>
                <c:pt idx="421">
                  <c:v>15.07.2024</c:v>
                </c:pt>
                <c:pt idx="422">
                  <c:v>12.07.2024</c:v>
                </c:pt>
                <c:pt idx="423">
                  <c:v>11.07.2024</c:v>
                </c:pt>
                <c:pt idx="424">
                  <c:v>10.07.2024</c:v>
                </c:pt>
                <c:pt idx="425">
                  <c:v>09.07.2024</c:v>
                </c:pt>
                <c:pt idx="426">
                  <c:v>08.07.2024</c:v>
                </c:pt>
                <c:pt idx="427">
                  <c:v>05.07.2024</c:v>
                </c:pt>
                <c:pt idx="428">
                  <c:v>04.07.2024</c:v>
                </c:pt>
                <c:pt idx="429">
                  <c:v>03.07.2024</c:v>
                </c:pt>
                <c:pt idx="430">
                  <c:v>02.07.2024</c:v>
                </c:pt>
                <c:pt idx="431">
                  <c:v>01.07.2024</c:v>
                </c:pt>
                <c:pt idx="432">
                  <c:v>28.06.2024</c:v>
                </c:pt>
                <c:pt idx="433">
                  <c:v>27.06.2024</c:v>
                </c:pt>
                <c:pt idx="434">
                  <c:v>26.06.2024</c:v>
                </c:pt>
                <c:pt idx="435">
                  <c:v>25.06.2024</c:v>
                </c:pt>
                <c:pt idx="436">
                  <c:v>24.06.2024</c:v>
                </c:pt>
                <c:pt idx="437">
                  <c:v>21.06.2024</c:v>
                </c:pt>
                <c:pt idx="438">
                  <c:v>20.06.2024</c:v>
                </c:pt>
                <c:pt idx="439">
                  <c:v>19.06.2024</c:v>
                </c:pt>
                <c:pt idx="440">
                  <c:v>18.06.2024</c:v>
                </c:pt>
                <c:pt idx="441">
                  <c:v>17.06.2024</c:v>
                </c:pt>
                <c:pt idx="442">
                  <c:v>14.06.2024</c:v>
                </c:pt>
                <c:pt idx="443">
                  <c:v>13.06.2024</c:v>
                </c:pt>
                <c:pt idx="444">
                  <c:v>12.06.2024</c:v>
                </c:pt>
                <c:pt idx="445">
                  <c:v>11.06.2024</c:v>
                </c:pt>
                <c:pt idx="446">
                  <c:v>10.06.2024</c:v>
                </c:pt>
                <c:pt idx="447">
                  <c:v>07.06.2024</c:v>
                </c:pt>
                <c:pt idx="448">
                  <c:v>06.06.2024</c:v>
                </c:pt>
                <c:pt idx="449">
                  <c:v>05.06.2024</c:v>
                </c:pt>
                <c:pt idx="450">
                  <c:v>04.06.2024</c:v>
                </c:pt>
                <c:pt idx="451">
                  <c:v>03.06.2024</c:v>
                </c:pt>
                <c:pt idx="452">
                  <c:v>31.05.2024</c:v>
                </c:pt>
                <c:pt idx="453">
                  <c:v>30.05.2024</c:v>
                </c:pt>
                <c:pt idx="454">
                  <c:v>29.05.2024</c:v>
                </c:pt>
                <c:pt idx="455">
                  <c:v>28.05.2024</c:v>
                </c:pt>
                <c:pt idx="456">
                  <c:v>27.05.2024</c:v>
                </c:pt>
                <c:pt idx="457">
                  <c:v>24.05.2024</c:v>
                </c:pt>
                <c:pt idx="458">
                  <c:v>23.05.2024</c:v>
                </c:pt>
                <c:pt idx="459">
                  <c:v>22.05.2024</c:v>
                </c:pt>
                <c:pt idx="460">
                  <c:v>21.05.2024</c:v>
                </c:pt>
                <c:pt idx="461">
                  <c:v>20.05.2024</c:v>
                </c:pt>
                <c:pt idx="462">
                  <c:v>17.05.2024</c:v>
                </c:pt>
                <c:pt idx="463">
                  <c:v>16.05.2024</c:v>
                </c:pt>
                <c:pt idx="464">
                  <c:v>15.05.2024</c:v>
                </c:pt>
                <c:pt idx="465">
                  <c:v>14.05.2024</c:v>
                </c:pt>
                <c:pt idx="466">
                  <c:v>13.05.2024</c:v>
                </c:pt>
                <c:pt idx="467">
                  <c:v>10.05.2024</c:v>
                </c:pt>
                <c:pt idx="468">
                  <c:v>09.05.2024</c:v>
                </c:pt>
                <c:pt idx="469">
                  <c:v>08.05.2024</c:v>
                </c:pt>
                <c:pt idx="470">
                  <c:v>07.05.2024</c:v>
                </c:pt>
                <c:pt idx="471">
                  <c:v>06.05.2024</c:v>
                </c:pt>
                <c:pt idx="472">
                  <c:v>03.05.2024</c:v>
                </c:pt>
                <c:pt idx="473">
                  <c:v>02.05.2024</c:v>
                </c:pt>
                <c:pt idx="474">
                  <c:v>30.04.2024</c:v>
                </c:pt>
                <c:pt idx="475">
                  <c:v>29.04.2024</c:v>
                </c:pt>
                <c:pt idx="476">
                  <c:v>26.04.2024</c:v>
                </c:pt>
                <c:pt idx="477">
                  <c:v>25.04.2024</c:v>
                </c:pt>
                <c:pt idx="478">
                  <c:v>24.04.2024</c:v>
                </c:pt>
                <c:pt idx="479">
                  <c:v>23.04.2024</c:v>
                </c:pt>
                <c:pt idx="480">
                  <c:v>22.04.2024</c:v>
                </c:pt>
                <c:pt idx="481">
                  <c:v>19.04.2024</c:v>
                </c:pt>
                <c:pt idx="482">
                  <c:v>18.04.2024</c:v>
                </c:pt>
                <c:pt idx="483">
                  <c:v>17.04.2024</c:v>
                </c:pt>
                <c:pt idx="484">
                  <c:v>16.04.2024</c:v>
                </c:pt>
                <c:pt idx="485">
                  <c:v>15.04.2024</c:v>
                </c:pt>
                <c:pt idx="486">
                  <c:v>12.04.2024</c:v>
                </c:pt>
                <c:pt idx="487">
                  <c:v>11.04.2024</c:v>
                </c:pt>
                <c:pt idx="488">
                  <c:v>10.04.2024</c:v>
                </c:pt>
                <c:pt idx="489">
                  <c:v>09.04.2024</c:v>
                </c:pt>
                <c:pt idx="490">
                  <c:v>08.04.2024</c:v>
                </c:pt>
                <c:pt idx="491">
                  <c:v>05.04.2024</c:v>
                </c:pt>
                <c:pt idx="492">
                  <c:v>04.04.2024</c:v>
                </c:pt>
                <c:pt idx="493">
                  <c:v>03.04.2024</c:v>
                </c:pt>
                <c:pt idx="494">
                  <c:v>02.04.2024</c:v>
                </c:pt>
                <c:pt idx="495">
                  <c:v>28.03.2024</c:v>
                </c:pt>
                <c:pt idx="496">
                  <c:v>27.03.2024</c:v>
                </c:pt>
                <c:pt idx="497">
                  <c:v>26.03.2024</c:v>
                </c:pt>
                <c:pt idx="498">
                  <c:v>25.03.2024</c:v>
                </c:pt>
                <c:pt idx="499">
                  <c:v>22.03.2024</c:v>
                </c:pt>
                <c:pt idx="500">
                  <c:v>21.03.2024</c:v>
                </c:pt>
                <c:pt idx="501">
                  <c:v>20.03.2024</c:v>
                </c:pt>
                <c:pt idx="502">
                  <c:v>19.03.2024</c:v>
                </c:pt>
                <c:pt idx="503">
                  <c:v>18.03.2024</c:v>
                </c:pt>
                <c:pt idx="504">
                  <c:v>15.03.2024</c:v>
                </c:pt>
                <c:pt idx="505">
                  <c:v>14.03.2024</c:v>
                </c:pt>
              </c:strCache>
            </c:strRef>
          </c:xVal>
          <c:yVal>
            <c:numRef>
              <c:f>'Ejercicio 1 al 3'!$H$2:$H$507</c:f>
              <c:numCache>
                <c:formatCode>0.00%</c:formatCode>
                <c:ptCount val="506"/>
                <c:pt idx="0">
                  <c:v>-7.8883495145630982E-5</c:v>
                </c:pt>
                <c:pt idx="1">
                  <c:v>-5.0329538645895959E-5</c:v>
                </c:pt>
                <c:pt idx="2">
                  <c:v>0</c:v>
                </c:pt>
                <c:pt idx="3">
                  <c:v>1.1210348013551031E-4</c:v>
                </c:pt>
                <c:pt idx="4">
                  <c:v>-1.2529832935560893E-4</c:v>
                </c:pt>
                <c:pt idx="5">
                  <c:v>-6.6881783514227252E-5</c:v>
                </c:pt>
                <c:pt idx="6">
                  <c:v>-1.2865497076023136E-5</c:v>
                </c:pt>
                <c:pt idx="7">
                  <c:v>3.7780401416765307E-5</c:v>
                </c:pt>
                <c:pt idx="8">
                  <c:v>-1.2467829568201295E-4</c:v>
                </c:pt>
                <c:pt idx="9">
                  <c:v>-1.1767971135165168E-4</c:v>
                </c:pt>
                <c:pt idx="10">
                  <c:v>-2.8658032515844312E-5</c:v>
                </c:pt>
                <c:pt idx="11">
                  <c:v>3.8953811908736922E-5</c:v>
                </c:pt>
                <c:pt idx="12">
                  <c:v>-3.2017664918575496E-5</c:v>
                </c:pt>
                <c:pt idx="13">
                  <c:v>3.0033370411567618E-5</c:v>
                </c:pt>
                <c:pt idx="14">
                  <c:v>-9.2366204835642835E-5</c:v>
                </c:pt>
                <c:pt idx="15">
                  <c:v>9.3411175979984048E-5</c:v>
                </c:pt>
                <c:pt idx="16">
                  <c:v>-2.651201325600683E-5</c:v>
                </c:pt>
                <c:pt idx="17">
                  <c:v>5.0335570469798975E-5</c:v>
                </c:pt>
                <c:pt idx="18">
                  <c:v>2.2497187851517885E-5</c:v>
                </c:pt>
                <c:pt idx="19">
                  <c:v>-3.4569277948145681E-5</c:v>
                </c:pt>
                <c:pt idx="20">
                  <c:v>6.7020385367211338E-6</c:v>
                </c:pt>
                <c:pt idx="21">
                  <c:v>-3.3482142857144126E-6</c:v>
                </c:pt>
                <c:pt idx="22">
                  <c:v>-1.1157601115758808E-6</c:v>
                </c:pt>
                <c:pt idx="23">
                  <c:v>7.0394550099347697E-5</c:v>
                </c:pt>
                <c:pt idx="24">
                  <c:v>-3.4032898468518982E-6</c:v>
                </c:pt>
                <c:pt idx="25">
                  <c:v>-3.820224719101173E-5</c:v>
                </c:pt>
                <c:pt idx="26">
                  <c:v>-9.8630136986301408E-5</c:v>
                </c:pt>
                <c:pt idx="27">
                  <c:v>8.0491894913359724E-5</c:v>
                </c:pt>
                <c:pt idx="28">
                  <c:v>-5.4039150813344427E-5</c:v>
                </c:pt>
                <c:pt idx="29">
                  <c:v>3.3112582781456012E-6</c:v>
                </c:pt>
                <c:pt idx="30">
                  <c:v>-3.308519437551727E-6</c:v>
                </c:pt>
                <c:pt idx="31">
                  <c:v>0</c:v>
                </c:pt>
                <c:pt idx="32">
                  <c:v>0</c:v>
                </c:pt>
                <c:pt idx="33">
                  <c:v>-9.3699515347334114E-5</c:v>
                </c:pt>
                <c:pt idx="34">
                  <c:v>2.1551724137935935E-6</c:v>
                </c:pt>
                <c:pt idx="35">
                  <c:v>-5.7355284121083372E-5</c:v>
                </c:pt>
                <c:pt idx="36">
                  <c:v>1.7285318559556728E-4</c:v>
                </c:pt>
                <c:pt idx="37">
                  <c:v>5.1627384960718283E-5</c:v>
                </c:pt>
                <c:pt idx="38">
                  <c:v>-5.2063140404320141E-5</c:v>
                </c:pt>
                <c:pt idx="39">
                  <c:v>-1.4929352172753907E-4</c:v>
                </c:pt>
                <c:pt idx="40">
                  <c:v>-5.573080967402744E-5</c:v>
                </c:pt>
                <c:pt idx="41">
                  <c:v>-3.3368091762252307E-5</c:v>
                </c:pt>
                <c:pt idx="42">
                  <c:v>3.1529164477141158E-5</c:v>
                </c:pt>
                <c:pt idx="43">
                  <c:v>-2.0909566126502633E-5</c:v>
                </c:pt>
                <c:pt idx="44">
                  <c:v>-3.7286380113930486E-5</c:v>
                </c:pt>
                <c:pt idx="45">
                  <c:v>-1.0354646647687815E-6</c:v>
                </c:pt>
                <c:pt idx="46">
                  <c:v>-4.1375743470388748E-6</c:v>
                </c:pt>
                <c:pt idx="47">
                  <c:v>-3.181118522319082E-5</c:v>
                </c:pt>
                <c:pt idx="48">
                  <c:v>-4.062976130015272E-5</c:v>
                </c:pt>
                <c:pt idx="49">
                  <c:v>-1.0869565217391264E-4</c:v>
                </c:pt>
                <c:pt idx="50">
                  <c:v>5.611222444889741E-5</c:v>
                </c:pt>
                <c:pt idx="51">
                  <c:v>2.8254288597376666E-5</c:v>
                </c:pt>
                <c:pt idx="52">
                  <c:v>-1.006542526421761E-5</c:v>
                </c:pt>
                <c:pt idx="53">
                  <c:v>-1.1041405269761384E-5</c:v>
                </c:pt>
                <c:pt idx="54">
                  <c:v>-1.499999999999968E-5</c:v>
                </c:pt>
                <c:pt idx="55">
                  <c:v>-2.9977516862356168E-6</c:v>
                </c:pt>
                <c:pt idx="56">
                  <c:v>-2.1863354037266802E-5</c:v>
                </c:pt>
                <c:pt idx="57">
                  <c:v>-2.5672673413971837E-5</c:v>
                </c:pt>
                <c:pt idx="58">
                  <c:v>-4.5876037091264087E-5</c:v>
                </c:pt>
                <c:pt idx="59">
                  <c:v>1.1747430249632984E-5</c:v>
                </c:pt>
                <c:pt idx="60">
                  <c:v>-1.9483682415976754E-5</c:v>
                </c:pt>
                <c:pt idx="61">
                  <c:v>3.240854407071048E-5</c:v>
                </c:pt>
                <c:pt idx="62">
                  <c:v>-3.1181485992691991E-5</c:v>
                </c:pt>
                <c:pt idx="63">
                  <c:v>1.3688584698117624E-5</c:v>
                </c:pt>
                <c:pt idx="64">
                  <c:v>4.3489004200642611E-5</c:v>
                </c:pt>
                <c:pt idx="65">
                  <c:v>6.3253012048192223E-5</c:v>
                </c:pt>
                <c:pt idx="66">
                  <c:v>2.450719232818335E-4</c:v>
                </c:pt>
                <c:pt idx="67">
                  <c:v>-7.4448285030577211E-6</c:v>
                </c:pt>
                <c:pt idx="68">
                  <c:v>3.3243967828418875E-5</c:v>
                </c:pt>
                <c:pt idx="69">
                  <c:v>1.8314031780231056E-5</c:v>
                </c:pt>
                <c:pt idx="70">
                  <c:v>1.948579161028441E-5</c:v>
                </c:pt>
                <c:pt idx="71">
                  <c:v>2.7247956403269493E-5</c:v>
                </c:pt>
                <c:pt idx="72">
                  <c:v>2.1810250817884125E-6</c:v>
                </c:pt>
                <c:pt idx="73">
                  <c:v>6.2015503875969101E-5</c:v>
                </c:pt>
                <c:pt idx="74">
                  <c:v>3.8010061486863476E-5</c:v>
                </c:pt>
                <c:pt idx="75">
                  <c:v>4.2937853107344993E-5</c:v>
                </c:pt>
                <c:pt idx="76">
                  <c:v>-2.247191011236005E-5</c:v>
                </c:pt>
                <c:pt idx="77">
                  <c:v>-6.8470458310325726E-5</c:v>
                </c:pt>
                <c:pt idx="78">
                  <c:v>-8.7496624358628591E-5</c:v>
                </c:pt>
                <c:pt idx="79">
                  <c:v>-4.1688936397648479E-5</c:v>
                </c:pt>
                <c:pt idx="80">
                  <c:v>-3.2865094089583379E-5</c:v>
                </c:pt>
                <c:pt idx="81">
                  <c:v>4.8283261802574809E-5</c:v>
                </c:pt>
                <c:pt idx="82">
                  <c:v>8.884014258294481E-5</c:v>
                </c:pt>
                <c:pt idx="83">
                  <c:v>7.5998882369376905E-5</c:v>
                </c:pt>
                <c:pt idx="84">
                  <c:v>3.4949267192785353E-5</c:v>
                </c:pt>
                <c:pt idx="85">
                  <c:v>6.8807339449540979E-5</c:v>
                </c:pt>
                <c:pt idx="86">
                  <c:v>-3.9738858927050203E-5</c:v>
                </c:pt>
                <c:pt idx="87">
                  <c:v>6.4609172194980853E-5</c:v>
                </c:pt>
                <c:pt idx="88">
                  <c:v>-4.4495151169424045E-5</c:v>
                </c:pt>
                <c:pt idx="89">
                  <c:v>6.964596633778353E-5</c:v>
                </c:pt>
                <c:pt idx="90">
                  <c:v>-2.5374855824682462E-5</c:v>
                </c:pt>
                <c:pt idx="91">
                  <c:v>-9.3494790199943453E-5</c:v>
                </c:pt>
                <c:pt idx="92">
                  <c:v>4.4419134396355809E-5</c:v>
                </c:pt>
                <c:pt idx="93">
                  <c:v>0</c:v>
                </c:pt>
                <c:pt idx="94">
                  <c:v>5.0749711649364924E-5</c:v>
                </c:pt>
                <c:pt idx="95">
                  <c:v>2.6705370101596237E-5</c:v>
                </c:pt>
                <c:pt idx="96">
                  <c:v>-4.6390258045807546E-6</c:v>
                </c:pt>
                <c:pt idx="97">
                  <c:v>-3.2211676732815775E-5</c:v>
                </c:pt>
                <c:pt idx="98">
                  <c:v>2.8968713789107703E-5</c:v>
                </c:pt>
                <c:pt idx="99">
                  <c:v>3.5067212156634222E-5</c:v>
                </c:pt>
                <c:pt idx="100">
                  <c:v>2.7066784348336983E-5</c:v>
                </c:pt>
                <c:pt idx="101">
                  <c:v>2.9638411381149865E-5</c:v>
                </c:pt>
                <c:pt idx="102">
                  <c:v>2.7454491196658104E-5</c:v>
                </c:pt>
                <c:pt idx="103">
                  <c:v>-1.7825311942958778E-5</c:v>
                </c:pt>
                <c:pt idx="104">
                  <c:v>4.9323308270675881E-5</c:v>
                </c:pt>
                <c:pt idx="105">
                  <c:v>-6.042654028436001E-5</c:v>
                </c:pt>
                <c:pt idx="106">
                  <c:v>5.9329575793531934E-6</c:v>
                </c:pt>
                <c:pt idx="107">
                  <c:v>-8.2510168506682465E-5</c:v>
                </c:pt>
                <c:pt idx="108">
                  <c:v>1.7508024511234231E-5</c:v>
                </c:pt>
                <c:pt idx="109">
                  <c:v>2.3357664233580878E-6</c:v>
                </c:pt>
                <c:pt idx="110">
                  <c:v>4.6769950306924099E-6</c:v>
                </c:pt>
                <c:pt idx="111">
                  <c:v>5.5720213396561748E-5</c:v>
                </c:pt>
                <c:pt idx="112">
                  <c:v>3.4678624813153645E-5</c:v>
                </c:pt>
                <c:pt idx="113">
                  <c:v>-3.5842293906802602E-6</c:v>
                </c:pt>
                <c:pt idx="114">
                  <c:v>3.8600723763570597E-5</c:v>
                </c:pt>
                <c:pt idx="115">
                  <c:v>1.5743263699666166E-5</c:v>
                </c:pt>
                <c:pt idx="116">
                  <c:v>-1.2073649260489372E-5</c:v>
                </c:pt>
                <c:pt idx="117">
                  <c:v>7.2573329301484084E-6</c:v>
                </c:pt>
                <c:pt idx="118">
                  <c:v>1.0043397396156273E-4</c:v>
                </c:pt>
                <c:pt idx="119">
                  <c:v>-3.2887624466571854E-4</c:v>
                </c:pt>
                <c:pt idx="120">
                  <c:v>-5.6818181818187871E-6</c:v>
                </c:pt>
                <c:pt idx="121">
                  <c:v>-6.0436485730273937E-5</c:v>
                </c:pt>
                <c:pt idx="122">
                  <c:v>-2.9991668980838161E-5</c:v>
                </c:pt>
                <c:pt idx="123">
                  <c:v>-2.7578599007170636E-5</c:v>
                </c:pt>
                <c:pt idx="124">
                  <c:v>-1.1028398125176865E-6</c:v>
                </c:pt>
                <c:pt idx="125">
                  <c:v>-4.2553191489361101E-5</c:v>
                </c:pt>
                <c:pt idx="126">
                  <c:v>7.107162687395796E-5</c:v>
                </c:pt>
                <c:pt idx="127">
                  <c:v>-2.5379310344827211E-5</c:v>
                </c:pt>
                <c:pt idx="128">
                  <c:v>-5.5096418732780702E-6</c:v>
                </c:pt>
                <c:pt idx="129">
                  <c:v>1.6597510373443923E-5</c:v>
                </c:pt>
                <c:pt idx="130">
                  <c:v>5.1555057439058416E-5</c:v>
                </c:pt>
                <c:pt idx="131">
                  <c:v>-4.7619047619047451E-5</c:v>
                </c:pt>
                <c:pt idx="132">
                  <c:v>2.9001673173452148E-5</c:v>
                </c:pt>
                <c:pt idx="133">
                  <c:v>-6.0422960725075027E-5</c:v>
                </c:pt>
                <c:pt idx="134">
                  <c:v>2.1984061555366809E-6</c:v>
                </c:pt>
                <c:pt idx="135">
                  <c:v>-3.0542677938369511E-5</c:v>
                </c:pt>
                <c:pt idx="136">
                  <c:v>-1.7377138202551823E-5</c:v>
                </c:pt>
                <c:pt idx="137">
                  <c:v>-6.4119690088164645E-5</c:v>
                </c:pt>
                <c:pt idx="138">
                  <c:v>-1.172083111347888E-5</c:v>
                </c:pt>
                <c:pt idx="139">
                  <c:v>-2.4357956049775531E-5</c:v>
                </c:pt>
                <c:pt idx="140">
                  <c:v>4.3897216274090491E-5</c:v>
                </c:pt>
                <c:pt idx="141">
                  <c:v>6.4343163538875811E-6</c:v>
                </c:pt>
                <c:pt idx="142">
                  <c:v>1.8314031780231056E-5</c:v>
                </c:pt>
                <c:pt idx="143">
                  <c:v>9.3715545755237002E-5</c:v>
                </c:pt>
                <c:pt idx="144">
                  <c:v>-4.146208401527485E-5</c:v>
                </c:pt>
                <c:pt idx="145">
                  <c:v>1.2038303693570285E-5</c:v>
                </c:pt>
                <c:pt idx="146">
                  <c:v>-7.6460950300383252E-6</c:v>
                </c:pt>
                <c:pt idx="147">
                  <c:v>4.3058239028429313E-5</c:v>
                </c:pt>
                <c:pt idx="148">
                  <c:v>5.5279159756764787E-6</c:v>
                </c:pt>
                <c:pt idx="149">
                  <c:v>3.2320980774589001E-5</c:v>
                </c:pt>
                <c:pt idx="150">
                  <c:v>7.7250781028117107E-5</c:v>
                </c:pt>
                <c:pt idx="151">
                  <c:v>2.515004286939071E-5</c:v>
                </c:pt>
                <c:pt idx="152">
                  <c:v>2.7625899280575794E-5</c:v>
                </c:pt>
                <c:pt idx="153">
                  <c:v>5.957943925233611E-5</c:v>
                </c:pt>
                <c:pt idx="154">
                  <c:v>-4.9610614364003601E-5</c:v>
                </c:pt>
                <c:pt idx="155">
                  <c:v>-7.4724030568921402E-5</c:v>
                </c:pt>
                <c:pt idx="156">
                  <c:v>-2.3635340461451993E-5</c:v>
                </c:pt>
                <c:pt idx="157">
                  <c:v>-6.4230343300110344E-5</c:v>
                </c:pt>
                <c:pt idx="158">
                  <c:v>-2.7495188342040233E-5</c:v>
                </c:pt>
                <c:pt idx="159">
                  <c:v>-8.1874495017506541E-5</c:v>
                </c:pt>
                <c:pt idx="160">
                  <c:v>1.2440988614273874E-4</c:v>
                </c:pt>
                <c:pt idx="161">
                  <c:v>2.0094892548144119E-5</c:v>
                </c:pt>
                <c:pt idx="162">
                  <c:v>1.9186896753436677E-4</c:v>
                </c:pt>
                <c:pt idx="163">
                  <c:v>-1.8631732168850503E-5</c:v>
                </c:pt>
                <c:pt idx="164">
                  <c:v>2.9325513196480915E-5</c:v>
                </c:pt>
                <c:pt idx="165">
                  <c:v>-1.1695906432748871E-5</c:v>
                </c:pt>
                <c:pt idx="166">
                  <c:v>1.1730205278592366E-5</c:v>
                </c:pt>
                <c:pt idx="167">
                  <c:v>-5.894250216700359E-5</c:v>
                </c:pt>
                <c:pt idx="168">
                  <c:v>3.37995337995336E-5</c:v>
                </c:pt>
                <c:pt idx="169">
                  <c:v>-6.5348237317282903E-5</c:v>
                </c:pt>
                <c:pt idx="170">
                  <c:v>1.7271157167529694E-5</c:v>
                </c:pt>
                <c:pt idx="171">
                  <c:v>7.9859072225484161E-5</c:v>
                </c:pt>
                <c:pt idx="172">
                  <c:v>4.7031158142267769E-6</c:v>
                </c:pt>
                <c:pt idx="173">
                  <c:v>4.0380047505938598E-5</c:v>
                </c:pt>
                <c:pt idx="174">
                  <c:v>2.3767082590619995E-6</c:v>
                </c:pt>
                <c:pt idx="175">
                  <c:v>-6.6608238387379616E-5</c:v>
                </c:pt>
                <c:pt idx="176">
                  <c:v>1.0544815465729052E-5</c:v>
                </c:pt>
                <c:pt idx="177">
                  <c:v>5.2225519287833148E-5</c:v>
                </c:pt>
                <c:pt idx="178">
                  <c:v>1.1872959335121892E-6</c:v>
                </c:pt>
                <c:pt idx="179">
                  <c:v>-5.8496636443404526E-5</c:v>
                </c:pt>
                <c:pt idx="180">
                  <c:v>1.3797276853252694E-4</c:v>
                </c:pt>
                <c:pt idx="181">
                  <c:v>-5.2553000895790179E-5</c:v>
                </c:pt>
                <c:pt idx="182">
                  <c:v>-2.0202020202019444E-5</c:v>
                </c:pt>
                <c:pt idx="183">
                  <c:v>6.5217391304347671E-5</c:v>
                </c:pt>
                <c:pt idx="184">
                  <c:v>-1.444043321299704E-5</c:v>
                </c:pt>
                <c:pt idx="185">
                  <c:v>2.6650514839491101E-5</c:v>
                </c:pt>
                <c:pt idx="186">
                  <c:v>-1.5686274509803423E-5</c:v>
                </c:pt>
                <c:pt idx="187">
                  <c:v>-9.6298525428828446E-6</c:v>
                </c:pt>
                <c:pt idx="188">
                  <c:v>-5.6956392761792431E-5</c:v>
                </c:pt>
                <c:pt idx="189">
                  <c:v>-1.7720023626698112E-5</c:v>
                </c:pt>
                <c:pt idx="190">
                  <c:v>-5.5911473500291467E-5</c:v>
                </c:pt>
                <c:pt idx="191">
                  <c:v>-2.5462962962962799E-5</c:v>
                </c:pt>
                <c:pt idx="192">
                  <c:v>-2.0725388601036345E-5</c:v>
                </c:pt>
                <c:pt idx="193">
                  <c:v>5.0131157097056621E-5</c:v>
                </c:pt>
                <c:pt idx="194">
                  <c:v>2.9359953024075124E-5</c:v>
                </c:pt>
                <c:pt idx="195">
                  <c:v>-4.872389791183229E-5</c:v>
                </c:pt>
                <c:pt idx="196">
                  <c:v>1.8648018648018017E-5</c:v>
                </c:pt>
                <c:pt idx="197">
                  <c:v>-1.0462074978203617E-5</c:v>
                </c:pt>
                <c:pt idx="198">
                  <c:v>-5.8038305281491456E-6</c:v>
                </c:pt>
                <c:pt idx="199">
                  <c:v>-7.2934472934472973E-5</c:v>
                </c:pt>
                <c:pt idx="200">
                  <c:v>-4.1725401747955803E-5</c:v>
                </c:pt>
                <c:pt idx="201">
                  <c:v>1.4714204867005698E-5</c:v>
                </c:pt>
                <c:pt idx="202">
                  <c:v>2.7350427350427253E-5</c:v>
                </c:pt>
                <c:pt idx="203">
                  <c:v>-2.1535845848682291E-5</c:v>
                </c:pt>
                <c:pt idx="204">
                  <c:v>-1.304824561403506E-4</c:v>
                </c:pt>
                <c:pt idx="205">
                  <c:v>-9.3172690763052574E-5</c:v>
                </c:pt>
                <c:pt idx="206">
                  <c:v>-4.0286244367876642E-5</c:v>
                </c:pt>
                <c:pt idx="207">
                  <c:v>-2.4236037934668444E-5</c:v>
                </c:pt>
                <c:pt idx="208">
                  <c:v>7.1869133816036877E-5</c:v>
                </c:pt>
                <c:pt idx="209">
                  <c:v>-6.3341250989707115E-5</c:v>
                </c:pt>
                <c:pt idx="210">
                  <c:v>-9.4786729857814228E-6</c:v>
                </c:pt>
                <c:pt idx="211">
                  <c:v>-4.2719458192237883E-5</c:v>
                </c:pt>
                <c:pt idx="212">
                  <c:v>3.150433184562829E-5</c:v>
                </c:pt>
                <c:pt idx="213">
                  <c:v>8.4718498659517756E-5</c:v>
                </c:pt>
                <c:pt idx="214">
                  <c:v>-7.4926411560074512E-6</c:v>
                </c:pt>
                <c:pt idx="215">
                  <c:v>3.5637149028077352E-5</c:v>
                </c:pt>
                <c:pt idx="216">
                  <c:v>4.366812227074224E-5</c:v>
                </c:pt>
                <c:pt idx="217">
                  <c:v>-2.1822149481720566E-6</c:v>
                </c:pt>
                <c:pt idx="218">
                  <c:v>2.3045267489711032E-5</c:v>
                </c:pt>
                <c:pt idx="219">
                  <c:v>-3.3732317736669957E-5</c:v>
                </c:pt>
                <c:pt idx="220">
                  <c:v>6.524744263201487E-5</c:v>
                </c:pt>
                <c:pt idx="221">
                  <c:v>-6.6340402392604418E-5</c:v>
                </c:pt>
                <c:pt idx="222">
                  <c:v>1.0878433505574492E-6</c:v>
                </c:pt>
                <c:pt idx="223">
                  <c:v>2.958904109589078E-5</c:v>
                </c:pt>
                <c:pt idx="224">
                  <c:v>5.7809894385770558E-5</c:v>
                </c:pt>
                <c:pt idx="225">
                  <c:v>7.8209124397845997E-5</c:v>
                </c:pt>
                <c:pt idx="226">
                  <c:v>6.215827338129465E-5</c:v>
                </c:pt>
                <c:pt idx="227">
                  <c:v>1.185185185185187E-4</c:v>
                </c:pt>
                <c:pt idx="228">
                  <c:v>5.5271853409432301E-5</c:v>
                </c:pt>
                <c:pt idx="229">
                  <c:v>-3.808390360011904E-5</c:v>
                </c:pt>
                <c:pt idx="230">
                  <c:v>8.2599453385970639E-5</c:v>
                </c:pt>
                <c:pt idx="231">
                  <c:v>6.6687249150972687E-5</c:v>
                </c:pt>
                <c:pt idx="232">
                  <c:v>6.1442006269592402E-5</c:v>
                </c:pt>
                <c:pt idx="233">
                  <c:v>5.4655227200508527E-5</c:v>
                </c:pt>
                <c:pt idx="234">
                  <c:v>-7.7282642567778835E-5</c:v>
                </c:pt>
                <c:pt idx="235">
                  <c:v>-1.3664596273291974E-5</c:v>
                </c:pt>
                <c:pt idx="236">
                  <c:v>-6.2366248853561231E-5</c:v>
                </c:pt>
                <c:pt idx="237">
                  <c:v>-1.0014903129657204E-4</c:v>
                </c:pt>
                <c:pt idx="238">
                  <c:v>-1.0901710640765483E-4</c:v>
                </c:pt>
                <c:pt idx="239">
                  <c:v>5.8072009291523231E-6</c:v>
                </c:pt>
                <c:pt idx="240">
                  <c:v>-1.3888888888889284E-5</c:v>
                </c:pt>
                <c:pt idx="241">
                  <c:v>-1.3206491326245119E-4</c:v>
                </c:pt>
                <c:pt idx="242">
                  <c:v>-7.683863885839682E-5</c:v>
                </c:pt>
                <c:pt idx="243">
                  <c:v>-1.0058855002675271E-4</c:v>
                </c:pt>
                <c:pt idx="244">
                  <c:v>-3.3952254641909985E-5</c:v>
                </c:pt>
                <c:pt idx="245">
                  <c:v>2.2405974926646977E-5</c:v>
                </c:pt>
                <c:pt idx="246">
                  <c:v>1.3918629550321526E-5</c:v>
                </c:pt>
                <c:pt idx="247">
                  <c:v>-3.2917440934430607E-5</c:v>
                </c:pt>
                <c:pt idx="248">
                  <c:v>-1.0041407867494811E-4</c:v>
                </c:pt>
                <c:pt idx="249">
                  <c:v>-6.0158042314554905E-5</c:v>
                </c:pt>
                <c:pt idx="250">
                  <c:v>1.0462987182840689E-4</c:v>
                </c:pt>
                <c:pt idx="251">
                  <c:v>2.2093634928983975E-5</c:v>
                </c:pt>
                <c:pt idx="252">
                  <c:v>-1.0493179433367583E-5</c:v>
                </c:pt>
                <c:pt idx="253">
                  <c:v>-5.6891647271787527E-5</c:v>
                </c:pt>
                <c:pt idx="254">
                  <c:v>-3.2828930494998691E-5</c:v>
                </c:pt>
                <c:pt idx="255">
                  <c:v>-6.0621369032584304E-5</c:v>
                </c:pt>
                <c:pt idx="256">
                  <c:v>6.6769388803288092E-5</c:v>
                </c:pt>
                <c:pt idx="257">
                  <c:v>-2.2471910112359606E-5</c:v>
                </c:pt>
                <c:pt idx="258">
                  <c:v>1.395348837209296E-4</c:v>
                </c:pt>
                <c:pt idx="259">
                  <c:v>3.4115138592750504E-5</c:v>
                </c:pt>
                <c:pt idx="260">
                  <c:v>-1.4388489208633093E-4</c:v>
                </c:pt>
                <c:pt idx="261">
                  <c:v>1.4373170082512666E-4</c:v>
                </c:pt>
                <c:pt idx="262">
                  <c:v>-2.3286583752315516E-5</c:v>
                </c:pt>
                <c:pt idx="263">
                  <c:v>-1.330263494499877E-4</c:v>
                </c:pt>
                <c:pt idx="264">
                  <c:v>4.9728049728050117E-5</c:v>
                </c:pt>
                <c:pt idx="265">
                  <c:v>9.8726114649681841E-5</c:v>
                </c:pt>
                <c:pt idx="266">
                  <c:v>7.4614760746147366E-5</c:v>
                </c:pt>
                <c:pt idx="267">
                  <c:v>5.0369559266356667E-5</c:v>
                </c:pt>
                <c:pt idx="268">
                  <c:v>-4.3325209856484915E-5</c:v>
                </c:pt>
                <c:pt idx="269">
                  <c:v>-1.105845181674563E-4</c:v>
                </c:pt>
                <c:pt idx="270">
                  <c:v>-8.4077771939048421E-6</c:v>
                </c:pt>
                <c:pt idx="271">
                  <c:v>-3.1504331845630953E-6</c:v>
                </c:pt>
                <c:pt idx="272">
                  <c:v>2.3237391074729886E-5</c:v>
                </c:pt>
                <c:pt idx="273">
                  <c:v>1.7300275482093675E-4</c:v>
                </c:pt>
                <c:pt idx="274">
                  <c:v>4.4125758411475148E-6</c:v>
                </c:pt>
                <c:pt idx="275">
                  <c:v>-6.6178464876593508E-5</c:v>
                </c:pt>
                <c:pt idx="276">
                  <c:v>2.2913256955810368E-5</c:v>
                </c:pt>
                <c:pt idx="277">
                  <c:v>-8.0192461908580538E-5</c:v>
                </c:pt>
                <c:pt idx="278">
                  <c:v>5.199025182778172E-5</c:v>
                </c:pt>
                <c:pt idx="279">
                  <c:v>-5.4487179487179292E-5</c:v>
                </c:pt>
                <c:pt idx="280">
                  <c:v>-1.2779552715655563E-5</c:v>
                </c:pt>
                <c:pt idx="281">
                  <c:v>-6.7015706806282889E-5</c:v>
                </c:pt>
                <c:pt idx="282">
                  <c:v>3.1662269129288492E-5</c:v>
                </c:pt>
                <c:pt idx="283">
                  <c:v>4.0511727078890834E-5</c:v>
                </c:pt>
                <c:pt idx="284">
                  <c:v>-1.6985138004245836E-5</c:v>
                </c:pt>
                <c:pt idx="285">
                  <c:v>6.3795853269539296E-6</c:v>
                </c:pt>
                <c:pt idx="286">
                  <c:v>3.3235057625301323E-5</c:v>
                </c:pt>
                <c:pt idx="287">
                  <c:v>3.3513513513513615E-5</c:v>
                </c:pt>
                <c:pt idx="288">
                  <c:v>9.7534543484156796E-6</c:v>
                </c:pt>
                <c:pt idx="289">
                  <c:v>-2.1557531662625085E-5</c:v>
                </c:pt>
                <c:pt idx="290">
                  <c:v>1.0807889759524513E-5</c:v>
                </c:pt>
                <c:pt idx="291">
                  <c:v>5.3669222343920352E-5</c:v>
                </c:pt>
                <c:pt idx="292">
                  <c:v>4.3859649122817145E-6</c:v>
                </c:pt>
                <c:pt idx="293">
                  <c:v>-8.7527352297600561E-6</c:v>
                </c:pt>
                <c:pt idx="294">
                  <c:v>7.5808249721292855E-5</c:v>
                </c:pt>
                <c:pt idx="295">
                  <c:v>0</c:v>
                </c:pt>
                <c:pt idx="296">
                  <c:v>1.7917133258679385E-5</c:v>
                </c:pt>
                <c:pt idx="297">
                  <c:v>1.3483146067415853E-5</c:v>
                </c:pt>
                <c:pt idx="298">
                  <c:v>-7.9295154185021757E-5</c:v>
                </c:pt>
                <c:pt idx="299">
                  <c:v>-2.2994798795510806E-5</c:v>
                </c:pt>
                <c:pt idx="300">
                  <c:v>-9.8306936100489577E-6</c:v>
                </c:pt>
                <c:pt idx="301">
                  <c:v>7.1150639244024205E-5</c:v>
                </c:pt>
                <c:pt idx="302">
                  <c:v>-3.0888030888030828E-5</c:v>
                </c:pt>
                <c:pt idx="303">
                  <c:v>-9.903713892710275E-6</c:v>
                </c:pt>
                <c:pt idx="304">
                  <c:v>2.8816846771959171E-5</c:v>
                </c:pt>
                <c:pt idx="305">
                  <c:v>1.034678794769759E-4</c:v>
                </c:pt>
                <c:pt idx="306">
                  <c:v>-6.4876957494406807E-5</c:v>
                </c:pt>
                <c:pt idx="307">
                  <c:v>1.5721504772599815E-5</c:v>
                </c:pt>
                <c:pt idx="308">
                  <c:v>-2.7878449958182116E-5</c:v>
                </c:pt>
                <c:pt idx="309">
                  <c:v>2.0173718128327245E-5</c:v>
                </c:pt>
                <c:pt idx="310">
                  <c:v>5.3378762067007205E-5</c:v>
                </c:pt>
                <c:pt idx="311">
                  <c:v>-8.7753401832824093E-5</c:v>
                </c:pt>
                <c:pt idx="312">
                  <c:v>1.6731734523145469E-5</c:v>
                </c:pt>
                <c:pt idx="313">
                  <c:v>1.4553596417576919E-5</c:v>
                </c:pt>
                <c:pt idx="314">
                  <c:v>2.2402688322591404E-6</c:v>
                </c:pt>
                <c:pt idx="315">
                  <c:v>2.5930101465615252E-5</c:v>
                </c:pt>
                <c:pt idx="316">
                  <c:v>6.6475644699139915E-5</c:v>
                </c:pt>
                <c:pt idx="317">
                  <c:v>2.7697634160415596E-5</c:v>
                </c:pt>
                <c:pt idx="318">
                  <c:v>1.505936866492874E-5</c:v>
                </c:pt>
                <c:pt idx="319">
                  <c:v>3.2700729927007009E-5</c:v>
                </c:pt>
                <c:pt idx="320">
                  <c:v>-3.3584250144759407E-5</c:v>
                </c:pt>
                <c:pt idx="321">
                  <c:v>-9.2432120161753945E-6</c:v>
                </c:pt>
                <c:pt idx="322">
                  <c:v>3.6141066744388443E-5</c:v>
                </c:pt>
                <c:pt idx="323">
                  <c:v>3.6470588235294697E-5</c:v>
                </c:pt>
                <c:pt idx="324">
                  <c:v>1.6538688718251927E-5</c:v>
                </c:pt>
                <c:pt idx="325">
                  <c:v>-7.9884225759768054E-5</c:v>
                </c:pt>
                <c:pt idx="326">
                  <c:v>3.150525087514566E-5</c:v>
                </c:pt>
                <c:pt idx="327">
                  <c:v>3.7691401648999089E-5</c:v>
                </c:pt>
                <c:pt idx="328">
                  <c:v>-3.0391583869082251E-5</c:v>
                </c:pt>
                <c:pt idx="329">
                  <c:v>-7.2309899569584338E-5</c:v>
                </c:pt>
                <c:pt idx="330">
                  <c:v>-4.3145046835083359E-5</c:v>
                </c:pt>
                <c:pt idx="331">
                  <c:v>-3.9347948285553883E-5</c:v>
                </c:pt>
                <c:pt idx="332">
                  <c:v>6.3963449457451912E-5</c:v>
                </c:pt>
                <c:pt idx="333">
                  <c:v>7.3277115440535396E-5</c:v>
                </c:pt>
                <c:pt idx="334">
                  <c:v>-2.4665757162346493E-4</c:v>
                </c:pt>
                <c:pt idx="335">
                  <c:v>-2.9252437703142232E-5</c:v>
                </c:pt>
                <c:pt idx="336">
                  <c:v>-6.4899945916705452E-6</c:v>
                </c:pt>
                <c:pt idx="337">
                  <c:v>-7.5351552135844997E-5</c:v>
                </c:pt>
                <c:pt idx="338">
                  <c:v>8.5636856368563659E-5</c:v>
                </c:pt>
                <c:pt idx="339">
                  <c:v>-1.482254697286014E-4</c:v>
                </c:pt>
                <c:pt idx="340">
                  <c:v>-1.0435690060002224E-6</c:v>
                </c:pt>
                <c:pt idx="341">
                  <c:v>1.0462987182840777E-5</c:v>
                </c:pt>
                <c:pt idx="342">
                  <c:v>1.0490427484919351E-5</c:v>
                </c:pt>
                <c:pt idx="343">
                  <c:v>-2.6055237102657448E-5</c:v>
                </c:pt>
                <c:pt idx="344">
                  <c:v>-6.2434963579600659E-6</c:v>
                </c:pt>
                <c:pt idx="345">
                  <c:v>-1.2792747418786243E-4</c:v>
                </c:pt>
                <c:pt idx="346">
                  <c:v>-6.5395095367847049E-5</c:v>
                </c:pt>
                <c:pt idx="347">
                  <c:v>2.8942115768463062E-5</c:v>
                </c:pt>
                <c:pt idx="348">
                  <c:v>4.3379571248423509E-5</c:v>
                </c:pt>
                <c:pt idx="349">
                  <c:v>-2.1073758153537627E-5</c:v>
                </c:pt>
                <c:pt idx="350">
                  <c:v>-7.0122714750815444E-6</c:v>
                </c:pt>
                <c:pt idx="351">
                  <c:v>-3.0815109343936611E-5</c:v>
                </c:pt>
                <c:pt idx="352">
                  <c:v>5.7474161835139981E-5</c:v>
                </c:pt>
                <c:pt idx="353">
                  <c:v>-4.0292117854443537E-6</c:v>
                </c:pt>
                <c:pt idx="354">
                  <c:v>-1.00704934541751E-6</c:v>
                </c:pt>
                <c:pt idx="355">
                  <c:v>-1.404917210235812E-5</c:v>
                </c:pt>
                <c:pt idx="356">
                  <c:v>2.0080321285140814E-6</c:v>
                </c:pt>
                <c:pt idx="357">
                  <c:v>-1.0037641154325706E-6</c:v>
                </c:pt>
                <c:pt idx="358">
                  <c:v>-8.0140245429500831E-6</c:v>
                </c:pt>
                <c:pt idx="359">
                  <c:v>3.02800908402725E-5</c:v>
                </c:pt>
                <c:pt idx="360">
                  <c:v>-4.0959040959040574E-5</c:v>
                </c:pt>
                <c:pt idx="361">
                  <c:v>2.2099447513811655E-5</c:v>
                </c:pt>
                <c:pt idx="362">
                  <c:v>6.9494123658660808E-5</c:v>
                </c:pt>
                <c:pt idx="363">
                  <c:v>-1.4289233801428969E-4</c:v>
                </c:pt>
                <c:pt idx="364">
                  <c:v>-1.4727540500736326E-5</c:v>
                </c:pt>
                <c:pt idx="365">
                  <c:v>-3.3106134371956756E-5</c:v>
                </c:pt>
                <c:pt idx="366">
                  <c:v>-1.1444786001418805E-4</c:v>
                </c:pt>
                <c:pt idx="367">
                  <c:v>8.7965200579989577E-5</c:v>
                </c:pt>
                <c:pt idx="368">
                  <c:v>5.6862745098039906E-5</c:v>
                </c:pt>
                <c:pt idx="369">
                  <c:v>-4.0756914119359778E-5</c:v>
                </c:pt>
                <c:pt idx="370">
                  <c:v>6.2084257206207922E-5</c:v>
                </c:pt>
                <c:pt idx="371">
                  <c:v>7.837226827430311E-5</c:v>
                </c:pt>
                <c:pt idx="372">
                  <c:v>-1.1420204978037996E-4</c:v>
                </c:pt>
                <c:pt idx="373">
                  <c:v>3.3464566929133356E-5</c:v>
                </c:pt>
                <c:pt idx="374">
                  <c:v>3.9761431411530883E-5</c:v>
                </c:pt>
                <c:pt idx="375">
                  <c:v>4.7271812924314814E-5</c:v>
                </c:pt>
                <c:pt idx="376">
                  <c:v>-2.0105554159330907E-6</c:v>
                </c:pt>
                <c:pt idx="377">
                  <c:v>1.0100489564545168E-4</c:v>
                </c:pt>
                <c:pt idx="378">
                  <c:v>3.0943785456418739E-6</c:v>
                </c:pt>
                <c:pt idx="379">
                  <c:v>4.1688379364251741E-5</c:v>
                </c:pt>
                <c:pt idx="380">
                  <c:v>-1.1734951947395001E-4</c:v>
                </c:pt>
                <c:pt idx="381">
                  <c:v>3.2636409994900359E-5</c:v>
                </c:pt>
                <c:pt idx="382">
                  <c:v>-8.3874188716924985E-5</c:v>
                </c:pt>
                <c:pt idx="383">
                  <c:v>1.6040100250626745E-5</c:v>
                </c:pt>
                <c:pt idx="384">
                  <c:v>-4.1666666666666963E-5</c:v>
                </c:pt>
                <c:pt idx="385">
                  <c:v>-5.5759354365370495E-5</c:v>
                </c:pt>
                <c:pt idx="386">
                  <c:v>2.1637570690926644E-5</c:v>
                </c:pt>
                <c:pt idx="387">
                  <c:v>-7.8527607361960071E-6</c:v>
                </c:pt>
                <c:pt idx="388">
                  <c:v>1.6757023164120533E-5</c:v>
                </c:pt>
                <c:pt idx="389">
                  <c:v>-1.8641157714005985E-5</c:v>
                </c:pt>
                <c:pt idx="390">
                  <c:v>-3.9206076941926682E-6</c:v>
                </c:pt>
                <c:pt idx="391">
                  <c:v>3.9244542555803006E-6</c:v>
                </c:pt>
                <c:pt idx="392">
                  <c:v>2.4679170779862147E-5</c:v>
                </c:pt>
                <c:pt idx="393">
                  <c:v>1.088839396189112E-5</c:v>
                </c:pt>
                <c:pt idx="394">
                  <c:v>2.690582959641219E-5</c:v>
                </c:pt>
                <c:pt idx="395">
                  <c:v>-1.8844532606000276E-5</c:v>
                </c:pt>
                <c:pt idx="396">
                  <c:v>4.0070122714750411E-5</c:v>
                </c:pt>
                <c:pt idx="397">
                  <c:v>1.5082956259426794E-5</c:v>
                </c:pt>
                <c:pt idx="398">
                  <c:v>7.3732718894008902E-5</c:v>
                </c:pt>
                <c:pt idx="399">
                  <c:v>3.5123966942149033E-5</c:v>
                </c:pt>
                <c:pt idx="400">
                  <c:v>2.704108164326513E-5</c:v>
                </c:pt>
                <c:pt idx="401">
                  <c:v>-2.2750775594622574E-5</c:v>
                </c:pt>
                <c:pt idx="402">
                  <c:v>-8.2559339525283278E-6</c:v>
                </c:pt>
                <c:pt idx="403">
                  <c:v>-7.2109193922225146E-6</c:v>
                </c:pt>
                <c:pt idx="404">
                  <c:v>4.3738609737047799E-5</c:v>
                </c:pt>
                <c:pt idx="405">
                  <c:v>-4.530244530244598E-5</c:v>
                </c:pt>
                <c:pt idx="406">
                  <c:v>-1.0526315789473673E-4</c:v>
                </c:pt>
                <c:pt idx="407">
                  <c:v>-5.3412462908011717E-5</c:v>
                </c:pt>
                <c:pt idx="408">
                  <c:v>-8.6135978707960529E-5</c:v>
                </c:pt>
                <c:pt idx="409">
                  <c:v>-6.763285024154797E-6</c:v>
                </c:pt>
                <c:pt idx="410">
                  <c:v>-5.7887120115776017E-6</c:v>
                </c:pt>
                <c:pt idx="411">
                  <c:v>3.8628681796231136E-6</c:v>
                </c:pt>
                <c:pt idx="412">
                  <c:v>-3.859141341051586E-6</c:v>
                </c:pt>
                <c:pt idx="413">
                  <c:v>2.4265954865324348E-5</c:v>
                </c:pt>
                <c:pt idx="414">
                  <c:v>-2.4119633381572746E-5</c:v>
                </c:pt>
                <c:pt idx="415">
                  <c:v>-1.1615925058548049E-4</c:v>
                </c:pt>
                <c:pt idx="416">
                  <c:v>1.5988713849047541E-5</c:v>
                </c:pt>
                <c:pt idx="417">
                  <c:v>-6.7498844197872994E-5</c:v>
                </c:pt>
                <c:pt idx="418">
                  <c:v>3.7330844610359296E-5</c:v>
                </c:pt>
                <c:pt idx="419">
                  <c:v>-1.395024412927226E-5</c:v>
                </c:pt>
                <c:pt idx="420">
                  <c:v>-3.6857866850955826E-5</c:v>
                </c:pt>
                <c:pt idx="421">
                  <c:v>-4.6019328117812283E-6</c:v>
                </c:pt>
                <c:pt idx="422">
                  <c:v>1.9421965317919287E-5</c:v>
                </c:pt>
                <c:pt idx="423">
                  <c:v>4.4891278933832271E-5</c:v>
                </c:pt>
                <c:pt idx="424">
                  <c:v>9.3742676353407713E-6</c:v>
                </c:pt>
                <c:pt idx="425">
                  <c:v>-1.4012143858010084E-5</c:v>
                </c:pt>
                <c:pt idx="426">
                  <c:v>0</c:v>
                </c:pt>
                <c:pt idx="427">
                  <c:v>-8.3896527615938696E-6</c:v>
                </c:pt>
                <c:pt idx="428">
                  <c:v>2.0613726868118575E-5</c:v>
                </c:pt>
                <c:pt idx="429">
                  <c:v>4.3570921146105056E-5</c:v>
                </c:pt>
                <c:pt idx="430">
                  <c:v>-9.4495629577133766E-6</c:v>
                </c:pt>
                <c:pt idx="431">
                  <c:v>1.1371712864249872E-5</c:v>
                </c:pt>
                <c:pt idx="432">
                  <c:v>3.9234449760765954E-5</c:v>
                </c:pt>
                <c:pt idx="433">
                  <c:v>-3.8853352286188247E-5</c:v>
                </c:pt>
                <c:pt idx="434">
                  <c:v>-4.5901639344262611E-5</c:v>
                </c:pt>
                <c:pt idx="435">
                  <c:v>-2.2356776897996867E-5</c:v>
                </c:pt>
                <c:pt idx="436">
                  <c:v>3.5714285714285588E-5</c:v>
                </c:pt>
                <c:pt idx="437">
                  <c:v>-4.5528455284552296E-5</c:v>
                </c:pt>
                <c:pt idx="438">
                  <c:v>4.2253521126760061E-5</c:v>
                </c:pt>
                <c:pt idx="439">
                  <c:v>-2.8897692845490044E-5</c:v>
                </c:pt>
                <c:pt idx="440">
                  <c:v>1.779026217228452E-5</c:v>
                </c:pt>
                <c:pt idx="441">
                  <c:v>2.4493641073951801E-5</c:v>
                </c:pt>
                <c:pt idx="442">
                  <c:v>-5.0232558139534871E-5</c:v>
                </c:pt>
                <c:pt idx="443">
                  <c:v>-2.3302671922908447E-4</c:v>
                </c:pt>
                <c:pt idx="444">
                  <c:v>-2.8705021345801993E-4</c:v>
                </c:pt>
                <c:pt idx="445">
                  <c:v>-3.066370788783557E-5</c:v>
                </c:pt>
                <c:pt idx="446">
                  <c:v>1.0517799352751211E-5</c:v>
                </c:pt>
                <c:pt idx="447">
                  <c:v>-5.1118210862620029E-5</c:v>
                </c:pt>
                <c:pt idx="448">
                  <c:v>-1.5968063872255912E-6</c:v>
                </c:pt>
                <c:pt idx="449">
                  <c:v>-6.3770426464726529E-6</c:v>
                </c:pt>
                <c:pt idx="450">
                  <c:v>-2.0618556701030856E-5</c:v>
                </c:pt>
                <c:pt idx="451">
                  <c:v>-6.3341250989710219E-6</c:v>
                </c:pt>
                <c:pt idx="452">
                  <c:v>3.3532934131736525E-5</c:v>
                </c:pt>
                <c:pt idx="453">
                  <c:v>4.8484848484848799E-5</c:v>
                </c:pt>
                <c:pt idx="454">
                  <c:v>-6.6746126340882391E-5</c:v>
                </c:pt>
                <c:pt idx="455">
                  <c:v>3.3653846153846701E-5</c:v>
                </c:pt>
                <c:pt idx="456">
                  <c:v>1.1117974058060564E-4</c:v>
                </c:pt>
                <c:pt idx="457">
                  <c:v>4.1605991262741783E-5</c:v>
                </c:pt>
                <c:pt idx="458">
                  <c:v>-4.5248868778280386E-5</c:v>
                </c:pt>
                <c:pt idx="459">
                  <c:v>-6.5547238519118262E-5</c:v>
                </c:pt>
                <c:pt idx="460">
                  <c:v>1.6191054442424858E-6</c:v>
                </c:pt>
                <c:pt idx="461">
                  <c:v>-1.8533440773570221E-5</c:v>
                </c:pt>
                <c:pt idx="462">
                  <c:v>-2.0044097013429686E-5</c:v>
                </c:pt>
                <c:pt idx="463">
                  <c:v>-1.5175718849840259E-5</c:v>
                </c:pt>
                <c:pt idx="464">
                  <c:v>-3.6406806489909018E-5</c:v>
                </c:pt>
                <c:pt idx="465">
                  <c:v>4.158336665333806E-5</c:v>
                </c:pt>
                <c:pt idx="466">
                  <c:v>5.6772100567720863E-5</c:v>
                </c:pt>
                <c:pt idx="467">
                  <c:v>-2.4984888172476351E-5</c:v>
                </c:pt>
                <c:pt idx="468">
                  <c:v>3.4959349593496115E-5</c:v>
                </c:pt>
                <c:pt idx="469">
                  <c:v>-3.2258064516129006E-5</c:v>
                </c:pt>
                <c:pt idx="470">
                  <c:v>3.8265825361285977E-5</c:v>
                </c:pt>
                <c:pt idx="471">
                  <c:v>3.283398317258435E-5</c:v>
                </c:pt>
                <c:pt idx="472">
                  <c:v>5.7452123230641306E-5</c:v>
                </c:pt>
                <c:pt idx="473">
                  <c:v>9.1800542457747272E-6</c:v>
                </c:pt>
                <c:pt idx="474">
                  <c:v>-1.0799837596427109E-4</c:v>
                </c:pt>
                <c:pt idx="475">
                  <c:v>-7.2948328267479211E-6</c:v>
                </c:pt>
                <c:pt idx="476">
                  <c:v>3.351042092358014E-5</c:v>
                </c:pt>
                <c:pt idx="477">
                  <c:v>-3.2428050263478169E-5</c:v>
                </c:pt>
                <c:pt idx="478">
                  <c:v>-1.2929292929292569E-5</c:v>
                </c:pt>
                <c:pt idx="479">
                  <c:v>2.1937842778793737E-5</c:v>
                </c:pt>
                <c:pt idx="480">
                  <c:v>2.1237492342249808E-5</c:v>
                </c:pt>
                <c:pt idx="481">
                  <c:v>-3.3211826650465959E-5</c:v>
                </c:pt>
                <c:pt idx="482">
                  <c:v>2.8553946563328657E-5</c:v>
                </c:pt>
                <c:pt idx="483">
                  <c:v>-4.2776432606941309E-5</c:v>
                </c:pt>
                <c:pt idx="484">
                  <c:v>-7.9113924050632886E-5</c:v>
                </c:pt>
                <c:pt idx="485">
                  <c:v>-4.7412090082965539E-6</c:v>
                </c:pt>
                <c:pt idx="486">
                  <c:v>-3.912363067292635E-5</c:v>
                </c:pt>
                <c:pt idx="487">
                  <c:v>-3.2596041909196847E-5</c:v>
                </c:pt>
                <c:pt idx="488">
                  <c:v>1.2456208641494549E-5</c:v>
                </c:pt>
                <c:pt idx="489">
                  <c:v>-1.5564202334625855E-6</c:v>
                </c:pt>
                <c:pt idx="490">
                  <c:v>5.2029956641702845E-5</c:v>
                </c:pt>
                <c:pt idx="491">
                  <c:v>-4.0577448302769881E-5</c:v>
                </c:pt>
                <c:pt idx="492">
                  <c:v>5.3776196124950991E-5</c:v>
                </c:pt>
                <c:pt idx="493">
                  <c:v>1.3150908719624255E-4</c:v>
                </c:pt>
                <c:pt idx="494">
                  <c:v>-1.2214983713354944E-5</c:v>
                </c:pt>
                <c:pt idx="495">
                  <c:v>6.5252854812394293E-6</c:v>
                </c:pt>
                <c:pt idx="496">
                  <c:v>-1.0575554199715676E-5</c:v>
                </c:pt>
                <c:pt idx="497">
                  <c:v>4.0262941659819695E-5</c:v>
                </c:pt>
                <c:pt idx="498">
                  <c:v>-2.6122448979591707E-5</c:v>
                </c:pt>
                <c:pt idx="499">
                  <c:v>3.7075180226571195E-5</c:v>
                </c:pt>
                <c:pt idx="500">
                  <c:v>-1.8860188601886206E-5</c:v>
                </c:pt>
                <c:pt idx="501">
                  <c:v>2.6413536937680782E-5</c:v>
                </c:pt>
                <c:pt idx="502">
                  <c:v>9.9296648738098634E-6</c:v>
                </c:pt>
                <c:pt idx="503">
                  <c:v>9.0543685212608689E-5</c:v>
                </c:pt>
                <c:pt idx="504">
                  <c:v>2.5548222269534016E-5</c:v>
                </c:pt>
                <c:pt idx="505">
                  <c:v>-4.795961295750928E-5</c:v>
                </c:pt>
              </c:numCache>
            </c:numRef>
          </c:yVal>
          <c:smooth val="1"/>
          <c:extLst>
            <c:ext xmlns:c16="http://schemas.microsoft.com/office/drawing/2014/chart" uri="{C3380CC4-5D6E-409C-BE32-E72D297353CC}">
              <c16:uniqueId val="{00000000-CFD8-764D-A898-211D1D5BD9F7}"/>
            </c:ext>
          </c:extLst>
        </c:ser>
        <c:dLbls>
          <c:showLegendKey val="0"/>
          <c:showVal val="0"/>
          <c:showCatName val="0"/>
          <c:showSerName val="0"/>
          <c:showPercent val="0"/>
          <c:showBubbleSize val="0"/>
        </c:dLbls>
        <c:axId val="629623615"/>
        <c:axId val="629558575"/>
      </c:scatterChart>
      <c:valAx>
        <c:axId val="629623615"/>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29558575"/>
        <c:crosses val="autoZero"/>
        <c:crossBetween val="midCat"/>
      </c:valAx>
      <c:valAx>
        <c:axId val="629558575"/>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296236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manualLayout>
          <c:layoutTarget val="inner"/>
          <c:xMode val="edge"/>
          <c:yMode val="edge"/>
          <c:x val="0.1045431435855388"/>
          <c:y val="0.16283374556336991"/>
          <c:w val="0.84156812170268258"/>
          <c:h val="0.7888672305816834"/>
        </c:manualLayout>
      </c:layout>
      <c:scatterChart>
        <c:scatterStyle val="smoothMarker"/>
        <c:varyColors val="0"/>
        <c:ser>
          <c:idx val="0"/>
          <c:order val="0"/>
          <c:tx>
            <c:strRef>
              <c:f>'Ejercicio 1 al 3'!$I$1</c:f>
              <c:strCache>
                <c:ptCount val="1"/>
                <c:pt idx="0">
                  <c:v>Rendimineto Mensual</c:v>
                </c:pt>
              </c:strCache>
            </c:strRef>
          </c:tx>
          <c:spPr>
            <a:ln w="9525" cap="rnd">
              <a:solidFill>
                <a:schemeClr val="accent1"/>
              </a:solidFill>
              <a:round/>
            </a:ln>
            <a:effectLst/>
          </c:spPr>
          <c:marker>
            <c:symbol val="none"/>
          </c:marker>
          <c:xVal>
            <c:strRef>
              <c:f>'Ejercicio 1 al 3'!$A$2:$A$488</c:f>
              <c:strCache>
                <c:ptCount val="487"/>
                <c:pt idx="0">
                  <c:v>13.03.2026</c:v>
                </c:pt>
                <c:pt idx="1">
                  <c:v>12.03.2026</c:v>
                </c:pt>
                <c:pt idx="2">
                  <c:v>11.03.2026</c:v>
                </c:pt>
                <c:pt idx="3">
                  <c:v>10.03.2026</c:v>
                </c:pt>
                <c:pt idx="4">
                  <c:v>09.03.2026</c:v>
                </c:pt>
                <c:pt idx="5">
                  <c:v>06.03.2026</c:v>
                </c:pt>
                <c:pt idx="6">
                  <c:v>05.03.2026</c:v>
                </c:pt>
                <c:pt idx="7">
                  <c:v>04.03.2026</c:v>
                </c:pt>
                <c:pt idx="8">
                  <c:v>03.03.2026</c:v>
                </c:pt>
                <c:pt idx="9">
                  <c:v>02.03.2026</c:v>
                </c:pt>
                <c:pt idx="10">
                  <c:v>27.02.2026</c:v>
                </c:pt>
                <c:pt idx="11">
                  <c:v>26.02.2026</c:v>
                </c:pt>
                <c:pt idx="12">
                  <c:v>25.02.2026</c:v>
                </c:pt>
                <c:pt idx="13">
                  <c:v>24.02.2026</c:v>
                </c:pt>
                <c:pt idx="14">
                  <c:v>23.02.2026</c:v>
                </c:pt>
                <c:pt idx="15">
                  <c:v>20.02.2026</c:v>
                </c:pt>
                <c:pt idx="16">
                  <c:v>19.02.2026</c:v>
                </c:pt>
                <c:pt idx="17">
                  <c:v>18.02.2026</c:v>
                </c:pt>
                <c:pt idx="18">
                  <c:v>17.02.2026</c:v>
                </c:pt>
                <c:pt idx="19">
                  <c:v>16.02.2026</c:v>
                </c:pt>
                <c:pt idx="20">
                  <c:v>13.02.2026</c:v>
                </c:pt>
                <c:pt idx="21">
                  <c:v>12.02.2026</c:v>
                </c:pt>
                <c:pt idx="22">
                  <c:v>11.02.2026</c:v>
                </c:pt>
                <c:pt idx="23">
                  <c:v>10.02.2026</c:v>
                </c:pt>
                <c:pt idx="24">
                  <c:v>09.02.2026</c:v>
                </c:pt>
                <c:pt idx="25">
                  <c:v>06.02.2026</c:v>
                </c:pt>
                <c:pt idx="26">
                  <c:v>05.02.2026</c:v>
                </c:pt>
                <c:pt idx="27">
                  <c:v>04.02.2026</c:v>
                </c:pt>
                <c:pt idx="28">
                  <c:v>03.02.2026</c:v>
                </c:pt>
                <c:pt idx="29">
                  <c:v>02.02.2026</c:v>
                </c:pt>
                <c:pt idx="30">
                  <c:v>30.01.2026</c:v>
                </c:pt>
                <c:pt idx="31">
                  <c:v>29.01.2026</c:v>
                </c:pt>
                <c:pt idx="32">
                  <c:v>28.01.2026</c:v>
                </c:pt>
                <c:pt idx="33">
                  <c:v>27.01.2026</c:v>
                </c:pt>
                <c:pt idx="34">
                  <c:v>26.01.2026</c:v>
                </c:pt>
                <c:pt idx="35">
                  <c:v>23.01.2026</c:v>
                </c:pt>
                <c:pt idx="36">
                  <c:v>22.01.2026</c:v>
                </c:pt>
                <c:pt idx="37">
                  <c:v>21.01.2026</c:v>
                </c:pt>
                <c:pt idx="38">
                  <c:v>20.01.2026</c:v>
                </c:pt>
                <c:pt idx="39">
                  <c:v>19.01.2026</c:v>
                </c:pt>
                <c:pt idx="40">
                  <c:v>16.01.2026</c:v>
                </c:pt>
                <c:pt idx="41">
                  <c:v>15.01.2026</c:v>
                </c:pt>
                <c:pt idx="42">
                  <c:v>14.01.2026</c:v>
                </c:pt>
                <c:pt idx="43">
                  <c:v>13.01.2026</c:v>
                </c:pt>
                <c:pt idx="44">
                  <c:v>12.01.2026</c:v>
                </c:pt>
                <c:pt idx="45">
                  <c:v>09.01.2026</c:v>
                </c:pt>
                <c:pt idx="46">
                  <c:v>08.01.2026</c:v>
                </c:pt>
                <c:pt idx="47">
                  <c:v>07.01.2026</c:v>
                </c:pt>
                <c:pt idx="48">
                  <c:v>06.01.2026</c:v>
                </c:pt>
                <c:pt idx="49">
                  <c:v>05.01.2026</c:v>
                </c:pt>
                <c:pt idx="50">
                  <c:v>02.01.2026</c:v>
                </c:pt>
                <c:pt idx="51">
                  <c:v>30.12.2025</c:v>
                </c:pt>
                <c:pt idx="52">
                  <c:v>29.12.2025</c:v>
                </c:pt>
                <c:pt idx="53">
                  <c:v>23.12.2025</c:v>
                </c:pt>
                <c:pt idx="54">
                  <c:v>22.12.2025</c:v>
                </c:pt>
                <c:pt idx="55">
                  <c:v>19.12.2025</c:v>
                </c:pt>
                <c:pt idx="56">
                  <c:v>18.12.2025</c:v>
                </c:pt>
                <c:pt idx="57">
                  <c:v>17.12.2025</c:v>
                </c:pt>
                <c:pt idx="58">
                  <c:v>16.12.2025</c:v>
                </c:pt>
                <c:pt idx="59">
                  <c:v>15.12.2025</c:v>
                </c:pt>
                <c:pt idx="60">
                  <c:v>12.12.2025</c:v>
                </c:pt>
                <c:pt idx="61">
                  <c:v>11.12.2025</c:v>
                </c:pt>
                <c:pt idx="62">
                  <c:v>10.12.2025</c:v>
                </c:pt>
                <c:pt idx="63">
                  <c:v>09.12.2025</c:v>
                </c:pt>
                <c:pt idx="64">
                  <c:v>08.12.2025</c:v>
                </c:pt>
                <c:pt idx="65">
                  <c:v>05.12.2025</c:v>
                </c:pt>
                <c:pt idx="66">
                  <c:v>04.12.2025</c:v>
                </c:pt>
                <c:pt idx="67">
                  <c:v>03.12.2025</c:v>
                </c:pt>
                <c:pt idx="68">
                  <c:v>02.12.2025</c:v>
                </c:pt>
                <c:pt idx="69">
                  <c:v>01.12.2025</c:v>
                </c:pt>
                <c:pt idx="70">
                  <c:v>28.11.2025</c:v>
                </c:pt>
                <c:pt idx="71">
                  <c:v>27.11.2025</c:v>
                </c:pt>
                <c:pt idx="72">
                  <c:v>26.11.2025</c:v>
                </c:pt>
                <c:pt idx="73">
                  <c:v>25.11.2025</c:v>
                </c:pt>
                <c:pt idx="74">
                  <c:v>24.11.2025</c:v>
                </c:pt>
                <c:pt idx="75">
                  <c:v>21.11.2025</c:v>
                </c:pt>
                <c:pt idx="76">
                  <c:v>20.11.2025</c:v>
                </c:pt>
                <c:pt idx="77">
                  <c:v>19.11.2025</c:v>
                </c:pt>
                <c:pt idx="78">
                  <c:v>18.11.2025</c:v>
                </c:pt>
                <c:pt idx="79">
                  <c:v>17.11.2025</c:v>
                </c:pt>
                <c:pt idx="80">
                  <c:v>14.11.2025</c:v>
                </c:pt>
                <c:pt idx="81">
                  <c:v>13.11.2025</c:v>
                </c:pt>
                <c:pt idx="82">
                  <c:v>12.11.2025</c:v>
                </c:pt>
                <c:pt idx="83">
                  <c:v>11.11.2025</c:v>
                </c:pt>
                <c:pt idx="84">
                  <c:v>10.11.2025</c:v>
                </c:pt>
                <c:pt idx="85">
                  <c:v>07.11.2025</c:v>
                </c:pt>
                <c:pt idx="86">
                  <c:v>06.11.2025</c:v>
                </c:pt>
                <c:pt idx="87">
                  <c:v>05.11.2025</c:v>
                </c:pt>
                <c:pt idx="88">
                  <c:v>04.11.2025</c:v>
                </c:pt>
                <c:pt idx="89">
                  <c:v>03.11.2025</c:v>
                </c:pt>
                <c:pt idx="90">
                  <c:v>31.10.2025</c:v>
                </c:pt>
                <c:pt idx="91">
                  <c:v>30.10.2025</c:v>
                </c:pt>
                <c:pt idx="92">
                  <c:v>29.10.2025</c:v>
                </c:pt>
                <c:pt idx="93">
                  <c:v>28.10.2025</c:v>
                </c:pt>
                <c:pt idx="94">
                  <c:v>27.10.2025</c:v>
                </c:pt>
                <c:pt idx="95">
                  <c:v>24.10.2025</c:v>
                </c:pt>
                <c:pt idx="96">
                  <c:v>23.10.2025</c:v>
                </c:pt>
                <c:pt idx="97">
                  <c:v>22.10.2025</c:v>
                </c:pt>
                <c:pt idx="98">
                  <c:v>21.10.2025</c:v>
                </c:pt>
                <c:pt idx="99">
                  <c:v>20.10.2025</c:v>
                </c:pt>
                <c:pt idx="100">
                  <c:v>17.10.2025</c:v>
                </c:pt>
                <c:pt idx="101">
                  <c:v>16.10.2025</c:v>
                </c:pt>
                <c:pt idx="102">
                  <c:v>15.10.2025</c:v>
                </c:pt>
                <c:pt idx="103">
                  <c:v>14.10.2025</c:v>
                </c:pt>
                <c:pt idx="104">
                  <c:v>13.10.2025</c:v>
                </c:pt>
                <c:pt idx="105">
                  <c:v>10.10.2025</c:v>
                </c:pt>
                <c:pt idx="106">
                  <c:v>09.10.2025</c:v>
                </c:pt>
                <c:pt idx="107">
                  <c:v>08.10.2025</c:v>
                </c:pt>
                <c:pt idx="108">
                  <c:v>07.10.2025</c:v>
                </c:pt>
                <c:pt idx="109">
                  <c:v>06.10.2025</c:v>
                </c:pt>
                <c:pt idx="110">
                  <c:v>03.10.2025</c:v>
                </c:pt>
                <c:pt idx="111">
                  <c:v>02.10.2025</c:v>
                </c:pt>
                <c:pt idx="112">
                  <c:v>01.10.2025</c:v>
                </c:pt>
                <c:pt idx="113">
                  <c:v>30.09.2025</c:v>
                </c:pt>
                <c:pt idx="114">
                  <c:v>29.09.2025</c:v>
                </c:pt>
                <c:pt idx="115">
                  <c:v>26.09.2025</c:v>
                </c:pt>
                <c:pt idx="116">
                  <c:v>25.09.2025</c:v>
                </c:pt>
                <c:pt idx="117">
                  <c:v>24.09.2025</c:v>
                </c:pt>
                <c:pt idx="118">
                  <c:v>23.09.2025</c:v>
                </c:pt>
                <c:pt idx="119">
                  <c:v>22.09.2025</c:v>
                </c:pt>
                <c:pt idx="120">
                  <c:v>19.09.2025</c:v>
                </c:pt>
                <c:pt idx="121">
                  <c:v>18.09.2025</c:v>
                </c:pt>
                <c:pt idx="122">
                  <c:v>17.09.2025</c:v>
                </c:pt>
                <c:pt idx="123">
                  <c:v>16.09.2025</c:v>
                </c:pt>
                <c:pt idx="124">
                  <c:v>15.09.2025</c:v>
                </c:pt>
                <c:pt idx="125">
                  <c:v>12.09.2025</c:v>
                </c:pt>
                <c:pt idx="126">
                  <c:v>11.09.2025</c:v>
                </c:pt>
                <c:pt idx="127">
                  <c:v>10.09.2025</c:v>
                </c:pt>
                <c:pt idx="128">
                  <c:v>09.09.2025</c:v>
                </c:pt>
                <c:pt idx="129">
                  <c:v>08.09.2025</c:v>
                </c:pt>
                <c:pt idx="130">
                  <c:v>05.09.2025</c:v>
                </c:pt>
                <c:pt idx="131">
                  <c:v>04.09.2025</c:v>
                </c:pt>
                <c:pt idx="132">
                  <c:v>03.09.2025</c:v>
                </c:pt>
                <c:pt idx="133">
                  <c:v>02.09.2025</c:v>
                </c:pt>
                <c:pt idx="134">
                  <c:v>01.09.2025</c:v>
                </c:pt>
                <c:pt idx="135">
                  <c:v>29.08.2025</c:v>
                </c:pt>
                <c:pt idx="136">
                  <c:v>28.08.2025</c:v>
                </c:pt>
                <c:pt idx="137">
                  <c:v>27.08.2025</c:v>
                </c:pt>
                <c:pt idx="138">
                  <c:v>26.08.2025</c:v>
                </c:pt>
                <c:pt idx="139">
                  <c:v>25.08.2025</c:v>
                </c:pt>
                <c:pt idx="140">
                  <c:v>22.08.2025</c:v>
                </c:pt>
                <c:pt idx="141">
                  <c:v>21.08.2025</c:v>
                </c:pt>
                <c:pt idx="142">
                  <c:v>20.08.2025</c:v>
                </c:pt>
                <c:pt idx="143">
                  <c:v>19.08.2025</c:v>
                </c:pt>
                <c:pt idx="144">
                  <c:v>18.08.2025</c:v>
                </c:pt>
                <c:pt idx="145">
                  <c:v>15.08.2025</c:v>
                </c:pt>
                <c:pt idx="146">
                  <c:v>14.08.2025</c:v>
                </c:pt>
                <c:pt idx="147">
                  <c:v>13.08.2025</c:v>
                </c:pt>
                <c:pt idx="148">
                  <c:v>12.08.2025</c:v>
                </c:pt>
                <c:pt idx="149">
                  <c:v>11.08.2025</c:v>
                </c:pt>
                <c:pt idx="150">
                  <c:v>08.08.2025</c:v>
                </c:pt>
                <c:pt idx="151">
                  <c:v>07.08.2025</c:v>
                </c:pt>
                <c:pt idx="152">
                  <c:v>06.08.2025</c:v>
                </c:pt>
                <c:pt idx="153">
                  <c:v>05.08.2025</c:v>
                </c:pt>
                <c:pt idx="154">
                  <c:v>04.08.2025</c:v>
                </c:pt>
                <c:pt idx="155">
                  <c:v>01.08.2025</c:v>
                </c:pt>
                <c:pt idx="156">
                  <c:v>31.07.2025</c:v>
                </c:pt>
                <c:pt idx="157">
                  <c:v>30.07.2025</c:v>
                </c:pt>
                <c:pt idx="158">
                  <c:v>29.07.2025</c:v>
                </c:pt>
                <c:pt idx="159">
                  <c:v>28.07.2025</c:v>
                </c:pt>
                <c:pt idx="160">
                  <c:v>25.07.2025</c:v>
                </c:pt>
                <c:pt idx="161">
                  <c:v>24.07.2025</c:v>
                </c:pt>
                <c:pt idx="162">
                  <c:v>23.07.2025</c:v>
                </c:pt>
                <c:pt idx="163">
                  <c:v>22.07.2025</c:v>
                </c:pt>
                <c:pt idx="164">
                  <c:v>21.07.2025</c:v>
                </c:pt>
                <c:pt idx="165">
                  <c:v>18.07.2025</c:v>
                </c:pt>
                <c:pt idx="166">
                  <c:v>17.07.2025</c:v>
                </c:pt>
                <c:pt idx="167">
                  <c:v>16.07.2025</c:v>
                </c:pt>
                <c:pt idx="168">
                  <c:v>15.07.2025</c:v>
                </c:pt>
                <c:pt idx="169">
                  <c:v>14.07.2025</c:v>
                </c:pt>
                <c:pt idx="170">
                  <c:v>11.07.2025</c:v>
                </c:pt>
                <c:pt idx="171">
                  <c:v>10.07.2025</c:v>
                </c:pt>
                <c:pt idx="172">
                  <c:v>09.07.2025</c:v>
                </c:pt>
                <c:pt idx="173">
                  <c:v>08.07.2025</c:v>
                </c:pt>
                <c:pt idx="174">
                  <c:v>07.07.2025</c:v>
                </c:pt>
                <c:pt idx="175">
                  <c:v>04.07.2025</c:v>
                </c:pt>
                <c:pt idx="176">
                  <c:v>03.07.2025</c:v>
                </c:pt>
                <c:pt idx="177">
                  <c:v>02.07.2025</c:v>
                </c:pt>
                <c:pt idx="178">
                  <c:v>01.07.2025</c:v>
                </c:pt>
                <c:pt idx="179">
                  <c:v>30.06.2025</c:v>
                </c:pt>
                <c:pt idx="180">
                  <c:v>27.06.2025</c:v>
                </c:pt>
                <c:pt idx="181">
                  <c:v>26.06.2025</c:v>
                </c:pt>
                <c:pt idx="182">
                  <c:v>25.06.2025</c:v>
                </c:pt>
                <c:pt idx="183">
                  <c:v>24.06.2025</c:v>
                </c:pt>
                <c:pt idx="184">
                  <c:v>23.06.2025</c:v>
                </c:pt>
                <c:pt idx="185">
                  <c:v>20.06.2025</c:v>
                </c:pt>
                <c:pt idx="186">
                  <c:v>19.06.2025</c:v>
                </c:pt>
                <c:pt idx="187">
                  <c:v>18.06.2025</c:v>
                </c:pt>
                <c:pt idx="188">
                  <c:v>17.06.2025</c:v>
                </c:pt>
                <c:pt idx="189">
                  <c:v>16.06.2025</c:v>
                </c:pt>
                <c:pt idx="190">
                  <c:v>13.06.2025</c:v>
                </c:pt>
                <c:pt idx="191">
                  <c:v>12.06.2025</c:v>
                </c:pt>
                <c:pt idx="192">
                  <c:v>11.06.2025</c:v>
                </c:pt>
                <c:pt idx="193">
                  <c:v>10.06.2025</c:v>
                </c:pt>
                <c:pt idx="194">
                  <c:v>09.06.2025</c:v>
                </c:pt>
                <c:pt idx="195">
                  <c:v>06.06.2025</c:v>
                </c:pt>
                <c:pt idx="196">
                  <c:v>05.06.2025</c:v>
                </c:pt>
                <c:pt idx="197">
                  <c:v>04.06.2025</c:v>
                </c:pt>
                <c:pt idx="198">
                  <c:v>03.06.2025</c:v>
                </c:pt>
                <c:pt idx="199">
                  <c:v>02.06.2025</c:v>
                </c:pt>
                <c:pt idx="200">
                  <c:v>30.05.2025</c:v>
                </c:pt>
                <c:pt idx="201">
                  <c:v>29.05.2025</c:v>
                </c:pt>
                <c:pt idx="202">
                  <c:v>28.05.2025</c:v>
                </c:pt>
                <c:pt idx="203">
                  <c:v>27.05.2025</c:v>
                </c:pt>
                <c:pt idx="204">
                  <c:v>26.05.2025</c:v>
                </c:pt>
                <c:pt idx="205">
                  <c:v>23.05.2025</c:v>
                </c:pt>
                <c:pt idx="206">
                  <c:v>22.05.2025</c:v>
                </c:pt>
                <c:pt idx="207">
                  <c:v>21.05.2025</c:v>
                </c:pt>
                <c:pt idx="208">
                  <c:v>20.05.2025</c:v>
                </c:pt>
                <c:pt idx="209">
                  <c:v>19.05.2025</c:v>
                </c:pt>
                <c:pt idx="210">
                  <c:v>16.05.2025</c:v>
                </c:pt>
                <c:pt idx="211">
                  <c:v>15.05.2025</c:v>
                </c:pt>
                <c:pt idx="212">
                  <c:v>14.05.2025</c:v>
                </c:pt>
                <c:pt idx="213">
                  <c:v>13.05.2025</c:v>
                </c:pt>
                <c:pt idx="214">
                  <c:v>12.05.2025</c:v>
                </c:pt>
                <c:pt idx="215">
                  <c:v>09.05.2025</c:v>
                </c:pt>
                <c:pt idx="216">
                  <c:v>08.05.2025</c:v>
                </c:pt>
                <c:pt idx="217">
                  <c:v>07.05.2025</c:v>
                </c:pt>
                <c:pt idx="218">
                  <c:v>06.05.2025</c:v>
                </c:pt>
                <c:pt idx="219">
                  <c:v>05.05.2025</c:v>
                </c:pt>
                <c:pt idx="220">
                  <c:v>02.05.2025</c:v>
                </c:pt>
                <c:pt idx="221">
                  <c:v>30.04.2025</c:v>
                </c:pt>
                <c:pt idx="222">
                  <c:v>29.04.2025</c:v>
                </c:pt>
                <c:pt idx="223">
                  <c:v>28.04.2025</c:v>
                </c:pt>
                <c:pt idx="224">
                  <c:v>25.04.2025</c:v>
                </c:pt>
                <c:pt idx="225">
                  <c:v>24.04.2025</c:v>
                </c:pt>
                <c:pt idx="226">
                  <c:v>23.04.2025</c:v>
                </c:pt>
                <c:pt idx="227">
                  <c:v>22.04.2025</c:v>
                </c:pt>
                <c:pt idx="228">
                  <c:v>17.04.2025</c:v>
                </c:pt>
                <c:pt idx="229">
                  <c:v>16.04.2025</c:v>
                </c:pt>
                <c:pt idx="230">
                  <c:v>15.04.2025</c:v>
                </c:pt>
                <c:pt idx="231">
                  <c:v>14.04.2025</c:v>
                </c:pt>
                <c:pt idx="232">
                  <c:v>11.04.2025</c:v>
                </c:pt>
                <c:pt idx="233">
                  <c:v>10.04.2025</c:v>
                </c:pt>
                <c:pt idx="234">
                  <c:v>09.04.2025</c:v>
                </c:pt>
                <c:pt idx="235">
                  <c:v>08.04.2025</c:v>
                </c:pt>
                <c:pt idx="236">
                  <c:v>07.04.2025</c:v>
                </c:pt>
                <c:pt idx="237">
                  <c:v>04.04.2025</c:v>
                </c:pt>
                <c:pt idx="238">
                  <c:v>03.04.2025</c:v>
                </c:pt>
                <c:pt idx="239">
                  <c:v>02.04.2025</c:v>
                </c:pt>
                <c:pt idx="240">
                  <c:v>01.04.2025</c:v>
                </c:pt>
                <c:pt idx="241">
                  <c:v>31.03.2025</c:v>
                </c:pt>
                <c:pt idx="242">
                  <c:v>28.03.2025</c:v>
                </c:pt>
                <c:pt idx="243">
                  <c:v>27.03.2025</c:v>
                </c:pt>
                <c:pt idx="244">
                  <c:v>26.03.2025</c:v>
                </c:pt>
                <c:pt idx="245">
                  <c:v>25.03.2025</c:v>
                </c:pt>
                <c:pt idx="246">
                  <c:v>24.03.2025</c:v>
                </c:pt>
                <c:pt idx="247">
                  <c:v>21.03.2025</c:v>
                </c:pt>
                <c:pt idx="248">
                  <c:v>20.03.2025</c:v>
                </c:pt>
                <c:pt idx="249">
                  <c:v>19.03.2025</c:v>
                </c:pt>
                <c:pt idx="250">
                  <c:v>18.03.2025</c:v>
                </c:pt>
                <c:pt idx="251">
                  <c:v>17.03.2025</c:v>
                </c:pt>
                <c:pt idx="252">
                  <c:v>14.03.2025</c:v>
                </c:pt>
                <c:pt idx="253">
                  <c:v>13.03.2025</c:v>
                </c:pt>
                <c:pt idx="254">
                  <c:v>12.03.2025</c:v>
                </c:pt>
                <c:pt idx="255">
                  <c:v>11.03.2025</c:v>
                </c:pt>
                <c:pt idx="256">
                  <c:v>10.03.2025</c:v>
                </c:pt>
                <c:pt idx="257">
                  <c:v>07.03.2025</c:v>
                </c:pt>
                <c:pt idx="258">
                  <c:v>06.03.2025</c:v>
                </c:pt>
                <c:pt idx="259">
                  <c:v>05.03.2025</c:v>
                </c:pt>
                <c:pt idx="260">
                  <c:v>04.03.2025</c:v>
                </c:pt>
                <c:pt idx="261">
                  <c:v>03.03.2025</c:v>
                </c:pt>
                <c:pt idx="262">
                  <c:v>28.02.2025</c:v>
                </c:pt>
                <c:pt idx="263">
                  <c:v>27.02.2025</c:v>
                </c:pt>
                <c:pt idx="264">
                  <c:v>26.02.2025</c:v>
                </c:pt>
                <c:pt idx="265">
                  <c:v>25.02.2025</c:v>
                </c:pt>
                <c:pt idx="266">
                  <c:v>24.02.2025</c:v>
                </c:pt>
                <c:pt idx="267">
                  <c:v>21.02.2025</c:v>
                </c:pt>
                <c:pt idx="268">
                  <c:v>20.02.2025</c:v>
                </c:pt>
                <c:pt idx="269">
                  <c:v>19.02.2025</c:v>
                </c:pt>
                <c:pt idx="270">
                  <c:v>18.02.2025</c:v>
                </c:pt>
                <c:pt idx="271">
                  <c:v>17.02.2025</c:v>
                </c:pt>
                <c:pt idx="272">
                  <c:v>14.02.2025</c:v>
                </c:pt>
                <c:pt idx="273">
                  <c:v>13.02.2025</c:v>
                </c:pt>
                <c:pt idx="274">
                  <c:v>12.02.2025</c:v>
                </c:pt>
                <c:pt idx="275">
                  <c:v>11.02.2025</c:v>
                </c:pt>
                <c:pt idx="276">
                  <c:v>10.02.2025</c:v>
                </c:pt>
                <c:pt idx="277">
                  <c:v>07.02.2025</c:v>
                </c:pt>
                <c:pt idx="278">
                  <c:v>06.02.2025</c:v>
                </c:pt>
                <c:pt idx="279">
                  <c:v>05.02.2025</c:v>
                </c:pt>
                <c:pt idx="280">
                  <c:v>04.02.2025</c:v>
                </c:pt>
                <c:pt idx="281">
                  <c:v>03.02.2025</c:v>
                </c:pt>
                <c:pt idx="282">
                  <c:v>31.01.2025</c:v>
                </c:pt>
                <c:pt idx="283">
                  <c:v>30.01.2025</c:v>
                </c:pt>
                <c:pt idx="284">
                  <c:v>29.01.2025</c:v>
                </c:pt>
                <c:pt idx="285">
                  <c:v>28.01.2025</c:v>
                </c:pt>
                <c:pt idx="286">
                  <c:v>27.01.2025</c:v>
                </c:pt>
                <c:pt idx="287">
                  <c:v>24.01.2025</c:v>
                </c:pt>
                <c:pt idx="288">
                  <c:v>23.01.2025</c:v>
                </c:pt>
                <c:pt idx="289">
                  <c:v>22.01.2025</c:v>
                </c:pt>
                <c:pt idx="290">
                  <c:v>21.01.2025</c:v>
                </c:pt>
                <c:pt idx="291">
                  <c:v>20.01.2025</c:v>
                </c:pt>
                <c:pt idx="292">
                  <c:v>17.01.2025</c:v>
                </c:pt>
                <c:pt idx="293">
                  <c:v>16.01.2025</c:v>
                </c:pt>
                <c:pt idx="294">
                  <c:v>15.01.2025</c:v>
                </c:pt>
                <c:pt idx="295">
                  <c:v>14.01.2025</c:v>
                </c:pt>
                <c:pt idx="296">
                  <c:v>13.01.2025</c:v>
                </c:pt>
                <c:pt idx="297">
                  <c:v>10.01.2025</c:v>
                </c:pt>
                <c:pt idx="298">
                  <c:v>09.01.2025</c:v>
                </c:pt>
                <c:pt idx="299">
                  <c:v>08.01.2025</c:v>
                </c:pt>
                <c:pt idx="300">
                  <c:v>07.01.2025</c:v>
                </c:pt>
                <c:pt idx="301">
                  <c:v>06.01.2025</c:v>
                </c:pt>
                <c:pt idx="302">
                  <c:v>03.01.2025</c:v>
                </c:pt>
                <c:pt idx="303">
                  <c:v>02.01.2025</c:v>
                </c:pt>
                <c:pt idx="304">
                  <c:v>30.12.2024</c:v>
                </c:pt>
                <c:pt idx="305">
                  <c:v>27.12.2024</c:v>
                </c:pt>
                <c:pt idx="306">
                  <c:v>23.12.2024</c:v>
                </c:pt>
                <c:pt idx="307">
                  <c:v>20.12.2024</c:v>
                </c:pt>
                <c:pt idx="308">
                  <c:v>19.12.2024</c:v>
                </c:pt>
                <c:pt idx="309">
                  <c:v>18.12.2024</c:v>
                </c:pt>
                <c:pt idx="310">
                  <c:v>17.12.2024</c:v>
                </c:pt>
                <c:pt idx="311">
                  <c:v>16.12.2024</c:v>
                </c:pt>
                <c:pt idx="312">
                  <c:v>13.12.2024</c:v>
                </c:pt>
                <c:pt idx="313">
                  <c:v>12.12.2024</c:v>
                </c:pt>
                <c:pt idx="314">
                  <c:v>11.12.2024</c:v>
                </c:pt>
                <c:pt idx="315">
                  <c:v>10.12.2024</c:v>
                </c:pt>
                <c:pt idx="316">
                  <c:v>09.12.2024</c:v>
                </c:pt>
                <c:pt idx="317">
                  <c:v>06.12.2024</c:v>
                </c:pt>
                <c:pt idx="318">
                  <c:v>05.12.2024</c:v>
                </c:pt>
                <c:pt idx="319">
                  <c:v>04.12.2024</c:v>
                </c:pt>
                <c:pt idx="320">
                  <c:v>03.12.2024</c:v>
                </c:pt>
                <c:pt idx="321">
                  <c:v>02.12.2024</c:v>
                </c:pt>
                <c:pt idx="322">
                  <c:v>29.11.2024</c:v>
                </c:pt>
                <c:pt idx="323">
                  <c:v>28.11.2024</c:v>
                </c:pt>
                <c:pt idx="324">
                  <c:v>27.11.2024</c:v>
                </c:pt>
                <c:pt idx="325">
                  <c:v>26.11.2024</c:v>
                </c:pt>
                <c:pt idx="326">
                  <c:v>25.11.2024</c:v>
                </c:pt>
                <c:pt idx="327">
                  <c:v>22.11.2024</c:v>
                </c:pt>
                <c:pt idx="328">
                  <c:v>21.11.2024</c:v>
                </c:pt>
                <c:pt idx="329">
                  <c:v>20.11.2024</c:v>
                </c:pt>
                <c:pt idx="330">
                  <c:v>19.11.2024</c:v>
                </c:pt>
                <c:pt idx="331">
                  <c:v>18.11.2024</c:v>
                </c:pt>
                <c:pt idx="332">
                  <c:v>15.11.2024</c:v>
                </c:pt>
                <c:pt idx="333">
                  <c:v>14.11.2024</c:v>
                </c:pt>
                <c:pt idx="334">
                  <c:v>13.11.2024</c:v>
                </c:pt>
                <c:pt idx="335">
                  <c:v>12.11.2024</c:v>
                </c:pt>
                <c:pt idx="336">
                  <c:v>11.11.2024</c:v>
                </c:pt>
                <c:pt idx="337">
                  <c:v>08.11.2024</c:v>
                </c:pt>
                <c:pt idx="338">
                  <c:v>07.11.2024</c:v>
                </c:pt>
                <c:pt idx="339">
                  <c:v>06.11.2024</c:v>
                </c:pt>
                <c:pt idx="340">
                  <c:v>05.11.2024</c:v>
                </c:pt>
                <c:pt idx="341">
                  <c:v>04.11.2024</c:v>
                </c:pt>
                <c:pt idx="342">
                  <c:v>01.11.2024</c:v>
                </c:pt>
                <c:pt idx="343">
                  <c:v>31.10.2024</c:v>
                </c:pt>
                <c:pt idx="344">
                  <c:v>30.10.2024</c:v>
                </c:pt>
                <c:pt idx="345">
                  <c:v>29.10.2024</c:v>
                </c:pt>
                <c:pt idx="346">
                  <c:v>28.10.2024</c:v>
                </c:pt>
                <c:pt idx="347">
                  <c:v>25.10.2024</c:v>
                </c:pt>
                <c:pt idx="348">
                  <c:v>24.10.2024</c:v>
                </c:pt>
                <c:pt idx="349">
                  <c:v>23.10.2024</c:v>
                </c:pt>
                <c:pt idx="350">
                  <c:v>22.10.2024</c:v>
                </c:pt>
                <c:pt idx="351">
                  <c:v>21.10.2024</c:v>
                </c:pt>
                <c:pt idx="352">
                  <c:v>18.10.2024</c:v>
                </c:pt>
                <c:pt idx="353">
                  <c:v>17.10.2024</c:v>
                </c:pt>
                <c:pt idx="354">
                  <c:v>16.10.2024</c:v>
                </c:pt>
                <c:pt idx="355">
                  <c:v>15.10.2024</c:v>
                </c:pt>
                <c:pt idx="356">
                  <c:v>14.10.2024</c:v>
                </c:pt>
                <c:pt idx="357">
                  <c:v>11.10.2024</c:v>
                </c:pt>
                <c:pt idx="358">
                  <c:v>10.10.2024</c:v>
                </c:pt>
                <c:pt idx="359">
                  <c:v>09.10.2024</c:v>
                </c:pt>
                <c:pt idx="360">
                  <c:v>08.10.2024</c:v>
                </c:pt>
                <c:pt idx="361">
                  <c:v>07.10.2024</c:v>
                </c:pt>
                <c:pt idx="362">
                  <c:v>04.10.2024</c:v>
                </c:pt>
                <c:pt idx="363">
                  <c:v>03.10.2024</c:v>
                </c:pt>
                <c:pt idx="364">
                  <c:v>02.10.2024</c:v>
                </c:pt>
                <c:pt idx="365">
                  <c:v>01.10.2024</c:v>
                </c:pt>
                <c:pt idx="366">
                  <c:v>30.09.2024</c:v>
                </c:pt>
                <c:pt idx="367">
                  <c:v>27.09.2024</c:v>
                </c:pt>
                <c:pt idx="368">
                  <c:v>26.09.2024</c:v>
                </c:pt>
                <c:pt idx="369">
                  <c:v>25.09.2024</c:v>
                </c:pt>
                <c:pt idx="370">
                  <c:v>24.09.2024</c:v>
                </c:pt>
                <c:pt idx="371">
                  <c:v>23.09.2024</c:v>
                </c:pt>
                <c:pt idx="372">
                  <c:v>20.09.2024</c:v>
                </c:pt>
                <c:pt idx="373">
                  <c:v>19.09.2024</c:v>
                </c:pt>
                <c:pt idx="374">
                  <c:v>18.09.2024</c:v>
                </c:pt>
                <c:pt idx="375">
                  <c:v>17.09.2024</c:v>
                </c:pt>
                <c:pt idx="376">
                  <c:v>16.09.2024</c:v>
                </c:pt>
                <c:pt idx="377">
                  <c:v>13.09.2024</c:v>
                </c:pt>
                <c:pt idx="378">
                  <c:v>12.09.2024</c:v>
                </c:pt>
                <c:pt idx="379">
                  <c:v>11.09.2024</c:v>
                </c:pt>
                <c:pt idx="380">
                  <c:v>10.09.2024</c:v>
                </c:pt>
                <c:pt idx="381">
                  <c:v>09.09.2024</c:v>
                </c:pt>
                <c:pt idx="382">
                  <c:v>06.09.2024</c:v>
                </c:pt>
                <c:pt idx="383">
                  <c:v>05.09.2024</c:v>
                </c:pt>
                <c:pt idx="384">
                  <c:v>04.09.2024</c:v>
                </c:pt>
                <c:pt idx="385">
                  <c:v>03.09.2024</c:v>
                </c:pt>
                <c:pt idx="386">
                  <c:v>02.09.2024</c:v>
                </c:pt>
                <c:pt idx="387">
                  <c:v>30.08.2024</c:v>
                </c:pt>
                <c:pt idx="388">
                  <c:v>29.08.2024</c:v>
                </c:pt>
                <c:pt idx="389">
                  <c:v>28.08.2024</c:v>
                </c:pt>
                <c:pt idx="390">
                  <c:v>27.08.2024</c:v>
                </c:pt>
                <c:pt idx="391">
                  <c:v>26.08.2024</c:v>
                </c:pt>
                <c:pt idx="392">
                  <c:v>23.08.2024</c:v>
                </c:pt>
                <c:pt idx="393">
                  <c:v>22.08.2024</c:v>
                </c:pt>
                <c:pt idx="394">
                  <c:v>21.08.2024</c:v>
                </c:pt>
                <c:pt idx="395">
                  <c:v>20.08.2024</c:v>
                </c:pt>
                <c:pt idx="396">
                  <c:v>19.08.2024</c:v>
                </c:pt>
                <c:pt idx="397">
                  <c:v>16.08.2024</c:v>
                </c:pt>
                <c:pt idx="398">
                  <c:v>15.08.2024</c:v>
                </c:pt>
                <c:pt idx="399">
                  <c:v>14.08.2024</c:v>
                </c:pt>
                <c:pt idx="400">
                  <c:v>13.08.2024</c:v>
                </c:pt>
                <c:pt idx="401">
                  <c:v>12.08.2024</c:v>
                </c:pt>
                <c:pt idx="402">
                  <c:v>09.08.2024</c:v>
                </c:pt>
                <c:pt idx="403">
                  <c:v>08.08.2024</c:v>
                </c:pt>
                <c:pt idx="404">
                  <c:v>07.08.2024</c:v>
                </c:pt>
                <c:pt idx="405">
                  <c:v>06.08.2024</c:v>
                </c:pt>
                <c:pt idx="406">
                  <c:v>05.08.2024</c:v>
                </c:pt>
                <c:pt idx="407">
                  <c:v>02.08.2024</c:v>
                </c:pt>
                <c:pt idx="408">
                  <c:v>01.08.2024</c:v>
                </c:pt>
                <c:pt idx="409">
                  <c:v>31.07.2024</c:v>
                </c:pt>
                <c:pt idx="410">
                  <c:v>30.07.2024</c:v>
                </c:pt>
                <c:pt idx="411">
                  <c:v>29.07.2024</c:v>
                </c:pt>
                <c:pt idx="412">
                  <c:v>26.07.2024</c:v>
                </c:pt>
                <c:pt idx="413">
                  <c:v>25.07.2024</c:v>
                </c:pt>
                <c:pt idx="414">
                  <c:v>24.07.2024</c:v>
                </c:pt>
                <c:pt idx="415">
                  <c:v>23.07.2024</c:v>
                </c:pt>
                <c:pt idx="416">
                  <c:v>22.07.2024</c:v>
                </c:pt>
                <c:pt idx="417">
                  <c:v>19.07.2024</c:v>
                </c:pt>
                <c:pt idx="418">
                  <c:v>18.07.2024</c:v>
                </c:pt>
                <c:pt idx="419">
                  <c:v>17.07.2024</c:v>
                </c:pt>
                <c:pt idx="420">
                  <c:v>16.07.2024</c:v>
                </c:pt>
                <c:pt idx="421">
                  <c:v>15.07.2024</c:v>
                </c:pt>
                <c:pt idx="422">
                  <c:v>12.07.2024</c:v>
                </c:pt>
                <c:pt idx="423">
                  <c:v>11.07.2024</c:v>
                </c:pt>
                <c:pt idx="424">
                  <c:v>10.07.2024</c:v>
                </c:pt>
                <c:pt idx="425">
                  <c:v>09.07.2024</c:v>
                </c:pt>
                <c:pt idx="426">
                  <c:v>08.07.2024</c:v>
                </c:pt>
                <c:pt idx="427">
                  <c:v>05.07.2024</c:v>
                </c:pt>
                <c:pt idx="428">
                  <c:v>04.07.2024</c:v>
                </c:pt>
                <c:pt idx="429">
                  <c:v>03.07.2024</c:v>
                </c:pt>
                <c:pt idx="430">
                  <c:v>02.07.2024</c:v>
                </c:pt>
                <c:pt idx="431">
                  <c:v>01.07.2024</c:v>
                </c:pt>
                <c:pt idx="432">
                  <c:v>28.06.2024</c:v>
                </c:pt>
                <c:pt idx="433">
                  <c:v>27.06.2024</c:v>
                </c:pt>
                <c:pt idx="434">
                  <c:v>26.06.2024</c:v>
                </c:pt>
                <c:pt idx="435">
                  <c:v>25.06.2024</c:v>
                </c:pt>
                <c:pt idx="436">
                  <c:v>24.06.2024</c:v>
                </c:pt>
                <c:pt idx="437">
                  <c:v>21.06.2024</c:v>
                </c:pt>
                <c:pt idx="438">
                  <c:v>20.06.2024</c:v>
                </c:pt>
                <c:pt idx="439">
                  <c:v>19.06.2024</c:v>
                </c:pt>
                <c:pt idx="440">
                  <c:v>18.06.2024</c:v>
                </c:pt>
                <c:pt idx="441">
                  <c:v>17.06.2024</c:v>
                </c:pt>
                <c:pt idx="442">
                  <c:v>14.06.2024</c:v>
                </c:pt>
                <c:pt idx="443">
                  <c:v>13.06.2024</c:v>
                </c:pt>
                <c:pt idx="444">
                  <c:v>12.06.2024</c:v>
                </c:pt>
                <c:pt idx="445">
                  <c:v>11.06.2024</c:v>
                </c:pt>
                <c:pt idx="446">
                  <c:v>10.06.2024</c:v>
                </c:pt>
                <c:pt idx="447">
                  <c:v>07.06.2024</c:v>
                </c:pt>
                <c:pt idx="448">
                  <c:v>06.06.2024</c:v>
                </c:pt>
                <c:pt idx="449">
                  <c:v>05.06.2024</c:v>
                </c:pt>
                <c:pt idx="450">
                  <c:v>04.06.2024</c:v>
                </c:pt>
                <c:pt idx="451">
                  <c:v>03.06.2024</c:v>
                </c:pt>
                <c:pt idx="452">
                  <c:v>31.05.2024</c:v>
                </c:pt>
                <c:pt idx="453">
                  <c:v>30.05.2024</c:v>
                </c:pt>
                <c:pt idx="454">
                  <c:v>29.05.2024</c:v>
                </c:pt>
                <c:pt idx="455">
                  <c:v>28.05.2024</c:v>
                </c:pt>
                <c:pt idx="456">
                  <c:v>27.05.2024</c:v>
                </c:pt>
                <c:pt idx="457">
                  <c:v>24.05.2024</c:v>
                </c:pt>
                <c:pt idx="458">
                  <c:v>23.05.2024</c:v>
                </c:pt>
                <c:pt idx="459">
                  <c:v>22.05.2024</c:v>
                </c:pt>
                <c:pt idx="460">
                  <c:v>21.05.2024</c:v>
                </c:pt>
                <c:pt idx="461">
                  <c:v>20.05.2024</c:v>
                </c:pt>
                <c:pt idx="462">
                  <c:v>17.05.2024</c:v>
                </c:pt>
                <c:pt idx="463">
                  <c:v>16.05.2024</c:v>
                </c:pt>
                <c:pt idx="464">
                  <c:v>15.05.2024</c:v>
                </c:pt>
                <c:pt idx="465">
                  <c:v>14.05.2024</c:v>
                </c:pt>
                <c:pt idx="466">
                  <c:v>13.05.2024</c:v>
                </c:pt>
                <c:pt idx="467">
                  <c:v>10.05.2024</c:v>
                </c:pt>
                <c:pt idx="468">
                  <c:v>09.05.2024</c:v>
                </c:pt>
                <c:pt idx="469">
                  <c:v>08.05.2024</c:v>
                </c:pt>
                <c:pt idx="470">
                  <c:v>07.05.2024</c:v>
                </c:pt>
                <c:pt idx="471">
                  <c:v>06.05.2024</c:v>
                </c:pt>
                <c:pt idx="472">
                  <c:v>03.05.2024</c:v>
                </c:pt>
                <c:pt idx="473">
                  <c:v>02.05.2024</c:v>
                </c:pt>
                <c:pt idx="474">
                  <c:v>30.04.2024</c:v>
                </c:pt>
                <c:pt idx="475">
                  <c:v>29.04.2024</c:v>
                </c:pt>
                <c:pt idx="476">
                  <c:v>26.04.2024</c:v>
                </c:pt>
                <c:pt idx="477">
                  <c:v>25.04.2024</c:v>
                </c:pt>
                <c:pt idx="478">
                  <c:v>24.04.2024</c:v>
                </c:pt>
                <c:pt idx="479">
                  <c:v>23.04.2024</c:v>
                </c:pt>
                <c:pt idx="480">
                  <c:v>22.04.2024</c:v>
                </c:pt>
                <c:pt idx="481">
                  <c:v>19.04.2024</c:v>
                </c:pt>
                <c:pt idx="482">
                  <c:v>18.04.2024</c:v>
                </c:pt>
                <c:pt idx="483">
                  <c:v>17.04.2024</c:v>
                </c:pt>
                <c:pt idx="484">
                  <c:v>16.04.2024</c:v>
                </c:pt>
                <c:pt idx="485">
                  <c:v>15.04.2024</c:v>
                </c:pt>
                <c:pt idx="486">
                  <c:v>12.04.2024</c:v>
                </c:pt>
              </c:strCache>
            </c:strRef>
          </c:xVal>
          <c:yVal>
            <c:numRef>
              <c:f>'Ejercicio 1 al 3'!$I$2:$I$488</c:f>
              <c:numCache>
                <c:formatCode>0.00%</c:formatCode>
                <c:ptCount val="487"/>
                <c:pt idx="0">
                  <c:v>-7.9397825480903173E-3</c:v>
                </c:pt>
                <c:pt idx="1">
                  <c:v>-6.366936609885512E-3</c:v>
                </c:pt>
                <c:pt idx="2">
                  <c:v>-5.4910714285714328E-3</c:v>
                </c:pt>
                <c:pt idx="3">
                  <c:v>-5.5118549511854907E-3</c:v>
                </c:pt>
                <c:pt idx="4">
                  <c:v>-6.2673857507805769E-3</c:v>
                </c:pt>
                <c:pt idx="5">
                  <c:v>-3.9478162223482551E-3</c:v>
                </c:pt>
                <c:pt idx="6">
                  <c:v>-3.3932584269662858E-3</c:v>
                </c:pt>
                <c:pt idx="7">
                  <c:v>-5.0410958904109557E-3</c:v>
                </c:pt>
                <c:pt idx="8">
                  <c:v>-4.248183342649519E-3</c:v>
                </c:pt>
                <c:pt idx="9">
                  <c:v>-2.8673835125448124E-3</c:v>
                </c:pt>
                <c:pt idx="10">
                  <c:v>-4.6357615894040196E-4</c:v>
                </c:pt>
                <c:pt idx="11">
                  <c:v>4.4113592500671928E-5</c:v>
                </c:pt>
                <c:pt idx="12">
                  <c:v>-7.2787427626138876E-4</c:v>
                </c:pt>
                <c:pt idx="13">
                  <c:v>-8.8227185001388267E-5</c:v>
                </c:pt>
                <c:pt idx="14">
                  <c:v>-2.5417339795368843E-3</c:v>
                </c:pt>
                <c:pt idx="15">
                  <c:v>-6.6810344827585412E-4</c:v>
                </c:pt>
                <c:pt idx="16">
                  <c:v>-3.5900159320233628E-3</c:v>
                </c:pt>
                <c:pt idx="17">
                  <c:v>2.4376731301938294E-4</c:v>
                </c:pt>
                <c:pt idx="18">
                  <c:v>2.6936026936025926E-4</c:v>
                </c:pt>
                <c:pt idx="19">
                  <c:v>-1.2184990307394018E-3</c:v>
                </c:pt>
                <c:pt idx="20">
                  <c:v>-3.4977339376166404E-3</c:v>
                </c:pt>
                <c:pt idx="21">
                  <c:v>-4.6898002103049402E-3</c:v>
                </c:pt>
                <c:pt idx="22">
                  <c:v>-5.255474452554738E-3</c:v>
                </c:pt>
                <c:pt idx="23">
                  <c:v>-4.6452968996321606E-3</c:v>
                </c:pt>
                <c:pt idx="24">
                  <c:v>-6.3355985363303712E-3</c:v>
                </c:pt>
                <c:pt idx="25">
                  <c:v>-6.9601242879337114E-3</c:v>
                </c:pt>
                <c:pt idx="26">
                  <c:v>-6.274915868495992E-3</c:v>
                </c:pt>
                <c:pt idx="27">
                  <c:v>-4.4892681665373683E-3</c:v>
                </c:pt>
                <c:pt idx="28">
                  <c:v>-6.5674704976911172E-3</c:v>
                </c:pt>
                <c:pt idx="29">
                  <c:v>-6.3179278821736953E-3</c:v>
                </c:pt>
                <c:pt idx="30">
                  <c:v>-8.3794466403161929E-3</c:v>
                </c:pt>
                <c:pt idx="31">
                  <c:v>-7.3146292585170337E-3</c:v>
                </c:pt>
                <c:pt idx="32">
                  <c:v>-6.8012108980827438E-3</c:v>
                </c:pt>
                <c:pt idx="33">
                  <c:v>-6.9854051333668819E-3</c:v>
                </c:pt>
                <c:pt idx="34">
                  <c:v>-5.4404015056461752E-3</c:v>
                </c:pt>
                <c:pt idx="35">
                  <c:v>-5.7600000000000056E-3</c:v>
                </c:pt>
                <c:pt idx="36">
                  <c:v>-4.7364476642518215E-3</c:v>
                </c:pt>
                <c:pt idx="37">
                  <c:v>-8.2484472049689384E-3</c:v>
                </c:pt>
                <c:pt idx="38">
                  <c:v>-9.6173784250802186E-3</c:v>
                </c:pt>
                <c:pt idx="39">
                  <c:v>-9.5070766227427946E-3</c:v>
                </c:pt>
                <c:pt idx="40">
                  <c:v>-6.5589818893783663E-3</c:v>
                </c:pt>
                <c:pt idx="41">
                  <c:v>-5.8840720896249452E-3</c:v>
                </c:pt>
                <c:pt idx="42">
                  <c:v>-4.6550454210655531E-3</c:v>
                </c:pt>
                <c:pt idx="43">
                  <c:v>-5.827040194884274E-3</c:v>
                </c:pt>
                <c:pt idx="44">
                  <c:v>-5.1821070642874556E-3</c:v>
                </c:pt>
                <c:pt idx="45">
                  <c:v>-3.6570298986903895E-3</c:v>
                </c:pt>
                <c:pt idx="46">
                  <c:v>-2.4297188755020116E-3</c:v>
                </c:pt>
                <c:pt idx="47">
                  <c:v>2.4080980287693168E-3</c:v>
                </c:pt>
                <c:pt idx="48">
                  <c:v>2.9141185854825837E-3</c:v>
                </c:pt>
                <c:pt idx="49">
                  <c:v>4.4611260053619437E-3</c:v>
                </c:pt>
                <c:pt idx="50">
                  <c:v>7.2178831133853909E-3</c:v>
                </c:pt>
                <c:pt idx="51">
                  <c:v>6.4303112313937663E-3</c:v>
                </c:pt>
                <c:pt idx="52">
                  <c:v>6.4087193460490438E-3</c:v>
                </c:pt>
                <c:pt idx="53">
                  <c:v>6.6739367502726315E-3</c:v>
                </c:pt>
                <c:pt idx="54">
                  <c:v>8.2613510520487318E-3</c:v>
                </c:pt>
                <c:pt idx="55">
                  <c:v>9.4354387926215821E-3</c:v>
                </c:pt>
                <c:pt idx="56">
                  <c:v>1.0463276836158197E-2</c:v>
                </c:pt>
                <c:pt idx="57">
                  <c:v>1.0449438202247183E-2</c:v>
                </c:pt>
                <c:pt idx="58">
                  <c:v>9.4754279403644406E-3</c:v>
                </c:pt>
                <c:pt idx="59">
                  <c:v>8.5336213880637148E-3</c:v>
                </c:pt>
                <c:pt idx="60">
                  <c:v>7.3543559593800016E-3</c:v>
                </c:pt>
                <c:pt idx="61">
                  <c:v>7.0606944076332034E-3</c:v>
                </c:pt>
                <c:pt idx="62">
                  <c:v>7.4034334763948455E-3</c:v>
                </c:pt>
                <c:pt idx="63">
                  <c:v>1.0046613655058946E-2</c:v>
                </c:pt>
                <c:pt idx="64">
                  <c:v>1.1444537580329702E-2</c:v>
                </c:pt>
                <c:pt idx="65">
                  <c:v>1.1251409244644872E-2</c:v>
                </c:pt>
                <c:pt idx="66">
                  <c:v>1.1376146788990819E-2</c:v>
                </c:pt>
                <c:pt idx="67">
                  <c:v>5.2455293783707189E-3</c:v>
                </c:pt>
                <c:pt idx="68">
                  <c:v>6.7839630804730254E-3</c:v>
                </c:pt>
                <c:pt idx="69">
                  <c:v>5.1112378779235535E-3</c:v>
                </c:pt>
                <c:pt idx="70">
                  <c:v>6.1984910040626855E-3</c:v>
                </c:pt>
                <c:pt idx="71">
                  <c:v>5.2364475201845551E-3</c:v>
                </c:pt>
                <c:pt idx="72">
                  <c:v>2.6809349479020028E-3</c:v>
                </c:pt>
                <c:pt idx="73">
                  <c:v>3.5535307517084291E-3</c:v>
                </c:pt>
                <c:pt idx="74">
                  <c:v>2.2779043280182166E-3</c:v>
                </c:pt>
                <c:pt idx="75">
                  <c:v>2.5374855824682819E-3</c:v>
                </c:pt>
                <c:pt idx="76">
                  <c:v>2.2060957910014344E-3</c:v>
                </c:pt>
                <c:pt idx="77">
                  <c:v>2.5746593215424697E-3</c:v>
                </c:pt>
                <c:pt idx="78">
                  <c:v>3.3362093758987576E-3</c:v>
                </c:pt>
                <c:pt idx="79">
                  <c:v>5.8169177288528396E-3</c:v>
                </c:pt>
                <c:pt idx="80">
                  <c:v>7.4810052600818369E-3</c:v>
                </c:pt>
                <c:pt idx="81">
                  <c:v>8.8025889967637393E-3</c:v>
                </c:pt>
                <c:pt idx="82">
                  <c:v>8.3935981031416779E-3</c:v>
                </c:pt>
                <c:pt idx="83">
                  <c:v>7.0665472993136367E-3</c:v>
                </c:pt>
                <c:pt idx="84">
                  <c:v>5.062388591800371E-3</c:v>
                </c:pt>
                <c:pt idx="85">
                  <c:v>5.3654135338345732E-3</c:v>
                </c:pt>
                <c:pt idx="86">
                  <c:v>2.6540284360189758E-3</c:v>
                </c:pt>
                <c:pt idx="87">
                  <c:v>3.6072382082467948E-3</c:v>
                </c:pt>
                <c:pt idx="88">
                  <c:v>5.810575246949412E-4</c:v>
                </c:pt>
                <c:pt idx="89">
                  <c:v>1.8441785818500201E-3</c:v>
                </c:pt>
                <c:pt idx="90">
                  <c:v>4.9051094890511853E-4</c:v>
                </c:pt>
                <c:pt idx="91">
                  <c:v>1.0990938322128052E-3</c:v>
                </c:pt>
                <c:pt idx="92">
                  <c:v>4.1967990515708207E-3</c:v>
                </c:pt>
                <c:pt idx="93">
                  <c:v>3.9940209267563453E-3</c:v>
                </c:pt>
                <c:pt idx="94">
                  <c:v>3.9187574671445628E-3</c:v>
                </c:pt>
                <c:pt idx="95">
                  <c:v>3.6670687575392157E-3</c:v>
                </c:pt>
                <c:pt idx="96">
                  <c:v>3.4392976082349416E-3</c:v>
                </c:pt>
                <c:pt idx="97">
                  <c:v>3.2840325988530063E-3</c:v>
                </c:pt>
                <c:pt idx="98">
                  <c:v>4.1124886604172947E-3</c:v>
                </c:pt>
                <c:pt idx="99">
                  <c:v>5.6044637321760859E-3</c:v>
                </c:pt>
                <c:pt idx="100">
                  <c:v>-2.1166429587482229E-3</c:v>
                </c:pt>
                <c:pt idx="101">
                  <c:v>-2.7500000000000037E-3</c:v>
                </c:pt>
                <c:pt idx="102">
                  <c:v>-4.4767767207610559E-3</c:v>
                </c:pt>
                <c:pt idx="103">
                  <c:v>-5.5540127742293782E-3</c:v>
                </c:pt>
                <c:pt idx="104">
                  <c:v>-5.7363485934914587E-3</c:v>
                </c:pt>
                <c:pt idx="105">
                  <c:v>-6.66115246760409E-3</c:v>
                </c:pt>
                <c:pt idx="106">
                  <c:v>-6.3284233496999414E-3</c:v>
                </c:pt>
                <c:pt idx="107">
                  <c:v>-5.1304830649639135E-3</c:v>
                </c:pt>
                <c:pt idx="108">
                  <c:v>-4.0386206896551704E-3</c:v>
                </c:pt>
                <c:pt idx="109">
                  <c:v>-4.4738292011019176E-3</c:v>
                </c:pt>
                <c:pt idx="110">
                  <c:v>-4.2047026279391367E-3</c:v>
                </c:pt>
                <c:pt idx="111">
                  <c:v>-3.3174558699915835E-3</c:v>
                </c:pt>
                <c:pt idx="112">
                  <c:v>-5.2713178294573563E-3</c:v>
                </c:pt>
                <c:pt idx="113">
                  <c:v>-5.3764640267707706E-3</c:v>
                </c:pt>
                <c:pt idx="114">
                  <c:v>-6.4377918154353165E-3</c:v>
                </c:pt>
                <c:pt idx="115">
                  <c:v>-7.1008518823852821E-3</c:v>
                </c:pt>
                <c:pt idx="116">
                  <c:v>-7.9410962639760024E-3</c:v>
                </c:pt>
                <c:pt idx="117">
                  <c:v>-8.036926418680413E-3</c:v>
                </c:pt>
                <c:pt idx="118">
                  <c:v>-9.3187282928132477E-3</c:v>
                </c:pt>
                <c:pt idx="119">
                  <c:v>-1.1251997868939797E-2</c:v>
                </c:pt>
                <c:pt idx="120">
                  <c:v>-5.5493778130791685E-3</c:v>
                </c:pt>
                <c:pt idx="121">
                  <c:v>-4.6252676659528811E-3</c:v>
                </c:pt>
                <c:pt idx="122">
                  <c:v>-3.3458445040214359E-3</c:v>
                </c:pt>
                <c:pt idx="123">
                  <c:v>-2.413143011042296E-3</c:v>
                </c:pt>
                <c:pt idx="124">
                  <c:v>-4.4101433296592775E-5</c:v>
                </c:pt>
                <c:pt idx="125">
                  <c:v>-8.51063829787222E-4</c:v>
                </c:pt>
                <c:pt idx="126">
                  <c:v>2.4076607387140569E-4</c:v>
                </c:pt>
                <c:pt idx="127">
                  <c:v>-1.3107591480065394E-3</c:v>
                </c:pt>
                <c:pt idx="128">
                  <c:v>4.4162296439420599E-5</c:v>
                </c:pt>
                <c:pt idx="129">
                  <c:v>2.6533996683250296E-4</c:v>
                </c:pt>
                <c:pt idx="130">
                  <c:v>5.7954862078572593E-4</c:v>
                </c:pt>
                <c:pt idx="131">
                  <c:v>1.0905992615734129E-3</c:v>
                </c:pt>
                <c:pt idx="132">
                  <c:v>2.5835953129465495E-3</c:v>
                </c:pt>
                <c:pt idx="133">
                  <c:v>2.5553956834532343E-3</c:v>
                </c:pt>
                <c:pt idx="134">
                  <c:v>5.0700934579439054E-3</c:v>
                </c:pt>
                <c:pt idx="135">
                  <c:v>3.9688491491202708E-3</c:v>
                </c:pt>
                <c:pt idx="136">
                  <c:v>3.0342485140107556E-3</c:v>
                </c:pt>
                <c:pt idx="137">
                  <c:v>2.9037703995498099E-3</c:v>
                </c:pt>
                <c:pt idx="138">
                  <c:v>2.9014396456256896E-3</c:v>
                </c:pt>
                <c:pt idx="139">
                  <c:v>2.5735496288149663E-3</c:v>
                </c:pt>
                <c:pt idx="140">
                  <c:v>1.3789388634527278E-3</c:v>
                </c:pt>
                <c:pt idx="141">
                  <c:v>2.9991668980838605E-3</c:v>
                </c:pt>
                <c:pt idx="142">
                  <c:v>3.2821657828635154E-3</c:v>
                </c:pt>
                <c:pt idx="143">
                  <c:v>6.8792044457443779E-3</c:v>
                </c:pt>
                <c:pt idx="144">
                  <c:v>4.4949053857350841E-3</c:v>
                </c:pt>
                <c:pt idx="145">
                  <c:v>6.0058651026392877E-3</c:v>
                </c:pt>
                <c:pt idx="146">
                  <c:v>5.4970760233917912E-3</c:v>
                </c:pt>
                <c:pt idx="147">
                  <c:v>5.9120234604105454E-3</c:v>
                </c:pt>
                <c:pt idx="148">
                  <c:v>3.7445824906096447E-3</c:v>
                </c:pt>
                <c:pt idx="149">
                  <c:v>4.3356643356643335E-3</c:v>
                </c:pt>
                <c:pt idx="150">
                  <c:v>2.2929206076239693E-3</c:v>
                </c:pt>
                <c:pt idx="151">
                  <c:v>1.0823258491652332E-3</c:v>
                </c:pt>
                <c:pt idx="152">
                  <c:v>2.1843805049911857E-3</c:v>
                </c:pt>
                <c:pt idx="153">
                  <c:v>1.7166372721928269E-3</c:v>
                </c:pt>
                <c:pt idx="154">
                  <c:v>1.3301662707838524E-3</c:v>
                </c:pt>
                <c:pt idx="155">
                  <c:v>2.4004753416518201E-3</c:v>
                </c:pt>
                <c:pt idx="156">
                  <c:v>2.5708442886357118E-3</c:v>
                </c:pt>
                <c:pt idx="157">
                  <c:v>3.2806092560046809E-3</c:v>
                </c:pt>
                <c:pt idx="158">
                  <c:v>5.7448071216617078E-3</c:v>
                </c:pt>
                <c:pt idx="159">
                  <c:v>6.3639062036212482E-3</c:v>
                </c:pt>
                <c:pt idx="160">
                  <c:v>6.8792044457443779E-3</c:v>
                </c:pt>
                <c:pt idx="161">
                  <c:v>7.1649016641452332E-3</c:v>
                </c:pt>
                <c:pt idx="162">
                  <c:v>5.5897282770976274E-3</c:v>
                </c:pt>
                <c:pt idx="163">
                  <c:v>1.2596553773024334E-3</c:v>
                </c:pt>
                <c:pt idx="164">
                  <c:v>2.9710144927536319E-3</c:v>
                </c:pt>
                <c:pt idx="165">
                  <c:v>2.0697954271961549E-3</c:v>
                </c:pt>
                <c:pt idx="166">
                  <c:v>2.8588734100545034E-3</c:v>
                </c:pt>
                <c:pt idx="167">
                  <c:v>2.2926093514328903E-3</c:v>
                </c:pt>
                <c:pt idx="168">
                  <c:v>3.3222991272946166E-3</c:v>
                </c:pt>
                <c:pt idx="169">
                  <c:v>1.447641649362197E-3</c:v>
                </c:pt>
                <c:pt idx="170">
                  <c:v>2.4335499113998793E-3</c:v>
                </c:pt>
                <c:pt idx="171">
                  <c:v>9.3185789167151258E-4</c:v>
                </c:pt>
                <c:pt idx="172">
                  <c:v>-1.1574074074074047E-3</c:v>
                </c:pt>
                <c:pt idx="173">
                  <c:v>-1.6580310880828985E-3</c:v>
                </c:pt>
                <c:pt idx="174">
                  <c:v>-1.4689594870300304E-3</c:v>
                </c:pt>
                <c:pt idx="175">
                  <c:v>-9.3951849677042175E-4</c:v>
                </c:pt>
                <c:pt idx="176">
                  <c:v>-5.8004640371229327E-4</c:v>
                </c:pt>
                <c:pt idx="177">
                  <c:v>-4.1958041958041649E-4</c:v>
                </c:pt>
                <c:pt idx="178">
                  <c:v>-1.650682941005508E-3</c:v>
                </c:pt>
                <c:pt idx="179">
                  <c:v>-1.7875798026697699E-3</c:v>
                </c:pt>
                <c:pt idx="180">
                  <c:v>-2.0740740740740815E-3</c:v>
                </c:pt>
                <c:pt idx="181">
                  <c:v>-5.4581336340569567E-3</c:v>
                </c:pt>
                <c:pt idx="182">
                  <c:v>-4.1878890775325405E-3</c:v>
                </c:pt>
                <c:pt idx="183">
                  <c:v>-3.2820512820512971E-3</c:v>
                </c:pt>
                <c:pt idx="184">
                  <c:v>-4.9192405780674429E-3</c:v>
                </c:pt>
                <c:pt idx="185">
                  <c:v>-7.1052631578947256E-3</c:v>
                </c:pt>
                <c:pt idx="186">
                  <c:v>-9.2744310575635855E-3</c:v>
                </c:pt>
                <c:pt idx="187">
                  <c:v>-9.7111052213093001E-3</c:v>
                </c:pt>
                <c:pt idx="188">
                  <c:v>-9.9683877766069615E-3</c:v>
                </c:pt>
                <c:pt idx="189">
                  <c:v>-7.680343255564495E-3</c:v>
                </c:pt>
                <c:pt idx="190">
                  <c:v>-8.50884138295065E-3</c:v>
                </c:pt>
                <c:pt idx="191">
                  <c:v>-7.6671932596103082E-3</c:v>
                </c:pt>
                <c:pt idx="192">
                  <c:v>-7.981245115915598E-3</c:v>
                </c:pt>
                <c:pt idx="193">
                  <c:v>-7.0359674455237635E-3</c:v>
                </c:pt>
                <c:pt idx="194">
                  <c:v>-6.4128686327077668E-3</c:v>
                </c:pt>
                <c:pt idx="195">
                  <c:v>-7.0858977789670791E-3</c:v>
                </c:pt>
                <c:pt idx="196">
                  <c:v>-5.5291576673866154E-3</c:v>
                </c:pt>
                <c:pt idx="197">
                  <c:v>-5.0655021834061119E-3</c:v>
                </c:pt>
                <c:pt idx="198">
                  <c:v>-4.909983633387887E-3</c:v>
                </c:pt>
                <c:pt idx="199">
                  <c:v>-4.3676268861454126E-3</c:v>
                </c:pt>
                <c:pt idx="200">
                  <c:v>-3.6126224156692024E-3</c:v>
                </c:pt>
                <c:pt idx="201">
                  <c:v>-1.548244401437664E-3</c:v>
                </c:pt>
                <c:pt idx="202">
                  <c:v>-3.1321370309951037E-3</c:v>
                </c:pt>
                <c:pt idx="203">
                  <c:v>-3.6333967908621203E-3</c:v>
                </c:pt>
                <c:pt idx="204">
                  <c:v>-2.6520547945205488E-3</c:v>
                </c:pt>
                <c:pt idx="205">
                  <c:v>1.1117287381878782E-3</c:v>
                </c:pt>
                <c:pt idx="206">
                  <c:v>4.6698781524511191E-3</c:v>
                </c:pt>
                <c:pt idx="207">
                  <c:v>6.8604316546762509E-3</c:v>
                </c:pt>
                <c:pt idx="208">
                  <c:v>9.9792592592592658E-3</c:v>
                </c:pt>
                <c:pt idx="209">
                  <c:v>9.6124962451186492E-3</c:v>
                </c:pt>
                <c:pt idx="210">
                  <c:v>1.0187444213031843E-2</c:v>
                </c:pt>
                <c:pt idx="211">
                  <c:v>1.22684482235044E-2</c:v>
                </c:pt>
                <c:pt idx="212">
                  <c:v>1.4819388700216117E-2</c:v>
                </c:pt>
                <c:pt idx="213">
                  <c:v>1.5523510971786844E-2</c:v>
                </c:pt>
                <c:pt idx="214">
                  <c:v>1.4820463933905294E-2</c:v>
                </c:pt>
                <c:pt idx="215">
                  <c:v>1.3162979121221543E-2</c:v>
                </c:pt>
                <c:pt idx="216">
                  <c:v>1.2024844720496884E-2</c:v>
                </c:pt>
                <c:pt idx="217">
                  <c:v>9.6117395291959624E-3</c:v>
                </c:pt>
                <c:pt idx="218">
                  <c:v>7.4157973174366629E-3</c:v>
                </c:pt>
                <c:pt idx="219">
                  <c:v>4.5462452884894233E-3</c:v>
                </c:pt>
                <c:pt idx="220">
                  <c:v>5.3890824622532035E-3</c:v>
                </c:pt>
                <c:pt idx="221">
                  <c:v>3.7268518518518514E-3</c:v>
                </c:pt>
                <c:pt idx="222">
                  <c:v>2.3279238947957383E-3</c:v>
                </c:pt>
                <c:pt idx="223">
                  <c:v>7.2447859495062162E-4</c:v>
                </c:pt>
                <c:pt idx="224">
                  <c:v>-1.8833600856072864E-3</c:v>
                </c:pt>
                <c:pt idx="225">
                  <c:v>-3.6498673740053178E-3</c:v>
                </c:pt>
                <c:pt idx="226">
                  <c:v>-4.6945852227260687E-3</c:v>
                </c:pt>
                <c:pt idx="227">
                  <c:v>-5.588865096359745E-3</c:v>
                </c:pt>
                <c:pt idx="228">
                  <c:v>-8.3249269976108306E-3</c:v>
                </c:pt>
                <c:pt idx="229">
                  <c:v>-1.1076604554865428E-2</c:v>
                </c:pt>
                <c:pt idx="230">
                  <c:v>-1.1460616874840675E-2</c:v>
                </c:pt>
                <c:pt idx="231">
                  <c:v>-1.1090766413811135E-2</c:v>
                </c:pt>
                <c:pt idx="232">
                  <c:v>-1.184639663335087E-2</c:v>
                </c:pt>
                <c:pt idx="233">
                  <c:v>-1.3053515215110174E-2</c:v>
                </c:pt>
                <c:pt idx="234">
                  <c:v>-1.489526764934058E-2</c:v>
                </c:pt>
                <c:pt idx="235">
                  <c:v>-1.4157476275968195E-2</c:v>
                </c:pt>
                <c:pt idx="236">
                  <c:v>-1.4933063905026521E-2</c:v>
                </c:pt>
                <c:pt idx="237">
                  <c:v>-1.2799178222907033E-2</c:v>
                </c:pt>
                <c:pt idx="238">
                  <c:v>-1.1460674157303367E-2</c:v>
                </c:pt>
                <c:pt idx="239">
                  <c:v>-7.0824524312896389E-3</c:v>
                </c:pt>
                <c:pt idx="240">
                  <c:v>-6.5671641791044877E-3</c:v>
                </c:pt>
                <c:pt idx="241">
                  <c:v>-8.9619732785200419E-3</c:v>
                </c:pt>
                <c:pt idx="242">
                  <c:v>-3.8967261112589835E-3</c:v>
                </c:pt>
                <c:pt idx="243">
                  <c:v>-2.8578989150569003E-3</c:v>
                </c:pt>
                <c:pt idx="244">
                  <c:v>-3.4996162701458199E-3</c:v>
                </c:pt>
                <c:pt idx="245">
                  <c:v>-1.885521885521877E-3</c:v>
                </c:pt>
                <c:pt idx="246">
                  <c:v>-4.0339702760084251E-4</c:v>
                </c:pt>
                <c:pt idx="247">
                  <c:v>8.0021627466882357E-4</c:v>
                </c:pt>
                <c:pt idx="248">
                  <c:v>2.4965781549411404E-3</c:v>
                </c:pt>
                <c:pt idx="249">
                  <c:v>3.7043054427294921E-3</c:v>
                </c:pt>
                <c:pt idx="250">
                  <c:v>2.6329647182727813E-3</c:v>
                </c:pt>
                <c:pt idx="251">
                  <c:v>3.5733053074093134E-4</c:v>
                </c:pt>
                <c:pt idx="252">
                  <c:v>-1.4702021527960519E-4</c:v>
                </c:pt>
                <c:pt idx="253">
                  <c:v>5.2812252442565818E-4</c:v>
                </c:pt>
                <c:pt idx="254">
                  <c:v>5.2231404958677707E-3</c:v>
                </c:pt>
                <c:pt idx="255">
                  <c:v>6.0231660231660376E-3</c:v>
                </c:pt>
                <c:pt idx="256">
                  <c:v>5.9018171955519533E-3</c:v>
                </c:pt>
                <c:pt idx="257">
                  <c:v>4.9754500818330709E-3</c:v>
                </c:pt>
                <c:pt idx="258">
                  <c:v>3.7423148890670887E-3</c:v>
                </c:pt>
                <c:pt idx="259">
                  <c:v>1.9712970484700955E-3</c:v>
                </c:pt>
                <c:pt idx="260">
                  <c:v>1.709401709401881E-4</c:v>
                </c:pt>
                <c:pt idx="261">
                  <c:v>2.8966986155484521E-3</c:v>
                </c:pt>
                <c:pt idx="262">
                  <c:v>-1.3193717277486972E-3</c:v>
                </c:pt>
                <c:pt idx="263">
                  <c:v>-2.3218997361477812E-4</c:v>
                </c:pt>
                <c:pt idx="264">
                  <c:v>3.3475479744136472E-3</c:v>
                </c:pt>
                <c:pt idx="265">
                  <c:v>1.974522292993637E-3</c:v>
                </c:pt>
                <c:pt idx="266">
                  <c:v>1.2759170653907858E-4</c:v>
                </c:pt>
                <c:pt idx="267">
                  <c:v>-6.8614312516751324E-4</c:v>
                </c:pt>
                <c:pt idx="268">
                  <c:v>-1.0162162162162148E-3</c:v>
                </c:pt>
                <c:pt idx="269">
                  <c:v>4.3348685992956605E-5</c:v>
                </c:pt>
                <c:pt idx="270">
                  <c:v>1.8755052546483421E-3</c:v>
                </c:pt>
                <c:pt idx="271">
                  <c:v>2.2696568495001478E-3</c:v>
                </c:pt>
                <c:pt idx="272">
                  <c:v>3.4392113910186239E-3</c:v>
                </c:pt>
                <c:pt idx="273">
                  <c:v>3.0482456140350856E-3</c:v>
                </c:pt>
                <c:pt idx="274">
                  <c:v>-5.6892778993436369E-4</c:v>
                </c:pt>
                <c:pt idx="275">
                  <c:v>8.4726867335561452E-4</c:v>
                </c:pt>
                <c:pt idx="276">
                  <c:v>2.2073578595317579E-3</c:v>
                </c:pt>
                <c:pt idx="277">
                  <c:v>2.1052631578947255E-3</c:v>
                </c:pt>
                <c:pt idx="278">
                  <c:v>4.0674157303370604E-3</c:v>
                </c:pt>
                <c:pt idx="279">
                  <c:v>1.3436123348017583E-3</c:v>
                </c:pt>
                <c:pt idx="280">
                  <c:v>1.9928825622775649E-3</c:v>
                </c:pt>
                <c:pt idx="281">
                  <c:v>2.05352266521027E-3</c:v>
                </c:pt>
                <c:pt idx="282">
                  <c:v>4.9360755975542151E-3</c:v>
                </c:pt>
                <c:pt idx="283">
                  <c:v>3.6183121897407668E-3</c:v>
                </c:pt>
                <c:pt idx="284">
                  <c:v>2.5749656121045383E-3</c:v>
                </c:pt>
                <c:pt idx="285">
                  <c:v>3.5245220282626734E-3</c:v>
                </c:pt>
                <c:pt idx="286">
                  <c:v>5.5486071631608881E-3</c:v>
                </c:pt>
                <c:pt idx="287">
                  <c:v>3.4675615212528045E-3</c:v>
                </c:pt>
                <c:pt idx="288">
                  <c:v>3.0993823694553768E-3</c:v>
                </c:pt>
                <c:pt idx="289">
                  <c:v>2.319487036520762E-3</c:v>
                </c:pt>
                <c:pt idx="290">
                  <c:v>3.1829644158027472E-3</c:v>
                </c:pt>
                <c:pt idx="291">
                  <c:v>4.0658716638273694E-3</c:v>
                </c:pt>
                <c:pt idx="292">
                  <c:v>1.1330186059428015E-3</c:v>
                </c:pt>
                <c:pt idx="293">
                  <c:v>1.3831567205800255E-3</c:v>
                </c:pt>
                <c:pt idx="294">
                  <c:v>1.8583823117828224E-3</c:v>
                </c:pt>
                <c:pt idx="295">
                  <c:v>3.8084570148418708E-4</c:v>
                </c:pt>
                <c:pt idx="296">
                  <c:v>9.0191657271704534E-4</c:v>
                </c:pt>
                <c:pt idx="297">
                  <c:v>1.8796561604584561E-3</c:v>
                </c:pt>
                <c:pt idx="298">
                  <c:v>2.1696480092325567E-3</c:v>
                </c:pt>
                <c:pt idx="299">
                  <c:v>4.1471184477266118E-3</c:v>
                </c:pt>
                <c:pt idx="300">
                  <c:v>5.3255474452554808E-3</c:v>
                </c:pt>
                <c:pt idx="301">
                  <c:v>4.8176027793862099E-3</c:v>
                </c:pt>
                <c:pt idx="302">
                  <c:v>3.1426920854997144E-3</c:v>
                </c:pt>
                <c:pt idx="303">
                  <c:v>4.5467793646167109E-3</c:v>
                </c:pt>
                <c:pt idx="304">
                  <c:v>5.5294117647058808E-3</c:v>
                </c:pt>
                <c:pt idx="305">
                  <c:v>5.2687536916715952E-3</c:v>
                </c:pt>
                <c:pt idx="306">
                  <c:v>1.458755426917513E-3</c:v>
                </c:pt>
                <c:pt idx="307">
                  <c:v>3.4539089848308001E-3</c:v>
                </c:pt>
                <c:pt idx="308">
                  <c:v>3.9104829210836198E-3</c:v>
                </c:pt>
                <c:pt idx="309">
                  <c:v>3.8573933372296845E-3</c:v>
                </c:pt>
                <c:pt idx="310">
                  <c:v>1.9282639885222254E-3</c:v>
                </c:pt>
                <c:pt idx="311">
                  <c:v>-2.2707919386881769E-5</c:v>
                </c:pt>
                <c:pt idx="312">
                  <c:v>9.6683530073073955E-4</c:v>
                </c:pt>
                <c:pt idx="313">
                  <c:v>1.9189034837235753E-3</c:v>
                </c:pt>
                <c:pt idx="314">
                  <c:v>3.1171852282640168E-3</c:v>
                </c:pt>
                <c:pt idx="315">
                  <c:v>-2.0518417462482932E-3</c:v>
                </c:pt>
                <c:pt idx="316">
                  <c:v>-3.120260021668484E-3</c:v>
                </c:pt>
                <c:pt idx="317">
                  <c:v>-4.4997295835586737E-3</c:v>
                </c:pt>
                <c:pt idx="318">
                  <c:v>-6.4314141682143867E-3</c:v>
                </c:pt>
                <c:pt idx="319">
                  <c:v>-5.1382113821138199E-3</c:v>
                </c:pt>
                <c:pt idx="320">
                  <c:v>-8.4968684759916518E-3</c:v>
                </c:pt>
                <c:pt idx="321">
                  <c:v>-7.9102530654839506E-3</c:v>
                </c:pt>
                <c:pt idx="322">
                  <c:v>-7.554276746010986E-3</c:v>
                </c:pt>
                <c:pt idx="323">
                  <c:v>-8.0146865984788915E-3</c:v>
                </c:pt>
                <c:pt idx="324">
                  <c:v>-9.1297550807712385E-3</c:v>
                </c:pt>
                <c:pt idx="325">
                  <c:v>-9.531737773152962E-3</c:v>
                </c:pt>
                <c:pt idx="326">
                  <c:v>-1.0395366406446742E-2</c:v>
                </c:pt>
                <c:pt idx="327">
                  <c:v>-1.2068367599702742E-2</c:v>
                </c:pt>
                <c:pt idx="328">
                  <c:v>-1.2215568862275443E-2</c:v>
                </c:pt>
                <c:pt idx="329">
                  <c:v>-1.0955863808322822E-2</c:v>
                </c:pt>
                <c:pt idx="330">
                  <c:v>-1.0055193176116407E-2</c:v>
                </c:pt>
                <c:pt idx="331">
                  <c:v>-9.4164788379664452E-3</c:v>
                </c:pt>
                <c:pt idx="332">
                  <c:v>-9.2644135188866897E-3</c:v>
                </c:pt>
                <c:pt idx="333">
                  <c:v>-9.3773632467859785E-3</c:v>
                </c:pt>
                <c:pt idx="334">
                  <c:v>-1.07177033492823E-2</c:v>
                </c:pt>
                <c:pt idx="335">
                  <c:v>-6.1832829808660603E-3</c:v>
                </c:pt>
                <c:pt idx="336">
                  <c:v>-5.9006522829904637E-3</c:v>
                </c:pt>
                <c:pt idx="337">
                  <c:v>-5.7429718875502099E-3</c:v>
                </c:pt>
                <c:pt idx="338">
                  <c:v>-4.3362609786700189E-3</c:v>
                </c:pt>
                <c:pt idx="339">
                  <c:v>-6.0706235912847545E-3</c:v>
                </c:pt>
                <c:pt idx="340">
                  <c:v>-2.6444612667171352E-3</c:v>
                </c:pt>
                <c:pt idx="341">
                  <c:v>-3.4165834165834144E-3</c:v>
                </c:pt>
                <c:pt idx="342">
                  <c:v>-3.1943746860874003E-3</c:v>
                </c:pt>
                <c:pt idx="343">
                  <c:v>-2.0643842616249321E-3</c:v>
                </c:pt>
                <c:pt idx="344">
                  <c:v>-4.3557526484355779E-3</c:v>
                </c:pt>
                <c:pt idx="345">
                  <c:v>-4.5164457535591665E-3</c:v>
                </c:pt>
                <c:pt idx="346">
                  <c:v>-2.6679649464459577E-3</c:v>
                </c:pt>
                <c:pt idx="347">
                  <c:v>-3.6320643178056325E-3</c:v>
                </c:pt>
                <c:pt idx="348">
                  <c:v>-2.5132914451425846E-3</c:v>
                </c:pt>
                <c:pt idx="349">
                  <c:v>-2.2549019607843146E-3</c:v>
                </c:pt>
                <c:pt idx="350">
                  <c:v>-2.63949539058709E-3</c:v>
                </c:pt>
                <c:pt idx="351">
                  <c:v>-1.3008130081300885E-3</c:v>
                </c:pt>
                <c:pt idx="352">
                  <c:v>8.6410449635769386E-4</c:v>
                </c:pt>
                <c:pt idx="353">
                  <c:v>-2.5573450463640679E-3</c:v>
                </c:pt>
                <c:pt idx="354">
                  <c:v>-1.830708661417324E-3</c:v>
                </c:pt>
                <c:pt idx="355">
                  <c:v>-1.0337972166998099E-3</c:v>
                </c:pt>
                <c:pt idx="356">
                  <c:v>1.8104098566757543E-4</c:v>
                </c:pt>
                <c:pt idx="357">
                  <c:v>1.0052777079669895E-4</c:v>
                </c:pt>
                <c:pt idx="358">
                  <c:v>2.1437773769646994E-3</c:v>
                </c:pt>
                <c:pt idx="359">
                  <c:v>2.3723568849922574E-3</c:v>
                </c:pt>
                <c:pt idx="360">
                  <c:v>2.6055237102657713E-3</c:v>
                </c:pt>
                <c:pt idx="361">
                  <c:v>1.0116337885685311E-3</c:v>
                </c:pt>
                <c:pt idx="362">
                  <c:v>1.2238653748087814E-3</c:v>
                </c:pt>
                <c:pt idx="363">
                  <c:v>-1.8372441337993007E-3</c:v>
                </c:pt>
                <c:pt idx="364">
                  <c:v>1.3834586466165532E-3</c:v>
                </c:pt>
                <c:pt idx="365">
                  <c:v>8.3333333333333924E-4</c:v>
                </c:pt>
                <c:pt idx="366">
                  <c:v>3.7172902910246111E-4</c:v>
                </c:pt>
                <c:pt idx="367">
                  <c:v>3.1866240472092321E-3</c:v>
                </c:pt>
                <c:pt idx="368">
                  <c:v>1.2368098159509166E-3</c:v>
                </c:pt>
                <c:pt idx="369">
                  <c:v>4.3371118777722371E-4</c:v>
                </c:pt>
                <c:pt idx="370">
                  <c:v>8.8300220750550554E-4</c:v>
                </c:pt>
                <c:pt idx="371">
                  <c:v>-4.3126684636118461E-4</c:v>
                </c:pt>
                <c:pt idx="372">
                  <c:v>-1.8837380426784379E-3</c:v>
                </c:pt>
                <c:pt idx="373">
                  <c:v>9.0819348469890933E-4</c:v>
                </c:pt>
                <c:pt idx="374">
                  <c:v>4.5533283840633489E-4</c:v>
                </c:pt>
                <c:pt idx="375">
                  <c:v>1.9930244145491827E-4</c:v>
                </c:pt>
                <c:pt idx="376">
                  <c:v>-1.1108356062484415E-3</c:v>
                </c:pt>
                <c:pt idx="377">
                  <c:v>-2.8049085900325291E-4</c:v>
                </c:pt>
                <c:pt idx="378">
                  <c:v>-1.9507290095525411E-3</c:v>
                </c:pt>
                <c:pt idx="379">
                  <c:v>-5.7347670250896599E-4</c:v>
                </c:pt>
                <c:pt idx="380">
                  <c:v>-7.024793388429718E-4</c:v>
                </c:pt>
                <c:pt idx="381">
                  <c:v>2.2464898595943874E-3</c:v>
                </c:pt>
                <c:pt idx="382">
                  <c:v>1.1168562564632901E-3</c:v>
                </c:pt>
                <c:pt idx="383">
                  <c:v>2.6831785345717307E-3</c:v>
                </c:pt>
                <c:pt idx="384">
                  <c:v>2.2044810713365949E-3</c:v>
                </c:pt>
                <c:pt idx="385">
                  <c:v>3.9781306951314835E-3</c:v>
                </c:pt>
                <c:pt idx="386">
                  <c:v>4.2007722007721959E-3</c:v>
                </c:pt>
                <c:pt idx="387">
                  <c:v>1.5438596491228118E-3</c:v>
                </c:pt>
                <c:pt idx="388">
                  <c:v>6.1325420375865744E-4</c:v>
                </c:pt>
                <c:pt idx="389">
                  <c:v>-1.4517299782240479E-3</c:v>
                </c:pt>
                <c:pt idx="390">
                  <c:v>-1.217391304347819E-3</c:v>
                </c:pt>
                <c:pt idx="391">
                  <c:v>-1.2542209358417722E-3</c:v>
                </c:pt>
                <c:pt idx="392">
                  <c:v>-1.2554321583775963E-3</c:v>
                </c:pt>
                <c:pt idx="393">
                  <c:v>-1.8137964302942589E-3</c:v>
                </c:pt>
                <c:pt idx="394">
                  <c:v>-1.5530211113807368E-3</c:v>
                </c:pt>
                <c:pt idx="395">
                  <c:v>-2.5470332850940649E-3</c:v>
                </c:pt>
                <c:pt idx="396">
                  <c:v>-4.4402810304449772E-3</c:v>
                </c:pt>
                <c:pt idx="397">
                  <c:v>-4.8906654126498949E-3</c:v>
                </c:pt>
                <c:pt idx="398">
                  <c:v>-6.4355062413314814E-3</c:v>
                </c:pt>
                <c:pt idx="399">
                  <c:v>-7.092860475968266E-3</c:v>
                </c:pt>
                <c:pt idx="400">
                  <c:v>-7.9795396419437298E-3</c:v>
                </c:pt>
                <c:pt idx="401">
                  <c:v>-9.1223220456116035E-3</c:v>
                </c:pt>
                <c:pt idx="402">
                  <c:v>-8.7988955361251713E-3</c:v>
                </c:pt>
                <c:pt idx="403">
                  <c:v>-8.3052023121387292E-3</c:v>
                </c:pt>
                <c:pt idx="404">
                  <c:v>-7.3696516249707857E-3</c:v>
                </c:pt>
                <c:pt idx="405">
                  <c:v>-7.9868760253105284E-3</c:v>
                </c:pt>
                <c:pt idx="406">
                  <c:v>-7.4170948155067688E-3</c:v>
                </c:pt>
                <c:pt idx="407">
                  <c:v>-5.4553946753853394E-3</c:v>
                </c:pt>
                <c:pt idx="408">
                  <c:v>-4.6049871824749471E-3</c:v>
                </c:pt>
                <c:pt idx="409">
                  <c:v>-2.5486062309674385E-3</c:v>
                </c:pt>
                <c:pt idx="410">
                  <c:v>-1.5723419370115988E-3</c:v>
                </c:pt>
                <c:pt idx="411">
                  <c:v>-1.64422395464209E-3</c:v>
                </c:pt>
                <c:pt idx="412">
                  <c:v>-1.4972755271262716E-3</c:v>
                </c:pt>
                <c:pt idx="413">
                  <c:v>-6.5071770334927952E-4</c:v>
                </c:pt>
                <c:pt idx="414">
                  <c:v>-1.895285477375026E-3</c:v>
                </c:pt>
                <c:pt idx="415">
                  <c:v>-2.32318501170961E-3</c:v>
                </c:pt>
                <c:pt idx="416">
                  <c:v>-4.4713553795993732E-4</c:v>
                </c:pt>
                <c:pt idx="417">
                  <c:v>-5.6390977443614431E-5</c:v>
                </c:pt>
                <c:pt idx="418">
                  <c:v>3.9024390243902474E-4</c:v>
                </c:pt>
                <c:pt idx="419">
                  <c:v>4.8826291079810956E-4</c:v>
                </c:pt>
                <c:pt idx="420">
                  <c:v>1.8643672803541733E-4</c:v>
                </c:pt>
                <c:pt idx="421">
                  <c:v>1.2921348314606717E-3</c:v>
                </c:pt>
                <c:pt idx="422">
                  <c:v>1.8841262364578349E-3</c:v>
                </c:pt>
                <c:pt idx="423">
                  <c:v>4.6511627906976828E-4</c:v>
                </c:pt>
                <c:pt idx="424">
                  <c:v>-5.0635129215943842E-3</c:v>
                </c:pt>
                <c:pt idx="425">
                  <c:v>-1.0603781256352916E-2</c:v>
                </c:pt>
                <c:pt idx="426">
                  <c:v>-1.0893685696994152E-2</c:v>
                </c:pt>
                <c:pt idx="427">
                  <c:v>-1.0711974110032356E-2</c:v>
                </c:pt>
                <c:pt idx="428">
                  <c:v>-1.1453674121405752E-2</c:v>
                </c:pt>
                <c:pt idx="429">
                  <c:v>-1.1832335329341319E-2</c:v>
                </c:pt>
                <c:pt idx="430">
                  <c:v>-1.2674372259864492E-2</c:v>
                </c:pt>
                <c:pt idx="431">
                  <c:v>-1.2862807295796986E-2</c:v>
                </c:pt>
                <c:pt idx="432">
                  <c:v>-1.3159144893111643E-2</c:v>
                </c:pt>
                <c:pt idx="433">
                  <c:v>-1.3253493013972059E-2</c:v>
                </c:pt>
                <c:pt idx="434">
                  <c:v>-1.1781818181818178E-2</c:v>
                </c:pt>
                <c:pt idx="435">
                  <c:v>-1.2141438220103301E-2</c:v>
                </c:pt>
                <c:pt idx="436">
                  <c:v>-1.1185897435897445E-2</c:v>
                </c:pt>
                <c:pt idx="437">
                  <c:v>-9.8991146798435188E-3</c:v>
                </c:pt>
                <c:pt idx="438">
                  <c:v>-8.354483045558565E-3</c:v>
                </c:pt>
                <c:pt idx="439">
                  <c:v>-9.9053887289181387E-3</c:v>
                </c:pt>
                <c:pt idx="440">
                  <c:v>-1.0552296176411095E-2</c:v>
                </c:pt>
                <c:pt idx="441">
                  <c:v>-1.0831815421979352E-2</c:v>
                </c:pt>
                <c:pt idx="442">
                  <c:v>-1.1571313456889607E-2</c:v>
                </c:pt>
                <c:pt idx="443">
                  <c:v>-1.1048306273802364E-2</c:v>
                </c:pt>
                <c:pt idx="444">
                  <c:v>-7.0607028753993627E-3</c:v>
                </c:pt>
                <c:pt idx="445">
                  <c:v>-2.1369212504946588E-3</c:v>
                </c:pt>
                <c:pt idx="446">
                  <c:v>-7.1971211515394092E-4</c:v>
                </c:pt>
                <c:pt idx="447">
                  <c:v>1.9464720194646291E-4</c:v>
                </c:pt>
                <c:pt idx="448">
                  <c:v>7.2536772113640069E-4</c:v>
                </c:pt>
                <c:pt idx="449">
                  <c:v>1.4634146341463428E-3</c:v>
                </c:pt>
                <c:pt idx="450">
                  <c:v>9.3548387096774376E-4</c:v>
                </c:pt>
                <c:pt idx="451">
                  <c:v>2.1331162222674393E-3</c:v>
                </c:pt>
                <c:pt idx="452">
                  <c:v>2.938641493946239E-3</c:v>
                </c:pt>
                <c:pt idx="453">
                  <c:v>3.4304746044962545E-3</c:v>
                </c:pt>
                <c:pt idx="454">
                  <c:v>2.6204882119757935E-3</c:v>
                </c:pt>
                <c:pt idx="455">
                  <c:v>1.753958587088924E-3</c:v>
                </c:pt>
                <c:pt idx="456">
                  <c:v>9.2401215805471893E-4</c:v>
                </c:pt>
                <c:pt idx="457">
                  <c:v>-6.0482223130363443E-4</c:v>
                </c:pt>
                <c:pt idx="458">
                  <c:v>-2.0591811917308523E-3</c:v>
                </c:pt>
                <c:pt idx="459">
                  <c:v>-1.4222222222222225E-3</c:v>
                </c:pt>
                <c:pt idx="460">
                  <c:v>3.2500507820435235E-4</c:v>
                </c:pt>
                <c:pt idx="461">
                  <c:v>7.1880743312231494E-4</c:v>
                </c:pt>
                <c:pt idx="462">
                  <c:v>4.2122316727420282E-4</c:v>
                </c:pt>
                <c:pt idx="463">
                  <c:v>1.403222516826439E-3</c:v>
                </c:pt>
                <c:pt idx="464">
                  <c:v>8.3938660209845748E-4</c:v>
                </c:pt>
                <c:pt idx="465">
                  <c:v>-3.1645569620257774E-5</c:v>
                </c:pt>
                <c:pt idx="466">
                  <c:v>-9.482418016594174E-4</c:v>
                </c:pt>
                <c:pt idx="467">
                  <c:v>-2.8169014084507005E-3</c:v>
                </c:pt>
                <c:pt idx="468">
                  <c:v>-2.9646876212650322E-3</c:v>
                </c:pt>
                <c:pt idx="469">
                  <c:v>-3.3943168548073201E-3</c:v>
                </c:pt>
                <c:pt idx="470">
                  <c:v>-2.8015564202334619E-3</c:v>
                </c:pt>
                <c:pt idx="471">
                  <c:v>-2.5384312179739864E-3</c:v>
                </c:pt>
                <c:pt idx="472">
                  <c:v>-3.948497854077253E-3</c:v>
                </c:pt>
                <c:pt idx="473">
                  <c:v>-4.0173981810992477E-3</c:v>
                </c:pt>
                <c:pt idx="474">
                  <c:v>-1.6989993873800292E-3</c:v>
                </c:pt>
                <c:pt idx="475">
                  <c:v>2.2801302931595656E-4</c:v>
                </c:pt>
                <c:pt idx="476">
                  <c:v>5.0570962479609346E-4</c:v>
                </c:pt>
                <c:pt idx="477">
                  <c:v>-3.7421191783608697E-4</c:v>
                </c:pt>
                <c:pt idx="478">
                  <c:v>1.0846343467543207E-3</c:v>
                </c:pt>
                <c:pt idx="479">
                  <c:v>8.1632653061223691E-4</c:v>
                </c:pt>
                <c:pt idx="480">
                  <c:v>1.1204943357363462E-3</c:v>
                </c:pt>
                <c:pt idx="481">
                  <c:v>3.1160311603116496E-4</c:v>
                </c:pt>
                <c:pt idx="482">
                  <c:v>1.5187783739166428E-3</c:v>
                </c:pt>
                <c:pt idx="483">
                  <c:v>1.1419114604882096E-3</c:v>
                </c:pt>
                <c:pt idx="484">
                  <c:v>3.8756082081658504E-3</c:v>
                </c:pt>
                <c:pt idx="485">
                  <c:v>6.1145411965084226E-3</c:v>
                </c:pt>
                <c:pt idx="486">
                  <c:v>5.183003786285223E-3</c:v>
                </c:pt>
              </c:numCache>
            </c:numRef>
          </c:yVal>
          <c:smooth val="1"/>
          <c:extLst>
            <c:ext xmlns:c16="http://schemas.microsoft.com/office/drawing/2014/chart" uri="{C3380CC4-5D6E-409C-BE32-E72D297353CC}">
              <c16:uniqueId val="{00000000-073F-C947-AB73-C160EE49F29E}"/>
            </c:ext>
          </c:extLst>
        </c:ser>
        <c:dLbls>
          <c:showLegendKey val="0"/>
          <c:showVal val="0"/>
          <c:showCatName val="0"/>
          <c:showSerName val="0"/>
          <c:showPercent val="0"/>
          <c:showBubbleSize val="0"/>
        </c:dLbls>
        <c:axId val="630119599"/>
        <c:axId val="895216511"/>
      </c:scatterChart>
      <c:valAx>
        <c:axId val="630119599"/>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895216511"/>
        <c:crosses val="autoZero"/>
        <c:crossBetween val="midCat"/>
      </c:valAx>
      <c:valAx>
        <c:axId val="895216511"/>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301195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scatterChart>
        <c:scatterStyle val="smoothMarker"/>
        <c:varyColors val="0"/>
        <c:ser>
          <c:idx val="0"/>
          <c:order val="0"/>
          <c:tx>
            <c:strRef>
              <c:f>'Ejercicio 1 al 3'!$J$1</c:f>
              <c:strCache>
                <c:ptCount val="1"/>
                <c:pt idx="0">
                  <c:v>Rend. Anual</c:v>
                </c:pt>
              </c:strCache>
            </c:strRef>
          </c:tx>
          <c:spPr>
            <a:ln w="9525" cap="rnd">
              <a:solidFill>
                <a:schemeClr val="accent1"/>
              </a:solidFill>
              <a:round/>
            </a:ln>
            <a:effectLst/>
          </c:spPr>
          <c:marker>
            <c:symbol val="none"/>
          </c:marker>
          <c:xVal>
            <c:strRef>
              <c:f>'Ejercicio 1 al 3'!$A$2:$A$258</c:f>
              <c:strCache>
                <c:ptCount val="257"/>
                <c:pt idx="0">
                  <c:v>13.03.2026</c:v>
                </c:pt>
                <c:pt idx="1">
                  <c:v>12.03.2026</c:v>
                </c:pt>
                <c:pt idx="2">
                  <c:v>11.03.2026</c:v>
                </c:pt>
                <c:pt idx="3">
                  <c:v>10.03.2026</c:v>
                </c:pt>
                <c:pt idx="4">
                  <c:v>09.03.2026</c:v>
                </c:pt>
                <c:pt idx="5">
                  <c:v>06.03.2026</c:v>
                </c:pt>
                <c:pt idx="6">
                  <c:v>05.03.2026</c:v>
                </c:pt>
                <c:pt idx="7">
                  <c:v>04.03.2026</c:v>
                </c:pt>
                <c:pt idx="8">
                  <c:v>03.03.2026</c:v>
                </c:pt>
                <c:pt idx="9">
                  <c:v>02.03.2026</c:v>
                </c:pt>
                <c:pt idx="10">
                  <c:v>27.02.2026</c:v>
                </c:pt>
                <c:pt idx="11">
                  <c:v>26.02.2026</c:v>
                </c:pt>
                <c:pt idx="12">
                  <c:v>25.02.2026</c:v>
                </c:pt>
                <c:pt idx="13">
                  <c:v>24.02.2026</c:v>
                </c:pt>
                <c:pt idx="14">
                  <c:v>23.02.2026</c:v>
                </c:pt>
                <c:pt idx="15">
                  <c:v>20.02.2026</c:v>
                </c:pt>
                <c:pt idx="16">
                  <c:v>19.02.2026</c:v>
                </c:pt>
                <c:pt idx="17">
                  <c:v>18.02.2026</c:v>
                </c:pt>
                <c:pt idx="18">
                  <c:v>17.02.2026</c:v>
                </c:pt>
                <c:pt idx="19">
                  <c:v>16.02.2026</c:v>
                </c:pt>
                <c:pt idx="20">
                  <c:v>13.02.2026</c:v>
                </c:pt>
                <c:pt idx="21">
                  <c:v>12.02.2026</c:v>
                </c:pt>
                <c:pt idx="22">
                  <c:v>11.02.2026</c:v>
                </c:pt>
                <c:pt idx="23">
                  <c:v>10.02.2026</c:v>
                </c:pt>
                <c:pt idx="24">
                  <c:v>09.02.2026</c:v>
                </c:pt>
                <c:pt idx="25">
                  <c:v>06.02.2026</c:v>
                </c:pt>
                <c:pt idx="26">
                  <c:v>05.02.2026</c:v>
                </c:pt>
                <c:pt idx="27">
                  <c:v>04.02.2026</c:v>
                </c:pt>
                <c:pt idx="28">
                  <c:v>03.02.2026</c:v>
                </c:pt>
                <c:pt idx="29">
                  <c:v>02.02.2026</c:v>
                </c:pt>
                <c:pt idx="30">
                  <c:v>30.01.2026</c:v>
                </c:pt>
                <c:pt idx="31">
                  <c:v>29.01.2026</c:v>
                </c:pt>
                <c:pt idx="32">
                  <c:v>28.01.2026</c:v>
                </c:pt>
                <c:pt idx="33">
                  <c:v>27.01.2026</c:v>
                </c:pt>
                <c:pt idx="34">
                  <c:v>26.01.2026</c:v>
                </c:pt>
                <c:pt idx="35">
                  <c:v>23.01.2026</c:v>
                </c:pt>
                <c:pt idx="36">
                  <c:v>22.01.2026</c:v>
                </c:pt>
                <c:pt idx="37">
                  <c:v>21.01.2026</c:v>
                </c:pt>
                <c:pt idx="38">
                  <c:v>20.01.2026</c:v>
                </c:pt>
                <c:pt idx="39">
                  <c:v>19.01.2026</c:v>
                </c:pt>
                <c:pt idx="40">
                  <c:v>16.01.2026</c:v>
                </c:pt>
                <c:pt idx="41">
                  <c:v>15.01.2026</c:v>
                </c:pt>
                <c:pt idx="42">
                  <c:v>14.01.2026</c:v>
                </c:pt>
                <c:pt idx="43">
                  <c:v>13.01.2026</c:v>
                </c:pt>
                <c:pt idx="44">
                  <c:v>12.01.2026</c:v>
                </c:pt>
                <c:pt idx="45">
                  <c:v>09.01.2026</c:v>
                </c:pt>
                <c:pt idx="46">
                  <c:v>08.01.2026</c:v>
                </c:pt>
                <c:pt idx="47">
                  <c:v>07.01.2026</c:v>
                </c:pt>
                <c:pt idx="48">
                  <c:v>06.01.2026</c:v>
                </c:pt>
                <c:pt idx="49">
                  <c:v>05.01.2026</c:v>
                </c:pt>
                <c:pt idx="50">
                  <c:v>02.01.2026</c:v>
                </c:pt>
                <c:pt idx="51">
                  <c:v>30.12.2025</c:v>
                </c:pt>
                <c:pt idx="52">
                  <c:v>29.12.2025</c:v>
                </c:pt>
                <c:pt idx="53">
                  <c:v>23.12.2025</c:v>
                </c:pt>
                <c:pt idx="54">
                  <c:v>22.12.2025</c:v>
                </c:pt>
                <c:pt idx="55">
                  <c:v>19.12.2025</c:v>
                </c:pt>
                <c:pt idx="56">
                  <c:v>18.12.2025</c:v>
                </c:pt>
                <c:pt idx="57">
                  <c:v>17.12.2025</c:v>
                </c:pt>
                <c:pt idx="58">
                  <c:v>16.12.2025</c:v>
                </c:pt>
                <c:pt idx="59">
                  <c:v>15.12.2025</c:v>
                </c:pt>
                <c:pt idx="60">
                  <c:v>12.12.2025</c:v>
                </c:pt>
                <c:pt idx="61">
                  <c:v>11.12.2025</c:v>
                </c:pt>
                <c:pt idx="62">
                  <c:v>10.12.2025</c:v>
                </c:pt>
                <c:pt idx="63">
                  <c:v>09.12.2025</c:v>
                </c:pt>
                <c:pt idx="64">
                  <c:v>08.12.2025</c:v>
                </c:pt>
                <c:pt idx="65">
                  <c:v>05.12.2025</c:v>
                </c:pt>
                <c:pt idx="66">
                  <c:v>04.12.2025</c:v>
                </c:pt>
                <c:pt idx="67">
                  <c:v>03.12.2025</c:v>
                </c:pt>
                <c:pt idx="68">
                  <c:v>02.12.2025</c:v>
                </c:pt>
                <c:pt idx="69">
                  <c:v>01.12.2025</c:v>
                </c:pt>
                <c:pt idx="70">
                  <c:v>28.11.2025</c:v>
                </c:pt>
                <c:pt idx="71">
                  <c:v>27.11.2025</c:v>
                </c:pt>
                <c:pt idx="72">
                  <c:v>26.11.2025</c:v>
                </c:pt>
                <c:pt idx="73">
                  <c:v>25.11.2025</c:v>
                </c:pt>
                <c:pt idx="74">
                  <c:v>24.11.2025</c:v>
                </c:pt>
                <c:pt idx="75">
                  <c:v>21.11.2025</c:v>
                </c:pt>
                <c:pt idx="76">
                  <c:v>20.11.2025</c:v>
                </c:pt>
                <c:pt idx="77">
                  <c:v>19.11.2025</c:v>
                </c:pt>
                <c:pt idx="78">
                  <c:v>18.11.2025</c:v>
                </c:pt>
                <c:pt idx="79">
                  <c:v>17.11.2025</c:v>
                </c:pt>
                <c:pt idx="80">
                  <c:v>14.11.2025</c:v>
                </c:pt>
                <c:pt idx="81">
                  <c:v>13.11.2025</c:v>
                </c:pt>
                <c:pt idx="82">
                  <c:v>12.11.2025</c:v>
                </c:pt>
                <c:pt idx="83">
                  <c:v>11.11.2025</c:v>
                </c:pt>
                <c:pt idx="84">
                  <c:v>10.11.2025</c:v>
                </c:pt>
                <c:pt idx="85">
                  <c:v>07.11.2025</c:v>
                </c:pt>
                <c:pt idx="86">
                  <c:v>06.11.2025</c:v>
                </c:pt>
                <c:pt idx="87">
                  <c:v>05.11.2025</c:v>
                </c:pt>
                <c:pt idx="88">
                  <c:v>04.11.2025</c:v>
                </c:pt>
                <c:pt idx="89">
                  <c:v>03.11.2025</c:v>
                </c:pt>
                <c:pt idx="90">
                  <c:v>31.10.2025</c:v>
                </c:pt>
                <c:pt idx="91">
                  <c:v>30.10.2025</c:v>
                </c:pt>
                <c:pt idx="92">
                  <c:v>29.10.2025</c:v>
                </c:pt>
                <c:pt idx="93">
                  <c:v>28.10.2025</c:v>
                </c:pt>
                <c:pt idx="94">
                  <c:v>27.10.2025</c:v>
                </c:pt>
                <c:pt idx="95">
                  <c:v>24.10.2025</c:v>
                </c:pt>
                <c:pt idx="96">
                  <c:v>23.10.2025</c:v>
                </c:pt>
                <c:pt idx="97">
                  <c:v>22.10.2025</c:v>
                </c:pt>
                <c:pt idx="98">
                  <c:v>21.10.2025</c:v>
                </c:pt>
                <c:pt idx="99">
                  <c:v>20.10.2025</c:v>
                </c:pt>
                <c:pt idx="100">
                  <c:v>17.10.2025</c:v>
                </c:pt>
                <c:pt idx="101">
                  <c:v>16.10.2025</c:v>
                </c:pt>
                <c:pt idx="102">
                  <c:v>15.10.2025</c:v>
                </c:pt>
                <c:pt idx="103">
                  <c:v>14.10.2025</c:v>
                </c:pt>
                <c:pt idx="104">
                  <c:v>13.10.2025</c:v>
                </c:pt>
                <c:pt idx="105">
                  <c:v>10.10.2025</c:v>
                </c:pt>
                <c:pt idx="106">
                  <c:v>09.10.2025</c:v>
                </c:pt>
                <c:pt idx="107">
                  <c:v>08.10.2025</c:v>
                </c:pt>
                <c:pt idx="108">
                  <c:v>07.10.2025</c:v>
                </c:pt>
                <c:pt idx="109">
                  <c:v>06.10.2025</c:v>
                </c:pt>
                <c:pt idx="110">
                  <c:v>03.10.2025</c:v>
                </c:pt>
                <c:pt idx="111">
                  <c:v>02.10.2025</c:v>
                </c:pt>
                <c:pt idx="112">
                  <c:v>01.10.2025</c:v>
                </c:pt>
                <c:pt idx="113">
                  <c:v>30.09.2025</c:v>
                </c:pt>
                <c:pt idx="114">
                  <c:v>29.09.2025</c:v>
                </c:pt>
                <c:pt idx="115">
                  <c:v>26.09.2025</c:v>
                </c:pt>
                <c:pt idx="116">
                  <c:v>25.09.2025</c:v>
                </c:pt>
                <c:pt idx="117">
                  <c:v>24.09.2025</c:v>
                </c:pt>
                <c:pt idx="118">
                  <c:v>23.09.2025</c:v>
                </c:pt>
                <c:pt idx="119">
                  <c:v>22.09.2025</c:v>
                </c:pt>
                <c:pt idx="120">
                  <c:v>19.09.2025</c:v>
                </c:pt>
                <c:pt idx="121">
                  <c:v>18.09.2025</c:v>
                </c:pt>
                <c:pt idx="122">
                  <c:v>17.09.2025</c:v>
                </c:pt>
                <c:pt idx="123">
                  <c:v>16.09.2025</c:v>
                </c:pt>
                <c:pt idx="124">
                  <c:v>15.09.2025</c:v>
                </c:pt>
                <c:pt idx="125">
                  <c:v>12.09.2025</c:v>
                </c:pt>
                <c:pt idx="126">
                  <c:v>11.09.2025</c:v>
                </c:pt>
                <c:pt idx="127">
                  <c:v>10.09.2025</c:v>
                </c:pt>
                <c:pt idx="128">
                  <c:v>09.09.2025</c:v>
                </c:pt>
                <c:pt idx="129">
                  <c:v>08.09.2025</c:v>
                </c:pt>
                <c:pt idx="130">
                  <c:v>05.09.2025</c:v>
                </c:pt>
                <c:pt idx="131">
                  <c:v>04.09.2025</c:v>
                </c:pt>
                <c:pt idx="132">
                  <c:v>03.09.2025</c:v>
                </c:pt>
                <c:pt idx="133">
                  <c:v>02.09.2025</c:v>
                </c:pt>
                <c:pt idx="134">
                  <c:v>01.09.2025</c:v>
                </c:pt>
                <c:pt idx="135">
                  <c:v>29.08.2025</c:v>
                </c:pt>
                <c:pt idx="136">
                  <c:v>28.08.2025</c:v>
                </c:pt>
                <c:pt idx="137">
                  <c:v>27.08.2025</c:v>
                </c:pt>
                <c:pt idx="138">
                  <c:v>26.08.2025</c:v>
                </c:pt>
                <c:pt idx="139">
                  <c:v>25.08.2025</c:v>
                </c:pt>
                <c:pt idx="140">
                  <c:v>22.08.2025</c:v>
                </c:pt>
                <c:pt idx="141">
                  <c:v>21.08.2025</c:v>
                </c:pt>
                <c:pt idx="142">
                  <c:v>20.08.2025</c:v>
                </c:pt>
                <c:pt idx="143">
                  <c:v>19.08.2025</c:v>
                </c:pt>
                <c:pt idx="144">
                  <c:v>18.08.2025</c:v>
                </c:pt>
                <c:pt idx="145">
                  <c:v>15.08.2025</c:v>
                </c:pt>
                <c:pt idx="146">
                  <c:v>14.08.2025</c:v>
                </c:pt>
                <c:pt idx="147">
                  <c:v>13.08.2025</c:v>
                </c:pt>
                <c:pt idx="148">
                  <c:v>12.08.2025</c:v>
                </c:pt>
                <c:pt idx="149">
                  <c:v>11.08.2025</c:v>
                </c:pt>
                <c:pt idx="150">
                  <c:v>08.08.2025</c:v>
                </c:pt>
                <c:pt idx="151">
                  <c:v>07.08.2025</c:v>
                </c:pt>
                <c:pt idx="152">
                  <c:v>06.08.2025</c:v>
                </c:pt>
                <c:pt idx="153">
                  <c:v>05.08.2025</c:v>
                </c:pt>
                <c:pt idx="154">
                  <c:v>04.08.2025</c:v>
                </c:pt>
                <c:pt idx="155">
                  <c:v>01.08.2025</c:v>
                </c:pt>
                <c:pt idx="156">
                  <c:v>31.07.2025</c:v>
                </c:pt>
                <c:pt idx="157">
                  <c:v>30.07.2025</c:v>
                </c:pt>
                <c:pt idx="158">
                  <c:v>29.07.2025</c:v>
                </c:pt>
                <c:pt idx="159">
                  <c:v>28.07.2025</c:v>
                </c:pt>
                <c:pt idx="160">
                  <c:v>25.07.2025</c:v>
                </c:pt>
                <c:pt idx="161">
                  <c:v>24.07.2025</c:v>
                </c:pt>
                <c:pt idx="162">
                  <c:v>23.07.2025</c:v>
                </c:pt>
                <c:pt idx="163">
                  <c:v>22.07.2025</c:v>
                </c:pt>
                <c:pt idx="164">
                  <c:v>21.07.2025</c:v>
                </c:pt>
                <c:pt idx="165">
                  <c:v>18.07.2025</c:v>
                </c:pt>
                <c:pt idx="166">
                  <c:v>17.07.2025</c:v>
                </c:pt>
                <c:pt idx="167">
                  <c:v>16.07.2025</c:v>
                </c:pt>
                <c:pt idx="168">
                  <c:v>15.07.2025</c:v>
                </c:pt>
                <c:pt idx="169">
                  <c:v>14.07.2025</c:v>
                </c:pt>
                <c:pt idx="170">
                  <c:v>11.07.2025</c:v>
                </c:pt>
                <c:pt idx="171">
                  <c:v>10.07.2025</c:v>
                </c:pt>
                <c:pt idx="172">
                  <c:v>09.07.2025</c:v>
                </c:pt>
                <c:pt idx="173">
                  <c:v>08.07.2025</c:v>
                </c:pt>
                <c:pt idx="174">
                  <c:v>07.07.2025</c:v>
                </c:pt>
                <c:pt idx="175">
                  <c:v>04.07.2025</c:v>
                </c:pt>
                <c:pt idx="176">
                  <c:v>03.07.2025</c:v>
                </c:pt>
                <c:pt idx="177">
                  <c:v>02.07.2025</c:v>
                </c:pt>
                <c:pt idx="178">
                  <c:v>01.07.2025</c:v>
                </c:pt>
                <c:pt idx="179">
                  <c:v>30.06.2025</c:v>
                </c:pt>
                <c:pt idx="180">
                  <c:v>27.06.2025</c:v>
                </c:pt>
                <c:pt idx="181">
                  <c:v>26.06.2025</c:v>
                </c:pt>
                <c:pt idx="182">
                  <c:v>25.06.2025</c:v>
                </c:pt>
                <c:pt idx="183">
                  <c:v>24.06.2025</c:v>
                </c:pt>
                <c:pt idx="184">
                  <c:v>23.06.2025</c:v>
                </c:pt>
                <c:pt idx="185">
                  <c:v>20.06.2025</c:v>
                </c:pt>
                <c:pt idx="186">
                  <c:v>19.06.2025</c:v>
                </c:pt>
                <c:pt idx="187">
                  <c:v>18.06.2025</c:v>
                </c:pt>
                <c:pt idx="188">
                  <c:v>17.06.2025</c:v>
                </c:pt>
                <c:pt idx="189">
                  <c:v>16.06.2025</c:v>
                </c:pt>
                <c:pt idx="190">
                  <c:v>13.06.2025</c:v>
                </c:pt>
                <c:pt idx="191">
                  <c:v>12.06.2025</c:v>
                </c:pt>
                <c:pt idx="192">
                  <c:v>11.06.2025</c:v>
                </c:pt>
                <c:pt idx="193">
                  <c:v>10.06.2025</c:v>
                </c:pt>
                <c:pt idx="194">
                  <c:v>09.06.2025</c:v>
                </c:pt>
                <c:pt idx="195">
                  <c:v>06.06.2025</c:v>
                </c:pt>
                <c:pt idx="196">
                  <c:v>05.06.2025</c:v>
                </c:pt>
                <c:pt idx="197">
                  <c:v>04.06.2025</c:v>
                </c:pt>
                <c:pt idx="198">
                  <c:v>03.06.2025</c:v>
                </c:pt>
                <c:pt idx="199">
                  <c:v>02.06.2025</c:v>
                </c:pt>
                <c:pt idx="200">
                  <c:v>30.05.2025</c:v>
                </c:pt>
                <c:pt idx="201">
                  <c:v>29.05.2025</c:v>
                </c:pt>
                <c:pt idx="202">
                  <c:v>28.05.2025</c:v>
                </c:pt>
                <c:pt idx="203">
                  <c:v>27.05.2025</c:v>
                </c:pt>
                <c:pt idx="204">
                  <c:v>26.05.2025</c:v>
                </c:pt>
                <c:pt idx="205">
                  <c:v>23.05.2025</c:v>
                </c:pt>
                <c:pt idx="206">
                  <c:v>22.05.2025</c:v>
                </c:pt>
                <c:pt idx="207">
                  <c:v>21.05.2025</c:v>
                </c:pt>
                <c:pt idx="208">
                  <c:v>20.05.2025</c:v>
                </c:pt>
                <c:pt idx="209">
                  <c:v>19.05.2025</c:v>
                </c:pt>
                <c:pt idx="210">
                  <c:v>16.05.2025</c:v>
                </c:pt>
                <c:pt idx="211">
                  <c:v>15.05.2025</c:v>
                </c:pt>
                <c:pt idx="212">
                  <c:v>14.05.2025</c:v>
                </c:pt>
                <c:pt idx="213">
                  <c:v>13.05.2025</c:v>
                </c:pt>
                <c:pt idx="214">
                  <c:v>12.05.2025</c:v>
                </c:pt>
                <c:pt idx="215">
                  <c:v>09.05.2025</c:v>
                </c:pt>
                <c:pt idx="216">
                  <c:v>08.05.2025</c:v>
                </c:pt>
                <c:pt idx="217">
                  <c:v>07.05.2025</c:v>
                </c:pt>
                <c:pt idx="218">
                  <c:v>06.05.2025</c:v>
                </c:pt>
                <c:pt idx="219">
                  <c:v>05.05.2025</c:v>
                </c:pt>
                <c:pt idx="220">
                  <c:v>02.05.2025</c:v>
                </c:pt>
                <c:pt idx="221">
                  <c:v>30.04.2025</c:v>
                </c:pt>
                <c:pt idx="222">
                  <c:v>29.04.2025</c:v>
                </c:pt>
                <c:pt idx="223">
                  <c:v>28.04.2025</c:v>
                </c:pt>
                <c:pt idx="224">
                  <c:v>25.04.2025</c:v>
                </c:pt>
                <c:pt idx="225">
                  <c:v>24.04.2025</c:v>
                </c:pt>
                <c:pt idx="226">
                  <c:v>23.04.2025</c:v>
                </c:pt>
                <c:pt idx="227">
                  <c:v>22.04.2025</c:v>
                </c:pt>
                <c:pt idx="228">
                  <c:v>17.04.2025</c:v>
                </c:pt>
                <c:pt idx="229">
                  <c:v>16.04.2025</c:v>
                </c:pt>
                <c:pt idx="230">
                  <c:v>15.04.2025</c:v>
                </c:pt>
                <c:pt idx="231">
                  <c:v>14.04.2025</c:v>
                </c:pt>
                <c:pt idx="232">
                  <c:v>11.04.2025</c:v>
                </c:pt>
                <c:pt idx="233">
                  <c:v>10.04.2025</c:v>
                </c:pt>
                <c:pt idx="234">
                  <c:v>09.04.2025</c:v>
                </c:pt>
                <c:pt idx="235">
                  <c:v>08.04.2025</c:v>
                </c:pt>
                <c:pt idx="236">
                  <c:v>07.04.2025</c:v>
                </c:pt>
                <c:pt idx="237">
                  <c:v>04.04.2025</c:v>
                </c:pt>
                <c:pt idx="238">
                  <c:v>03.04.2025</c:v>
                </c:pt>
                <c:pt idx="239">
                  <c:v>02.04.2025</c:v>
                </c:pt>
                <c:pt idx="240">
                  <c:v>01.04.2025</c:v>
                </c:pt>
                <c:pt idx="241">
                  <c:v>31.03.2025</c:v>
                </c:pt>
                <c:pt idx="242">
                  <c:v>28.03.2025</c:v>
                </c:pt>
                <c:pt idx="243">
                  <c:v>27.03.2025</c:v>
                </c:pt>
                <c:pt idx="244">
                  <c:v>26.03.2025</c:v>
                </c:pt>
                <c:pt idx="245">
                  <c:v>25.03.2025</c:v>
                </c:pt>
                <c:pt idx="246">
                  <c:v>24.03.2025</c:v>
                </c:pt>
                <c:pt idx="247">
                  <c:v>21.03.2025</c:v>
                </c:pt>
                <c:pt idx="248">
                  <c:v>20.03.2025</c:v>
                </c:pt>
                <c:pt idx="249">
                  <c:v>19.03.2025</c:v>
                </c:pt>
                <c:pt idx="250">
                  <c:v>18.03.2025</c:v>
                </c:pt>
                <c:pt idx="251">
                  <c:v>17.03.2025</c:v>
                </c:pt>
                <c:pt idx="252">
                  <c:v>14.03.2025</c:v>
                </c:pt>
                <c:pt idx="253">
                  <c:v>13.03.2025</c:v>
                </c:pt>
                <c:pt idx="254">
                  <c:v>12.03.2025</c:v>
                </c:pt>
                <c:pt idx="255">
                  <c:v>11.03.2025</c:v>
                </c:pt>
                <c:pt idx="256">
                  <c:v>10.03.2025</c:v>
                </c:pt>
              </c:strCache>
            </c:strRef>
          </c:xVal>
          <c:yVal>
            <c:numRef>
              <c:f>'Ejercicio 1 al 3'!$J$2:$J$258</c:f>
              <c:numCache>
                <c:formatCode>General</c:formatCode>
                <c:ptCount val="257"/>
                <c:pt idx="0">
                  <c:v>-0.17639561560030581</c:v>
                </c:pt>
                <c:pt idx="1">
                  <c:v>-0.1378498561339262</c:v>
                </c:pt>
                <c:pt idx="2">
                  <c:v>-0.12204103103629671</c:v>
                </c:pt>
                <c:pt idx="3">
                  <c:v>-0.12434417628541439</c:v>
                </c:pt>
                <c:pt idx="4">
                  <c:v>-0.16033100594776317</c:v>
                </c:pt>
                <c:pt idx="5">
                  <c:v>-0.14029238266222099</c:v>
                </c:pt>
                <c:pt idx="6">
                  <c:v>-0.13892397069967166</c:v>
                </c:pt>
                <c:pt idx="7">
                  <c:v>-0.12172573189522329</c:v>
                </c:pt>
                <c:pt idx="8">
                  <c:v>-0.13483146067415719</c:v>
                </c:pt>
                <c:pt idx="9">
                  <c:v>-7.5845665961945197E-2</c:v>
                </c:pt>
                <c:pt idx="10">
                  <c:v>-3.9712153518123738E-2</c:v>
                </c:pt>
                <c:pt idx="11">
                  <c:v>-6.7574511819116223E-2</c:v>
                </c:pt>
                <c:pt idx="12">
                  <c:v>-4.3385680063880772E-2</c:v>
                </c:pt>
                <c:pt idx="13">
                  <c:v>-4.1280762106377433E-2</c:v>
                </c:pt>
                <c:pt idx="14">
                  <c:v>-8.00716295727808E-2</c:v>
                </c:pt>
                <c:pt idx="15">
                  <c:v>-4.6620046620046596E-2</c:v>
                </c:pt>
                <c:pt idx="16">
                  <c:v>-4.5382165605095559E-2</c:v>
                </c:pt>
                <c:pt idx="17">
                  <c:v>-2.108678021086785E-2</c:v>
                </c:pt>
                <c:pt idx="18">
                  <c:v>-2.1078565562551388E-2</c:v>
                </c:pt>
                <c:pt idx="19">
                  <c:v>-3.7097210939615377E-2</c:v>
                </c:pt>
                <c:pt idx="20">
                  <c:v>-5.555555555555558E-2</c:v>
                </c:pt>
                <c:pt idx="21">
                  <c:v>-5.9117183394640005E-2</c:v>
                </c:pt>
                <c:pt idx="22">
                  <c:v>-5.9070622210553925E-2</c:v>
                </c:pt>
                <c:pt idx="23">
                  <c:v>-5.3340374966992288E-2</c:v>
                </c:pt>
                <c:pt idx="24">
                  <c:v>-2.9476584022038566E-2</c:v>
                </c:pt>
                <c:pt idx="25">
                  <c:v>-2.7578599007170412E-2</c:v>
                </c:pt>
                <c:pt idx="26">
                  <c:v>-3.4445348521833341E-2</c:v>
                </c:pt>
                <c:pt idx="27">
                  <c:v>-4.3644298963446682E-3</c:v>
                </c:pt>
                <c:pt idx="28">
                  <c:v>-4.357123763699533E-2</c:v>
                </c:pt>
                <c:pt idx="29">
                  <c:v>-1.7871649065800077E-2</c:v>
                </c:pt>
                <c:pt idx="30">
                  <c:v>-3.2051282051281937E-2</c:v>
                </c:pt>
                <c:pt idx="31">
                  <c:v>-3.4345047923322714E-2</c:v>
                </c:pt>
                <c:pt idx="32">
                  <c:v>-5.0523560209424057E-2</c:v>
                </c:pt>
                <c:pt idx="33">
                  <c:v>-4.3007915567282229E-2</c:v>
                </c:pt>
                <c:pt idx="34">
                  <c:v>-1.0127931769722931E-2</c:v>
                </c:pt>
                <c:pt idx="35">
                  <c:v>-1.4861995753715607E-2</c:v>
                </c:pt>
                <c:pt idx="36">
                  <c:v>1.0632642211589882E-3</c:v>
                </c:pt>
                <c:pt idx="37">
                  <c:v>-3.2430983650495904E-2</c:v>
                </c:pt>
                <c:pt idx="38">
                  <c:v>-3.6756756756756714E-2</c:v>
                </c:pt>
                <c:pt idx="39">
                  <c:v>-2.1674342996477858E-2</c:v>
                </c:pt>
                <c:pt idx="40">
                  <c:v>1.077876583131232E-2</c:v>
                </c:pt>
                <c:pt idx="41">
                  <c:v>2.7830316130775579E-2</c:v>
                </c:pt>
                <c:pt idx="42">
                  <c:v>5.0383351588170866E-2</c:v>
                </c:pt>
                <c:pt idx="43">
                  <c:v>4.3311403508772051E-2</c:v>
                </c:pt>
                <c:pt idx="44">
                  <c:v>4.6498905908096244E-2</c:v>
                </c:pt>
                <c:pt idx="45">
                  <c:v>7.6365663322184973E-2</c:v>
                </c:pt>
                <c:pt idx="46">
                  <c:v>7.6644370122630923E-2</c:v>
                </c:pt>
                <c:pt idx="47">
                  <c:v>8.2586786114221766E-2</c:v>
                </c:pt>
                <c:pt idx="48">
                  <c:v>9.4943820224719033E-2</c:v>
                </c:pt>
                <c:pt idx="49">
                  <c:v>8.4251101321585864E-2</c:v>
                </c:pt>
                <c:pt idx="50">
                  <c:v>0.10813030385984113</c:v>
                </c:pt>
                <c:pt idx="51">
                  <c:v>9.0114691425450699E-2</c:v>
                </c:pt>
                <c:pt idx="52">
                  <c:v>0.1017231795441913</c:v>
                </c:pt>
                <c:pt idx="53">
                  <c:v>9.5973524544953337E-2</c:v>
                </c:pt>
                <c:pt idx="54">
                  <c:v>9.6286107290233902E-2</c:v>
                </c:pt>
                <c:pt idx="55">
                  <c:v>0.10834026045996104</c:v>
                </c:pt>
                <c:pt idx="56">
                  <c:v>0.1378624218305855</c:v>
                </c:pt>
                <c:pt idx="57">
                  <c:v>0.1255592841163311</c:v>
                </c:pt>
                <c:pt idx="58">
                  <c:v>0.13728242560359361</c:v>
                </c:pt>
                <c:pt idx="59">
                  <c:v>0.14245887928631173</c:v>
                </c:pt>
                <c:pt idx="60">
                  <c:v>0.14485850378257226</c:v>
                </c:pt>
                <c:pt idx="61">
                  <c:v>0.16581487791027838</c:v>
                </c:pt>
                <c:pt idx="62">
                  <c:v>0.13107470147181344</c:v>
                </c:pt>
                <c:pt idx="63">
                  <c:v>0.14472950362520898</c:v>
                </c:pt>
                <c:pt idx="64">
                  <c:v>0.1449762104673944</c:v>
                </c:pt>
                <c:pt idx="65">
                  <c:v>0.13329599551946236</c:v>
                </c:pt>
                <c:pt idx="66">
                  <c:v>0.12288613303269469</c:v>
                </c:pt>
                <c:pt idx="67">
                  <c:v>7.5644699140401173E-2</c:v>
                </c:pt>
                <c:pt idx="68">
                  <c:v>8.5112521638776695E-2</c:v>
                </c:pt>
                <c:pt idx="69">
                  <c:v>8.0220098465102696E-2</c:v>
                </c:pt>
                <c:pt idx="70">
                  <c:v>8.4087591240876058E-2</c:v>
                </c:pt>
                <c:pt idx="71">
                  <c:v>6.9774174869716488E-2</c:v>
                </c:pt>
                <c:pt idx="72">
                  <c:v>6.0080878105141622E-2</c:v>
                </c:pt>
                <c:pt idx="73">
                  <c:v>6.9076071116292548E-2</c:v>
                </c:pt>
                <c:pt idx="74">
                  <c:v>6.23529411764705E-2</c:v>
                </c:pt>
                <c:pt idx="75">
                  <c:v>5.6704075605434223E-2</c:v>
                </c:pt>
                <c:pt idx="76">
                  <c:v>2.460202604920414E-2</c:v>
                </c:pt>
                <c:pt idx="77">
                  <c:v>3.8506417736289489E-2</c:v>
                </c:pt>
                <c:pt idx="78">
                  <c:v>6.6548881036513574E-2</c:v>
                </c:pt>
                <c:pt idx="79">
                  <c:v>8.2115721800116948E-2</c:v>
                </c:pt>
                <c:pt idx="80">
                  <c:v>7.3744619799139155E-2</c:v>
                </c:pt>
                <c:pt idx="81">
                  <c:v>7.0962248084019297E-2</c:v>
                </c:pt>
                <c:pt idx="82">
                  <c:v>4.7779651489600949E-2</c:v>
                </c:pt>
                <c:pt idx="83">
                  <c:v>4.1404911479154594E-2</c:v>
                </c:pt>
                <c:pt idx="84">
                  <c:v>4.0709508578074871E-2</c:v>
                </c:pt>
                <c:pt idx="85">
                  <c:v>-3.1923601637107835E-2</c:v>
                </c:pt>
                <c:pt idx="86">
                  <c:v>-5.5254604550379227E-2</c:v>
                </c:pt>
                <c:pt idx="87">
                  <c:v>-4.7322877230935645E-2</c:v>
                </c:pt>
                <c:pt idx="88">
                  <c:v>-8.0127354736004186E-2</c:v>
                </c:pt>
                <c:pt idx="89">
                  <c:v>-4.9864498644986321E-2</c:v>
                </c:pt>
                <c:pt idx="90">
                  <c:v>-0.10073068893528181</c:v>
                </c:pt>
                <c:pt idx="91">
                  <c:v>-9.5225671797547595E-2</c:v>
                </c:pt>
                <c:pt idx="92">
                  <c:v>-7.1148312843316797E-2</c:v>
                </c:pt>
                <c:pt idx="93">
                  <c:v>-7.8940466824023225E-2</c:v>
                </c:pt>
                <c:pt idx="94">
                  <c:v>-8.4940072954663992E-2</c:v>
                </c:pt>
                <c:pt idx="95">
                  <c:v>-9.7814776274713799E-2</c:v>
                </c:pt>
                <c:pt idx="96">
                  <c:v>-0.132460337446487</c:v>
                </c:pt>
                <c:pt idx="97">
                  <c:v>-0.1456527124102055</c:v>
                </c:pt>
                <c:pt idx="98">
                  <c:v>-0.13248502994011968</c:v>
                </c:pt>
                <c:pt idx="99">
                  <c:v>-0.1293820933165194</c:v>
                </c:pt>
                <c:pt idx="100">
                  <c:v>-0.14149523331660818</c:v>
                </c:pt>
                <c:pt idx="101">
                  <c:v>-0.14876033057851235</c:v>
                </c:pt>
                <c:pt idx="102">
                  <c:v>-0.16153081510934397</c:v>
                </c:pt>
                <c:pt idx="103">
                  <c:v>-0.1552810688177465</c:v>
                </c:pt>
                <c:pt idx="104">
                  <c:v>-0.15235457063711921</c:v>
                </c:pt>
                <c:pt idx="105">
                  <c:v>-0.16289023162134941</c:v>
                </c:pt>
                <c:pt idx="106">
                  <c:v>-0.15303562468640242</c:v>
                </c:pt>
                <c:pt idx="107">
                  <c:v>-0.15386546184738958</c:v>
                </c:pt>
                <c:pt idx="108">
                  <c:v>-0.13626097867001252</c:v>
                </c:pt>
                <c:pt idx="109">
                  <c:v>-0.14174805910343091</c:v>
                </c:pt>
                <c:pt idx="110">
                  <c:v>-0.13575574060055517</c:v>
                </c:pt>
                <c:pt idx="111">
                  <c:v>-0.14560439560439553</c:v>
                </c:pt>
                <c:pt idx="112">
                  <c:v>-0.15268709191361118</c:v>
                </c:pt>
                <c:pt idx="113">
                  <c:v>-0.14537557485947872</c:v>
                </c:pt>
                <c:pt idx="114">
                  <c:v>-0.17516629711751674</c:v>
                </c:pt>
                <c:pt idx="115">
                  <c:v>-0.18605792832596968</c:v>
                </c:pt>
                <c:pt idx="116">
                  <c:v>-0.19595910418695228</c:v>
                </c:pt>
                <c:pt idx="117">
                  <c:v>-0.21659966895247096</c:v>
                </c:pt>
                <c:pt idx="118">
                  <c:v>-0.20082165297245047</c:v>
                </c:pt>
                <c:pt idx="119">
                  <c:v>-0.20931372549019611</c:v>
                </c:pt>
                <c:pt idx="120">
                  <c:v>-0.14725861232411452</c:v>
                </c:pt>
                <c:pt idx="121">
                  <c:v>-0.13279132791327919</c:v>
                </c:pt>
                <c:pt idx="122">
                  <c:v>-0.10223561919115798</c:v>
                </c:pt>
                <c:pt idx="123">
                  <c:v>-0.12127867252318203</c:v>
                </c:pt>
                <c:pt idx="124">
                  <c:v>-0.10777559055118113</c:v>
                </c:pt>
                <c:pt idx="125">
                  <c:v>-9.8658051689860748E-2</c:v>
                </c:pt>
                <c:pt idx="126">
                  <c:v>-7.8199647975861319E-2</c:v>
                </c:pt>
                <c:pt idx="127">
                  <c:v>-9.4747423975873213E-2</c:v>
                </c:pt>
                <c:pt idx="128">
                  <c:v>-6.5962380829683087E-2</c:v>
                </c:pt>
                <c:pt idx="129">
                  <c:v>-6.3950489943269795E-2</c:v>
                </c:pt>
                <c:pt idx="130">
                  <c:v>-5.8103178738926675E-2</c:v>
                </c:pt>
                <c:pt idx="131">
                  <c:v>-9.7369752149721878E-2</c:v>
                </c:pt>
                <c:pt idx="132">
                  <c:v>-7.9041305456399868E-2</c:v>
                </c:pt>
                <c:pt idx="133">
                  <c:v>-0.10484273589615578</c:v>
                </c:pt>
                <c:pt idx="134">
                  <c:v>-8.7468671679198029E-2</c:v>
                </c:pt>
                <c:pt idx="135">
                  <c:v>-9.7470238095238138E-2</c:v>
                </c:pt>
                <c:pt idx="136">
                  <c:v>-0.10320371729029099</c:v>
                </c:pt>
                <c:pt idx="137">
                  <c:v>-9.4418490287681456E-2</c:v>
                </c:pt>
                <c:pt idx="138">
                  <c:v>-8.147239263803685E-2</c:v>
                </c:pt>
                <c:pt idx="139">
                  <c:v>-7.4913750616066976E-2</c:v>
                </c:pt>
                <c:pt idx="140">
                  <c:v>-7.3583517292126532E-2</c:v>
                </c:pt>
                <c:pt idx="141">
                  <c:v>-8.4538103406027965E-2</c:v>
                </c:pt>
                <c:pt idx="142">
                  <c:v>-8.5111601667893222E-2</c:v>
                </c:pt>
                <c:pt idx="143">
                  <c:v>-8.3662388943731458E-2</c:v>
                </c:pt>
                <c:pt idx="144">
                  <c:v>-0.10220242514229139</c:v>
                </c:pt>
                <c:pt idx="145">
                  <c:v>-8.6696562032885005E-2</c:v>
                </c:pt>
                <c:pt idx="146">
                  <c:v>-9.3726754277212998E-2</c:v>
                </c:pt>
                <c:pt idx="147">
                  <c:v>-8.2895066366140857E-2</c:v>
                </c:pt>
                <c:pt idx="148">
                  <c:v>-8.9240824534942309E-2</c:v>
                </c:pt>
                <c:pt idx="149">
                  <c:v>-7.373271889400923E-2</c:v>
                </c:pt>
                <c:pt idx="150">
                  <c:v>-7.3088842975206569E-2</c:v>
                </c:pt>
                <c:pt idx="151">
                  <c:v>-8.4503380135205419E-2</c:v>
                </c:pt>
                <c:pt idx="152">
                  <c:v>-9.53981385729058E-2</c:v>
                </c:pt>
                <c:pt idx="153">
                  <c:v>-0.1034571723426212</c:v>
                </c:pt>
                <c:pt idx="154">
                  <c:v>-0.11820757146536176</c:v>
                </c:pt>
                <c:pt idx="155">
                  <c:v>-9.7370476438427334E-2</c:v>
                </c:pt>
                <c:pt idx="156">
                  <c:v>-9.0604890604890631E-2</c:v>
                </c:pt>
                <c:pt idx="157">
                  <c:v>-0.10927318295739352</c:v>
                </c:pt>
                <c:pt idx="158">
                  <c:v>-0.10682492581602376</c:v>
                </c:pt>
                <c:pt idx="159">
                  <c:v>-0.12000967819985486</c:v>
                </c:pt>
                <c:pt idx="160">
                  <c:v>-0.10314009661835744</c:v>
                </c:pt>
                <c:pt idx="161">
                  <c:v>-0.13145200192957074</c:v>
                </c:pt>
                <c:pt idx="162">
                  <c:v>-0.13495895702559157</c:v>
                </c:pt>
                <c:pt idx="163">
                  <c:v>-0.17534973468403292</c:v>
                </c:pt>
                <c:pt idx="164">
                  <c:v>-0.16646445037612223</c:v>
                </c:pt>
                <c:pt idx="165">
                  <c:v>-0.1775205016883743</c:v>
                </c:pt>
                <c:pt idx="166">
                  <c:v>-0.19906323185011709</c:v>
                </c:pt>
                <c:pt idx="167">
                  <c:v>-0.19821302609922409</c:v>
                </c:pt>
                <c:pt idx="168">
                  <c:v>-0.19995376791493291</c:v>
                </c:pt>
                <c:pt idx="169">
                  <c:v>-0.19925338310779284</c:v>
                </c:pt>
                <c:pt idx="170">
                  <c:v>-0.1887933038828179</c:v>
                </c:pt>
                <c:pt idx="171">
                  <c:v>-0.19972356599861774</c:v>
                </c:pt>
                <c:pt idx="172">
                  <c:v>-0.21629084215370453</c:v>
                </c:pt>
                <c:pt idx="173">
                  <c:v>-0.21341040462427741</c:v>
                </c:pt>
                <c:pt idx="174">
                  <c:v>-0.21253214870236148</c:v>
                </c:pt>
                <c:pt idx="175">
                  <c:v>-0.21115537848605592</c:v>
                </c:pt>
                <c:pt idx="176">
                  <c:v>-0.20060719290051388</c:v>
                </c:pt>
                <c:pt idx="177">
                  <c:v>-0.2027090144792153</c:v>
                </c:pt>
                <c:pt idx="178">
                  <c:v>-0.21463528315078062</c:v>
                </c:pt>
                <c:pt idx="179">
                  <c:v>-0.21082220660576245</c:v>
                </c:pt>
                <c:pt idx="180">
                  <c:v>-0.1903859815297182</c:v>
                </c:pt>
                <c:pt idx="181">
                  <c:v>-0.21922986061894645</c:v>
                </c:pt>
                <c:pt idx="182">
                  <c:v>-0.20658611703387819</c:v>
                </c:pt>
                <c:pt idx="183">
                  <c:v>-0.19473684210526321</c:v>
                </c:pt>
                <c:pt idx="184">
                  <c:v>-0.21535181236673784</c:v>
                </c:pt>
                <c:pt idx="185">
                  <c:v>-0.22154566744730675</c:v>
                </c:pt>
                <c:pt idx="186">
                  <c:v>-0.23102002794597098</c:v>
                </c:pt>
                <c:pt idx="187">
                  <c:v>-0.22109962406015049</c:v>
                </c:pt>
                <c:pt idx="188">
                  <c:v>-0.22810685249709639</c:v>
                </c:pt>
                <c:pt idx="189">
                  <c:v>-0.20868544600938965</c:v>
                </c:pt>
                <c:pt idx="190">
                  <c:v>-0.21090654859007218</c:v>
                </c:pt>
                <c:pt idx="191">
                  <c:v>-0.19616104868913853</c:v>
                </c:pt>
                <c:pt idx="192">
                  <c:v>-0.18605746585021188</c:v>
                </c:pt>
                <c:pt idx="193">
                  <c:v>-0.1920930232558139</c:v>
                </c:pt>
                <c:pt idx="194">
                  <c:v>-0.24857643451598765</c:v>
                </c:pt>
                <c:pt idx="195">
                  <c:v>-0.30758284204106523</c:v>
                </c:pt>
                <c:pt idx="196">
                  <c:v>-0.30441799475489217</c:v>
                </c:pt>
                <c:pt idx="197">
                  <c:v>-0.30582524271844658</c:v>
                </c:pt>
                <c:pt idx="198">
                  <c:v>-0.31289936102236426</c:v>
                </c:pt>
                <c:pt idx="199">
                  <c:v>-0.31217564870259484</c:v>
                </c:pt>
                <c:pt idx="200">
                  <c:v>-0.30051813471502586</c:v>
                </c:pt>
                <c:pt idx="201">
                  <c:v>-0.29678826328310859</c:v>
                </c:pt>
                <c:pt idx="202">
                  <c:v>-0.3004750593824228</c:v>
                </c:pt>
                <c:pt idx="203">
                  <c:v>-0.29940119760479045</c:v>
                </c:pt>
                <c:pt idx="204">
                  <c:v>-0.28707070707070714</c:v>
                </c:pt>
                <c:pt idx="205">
                  <c:v>-0.27532777115613838</c:v>
                </c:pt>
                <c:pt idx="206">
                  <c:v>-0.25180288461538458</c:v>
                </c:pt>
                <c:pt idx="207">
                  <c:v>-0.22318303479514112</c:v>
                </c:pt>
                <c:pt idx="208">
                  <c:v>-0.21031828583315992</c:v>
                </c:pt>
                <c:pt idx="209">
                  <c:v>-0.23303167420814475</c:v>
                </c:pt>
                <c:pt idx="210">
                  <c:v>-0.23346146065142626</c:v>
                </c:pt>
                <c:pt idx="211">
                  <c:v>-0.23132969034608375</c:v>
                </c:pt>
                <c:pt idx="212">
                  <c:v>-0.22663174858984692</c:v>
                </c:pt>
                <c:pt idx="213">
                  <c:v>-0.23652034475846861</c:v>
                </c:pt>
                <c:pt idx="214">
                  <c:v>-0.25519169329073488</c:v>
                </c:pt>
                <c:pt idx="215">
                  <c:v>-0.26058567471309857</c:v>
                </c:pt>
                <c:pt idx="216">
                  <c:v>-0.25949620151939234</c:v>
                </c:pt>
                <c:pt idx="217">
                  <c:v>-0.25709651257096511</c:v>
                </c:pt>
                <c:pt idx="218">
                  <c:v>-0.26133387064275648</c:v>
                </c:pt>
                <c:pt idx="219">
                  <c:v>-0.25914634146341464</c:v>
                </c:pt>
                <c:pt idx="220">
                  <c:v>-0.25887096774193552</c:v>
                </c:pt>
                <c:pt idx="221">
                  <c:v>-0.26378994504376141</c:v>
                </c:pt>
                <c:pt idx="222">
                  <c:v>-0.24522881182023382</c:v>
                </c:pt>
                <c:pt idx="223">
                  <c:v>-0.23459616985845122</c:v>
                </c:pt>
                <c:pt idx="224">
                  <c:v>-0.23847277279365742</c:v>
                </c:pt>
                <c:pt idx="225">
                  <c:v>-0.26958993097848161</c:v>
                </c:pt>
                <c:pt idx="226">
                  <c:v>-0.28490374873353597</c:v>
                </c:pt>
                <c:pt idx="227">
                  <c:v>-0.28994687372292605</c:v>
                </c:pt>
                <c:pt idx="228">
                  <c:v>-0.31597081475476296</c:v>
                </c:pt>
                <c:pt idx="229">
                  <c:v>-0.32747474747474747</c:v>
                </c:pt>
                <c:pt idx="230">
                  <c:v>-0.31728620759699366</c:v>
                </c:pt>
                <c:pt idx="231">
                  <c:v>-0.32754747804778439</c:v>
                </c:pt>
                <c:pt idx="232">
                  <c:v>-0.34406642365330098</c:v>
                </c:pt>
                <c:pt idx="233">
                  <c:v>-0.34937793187844179</c:v>
                </c:pt>
                <c:pt idx="234">
                  <c:v>-0.36501210653753036</c:v>
                </c:pt>
                <c:pt idx="235">
                  <c:v>-0.36530854430379744</c:v>
                </c:pt>
                <c:pt idx="236">
                  <c:v>-0.36388779138680349</c:v>
                </c:pt>
                <c:pt idx="237">
                  <c:v>-0.36013302034428785</c:v>
                </c:pt>
                <c:pt idx="238">
                  <c:v>-0.34904928211098185</c:v>
                </c:pt>
                <c:pt idx="239">
                  <c:v>-0.3287271311794473</c:v>
                </c:pt>
                <c:pt idx="240">
                  <c:v>-0.32996108949416347</c:v>
                </c:pt>
                <c:pt idx="241">
                  <c:v>-0.31888056759952699</c:v>
                </c:pt>
                <c:pt idx="242">
                  <c:v>-0.30277019118220827</c:v>
                </c:pt>
                <c:pt idx="243">
                  <c:v>-0.27955713720838282</c:v>
                </c:pt>
                <c:pt idx="244">
                  <c:v>-0.23667551562180922</c:v>
                </c:pt>
                <c:pt idx="245">
                  <c:v>-0.23249185667752437</c:v>
                </c:pt>
                <c:pt idx="246">
                  <c:v>-0.2355220228384991</c:v>
                </c:pt>
                <c:pt idx="247">
                  <c:v>-0.24018710595891812</c:v>
                </c:pt>
                <c:pt idx="248">
                  <c:v>-0.22617091207888251</c:v>
                </c:pt>
                <c:pt idx="249">
                  <c:v>-0.21142857142857141</c:v>
                </c:pt>
                <c:pt idx="250">
                  <c:v>-0.19196704428424305</c:v>
                </c:pt>
                <c:pt idx="251">
                  <c:v>-0.21627716277162778</c:v>
                </c:pt>
                <c:pt idx="252">
                  <c:v>-0.21543541064795702</c:v>
                </c:pt>
                <c:pt idx="253">
                  <c:v>-0.21141911460488216</c:v>
                </c:pt>
                <c:pt idx="254">
                  <c:v>-0.18193357309075531</c:v>
                </c:pt>
                <c:pt idx="255">
                  <c:v>-0.16989567809239936</c:v>
                </c:pt>
                <c:pt idx="256">
                  <c:v>-0.1672275978123684</c:v>
                </c:pt>
              </c:numCache>
            </c:numRef>
          </c:yVal>
          <c:smooth val="1"/>
          <c:extLst>
            <c:ext xmlns:c16="http://schemas.microsoft.com/office/drawing/2014/chart" uri="{C3380CC4-5D6E-409C-BE32-E72D297353CC}">
              <c16:uniqueId val="{00000000-C018-904C-8F87-4143F5F2D678}"/>
            </c:ext>
          </c:extLst>
        </c:ser>
        <c:dLbls>
          <c:showLegendKey val="0"/>
          <c:showVal val="0"/>
          <c:showCatName val="0"/>
          <c:showSerName val="0"/>
          <c:showPercent val="0"/>
          <c:showBubbleSize val="0"/>
        </c:dLbls>
        <c:axId val="628360911"/>
        <c:axId val="625159423"/>
      </c:scatterChart>
      <c:valAx>
        <c:axId val="628360911"/>
        <c:scaling>
          <c:orientation val="minMax"/>
        </c:scaling>
        <c:delete val="0"/>
        <c:axPos val="b"/>
        <c:majorGridlines>
          <c:spPr>
            <a:ln w="9525" cap="flat" cmpd="sng" algn="ctr">
              <a:solidFill>
                <a:schemeClr val="tx2">
                  <a:lumMod val="15000"/>
                  <a:lumOff val="85000"/>
                </a:schemeClr>
              </a:solidFill>
              <a:round/>
            </a:ln>
            <a:effectLst/>
          </c:spPr>
        </c:majorGridlines>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25159423"/>
        <c:crosses val="autoZero"/>
        <c:crossBetween val="midCat"/>
      </c:valAx>
      <c:valAx>
        <c:axId val="6251594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62836091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MX"/>
              <a:t>Función de pagos para call y put gap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MX"/>
        </a:p>
      </c:txPr>
    </c:title>
    <c:autoTitleDeleted val="0"/>
    <c:plotArea>
      <c:layout/>
      <c:lineChart>
        <c:grouping val="standard"/>
        <c:varyColors val="0"/>
        <c:ser>
          <c:idx val="0"/>
          <c:order val="0"/>
          <c:tx>
            <c:strRef>
              <c:f>'Ejercicio 1 al 3'!$V$65</c:f>
              <c:strCache>
                <c:ptCount val="1"/>
                <c:pt idx="0">
                  <c:v>call gap l</c:v>
                </c:pt>
              </c:strCache>
            </c:strRef>
          </c:tx>
          <c:spPr>
            <a:ln w="31750" cap="rnd">
              <a:solidFill>
                <a:schemeClr val="accent1"/>
              </a:solidFill>
              <a:round/>
            </a:ln>
            <a:effectLst/>
          </c:spPr>
          <c:marker>
            <c:symbol val="none"/>
          </c:marker>
          <c:cat>
            <c:numRef>
              <c:f>'Ejercicio 1 al 3'!$U$66:$U$80</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3'!$V$66:$V$80</c:f>
              <c:numCache>
                <c:formatCode>_-"$"* #,##0.00_-;\-"$"* #,##0.00_-;_-"$"* "-"??_-;_-@_-</c:formatCode>
                <c:ptCount val="15"/>
                <c:pt idx="0">
                  <c:v>-0.43940496693599096</c:v>
                </c:pt>
                <c:pt idx="1">
                  <c:v>-0.43940496693599096</c:v>
                </c:pt>
                <c:pt idx="2">
                  <c:v>-0.43940496693599096</c:v>
                </c:pt>
                <c:pt idx="3">
                  <c:v>-0.43940496693599096</c:v>
                </c:pt>
                <c:pt idx="4">
                  <c:v>-0.43940496693599096</c:v>
                </c:pt>
                <c:pt idx="5">
                  <c:v>-0.43940496693599096</c:v>
                </c:pt>
                <c:pt idx="6">
                  <c:v>-0.43940496693599096</c:v>
                </c:pt>
                <c:pt idx="7">
                  <c:v>-0.43940496693599096</c:v>
                </c:pt>
                <c:pt idx="8">
                  <c:v>5.5605950330640095</c:v>
                </c:pt>
                <c:pt idx="9">
                  <c:v>6.5605950330640095</c:v>
                </c:pt>
                <c:pt idx="10">
                  <c:v>7.5605950330640095</c:v>
                </c:pt>
                <c:pt idx="11">
                  <c:v>8.5605950330640095</c:v>
                </c:pt>
                <c:pt idx="12">
                  <c:v>9.5605950330640095</c:v>
                </c:pt>
                <c:pt idx="13">
                  <c:v>10.560595033064009</c:v>
                </c:pt>
                <c:pt idx="14">
                  <c:v>11.560595033064009</c:v>
                </c:pt>
              </c:numCache>
            </c:numRef>
          </c:val>
          <c:smooth val="0"/>
          <c:extLst>
            <c:ext xmlns:c16="http://schemas.microsoft.com/office/drawing/2014/chart" uri="{C3380CC4-5D6E-409C-BE32-E72D297353CC}">
              <c16:uniqueId val="{00000000-F433-FE43-B5BB-DFFDAB3E5A97}"/>
            </c:ext>
          </c:extLst>
        </c:ser>
        <c:ser>
          <c:idx val="1"/>
          <c:order val="1"/>
          <c:tx>
            <c:strRef>
              <c:f>'Ejercicio 1 al 3'!$W$65</c:f>
              <c:strCache>
                <c:ptCount val="1"/>
                <c:pt idx="0">
                  <c:v>put gap l</c:v>
                </c:pt>
              </c:strCache>
            </c:strRef>
          </c:tx>
          <c:spPr>
            <a:ln w="31750" cap="rnd">
              <a:solidFill>
                <a:schemeClr val="accent2"/>
              </a:solidFill>
              <a:round/>
            </a:ln>
            <a:effectLst/>
          </c:spPr>
          <c:marker>
            <c:symbol val="none"/>
          </c:marker>
          <c:cat>
            <c:numRef>
              <c:f>'Ejercicio 1 al 3'!$U$66:$U$80</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3'!$W$66:$W$80</c:f>
              <c:numCache>
                <c:formatCode>_-"$"* #,##0.00_-;\-"$"* #,##0.00_-;_-"$"* "-"??_-;_-@_-</c:formatCode>
                <c:ptCount val="15"/>
                <c:pt idx="0">
                  <c:v>3.8347482060289195</c:v>
                </c:pt>
                <c:pt idx="1">
                  <c:v>2.8347482060289195</c:v>
                </c:pt>
                <c:pt idx="2">
                  <c:v>1.8347482060289195</c:v>
                </c:pt>
                <c:pt idx="3">
                  <c:v>0.83474820602891953</c:v>
                </c:pt>
                <c:pt idx="4">
                  <c:v>-0.16525179397108047</c:v>
                </c:pt>
                <c:pt idx="5">
                  <c:v>-1.1652517939710805</c:v>
                </c:pt>
                <c:pt idx="6">
                  <c:v>-2.1652517939710805</c:v>
                </c:pt>
                <c:pt idx="7">
                  <c:v>1.8347482060289195</c:v>
                </c:pt>
                <c:pt idx="8">
                  <c:v>1.8347482060289195</c:v>
                </c:pt>
                <c:pt idx="9">
                  <c:v>1.8347482060289195</c:v>
                </c:pt>
                <c:pt idx="10">
                  <c:v>1.8347482060289195</c:v>
                </c:pt>
                <c:pt idx="11">
                  <c:v>1.8347482060289195</c:v>
                </c:pt>
                <c:pt idx="12">
                  <c:v>1.8347482060289195</c:v>
                </c:pt>
                <c:pt idx="13">
                  <c:v>1.8347482060289195</c:v>
                </c:pt>
                <c:pt idx="14">
                  <c:v>1.8347482060289195</c:v>
                </c:pt>
              </c:numCache>
            </c:numRef>
          </c:val>
          <c:smooth val="0"/>
          <c:extLst>
            <c:ext xmlns:c16="http://schemas.microsoft.com/office/drawing/2014/chart" uri="{C3380CC4-5D6E-409C-BE32-E72D297353CC}">
              <c16:uniqueId val="{00000001-F433-FE43-B5BB-DFFDAB3E5A97}"/>
            </c:ext>
          </c:extLst>
        </c:ser>
        <c:dLbls>
          <c:showLegendKey val="0"/>
          <c:showVal val="0"/>
          <c:showCatName val="0"/>
          <c:showSerName val="0"/>
          <c:showPercent val="0"/>
          <c:showBubbleSize val="0"/>
        </c:dLbls>
        <c:smooth val="0"/>
        <c:axId val="838404319"/>
        <c:axId val="837846735"/>
      </c:lineChart>
      <c:catAx>
        <c:axId val="838404319"/>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837846735"/>
        <c:crosses val="autoZero"/>
        <c:auto val="1"/>
        <c:lblAlgn val="ctr"/>
        <c:lblOffset val="100"/>
        <c:noMultiLvlLbl val="0"/>
      </c:catAx>
      <c:valAx>
        <c:axId val="837846735"/>
        <c:scaling>
          <c:orientation val="minMax"/>
        </c:scaling>
        <c:delete val="0"/>
        <c:axPos val="l"/>
        <c:majorGridlines>
          <c:spPr>
            <a:ln w="9525" cap="flat" cmpd="sng" algn="ctr">
              <a:solidFill>
                <a:schemeClr val="tx2">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crossAx val="8384043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Función de pagos para Cash</a:t>
            </a:r>
            <a:r>
              <a:rPr lang="es-MX" baseline="0"/>
              <a:t> or Notning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3'!$V$86</c:f>
              <c:strCache>
                <c:ptCount val="1"/>
                <c:pt idx="0">
                  <c:v>call CoN l</c:v>
                </c:pt>
              </c:strCache>
            </c:strRef>
          </c:tx>
          <c:spPr>
            <a:ln w="28575" cap="rnd">
              <a:solidFill>
                <a:schemeClr val="accent1"/>
              </a:solidFill>
              <a:round/>
            </a:ln>
            <a:effectLst/>
          </c:spPr>
          <c:marker>
            <c:symbol val="none"/>
          </c:marker>
          <c:cat>
            <c:numRef>
              <c:f>'Ejercicio 1 al 3'!$U$87:$U$101</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3'!$V$87:$V$101</c:f>
              <c:numCache>
                <c:formatCode>_-"$"* #,##0.00_-;\-"$"* #,##0.00_-;_-"$"* "-"??_-;_-@_-</c:formatCode>
                <c:ptCount val="15"/>
                <c:pt idx="0">
                  <c:v>-8.5809337089855866</c:v>
                </c:pt>
                <c:pt idx="1">
                  <c:v>-8.5809337089855866</c:v>
                </c:pt>
                <c:pt idx="2">
                  <c:v>1.4190662910144134</c:v>
                </c:pt>
                <c:pt idx="3">
                  <c:v>1.4190662910144134</c:v>
                </c:pt>
                <c:pt idx="4">
                  <c:v>1.4190662910144134</c:v>
                </c:pt>
                <c:pt idx="5">
                  <c:v>1.4190662910144134</c:v>
                </c:pt>
                <c:pt idx="6">
                  <c:v>1.4190662910144134</c:v>
                </c:pt>
                <c:pt idx="7">
                  <c:v>1.4190662910144134</c:v>
                </c:pt>
                <c:pt idx="8">
                  <c:v>1.4190662910144134</c:v>
                </c:pt>
                <c:pt idx="9">
                  <c:v>1.4190662910144134</c:v>
                </c:pt>
                <c:pt idx="10">
                  <c:v>1.4190662910144134</c:v>
                </c:pt>
                <c:pt idx="11">
                  <c:v>1.4190662910144134</c:v>
                </c:pt>
                <c:pt idx="12">
                  <c:v>1.4190662910144134</c:v>
                </c:pt>
                <c:pt idx="13">
                  <c:v>1.4190662910144134</c:v>
                </c:pt>
                <c:pt idx="14">
                  <c:v>1.4190662910144134</c:v>
                </c:pt>
              </c:numCache>
            </c:numRef>
          </c:val>
          <c:smooth val="0"/>
          <c:extLst>
            <c:ext xmlns:c16="http://schemas.microsoft.com/office/drawing/2014/chart" uri="{C3380CC4-5D6E-409C-BE32-E72D297353CC}">
              <c16:uniqueId val="{00000000-F387-164E-A1C3-FD8175FB14BC}"/>
            </c:ext>
          </c:extLst>
        </c:ser>
        <c:ser>
          <c:idx val="1"/>
          <c:order val="1"/>
          <c:tx>
            <c:strRef>
              <c:f>'Ejercicio 1 al 3'!$W$86</c:f>
              <c:strCache>
                <c:ptCount val="1"/>
                <c:pt idx="0">
                  <c:v>put CoN l</c:v>
                </c:pt>
              </c:strCache>
            </c:strRef>
          </c:tx>
          <c:spPr>
            <a:ln w="28575" cap="rnd">
              <a:solidFill>
                <a:schemeClr val="accent2"/>
              </a:solidFill>
              <a:round/>
            </a:ln>
            <a:effectLst/>
          </c:spPr>
          <c:marker>
            <c:symbol val="none"/>
          </c:marker>
          <c:cat>
            <c:numRef>
              <c:f>'Ejercicio 1 al 3'!$U$87:$U$101</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3'!$W$87:$W$101</c:f>
              <c:numCache>
                <c:formatCode>_-"$"* #,##0.00_-;\-"$"* #,##0.00_-;_-"$"* "-"??_-;_-@_-</c:formatCode>
                <c:ptCount val="15"/>
                <c:pt idx="0">
                  <c:v>9.2392631869755615</c:v>
                </c:pt>
                <c:pt idx="1">
                  <c:v>9.2392631869755615</c:v>
                </c:pt>
                <c:pt idx="2">
                  <c:v>-0.7607368130244383</c:v>
                </c:pt>
                <c:pt idx="3">
                  <c:v>-0.7607368130244383</c:v>
                </c:pt>
                <c:pt idx="4">
                  <c:v>-0.7607368130244383</c:v>
                </c:pt>
                <c:pt idx="5">
                  <c:v>-0.7607368130244383</c:v>
                </c:pt>
                <c:pt idx="6">
                  <c:v>-0.7607368130244383</c:v>
                </c:pt>
                <c:pt idx="7">
                  <c:v>-0.7607368130244383</c:v>
                </c:pt>
                <c:pt idx="8">
                  <c:v>-0.7607368130244383</c:v>
                </c:pt>
                <c:pt idx="9">
                  <c:v>-0.7607368130244383</c:v>
                </c:pt>
                <c:pt idx="10">
                  <c:v>-0.7607368130244383</c:v>
                </c:pt>
                <c:pt idx="11">
                  <c:v>-0.7607368130244383</c:v>
                </c:pt>
                <c:pt idx="12">
                  <c:v>-0.7607368130244383</c:v>
                </c:pt>
                <c:pt idx="13">
                  <c:v>-0.7607368130244383</c:v>
                </c:pt>
                <c:pt idx="14">
                  <c:v>-0.7607368130244383</c:v>
                </c:pt>
              </c:numCache>
            </c:numRef>
          </c:val>
          <c:smooth val="0"/>
          <c:extLst>
            <c:ext xmlns:c16="http://schemas.microsoft.com/office/drawing/2014/chart" uri="{C3380CC4-5D6E-409C-BE32-E72D297353CC}">
              <c16:uniqueId val="{00000001-F387-164E-A1C3-FD8175FB14BC}"/>
            </c:ext>
          </c:extLst>
        </c:ser>
        <c:dLbls>
          <c:showLegendKey val="0"/>
          <c:showVal val="0"/>
          <c:showCatName val="0"/>
          <c:showSerName val="0"/>
          <c:showPercent val="0"/>
          <c:showBubbleSize val="0"/>
        </c:dLbls>
        <c:smooth val="0"/>
        <c:axId val="838395135"/>
        <c:axId val="837861935"/>
      </c:lineChart>
      <c:catAx>
        <c:axId val="83839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37861935"/>
        <c:crosses val="autoZero"/>
        <c:auto val="1"/>
        <c:lblAlgn val="ctr"/>
        <c:lblOffset val="100"/>
        <c:noMultiLvlLbl val="0"/>
      </c:catAx>
      <c:valAx>
        <c:axId val="8378619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38395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Función de Pagos Asset or Nothing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3'!$V$107</c:f>
              <c:strCache>
                <c:ptCount val="1"/>
                <c:pt idx="0">
                  <c:v>call AoN l</c:v>
                </c:pt>
              </c:strCache>
            </c:strRef>
          </c:tx>
          <c:spPr>
            <a:ln w="28575" cap="rnd">
              <a:solidFill>
                <a:schemeClr val="accent1"/>
              </a:solidFill>
              <a:round/>
            </a:ln>
            <a:effectLst/>
          </c:spPr>
          <c:marker>
            <c:symbol val="none"/>
          </c:marker>
          <c:cat>
            <c:numRef>
              <c:f>'Ejercicio 1 al 3'!$U$108:$U$122</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3'!$V$108:$V$122</c:f>
              <c:numCache>
                <c:formatCode>_-"$"* #,##0.00_-;\-"$"* #,##0.00_-;_-"$"* "-"??_-;_-@_-</c:formatCode>
                <c:ptCount val="15"/>
                <c:pt idx="0">
                  <c:v>-25.490811744019929</c:v>
                </c:pt>
                <c:pt idx="1">
                  <c:v>-25.490811744019929</c:v>
                </c:pt>
                <c:pt idx="2">
                  <c:v>-25.490811744019929</c:v>
                </c:pt>
                <c:pt idx="3">
                  <c:v>10.509188255980071</c:v>
                </c:pt>
                <c:pt idx="4">
                  <c:v>11.509188255980071</c:v>
                </c:pt>
                <c:pt idx="5">
                  <c:v>12.509188255980071</c:v>
                </c:pt>
                <c:pt idx="6">
                  <c:v>13.509188255980071</c:v>
                </c:pt>
                <c:pt idx="7">
                  <c:v>14.509188255980071</c:v>
                </c:pt>
                <c:pt idx="8">
                  <c:v>15.509188255980071</c:v>
                </c:pt>
                <c:pt idx="9">
                  <c:v>16.509188255980071</c:v>
                </c:pt>
                <c:pt idx="10">
                  <c:v>17.509188255980071</c:v>
                </c:pt>
                <c:pt idx="11">
                  <c:v>18.509188255980071</c:v>
                </c:pt>
                <c:pt idx="12">
                  <c:v>19.509188255980071</c:v>
                </c:pt>
                <c:pt idx="13">
                  <c:v>20.509188255980071</c:v>
                </c:pt>
                <c:pt idx="14">
                  <c:v>21.509188255980071</c:v>
                </c:pt>
              </c:numCache>
            </c:numRef>
          </c:val>
          <c:smooth val="0"/>
          <c:extLst>
            <c:ext xmlns:c16="http://schemas.microsoft.com/office/drawing/2014/chart" uri="{C3380CC4-5D6E-409C-BE32-E72D297353CC}">
              <c16:uniqueId val="{00000000-D201-E841-AF79-8530116A6688}"/>
            </c:ext>
          </c:extLst>
        </c:ser>
        <c:ser>
          <c:idx val="1"/>
          <c:order val="1"/>
          <c:tx>
            <c:strRef>
              <c:f>'Ejercicio 1 al 3'!$W$107</c:f>
              <c:strCache>
                <c:ptCount val="1"/>
                <c:pt idx="0">
                  <c:v>put AoN l</c:v>
                </c:pt>
              </c:strCache>
            </c:strRef>
          </c:tx>
          <c:spPr>
            <a:ln w="28575" cap="rnd">
              <a:solidFill>
                <a:schemeClr val="accent2"/>
              </a:solidFill>
              <a:round/>
            </a:ln>
            <a:effectLst/>
          </c:spPr>
          <c:marker>
            <c:symbol val="none"/>
          </c:marker>
          <c:cat>
            <c:numRef>
              <c:f>'Ejercicio 1 al 3'!$U$108:$U$122</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3'!$W$108:$W$122</c:f>
              <c:numCache>
                <c:formatCode>_-"$"* #,##0.00_-;\-"$"* #,##0.00_-;_-"$"* "-"??_-;_-@_-</c:formatCode>
                <c:ptCount val="15"/>
                <c:pt idx="0">
                  <c:v>23.490811744019929</c:v>
                </c:pt>
                <c:pt idx="1">
                  <c:v>24.490811744019929</c:v>
                </c:pt>
                <c:pt idx="2">
                  <c:v>-9.5091882559800691</c:v>
                </c:pt>
                <c:pt idx="3">
                  <c:v>-9.5091882559800691</c:v>
                </c:pt>
                <c:pt idx="4">
                  <c:v>-9.5091882559800691</c:v>
                </c:pt>
                <c:pt idx="5">
                  <c:v>-9.5091882559800691</c:v>
                </c:pt>
                <c:pt idx="6">
                  <c:v>-9.5091882559800691</c:v>
                </c:pt>
                <c:pt idx="7">
                  <c:v>-9.5091882559800691</c:v>
                </c:pt>
                <c:pt idx="8">
                  <c:v>-9.5091882559800691</c:v>
                </c:pt>
                <c:pt idx="9">
                  <c:v>-9.5091882559800691</c:v>
                </c:pt>
                <c:pt idx="10">
                  <c:v>-9.5091882559800691</c:v>
                </c:pt>
                <c:pt idx="11">
                  <c:v>-9.5091882559800691</c:v>
                </c:pt>
                <c:pt idx="12">
                  <c:v>-9.5091882559800691</c:v>
                </c:pt>
                <c:pt idx="13">
                  <c:v>-9.5091882559800691</c:v>
                </c:pt>
                <c:pt idx="14">
                  <c:v>-9.5091882559800691</c:v>
                </c:pt>
              </c:numCache>
            </c:numRef>
          </c:val>
          <c:smooth val="0"/>
          <c:extLst>
            <c:ext xmlns:c16="http://schemas.microsoft.com/office/drawing/2014/chart" uri="{C3380CC4-5D6E-409C-BE32-E72D297353CC}">
              <c16:uniqueId val="{00000001-D201-E841-AF79-8530116A6688}"/>
            </c:ext>
          </c:extLst>
        </c:ser>
        <c:dLbls>
          <c:showLegendKey val="0"/>
          <c:showVal val="0"/>
          <c:showCatName val="0"/>
          <c:showSerName val="0"/>
          <c:showPercent val="0"/>
          <c:showBubbleSize val="0"/>
        </c:dLbls>
        <c:smooth val="0"/>
        <c:axId val="902679599"/>
        <c:axId val="1215825263"/>
      </c:lineChart>
      <c:catAx>
        <c:axId val="902679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15825263"/>
        <c:crosses val="autoZero"/>
        <c:auto val="1"/>
        <c:lblAlgn val="ctr"/>
        <c:lblOffset val="100"/>
        <c:noMultiLvlLbl val="0"/>
      </c:catAx>
      <c:valAx>
        <c:axId val="121582526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9026795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3'!$V$133</c:f>
              <c:strCache>
                <c:ptCount val="1"/>
                <c:pt idx="0">
                  <c:v>Payy off</c:v>
                </c:pt>
              </c:strCache>
            </c:strRef>
          </c:tx>
          <c:spPr>
            <a:ln w="28575" cap="rnd">
              <a:solidFill>
                <a:schemeClr val="accent1"/>
              </a:solidFill>
              <a:round/>
            </a:ln>
            <a:effectLst/>
          </c:spPr>
          <c:marker>
            <c:symbol val="none"/>
          </c:marker>
          <c:cat>
            <c:numRef>
              <c:f>'Ejercicio 1 al 3'!$U$134:$U$148</c:f>
              <c:numCache>
                <c:formatCode>General</c:formatCode>
                <c:ptCount val="15"/>
                <c:pt idx="0">
                  <c:v>33</c:v>
                </c:pt>
                <c:pt idx="1">
                  <c:v>34</c:v>
                </c:pt>
                <c:pt idx="2">
                  <c:v>35</c:v>
                </c:pt>
                <c:pt idx="3">
                  <c:v>36</c:v>
                </c:pt>
                <c:pt idx="4">
                  <c:v>37</c:v>
                </c:pt>
                <c:pt idx="5">
                  <c:v>38</c:v>
                </c:pt>
                <c:pt idx="6">
                  <c:v>39</c:v>
                </c:pt>
                <c:pt idx="7">
                  <c:v>40</c:v>
                </c:pt>
                <c:pt idx="8">
                  <c:v>41</c:v>
                </c:pt>
                <c:pt idx="9">
                  <c:v>42</c:v>
                </c:pt>
                <c:pt idx="10">
                  <c:v>43</c:v>
                </c:pt>
                <c:pt idx="11">
                  <c:v>44</c:v>
                </c:pt>
                <c:pt idx="12">
                  <c:v>45</c:v>
                </c:pt>
                <c:pt idx="13">
                  <c:v>46</c:v>
                </c:pt>
                <c:pt idx="14">
                  <c:v>47</c:v>
                </c:pt>
              </c:numCache>
            </c:numRef>
          </c:cat>
          <c:val>
            <c:numRef>
              <c:f>'Ejercicio 1 al 3'!$V$134:$V$148</c:f>
              <c:numCache>
                <c:formatCode>_-"$"* #,##0.00_-;\-"$"* #,##0.00_-;_-"$"* "-"??_-;_-@_-</c:formatCode>
                <c:ptCount val="15"/>
                <c:pt idx="0">
                  <c:v>-2.5581790238832314</c:v>
                </c:pt>
                <c:pt idx="1">
                  <c:v>-3.5581790238832314</c:v>
                </c:pt>
                <c:pt idx="2">
                  <c:v>-4.4981790238832291</c:v>
                </c:pt>
                <c:pt idx="3">
                  <c:v>-3.4981790238832291</c:v>
                </c:pt>
                <c:pt idx="4">
                  <c:v>-2.4981790238832291</c:v>
                </c:pt>
                <c:pt idx="5">
                  <c:v>-1.4981790238832291</c:v>
                </c:pt>
                <c:pt idx="6">
                  <c:v>-0.4981790238832291</c:v>
                </c:pt>
                <c:pt idx="7">
                  <c:v>0.5018209761167709</c:v>
                </c:pt>
                <c:pt idx="8">
                  <c:v>1.5018209761167709</c:v>
                </c:pt>
                <c:pt idx="9">
                  <c:v>2.5018209761167709</c:v>
                </c:pt>
                <c:pt idx="10">
                  <c:v>3.5018209761167709</c:v>
                </c:pt>
                <c:pt idx="11">
                  <c:v>4.5018209761167709</c:v>
                </c:pt>
                <c:pt idx="12">
                  <c:v>5.5018209761167709</c:v>
                </c:pt>
                <c:pt idx="13">
                  <c:v>6.5018209761167709</c:v>
                </c:pt>
                <c:pt idx="14">
                  <c:v>7.5018209761167709</c:v>
                </c:pt>
              </c:numCache>
            </c:numRef>
          </c:val>
          <c:smooth val="0"/>
          <c:extLst>
            <c:ext xmlns:c16="http://schemas.microsoft.com/office/drawing/2014/chart" uri="{C3380CC4-5D6E-409C-BE32-E72D297353CC}">
              <c16:uniqueId val="{00000000-6228-7E44-A5AB-36B550E9DF18}"/>
            </c:ext>
          </c:extLst>
        </c:ser>
        <c:dLbls>
          <c:showLegendKey val="0"/>
          <c:showVal val="0"/>
          <c:showCatName val="0"/>
          <c:showSerName val="0"/>
          <c:showPercent val="0"/>
          <c:showBubbleSize val="0"/>
        </c:dLbls>
        <c:smooth val="0"/>
        <c:axId val="1159897567"/>
        <c:axId val="1066010383"/>
      </c:lineChart>
      <c:catAx>
        <c:axId val="115989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66010383"/>
        <c:crosses val="autoZero"/>
        <c:auto val="1"/>
        <c:lblAlgn val="ctr"/>
        <c:lblOffset val="100"/>
        <c:noMultiLvlLbl val="0"/>
      </c:catAx>
      <c:valAx>
        <c:axId val="1066010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1598975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down and in call</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3'!$X$156</c:f>
              <c:strCache>
                <c:ptCount val="1"/>
                <c:pt idx="0">
                  <c:v>Pay off cdi</c:v>
                </c:pt>
              </c:strCache>
            </c:strRef>
          </c:tx>
          <c:spPr>
            <a:ln w="19050" cap="rnd">
              <a:solidFill>
                <a:schemeClr val="accent1"/>
              </a:solidFill>
              <a:round/>
            </a:ln>
            <a:effectLst/>
          </c:spPr>
          <c:marker>
            <c:symbol val="none"/>
          </c:marker>
          <c:xVal>
            <c:numRef>
              <c:f>'Ejercicio 1 al 3'!$W$157:$W$176</c:f>
              <c:numCache>
                <c:formatCode>"$"#,##0;[Red]\-"$"#,##0</c:formatCode>
                <c:ptCount val="2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numCache>
            </c:numRef>
          </c:xVal>
          <c:yVal>
            <c:numRef>
              <c:f>'Ejercicio 1 al 3'!$X$157:$X$176</c:f>
              <c:numCache>
                <c:formatCode>_-"$"* #,##0.00_-;\-"$"* #,##0.00_-;_-"$"* "-"??_-;_-@_-</c:formatCode>
                <c:ptCount val="20"/>
                <c:pt idx="0">
                  <c:v>-0.16400804262493907</c:v>
                </c:pt>
                <c:pt idx="1">
                  <c:v>-0.16400804262493907</c:v>
                </c:pt>
                <c:pt idx="2">
                  <c:v>-0.16400804262493907</c:v>
                </c:pt>
                <c:pt idx="3">
                  <c:v>-0.16400804262493907</c:v>
                </c:pt>
                <c:pt idx="4">
                  <c:v>-0.16400804262493907</c:v>
                </c:pt>
                <c:pt idx="5">
                  <c:v>-0.16400804262493907</c:v>
                </c:pt>
                <c:pt idx="6">
                  <c:v>-0.16400804262493907</c:v>
                </c:pt>
                <c:pt idx="7">
                  <c:v>-0.16400804262493907</c:v>
                </c:pt>
                <c:pt idx="8">
                  <c:v>-0.16400804262493907</c:v>
                </c:pt>
                <c:pt idx="9">
                  <c:v>-0.16400804262493907</c:v>
                </c:pt>
                <c:pt idx="10">
                  <c:v>-0.13400804262493793</c:v>
                </c:pt>
                <c:pt idx="11">
                  <c:v>0.86599195737506207</c:v>
                </c:pt>
                <c:pt idx="12">
                  <c:v>1.8659919573750621</c:v>
                </c:pt>
                <c:pt idx="13">
                  <c:v>2.8659919573750621</c:v>
                </c:pt>
                <c:pt idx="14">
                  <c:v>3.8659919573750621</c:v>
                </c:pt>
                <c:pt idx="15">
                  <c:v>4.8659919573750621</c:v>
                </c:pt>
                <c:pt idx="16">
                  <c:v>5.8659919573750621</c:v>
                </c:pt>
                <c:pt idx="17">
                  <c:v>6.8659919573750621</c:v>
                </c:pt>
                <c:pt idx="18">
                  <c:v>7.8659919573750621</c:v>
                </c:pt>
                <c:pt idx="19">
                  <c:v>8.8659919573750621</c:v>
                </c:pt>
              </c:numCache>
            </c:numRef>
          </c:yVal>
          <c:smooth val="1"/>
          <c:extLst>
            <c:ext xmlns:c16="http://schemas.microsoft.com/office/drawing/2014/chart" uri="{C3380CC4-5D6E-409C-BE32-E72D297353CC}">
              <c16:uniqueId val="{00000000-215C-3C47-8648-82A5701609F1}"/>
            </c:ext>
          </c:extLst>
        </c:ser>
        <c:ser>
          <c:idx val="1"/>
          <c:order val="1"/>
          <c:tx>
            <c:strRef>
              <c:f>'Ejercicio 1 al 3'!$Y$156</c:f>
              <c:strCache>
                <c:ptCount val="1"/>
                <c:pt idx="0">
                  <c:v>Pay off Cdo</c:v>
                </c:pt>
              </c:strCache>
            </c:strRef>
          </c:tx>
          <c:spPr>
            <a:ln w="19050" cap="rnd">
              <a:solidFill>
                <a:schemeClr val="accent2"/>
              </a:solidFill>
              <a:round/>
            </a:ln>
            <a:effectLst/>
          </c:spPr>
          <c:marker>
            <c:symbol val="none"/>
          </c:marker>
          <c:xVal>
            <c:numRef>
              <c:f>'Ejercicio 1 al 3'!$W$157:$W$176</c:f>
              <c:numCache>
                <c:formatCode>"$"#,##0;[Red]\-"$"#,##0</c:formatCode>
                <c:ptCount val="2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numCache>
            </c:numRef>
          </c:xVal>
          <c:yVal>
            <c:numRef>
              <c:f>'Ejercicio 1 al 3'!$Y$157:$Y$176</c:f>
              <c:numCache>
                <c:formatCode>_-"$"* #,##0.00_-;\-"$"* #,##0.00_-;_-"$"* "-"??_-;_-@_-</c:formatCode>
                <c:ptCount val="20"/>
                <c:pt idx="0">
                  <c:v>-2.1951129945014181</c:v>
                </c:pt>
                <c:pt idx="1">
                  <c:v>-2.1951129945014181</c:v>
                </c:pt>
                <c:pt idx="2">
                  <c:v>-2.1951129945014181</c:v>
                </c:pt>
                <c:pt idx="3">
                  <c:v>-2.1951129945014181</c:v>
                </c:pt>
                <c:pt idx="4">
                  <c:v>-2.1951129945014181</c:v>
                </c:pt>
                <c:pt idx="5">
                  <c:v>-2.1951129945014181</c:v>
                </c:pt>
                <c:pt idx="6">
                  <c:v>-2.1951129945014181</c:v>
                </c:pt>
                <c:pt idx="7">
                  <c:v>-2.1951129945014181</c:v>
                </c:pt>
                <c:pt idx="8">
                  <c:v>-2.1951129945014181</c:v>
                </c:pt>
                <c:pt idx="9">
                  <c:v>-2.1951129945014181</c:v>
                </c:pt>
                <c:pt idx="10">
                  <c:v>-2.1951129945014181</c:v>
                </c:pt>
                <c:pt idx="11">
                  <c:v>-2.1951129945014181</c:v>
                </c:pt>
                <c:pt idx="12">
                  <c:v>-2.1951129945014181</c:v>
                </c:pt>
                <c:pt idx="13">
                  <c:v>-2.1951129945014181</c:v>
                </c:pt>
                <c:pt idx="14">
                  <c:v>-2.1951129945014181</c:v>
                </c:pt>
                <c:pt idx="15">
                  <c:v>-2.1951129945014181</c:v>
                </c:pt>
                <c:pt idx="16">
                  <c:v>-2.1951129945014181</c:v>
                </c:pt>
                <c:pt idx="17">
                  <c:v>-2.1951129945014181</c:v>
                </c:pt>
                <c:pt idx="18">
                  <c:v>-2.1951129945014181</c:v>
                </c:pt>
                <c:pt idx="19">
                  <c:v>-2.1951129945014181</c:v>
                </c:pt>
              </c:numCache>
            </c:numRef>
          </c:yVal>
          <c:smooth val="1"/>
          <c:extLst>
            <c:ext xmlns:c16="http://schemas.microsoft.com/office/drawing/2014/chart" uri="{C3380CC4-5D6E-409C-BE32-E72D297353CC}">
              <c16:uniqueId val="{00000001-215C-3C47-8648-82A5701609F1}"/>
            </c:ext>
          </c:extLst>
        </c:ser>
        <c:dLbls>
          <c:showLegendKey val="0"/>
          <c:showVal val="0"/>
          <c:showCatName val="0"/>
          <c:showSerName val="0"/>
          <c:showPercent val="0"/>
          <c:showBubbleSize val="0"/>
        </c:dLbls>
        <c:axId val="21771631"/>
        <c:axId val="343556335"/>
      </c:scatterChart>
      <c:valAx>
        <c:axId val="2177163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Red]\-&quot;$&quot;#,##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43556335"/>
        <c:crosses val="autoZero"/>
        <c:crossBetween val="midCat"/>
      </c:valAx>
      <c:valAx>
        <c:axId val="34355633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77163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3'!$U$240</c:f>
              <c:strCache>
                <c:ptCount val="1"/>
                <c:pt idx="0">
                  <c:v>cui</c:v>
                </c:pt>
              </c:strCache>
            </c:strRef>
          </c:tx>
          <c:spPr>
            <a:ln w="19050" cap="rnd">
              <a:solidFill>
                <a:schemeClr val="accent1"/>
              </a:solidFill>
              <a:round/>
            </a:ln>
            <a:effectLst/>
          </c:spPr>
          <c:marker>
            <c:symbol val="none"/>
          </c:marker>
          <c:xVal>
            <c:numRef>
              <c:f>'Ejercicio 1 al 3'!$T$241:$T$276</c:f>
              <c:numCache>
                <c:formatCode>General</c:formatCode>
                <c:ptCount val="3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numCache>
            </c:numRef>
          </c:xVal>
          <c:yVal>
            <c:numRef>
              <c:f>'Ejercicio 1 al 3'!$U$241:$U$276</c:f>
              <c:numCache>
                <c:formatCode>_-"$"* #,##0.00_-;\-"$"* #,##0.00_-;_-"$"* "-"??_-;_-@_-</c:formatCode>
                <c:ptCount val="36"/>
                <c:pt idx="0">
                  <c:v>16.101260509539493</c:v>
                </c:pt>
                <c:pt idx="1">
                  <c:v>16.101260509539493</c:v>
                </c:pt>
                <c:pt idx="2">
                  <c:v>16.101260509539493</c:v>
                </c:pt>
                <c:pt idx="3">
                  <c:v>16.101260509539493</c:v>
                </c:pt>
                <c:pt idx="4">
                  <c:v>16.101260509539493</c:v>
                </c:pt>
                <c:pt idx="5">
                  <c:v>16.101260509539493</c:v>
                </c:pt>
                <c:pt idx="6">
                  <c:v>16.101260509539493</c:v>
                </c:pt>
                <c:pt idx="7">
                  <c:v>16.101260509539493</c:v>
                </c:pt>
                <c:pt idx="8">
                  <c:v>16.101260509539493</c:v>
                </c:pt>
                <c:pt idx="9">
                  <c:v>16.101260509539493</c:v>
                </c:pt>
                <c:pt idx="10">
                  <c:v>16.101260509539493</c:v>
                </c:pt>
                <c:pt idx="11">
                  <c:v>16.101260509539493</c:v>
                </c:pt>
                <c:pt idx="12">
                  <c:v>16.101260509539493</c:v>
                </c:pt>
                <c:pt idx="13">
                  <c:v>16.101260509539493</c:v>
                </c:pt>
                <c:pt idx="14">
                  <c:v>16.101260509539493</c:v>
                </c:pt>
                <c:pt idx="15">
                  <c:v>-11.101260509539493</c:v>
                </c:pt>
                <c:pt idx="16">
                  <c:v>-10.101260509539493</c:v>
                </c:pt>
                <c:pt idx="17">
                  <c:v>-9.1012605095394932</c:v>
                </c:pt>
                <c:pt idx="18">
                  <c:v>-8.1012605095394932</c:v>
                </c:pt>
                <c:pt idx="19">
                  <c:v>-7.1012605095394932</c:v>
                </c:pt>
                <c:pt idx="20">
                  <c:v>-6.1012605095394932</c:v>
                </c:pt>
                <c:pt idx="21">
                  <c:v>-5.1012605095394932</c:v>
                </c:pt>
                <c:pt idx="22">
                  <c:v>-4.1012605095394932</c:v>
                </c:pt>
                <c:pt idx="23">
                  <c:v>-3.1012605095394932</c:v>
                </c:pt>
                <c:pt idx="24">
                  <c:v>-2.1012605095394932</c:v>
                </c:pt>
                <c:pt idx="25">
                  <c:v>-1.1012605095394932</c:v>
                </c:pt>
                <c:pt idx="26">
                  <c:v>-0.10126050953949317</c:v>
                </c:pt>
                <c:pt idx="27">
                  <c:v>0.89873949046050683</c:v>
                </c:pt>
                <c:pt idx="28">
                  <c:v>1.8987394904605068</c:v>
                </c:pt>
                <c:pt idx="29">
                  <c:v>2.8987394904605068</c:v>
                </c:pt>
                <c:pt idx="30">
                  <c:v>3.8987394904605068</c:v>
                </c:pt>
                <c:pt idx="31">
                  <c:v>4.8987394904605068</c:v>
                </c:pt>
                <c:pt idx="32">
                  <c:v>5.8987394904605068</c:v>
                </c:pt>
                <c:pt idx="33">
                  <c:v>6.8987394904605068</c:v>
                </c:pt>
                <c:pt idx="34">
                  <c:v>7.8987394904605068</c:v>
                </c:pt>
                <c:pt idx="35">
                  <c:v>8.8987394904605068</c:v>
                </c:pt>
              </c:numCache>
            </c:numRef>
          </c:yVal>
          <c:smooth val="1"/>
          <c:extLst>
            <c:ext xmlns:c16="http://schemas.microsoft.com/office/drawing/2014/chart" uri="{C3380CC4-5D6E-409C-BE32-E72D297353CC}">
              <c16:uniqueId val="{00000000-4C2C-0045-BC42-821499604E41}"/>
            </c:ext>
          </c:extLst>
        </c:ser>
        <c:ser>
          <c:idx val="1"/>
          <c:order val="1"/>
          <c:tx>
            <c:strRef>
              <c:f>'Ejercicio 1 al 3'!$V$240</c:f>
              <c:strCache>
                <c:ptCount val="1"/>
                <c:pt idx="0">
                  <c:v>cuo</c:v>
                </c:pt>
              </c:strCache>
            </c:strRef>
          </c:tx>
          <c:spPr>
            <a:ln w="19050" cap="rnd">
              <a:solidFill>
                <a:schemeClr val="accent2"/>
              </a:solidFill>
              <a:round/>
            </a:ln>
            <a:effectLst/>
          </c:spPr>
          <c:marker>
            <c:symbol val="none"/>
          </c:marker>
          <c:xVal>
            <c:numRef>
              <c:f>'Ejercicio 1 al 3'!$T$241:$T$276</c:f>
              <c:numCache>
                <c:formatCode>General</c:formatCode>
                <c:ptCount val="36"/>
                <c:pt idx="0">
                  <c:v>20</c:v>
                </c:pt>
                <c:pt idx="1">
                  <c:v>21</c:v>
                </c:pt>
                <c:pt idx="2">
                  <c:v>22</c:v>
                </c:pt>
                <c:pt idx="3">
                  <c:v>23</c:v>
                </c:pt>
                <c:pt idx="4">
                  <c:v>24</c:v>
                </c:pt>
                <c:pt idx="5">
                  <c:v>25</c:v>
                </c:pt>
                <c:pt idx="6">
                  <c:v>26</c:v>
                </c:pt>
                <c:pt idx="7">
                  <c:v>27</c:v>
                </c:pt>
                <c:pt idx="8">
                  <c:v>28</c:v>
                </c:pt>
                <c:pt idx="9">
                  <c:v>29</c:v>
                </c:pt>
                <c:pt idx="10">
                  <c:v>30</c:v>
                </c:pt>
                <c:pt idx="11">
                  <c:v>31</c:v>
                </c:pt>
                <c:pt idx="12">
                  <c:v>32</c:v>
                </c:pt>
                <c:pt idx="13">
                  <c:v>33</c:v>
                </c:pt>
                <c:pt idx="14">
                  <c:v>34</c:v>
                </c:pt>
                <c:pt idx="15">
                  <c:v>35</c:v>
                </c:pt>
                <c:pt idx="16">
                  <c:v>36</c:v>
                </c:pt>
                <c:pt idx="17">
                  <c:v>37</c:v>
                </c:pt>
                <c:pt idx="18">
                  <c:v>38</c:v>
                </c:pt>
                <c:pt idx="19">
                  <c:v>39</c:v>
                </c:pt>
                <c:pt idx="20">
                  <c:v>40</c:v>
                </c:pt>
                <c:pt idx="21">
                  <c:v>41</c:v>
                </c:pt>
                <c:pt idx="22">
                  <c:v>42</c:v>
                </c:pt>
                <c:pt idx="23">
                  <c:v>43</c:v>
                </c:pt>
                <c:pt idx="24">
                  <c:v>44</c:v>
                </c:pt>
                <c:pt idx="25">
                  <c:v>45</c:v>
                </c:pt>
                <c:pt idx="26">
                  <c:v>46</c:v>
                </c:pt>
                <c:pt idx="27">
                  <c:v>47</c:v>
                </c:pt>
                <c:pt idx="28">
                  <c:v>48</c:v>
                </c:pt>
                <c:pt idx="29">
                  <c:v>49</c:v>
                </c:pt>
                <c:pt idx="30">
                  <c:v>50</c:v>
                </c:pt>
                <c:pt idx="31">
                  <c:v>51</c:v>
                </c:pt>
                <c:pt idx="32">
                  <c:v>52</c:v>
                </c:pt>
                <c:pt idx="33">
                  <c:v>53</c:v>
                </c:pt>
                <c:pt idx="34">
                  <c:v>54</c:v>
                </c:pt>
                <c:pt idx="35">
                  <c:v>55</c:v>
                </c:pt>
              </c:numCache>
            </c:numRef>
          </c:xVal>
          <c:yVal>
            <c:numRef>
              <c:f>'Ejercicio 1 al 3'!$V$241:$V$276</c:f>
              <c:numCache>
                <c:formatCode>_-"$"* #,##0.00_-;\-"$"* #,##0.00_-;_-"$"* "-"??_-;_-@_-</c:formatCode>
                <c:ptCount val="36"/>
                <c:pt idx="0">
                  <c:v>9.1612605095394919</c:v>
                </c:pt>
                <c:pt idx="1">
                  <c:v>9.1612605095394919</c:v>
                </c:pt>
                <c:pt idx="2">
                  <c:v>9.1612605095394919</c:v>
                </c:pt>
                <c:pt idx="3">
                  <c:v>9.1612605095394919</c:v>
                </c:pt>
                <c:pt idx="4">
                  <c:v>9.1612605095394919</c:v>
                </c:pt>
                <c:pt idx="5">
                  <c:v>9.1612605095394919</c:v>
                </c:pt>
                <c:pt idx="6">
                  <c:v>9.1612605095394919</c:v>
                </c:pt>
                <c:pt idx="7">
                  <c:v>9.1612605095394919</c:v>
                </c:pt>
                <c:pt idx="8">
                  <c:v>9.1612605095394919</c:v>
                </c:pt>
                <c:pt idx="9">
                  <c:v>9.1612605095394919</c:v>
                </c:pt>
                <c:pt idx="10">
                  <c:v>9.1612605095394919</c:v>
                </c:pt>
                <c:pt idx="11">
                  <c:v>10.161260509539492</c:v>
                </c:pt>
                <c:pt idx="12">
                  <c:v>11.161260509539492</c:v>
                </c:pt>
                <c:pt idx="13">
                  <c:v>12.161260509539492</c:v>
                </c:pt>
                <c:pt idx="14">
                  <c:v>9.1612605095394919</c:v>
                </c:pt>
                <c:pt idx="15">
                  <c:v>9.1612605095394919</c:v>
                </c:pt>
                <c:pt idx="16">
                  <c:v>9.1612605095394919</c:v>
                </c:pt>
                <c:pt idx="17">
                  <c:v>9.1612605095394919</c:v>
                </c:pt>
                <c:pt idx="18">
                  <c:v>9.1612605095394919</c:v>
                </c:pt>
                <c:pt idx="19">
                  <c:v>9.1612605095394919</c:v>
                </c:pt>
                <c:pt idx="20">
                  <c:v>9.1612605095394919</c:v>
                </c:pt>
                <c:pt idx="21">
                  <c:v>9.1612605095394919</c:v>
                </c:pt>
                <c:pt idx="22">
                  <c:v>9.1612605095394919</c:v>
                </c:pt>
                <c:pt idx="23">
                  <c:v>9.1612605095394919</c:v>
                </c:pt>
                <c:pt idx="24">
                  <c:v>9.1612605095394919</c:v>
                </c:pt>
                <c:pt idx="25">
                  <c:v>9.1612605095394919</c:v>
                </c:pt>
                <c:pt idx="26">
                  <c:v>9.1612605095394919</c:v>
                </c:pt>
                <c:pt idx="27">
                  <c:v>9.1612605095394919</c:v>
                </c:pt>
                <c:pt idx="28">
                  <c:v>9.1612605095394919</c:v>
                </c:pt>
                <c:pt idx="29">
                  <c:v>9.1612605095394919</c:v>
                </c:pt>
                <c:pt idx="30">
                  <c:v>9.1612605095394919</c:v>
                </c:pt>
                <c:pt idx="31">
                  <c:v>9.1612605095394919</c:v>
                </c:pt>
                <c:pt idx="32">
                  <c:v>9.1612605095394919</c:v>
                </c:pt>
                <c:pt idx="33">
                  <c:v>9.1612605095394919</c:v>
                </c:pt>
                <c:pt idx="34">
                  <c:v>9.1612605095394919</c:v>
                </c:pt>
                <c:pt idx="35">
                  <c:v>9.1612605095394919</c:v>
                </c:pt>
              </c:numCache>
            </c:numRef>
          </c:yVal>
          <c:smooth val="1"/>
          <c:extLst>
            <c:ext xmlns:c16="http://schemas.microsoft.com/office/drawing/2014/chart" uri="{C3380CC4-5D6E-409C-BE32-E72D297353CC}">
              <c16:uniqueId val="{00000001-4C2C-0045-BC42-821499604E41}"/>
            </c:ext>
          </c:extLst>
        </c:ser>
        <c:dLbls>
          <c:showLegendKey val="0"/>
          <c:showVal val="0"/>
          <c:showCatName val="0"/>
          <c:showSerName val="0"/>
          <c:showPercent val="0"/>
          <c:showBubbleSize val="0"/>
        </c:dLbls>
        <c:axId val="2133827776"/>
        <c:axId val="340598815"/>
      </c:scatterChart>
      <c:valAx>
        <c:axId val="21338277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40598815"/>
        <c:crosses val="autoZero"/>
        <c:crossBetween val="midCat"/>
      </c:valAx>
      <c:valAx>
        <c:axId val="34059881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2133827776"/>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asiaticas con promedio aritmético</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3'!$AA$326</c:f>
              <c:strCache>
                <c:ptCount val="1"/>
                <c:pt idx="0">
                  <c:v>Call</c:v>
                </c:pt>
              </c:strCache>
            </c:strRef>
          </c:tx>
          <c:spPr>
            <a:ln w="28575" cap="rnd">
              <a:solidFill>
                <a:schemeClr val="accent1"/>
              </a:solidFill>
              <a:round/>
            </a:ln>
            <a:effectLst/>
          </c:spPr>
          <c:marker>
            <c:symbol val="none"/>
          </c:marker>
          <c:cat>
            <c:numRef>
              <c:f>'Ejercicio 1 al 3'!$Y$327:$Y$358</c:f>
              <c:numCache>
                <c:formatCode>General</c:formatCode>
                <c:ptCount val="32"/>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numCache>
            </c:numRef>
          </c:cat>
          <c:val>
            <c:numRef>
              <c:f>'Ejercicio 1 al 3'!$AA$327:$AA$358</c:f>
              <c:numCache>
                <c:formatCode>_-"$"* #,##0.00_-;\-"$"* #,##0.00_-;_-"$"* "-"??_-;_-@_-</c:formatCode>
                <c:ptCount val="32"/>
                <c:pt idx="0">
                  <c:v>-1.2204393680464072</c:v>
                </c:pt>
                <c:pt idx="1">
                  <c:v>-1.2204393680464072</c:v>
                </c:pt>
                <c:pt idx="2">
                  <c:v>-1.2204393680464072</c:v>
                </c:pt>
                <c:pt idx="3">
                  <c:v>-1.2204393680464072</c:v>
                </c:pt>
                <c:pt idx="4">
                  <c:v>-1.2204393680464072</c:v>
                </c:pt>
                <c:pt idx="5">
                  <c:v>-1.2204393680464072</c:v>
                </c:pt>
                <c:pt idx="6">
                  <c:v>-1.2204393680464072</c:v>
                </c:pt>
                <c:pt idx="7">
                  <c:v>-1.2204393680464072</c:v>
                </c:pt>
                <c:pt idx="8">
                  <c:v>-1.2204393680464072</c:v>
                </c:pt>
                <c:pt idx="9">
                  <c:v>-1.2204393680464072</c:v>
                </c:pt>
                <c:pt idx="10">
                  <c:v>-1.190439368046406</c:v>
                </c:pt>
                <c:pt idx="11">
                  <c:v>-0.69043936804640604</c:v>
                </c:pt>
                <c:pt idx="12">
                  <c:v>-0.19043936804640604</c:v>
                </c:pt>
                <c:pt idx="13">
                  <c:v>0.30956063195359396</c:v>
                </c:pt>
                <c:pt idx="14">
                  <c:v>0.80956063195359396</c:v>
                </c:pt>
                <c:pt idx="15">
                  <c:v>1.309560631953594</c:v>
                </c:pt>
                <c:pt idx="16">
                  <c:v>1.809560631953594</c:v>
                </c:pt>
                <c:pt idx="17">
                  <c:v>2.3095606319535937</c:v>
                </c:pt>
                <c:pt idx="18">
                  <c:v>2.8095606319535937</c:v>
                </c:pt>
                <c:pt idx="19">
                  <c:v>3.3095606319535937</c:v>
                </c:pt>
                <c:pt idx="20">
                  <c:v>3.8095606319535937</c:v>
                </c:pt>
                <c:pt idx="21">
                  <c:v>4.3095606319535937</c:v>
                </c:pt>
                <c:pt idx="22">
                  <c:v>4.8095606319535937</c:v>
                </c:pt>
                <c:pt idx="23">
                  <c:v>5.3095606319535937</c:v>
                </c:pt>
                <c:pt idx="24">
                  <c:v>5.8095606319535937</c:v>
                </c:pt>
                <c:pt idx="25">
                  <c:v>6.3095606319535937</c:v>
                </c:pt>
                <c:pt idx="26">
                  <c:v>6.8095606319535937</c:v>
                </c:pt>
                <c:pt idx="27">
                  <c:v>7.3095606319535937</c:v>
                </c:pt>
                <c:pt idx="28">
                  <c:v>7.8095606319535937</c:v>
                </c:pt>
                <c:pt idx="29">
                  <c:v>8.3095606319535946</c:v>
                </c:pt>
                <c:pt idx="30">
                  <c:v>8.8095606319535946</c:v>
                </c:pt>
                <c:pt idx="31">
                  <c:v>9.3095606319535946</c:v>
                </c:pt>
              </c:numCache>
            </c:numRef>
          </c:val>
          <c:smooth val="0"/>
          <c:extLst>
            <c:ext xmlns:c16="http://schemas.microsoft.com/office/drawing/2014/chart" uri="{C3380CC4-5D6E-409C-BE32-E72D297353CC}">
              <c16:uniqueId val="{00000000-6C7F-D84C-B967-3C6A20B300EA}"/>
            </c:ext>
          </c:extLst>
        </c:ser>
        <c:ser>
          <c:idx val="1"/>
          <c:order val="1"/>
          <c:tx>
            <c:strRef>
              <c:f>'Ejercicio 1 al 3'!$AB$326</c:f>
              <c:strCache>
                <c:ptCount val="1"/>
                <c:pt idx="0">
                  <c:v>Put</c:v>
                </c:pt>
              </c:strCache>
            </c:strRef>
          </c:tx>
          <c:spPr>
            <a:ln w="28575" cap="rnd">
              <a:solidFill>
                <a:schemeClr val="accent2"/>
              </a:solidFill>
              <a:round/>
            </a:ln>
            <a:effectLst/>
          </c:spPr>
          <c:marker>
            <c:symbol val="none"/>
          </c:marker>
          <c:cat>
            <c:numRef>
              <c:f>'Ejercicio 1 al 3'!$Y$327:$Y$358</c:f>
              <c:numCache>
                <c:formatCode>General</c:formatCode>
                <c:ptCount val="32"/>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numCache>
            </c:numRef>
          </c:cat>
          <c:val>
            <c:numRef>
              <c:f>'Ejercicio 1 al 3'!$AB$327:$AB$358</c:f>
              <c:numCache>
                <c:formatCode>_-"$"* #,##0.00_-;\-"$"* #,##0.00_-;_-"$"* "-"??_-;_-@_-</c:formatCode>
                <c:ptCount val="32"/>
                <c:pt idx="0">
                  <c:v>3.7495606319535915</c:v>
                </c:pt>
                <c:pt idx="1">
                  <c:v>3.2495606319535915</c:v>
                </c:pt>
                <c:pt idx="2">
                  <c:v>2.7495606319535915</c:v>
                </c:pt>
                <c:pt idx="3">
                  <c:v>2.2495606319535915</c:v>
                </c:pt>
                <c:pt idx="4">
                  <c:v>1.7495606319535917</c:v>
                </c:pt>
                <c:pt idx="5">
                  <c:v>1.2495606319535917</c:v>
                </c:pt>
                <c:pt idx="6">
                  <c:v>0.74956063195359168</c:v>
                </c:pt>
                <c:pt idx="7">
                  <c:v>0.24956063195359168</c:v>
                </c:pt>
                <c:pt idx="8">
                  <c:v>-0.25043936804640832</c:v>
                </c:pt>
                <c:pt idx="9">
                  <c:v>-0.75043936804640832</c:v>
                </c:pt>
                <c:pt idx="10">
                  <c:v>-1.2204393680464072</c:v>
                </c:pt>
                <c:pt idx="11">
                  <c:v>-1.2204393680464072</c:v>
                </c:pt>
                <c:pt idx="12">
                  <c:v>-1.2204393680464072</c:v>
                </c:pt>
                <c:pt idx="13">
                  <c:v>-1.2204393680464072</c:v>
                </c:pt>
                <c:pt idx="14">
                  <c:v>-1.2204393680464072</c:v>
                </c:pt>
                <c:pt idx="15">
                  <c:v>-1.2204393680464072</c:v>
                </c:pt>
                <c:pt idx="16">
                  <c:v>-1.2204393680464072</c:v>
                </c:pt>
                <c:pt idx="17">
                  <c:v>-1.2204393680464072</c:v>
                </c:pt>
                <c:pt idx="18">
                  <c:v>-1.2204393680464072</c:v>
                </c:pt>
                <c:pt idx="19">
                  <c:v>-1.2204393680464072</c:v>
                </c:pt>
                <c:pt idx="20">
                  <c:v>-1.2204393680464072</c:v>
                </c:pt>
                <c:pt idx="21">
                  <c:v>-1.2204393680464072</c:v>
                </c:pt>
                <c:pt idx="22">
                  <c:v>-1.2204393680464072</c:v>
                </c:pt>
                <c:pt idx="23">
                  <c:v>-1.2204393680464072</c:v>
                </c:pt>
                <c:pt idx="24">
                  <c:v>-1.2204393680464072</c:v>
                </c:pt>
                <c:pt idx="25">
                  <c:v>-1.2204393680464072</c:v>
                </c:pt>
                <c:pt idx="26">
                  <c:v>-1.2204393680464072</c:v>
                </c:pt>
                <c:pt idx="27">
                  <c:v>-1.2204393680464072</c:v>
                </c:pt>
                <c:pt idx="28">
                  <c:v>-1.2204393680464072</c:v>
                </c:pt>
                <c:pt idx="29">
                  <c:v>-1.2204393680464072</c:v>
                </c:pt>
                <c:pt idx="30">
                  <c:v>-1.2204393680464072</c:v>
                </c:pt>
                <c:pt idx="31">
                  <c:v>-1.2204393680464072</c:v>
                </c:pt>
              </c:numCache>
            </c:numRef>
          </c:val>
          <c:smooth val="0"/>
          <c:extLst>
            <c:ext xmlns:c16="http://schemas.microsoft.com/office/drawing/2014/chart" uri="{C3380CC4-5D6E-409C-BE32-E72D297353CC}">
              <c16:uniqueId val="{00000001-6C7F-D84C-B967-3C6A20B300EA}"/>
            </c:ext>
          </c:extLst>
        </c:ser>
        <c:dLbls>
          <c:showLegendKey val="0"/>
          <c:showVal val="0"/>
          <c:showCatName val="0"/>
          <c:showSerName val="0"/>
          <c:showPercent val="0"/>
          <c:showBubbleSize val="0"/>
        </c:dLbls>
        <c:smooth val="0"/>
        <c:axId val="1636800448"/>
        <c:axId val="1635993136"/>
      </c:lineChart>
      <c:catAx>
        <c:axId val="163680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35993136"/>
        <c:crosses val="autoZero"/>
        <c:auto val="1"/>
        <c:lblAlgn val="ctr"/>
        <c:lblOffset val="100"/>
        <c:noMultiLvlLbl val="0"/>
      </c:catAx>
      <c:valAx>
        <c:axId val="1635993136"/>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368004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de opciones asiáticas promedio geométrico</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3'!$AA$365</c:f>
              <c:strCache>
                <c:ptCount val="1"/>
                <c:pt idx="0">
                  <c:v>Call</c:v>
                </c:pt>
              </c:strCache>
            </c:strRef>
          </c:tx>
          <c:spPr>
            <a:ln w="19050" cap="rnd">
              <a:solidFill>
                <a:schemeClr val="accent1"/>
              </a:solidFill>
              <a:round/>
            </a:ln>
            <a:effectLst/>
          </c:spPr>
          <c:marker>
            <c:symbol val="none"/>
          </c:marker>
          <c:xVal>
            <c:numRef>
              <c:f>'Ejercicio 1 al 3'!$Y$366:$Y$397</c:f>
              <c:numCache>
                <c:formatCode>General</c:formatCode>
                <c:ptCount val="32"/>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numCache>
            </c:numRef>
          </c:xVal>
          <c:yVal>
            <c:numRef>
              <c:f>'Ejercicio 1 al 3'!$AA$366:$AA$397</c:f>
              <c:numCache>
                <c:formatCode>_-"$"* #,##0.00_-;\-"$"* #,##0.00_-;_-"$"* "-"??_-;_-@_-</c:formatCode>
                <c:ptCount val="32"/>
                <c:pt idx="0">
                  <c:v>-1.2204393680464072</c:v>
                </c:pt>
                <c:pt idx="1">
                  <c:v>-1.2204393680464072</c:v>
                </c:pt>
                <c:pt idx="2">
                  <c:v>-1.2204393680464072</c:v>
                </c:pt>
                <c:pt idx="3">
                  <c:v>-1.2204393680464072</c:v>
                </c:pt>
                <c:pt idx="4">
                  <c:v>-1.2204393680464072</c:v>
                </c:pt>
                <c:pt idx="5">
                  <c:v>-1.2204393680464072</c:v>
                </c:pt>
                <c:pt idx="6">
                  <c:v>-1.2204393680464072</c:v>
                </c:pt>
                <c:pt idx="7">
                  <c:v>-1.2204393680464072</c:v>
                </c:pt>
                <c:pt idx="8">
                  <c:v>-1.2204393680464072</c:v>
                </c:pt>
                <c:pt idx="9">
                  <c:v>-1.2204393680464072</c:v>
                </c:pt>
                <c:pt idx="10">
                  <c:v>-1.2204393680464072</c:v>
                </c:pt>
                <c:pt idx="11">
                  <c:v>-0.85931091618154265</c:v>
                </c:pt>
                <c:pt idx="12">
                  <c:v>-0.38625377763038737</c:v>
                </c:pt>
                <c:pt idx="13">
                  <c:v>8.5180850330302649E-2</c:v>
                </c:pt>
                <c:pt idx="14">
                  <c:v>0.55504996219469338</c:v>
                </c:pt>
                <c:pt idx="15">
                  <c:v>1.0234074010935352</c:v>
                </c:pt>
                <c:pt idx="16">
                  <c:v>1.4903040954099815</c:v>
                </c:pt>
                <c:pt idx="17">
                  <c:v>1.9557882730884082</c:v>
                </c:pt>
                <c:pt idx="18">
                  <c:v>2.4199056561525856</c:v>
                </c:pt>
                <c:pt idx="19">
                  <c:v>2.8826996376207452</c:v>
                </c:pt>
                <c:pt idx="20">
                  <c:v>3.3442114427248688</c:v>
                </c:pt>
                <c:pt idx="21">
                  <c:v>3.8044802761020184</c:v>
                </c:pt>
                <c:pt idx="22">
                  <c:v>4.2635434564200301</c:v>
                </c:pt>
                <c:pt idx="23">
                  <c:v>4.7214365397231139</c:v>
                </c:pt>
                <c:pt idx="24">
                  <c:v>5.1781934326302652</c:v>
                </c:pt>
                <c:pt idx="25">
                  <c:v>5.6338464963874051</c:v>
                </c:pt>
                <c:pt idx="26">
                  <c:v>6.0884266426595124</c:v>
                </c:pt>
                <c:pt idx="27">
                  <c:v>6.5419634218493306</c:v>
                </c:pt>
                <c:pt idx="28">
                  <c:v>6.9944851046422079</c:v>
                </c:pt>
                <c:pt idx="29">
                  <c:v>7.4460187574006218</c:v>
                </c:pt>
                <c:pt idx="30">
                  <c:v>7.8965903119651406</c:v>
                </c:pt>
                <c:pt idx="31">
                  <c:v>8.3462246303600551</c:v>
                </c:pt>
              </c:numCache>
            </c:numRef>
          </c:yVal>
          <c:smooth val="1"/>
          <c:extLst>
            <c:ext xmlns:c16="http://schemas.microsoft.com/office/drawing/2014/chart" uri="{C3380CC4-5D6E-409C-BE32-E72D297353CC}">
              <c16:uniqueId val="{00000000-EFAD-3747-9550-2B9EBA8386DF}"/>
            </c:ext>
          </c:extLst>
        </c:ser>
        <c:ser>
          <c:idx val="1"/>
          <c:order val="1"/>
          <c:tx>
            <c:strRef>
              <c:f>'Ejercicio 1 al 3'!$AB$365</c:f>
              <c:strCache>
                <c:ptCount val="1"/>
                <c:pt idx="0">
                  <c:v>Put</c:v>
                </c:pt>
              </c:strCache>
            </c:strRef>
          </c:tx>
          <c:spPr>
            <a:ln w="19050" cap="rnd">
              <a:solidFill>
                <a:schemeClr val="accent2"/>
              </a:solidFill>
              <a:round/>
            </a:ln>
            <a:effectLst/>
          </c:spPr>
          <c:marker>
            <c:symbol val="none"/>
          </c:marker>
          <c:xVal>
            <c:numRef>
              <c:f>'Ejercicio 1 al 3'!$Y$366:$Y$397</c:f>
              <c:numCache>
                <c:formatCode>General</c:formatCode>
                <c:ptCount val="32"/>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numCache>
            </c:numRef>
          </c:xVal>
          <c:yVal>
            <c:numRef>
              <c:f>'Ejercicio 1 al 3'!$AB$366:$AB$397</c:f>
              <c:numCache>
                <c:formatCode>_-"$"* #,##0.00_-;\-"$"* #,##0.00_-;_-"$"* "-"??_-;_-@_-</c:formatCode>
                <c:ptCount val="32"/>
                <c:pt idx="0">
                  <c:v>3.7495606319535915</c:v>
                </c:pt>
                <c:pt idx="1">
                  <c:v>3.2536592679997787</c:v>
                </c:pt>
                <c:pt idx="2">
                  <c:v>2.7603170519704632</c:v>
                </c:pt>
                <c:pt idx="3">
                  <c:v>2.269416168196698</c:v>
                </c:pt>
                <c:pt idx="4">
                  <c:v>1.7808473367238691</c:v>
                </c:pt>
                <c:pt idx="5">
                  <c:v>1.2945089764993647</c:v>
                </c:pt>
                <c:pt idx="6">
                  <c:v>0.81030647108904863</c:v>
                </c:pt>
                <c:pt idx="7">
                  <c:v>0.32815152196710007</c:v>
                </c:pt>
                <c:pt idx="8">
                  <c:v>-0.15203842306215942</c:v>
                </c:pt>
                <c:pt idx="9">
                  <c:v>-0.6303406767139641</c:v>
                </c:pt>
                <c:pt idx="10">
                  <c:v>-1.1068277630857188</c:v>
                </c:pt>
                <c:pt idx="11">
                  <c:v>-1.2204393680464072</c:v>
                </c:pt>
                <c:pt idx="12">
                  <c:v>-1.2204393680464072</c:v>
                </c:pt>
                <c:pt idx="13">
                  <c:v>-1.2204393680464072</c:v>
                </c:pt>
                <c:pt idx="14">
                  <c:v>-1.2204393680464072</c:v>
                </c:pt>
                <c:pt idx="15">
                  <c:v>-1.2204393680464072</c:v>
                </c:pt>
                <c:pt idx="16">
                  <c:v>-1.2204393680464072</c:v>
                </c:pt>
                <c:pt idx="17">
                  <c:v>-1.2204393680464072</c:v>
                </c:pt>
                <c:pt idx="18">
                  <c:v>-1.2204393680464072</c:v>
                </c:pt>
                <c:pt idx="19">
                  <c:v>-1.2204393680464072</c:v>
                </c:pt>
                <c:pt idx="20">
                  <c:v>-1.2204393680464072</c:v>
                </c:pt>
                <c:pt idx="21">
                  <c:v>-1.2204393680464072</c:v>
                </c:pt>
                <c:pt idx="22">
                  <c:v>-1.2204393680464072</c:v>
                </c:pt>
                <c:pt idx="23">
                  <c:v>-1.2204393680464072</c:v>
                </c:pt>
                <c:pt idx="24">
                  <c:v>-1.2204393680464072</c:v>
                </c:pt>
                <c:pt idx="25">
                  <c:v>-1.2204393680464072</c:v>
                </c:pt>
                <c:pt idx="26">
                  <c:v>-1.2204393680464072</c:v>
                </c:pt>
                <c:pt idx="27">
                  <c:v>-1.2204393680464072</c:v>
                </c:pt>
                <c:pt idx="28">
                  <c:v>-1.2204393680464072</c:v>
                </c:pt>
                <c:pt idx="29">
                  <c:v>-1.2204393680464072</c:v>
                </c:pt>
                <c:pt idx="30">
                  <c:v>-1.2204393680464072</c:v>
                </c:pt>
                <c:pt idx="31">
                  <c:v>-1.2204393680464072</c:v>
                </c:pt>
              </c:numCache>
            </c:numRef>
          </c:yVal>
          <c:smooth val="1"/>
          <c:extLst>
            <c:ext xmlns:c16="http://schemas.microsoft.com/office/drawing/2014/chart" uri="{C3380CC4-5D6E-409C-BE32-E72D297353CC}">
              <c16:uniqueId val="{00000001-EFAD-3747-9550-2B9EBA8386DF}"/>
            </c:ext>
          </c:extLst>
        </c:ser>
        <c:dLbls>
          <c:showLegendKey val="0"/>
          <c:showVal val="0"/>
          <c:showCatName val="0"/>
          <c:showSerName val="0"/>
          <c:showPercent val="0"/>
          <c:showBubbleSize val="0"/>
        </c:dLbls>
        <c:axId val="1263731792"/>
        <c:axId val="1263770944"/>
      </c:scatterChart>
      <c:valAx>
        <c:axId val="1263731792"/>
        <c:scaling>
          <c:orientation val="minMax"/>
          <c:max val="60"/>
          <c:min val="3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63770944"/>
        <c:crosses val="autoZero"/>
        <c:crossBetween val="midCat"/>
      </c:valAx>
      <c:valAx>
        <c:axId val="126377094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63731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de opciones  look-back</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3'!$AB$422</c:f>
              <c:strCache>
                <c:ptCount val="1"/>
                <c:pt idx="0">
                  <c:v>Call_look</c:v>
                </c:pt>
              </c:strCache>
            </c:strRef>
          </c:tx>
          <c:spPr>
            <a:ln w="28575" cap="rnd">
              <a:solidFill>
                <a:schemeClr val="accent1"/>
              </a:solidFill>
              <a:round/>
            </a:ln>
            <a:effectLst/>
          </c:spPr>
          <c:marker>
            <c:symbol val="none"/>
          </c:marker>
          <c:cat>
            <c:numRef>
              <c:f>'Ejercicio 1 al 3'!$AA$423:$AA$453</c:f>
              <c:numCache>
                <c:formatCode>General</c:formatCode>
                <c:ptCount val="31"/>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numCache>
            </c:numRef>
          </c:cat>
          <c:val>
            <c:numRef>
              <c:f>'Ejercicio 1 al 3'!$AB$423:$AB$453</c:f>
              <c:numCache>
                <c:formatCode>_-* #,##0.00_-;\-* #,##0.00_-;_-* "-"??_-;_-@_-</c:formatCode>
                <c:ptCount val="31"/>
                <c:pt idx="0">
                  <c:v>-2.9051490761459569</c:v>
                </c:pt>
                <c:pt idx="1">
                  <c:v>-2.9051490761459569</c:v>
                </c:pt>
                <c:pt idx="2">
                  <c:v>-2.9051490761459569</c:v>
                </c:pt>
                <c:pt idx="3">
                  <c:v>-2.9051490761459569</c:v>
                </c:pt>
                <c:pt idx="4">
                  <c:v>-2.9051490761459569</c:v>
                </c:pt>
                <c:pt idx="5">
                  <c:v>-2.9051490761459569</c:v>
                </c:pt>
                <c:pt idx="6">
                  <c:v>-2.9051490761459569</c:v>
                </c:pt>
                <c:pt idx="7">
                  <c:v>-2.8751490761459557</c:v>
                </c:pt>
                <c:pt idx="8">
                  <c:v>-1.8751490761459557</c:v>
                </c:pt>
                <c:pt idx="9">
                  <c:v>-0.87514907614595572</c:v>
                </c:pt>
                <c:pt idx="10">
                  <c:v>0.12485092385404428</c:v>
                </c:pt>
                <c:pt idx="11">
                  <c:v>1.1248509238540443</c:v>
                </c:pt>
                <c:pt idx="12">
                  <c:v>2.1248509238540443</c:v>
                </c:pt>
                <c:pt idx="13">
                  <c:v>3.1248509238540443</c:v>
                </c:pt>
                <c:pt idx="14">
                  <c:v>4.1248509238540443</c:v>
                </c:pt>
                <c:pt idx="15">
                  <c:v>5.1248509238540443</c:v>
                </c:pt>
                <c:pt idx="16">
                  <c:v>6.1248509238540443</c:v>
                </c:pt>
                <c:pt idx="17">
                  <c:v>7.1248509238540443</c:v>
                </c:pt>
                <c:pt idx="18">
                  <c:v>8.1248509238540443</c:v>
                </c:pt>
                <c:pt idx="19">
                  <c:v>9.1248509238540443</c:v>
                </c:pt>
                <c:pt idx="20">
                  <c:v>10.124850923854044</c:v>
                </c:pt>
                <c:pt idx="21">
                  <c:v>11.124850923854044</c:v>
                </c:pt>
                <c:pt idx="22">
                  <c:v>12.124850923854044</c:v>
                </c:pt>
                <c:pt idx="23">
                  <c:v>13.124850923854044</c:v>
                </c:pt>
                <c:pt idx="24">
                  <c:v>14.124850923854044</c:v>
                </c:pt>
                <c:pt idx="25">
                  <c:v>15.124850923854044</c:v>
                </c:pt>
                <c:pt idx="26">
                  <c:v>16.124850923854044</c:v>
                </c:pt>
                <c:pt idx="27">
                  <c:v>17.124850923854044</c:v>
                </c:pt>
                <c:pt idx="28">
                  <c:v>18.124850923854044</c:v>
                </c:pt>
                <c:pt idx="29">
                  <c:v>19.124850923854044</c:v>
                </c:pt>
                <c:pt idx="30">
                  <c:v>20.124850923854044</c:v>
                </c:pt>
              </c:numCache>
            </c:numRef>
          </c:val>
          <c:smooth val="0"/>
          <c:extLst>
            <c:ext xmlns:c16="http://schemas.microsoft.com/office/drawing/2014/chart" uri="{C3380CC4-5D6E-409C-BE32-E72D297353CC}">
              <c16:uniqueId val="{00000000-536E-B940-9639-AFA6E979BB77}"/>
            </c:ext>
          </c:extLst>
        </c:ser>
        <c:ser>
          <c:idx val="1"/>
          <c:order val="1"/>
          <c:tx>
            <c:strRef>
              <c:f>'Ejercicio 1 al 3'!$AC$422</c:f>
              <c:strCache>
                <c:ptCount val="1"/>
                <c:pt idx="0">
                  <c:v>Put_look</c:v>
                </c:pt>
              </c:strCache>
            </c:strRef>
          </c:tx>
          <c:spPr>
            <a:ln w="28575" cap="rnd">
              <a:solidFill>
                <a:schemeClr val="accent2"/>
              </a:solidFill>
              <a:round/>
            </a:ln>
            <a:effectLst/>
          </c:spPr>
          <c:marker>
            <c:symbol val="none"/>
          </c:marker>
          <c:cat>
            <c:numRef>
              <c:f>'Ejercicio 1 al 3'!$AA$423:$AA$453</c:f>
              <c:numCache>
                <c:formatCode>General</c:formatCode>
                <c:ptCount val="31"/>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numCache>
            </c:numRef>
          </c:cat>
          <c:val>
            <c:numRef>
              <c:f>'Ejercicio 1 al 3'!$AC$423:$AC$453</c:f>
              <c:numCache>
                <c:formatCode>_-* #,##0.00_-;\-* #,##0.00_-;_-* "-"??_-;_-@_-</c:formatCode>
                <c:ptCount val="31"/>
                <c:pt idx="0">
                  <c:v>6.3873264886850531</c:v>
                </c:pt>
                <c:pt idx="1">
                  <c:v>5.3873264886850531</c:v>
                </c:pt>
                <c:pt idx="2">
                  <c:v>4.3873264886850531</c:v>
                </c:pt>
                <c:pt idx="3">
                  <c:v>3.3873264886850536</c:v>
                </c:pt>
                <c:pt idx="4">
                  <c:v>2.3873264886850536</c:v>
                </c:pt>
                <c:pt idx="5">
                  <c:v>1.3873264886850536</c:v>
                </c:pt>
                <c:pt idx="6">
                  <c:v>0.38732648868505359</c:v>
                </c:pt>
                <c:pt idx="7">
                  <c:v>-0.58267351131494527</c:v>
                </c:pt>
                <c:pt idx="8">
                  <c:v>-0.58267351131494527</c:v>
                </c:pt>
                <c:pt idx="9">
                  <c:v>-0.58267351131494527</c:v>
                </c:pt>
                <c:pt idx="10">
                  <c:v>-0.58267351131494527</c:v>
                </c:pt>
                <c:pt idx="11">
                  <c:v>-0.58267351131494527</c:v>
                </c:pt>
                <c:pt idx="12">
                  <c:v>-0.58267351131494527</c:v>
                </c:pt>
                <c:pt idx="13">
                  <c:v>-0.58267351131494527</c:v>
                </c:pt>
                <c:pt idx="14">
                  <c:v>-0.58267351131494527</c:v>
                </c:pt>
                <c:pt idx="15">
                  <c:v>-0.58267351131494527</c:v>
                </c:pt>
                <c:pt idx="16">
                  <c:v>-0.58267351131494527</c:v>
                </c:pt>
                <c:pt idx="17">
                  <c:v>-0.58267351131494527</c:v>
                </c:pt>
                <c:pt idx="18">
                  <c:v>-0.58267351131494527</c:v>
                </c:pt>
                <c:pt idx="19">
                  <c:v>-0.58267351131494527</c:v>
                </c:pt>
                <c:pt idx="20">
                  <c:v>-0.58267351131494527</c:v>
                </c:pt>
                <c:pt idx="21">
                  <c:v>-0.58267351131494527</c:v>
                </c:pt>
                <c:pt idx="22">
                  <c:v>-0.58267351131494527</c:v>
                </c:pt>
                <c:pt idx="23">
                  <c:v>-0.58267351131494527</c:v>
                </c:pt>
                <c:pt idx="24">
                  <c:v>-0.58267351131494527</c:v>
                </c:pt>
                <c:pt idx="25">
                  <c:v>-0.58267351131494527</c:v>
                </c:pt>
                <c:pt idx="26">
                  <c:v>-0.58267351131494527</c:v>
                </c:pt>
                <c:pt idx="27">
                  <c:v>-0.58267351131494527</c:v>
                </c:pt>
                <c:pt idx="28">
                  <c:v>-0.58267351131494527</c:v>
                </c:pt>
                <c:pt idx="29">
                  <c:v>-0.58267351131494527</c:v>
                </c:pt>
                <c:pt idx="30">
                  <c:v>-0.58267351131494527</c:v>
                </c:pt>
              </c:numCache>
            </c:numRef>
          </c:val>
          <c:smooth val="0"/>
          <c:extLst>
            <c:ext xmlns:c16="http://schemas.microsoft.com/office/drawing/2014/chart" uri="{C3380CC4-5D6E-409C-BE32-E72D297353CC}">
              <c16:uniqueId val="{00000001-536E-B940-9639-AFA6E979BB77}"/>
            </c:ext>
          </c:extLst>
        </c:ser>
        <c:dLbls>
          <c:showLegendKey val="0"/>
          <c:showVal val="0"/>
          <c:showCatName val="0"/>
          <c:showSerName val="0"/>
          <c:showPercent val="0"/>
          <c:showBubbleSize val="0"/>
        </c:dLbls>
        <c:smooth val="0"/>
        <c:axId val="1632837504"/>
        <c:axId val="1279879152"/>
      </c:lineChart>
      <c:catAx>
        <c:axId val="163283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79879152"/>
        <c:crosses val="autoZero"/>
        <c:auto val="1"/>
        <c:lblAlgn val="ctr"/>
        <c:lblOffset val="100"/>
        <c:noMultiLvlLbl val="0"/>
      </c:catAx>
      <c:valAx>
        <c:axId val="1279879152"/>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6328375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opciones fixed look back</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'Ejercicio 1 al 3'!$AA$485</c:f>
              <c:strCache>
                <c:ptCount val="1"/>
                <c:pt idx="0">
                  <c:v>call_fl</c:v>
                </c:pt>
              </c:strCache>
            </c:strRef>
          </c:tx>
          <c:spPr>
            <a:ln w="28575" cap="rnd">
              <a:solidFill>
                <a:schemeClr val="accent1"/>
              </a:solidFill>
              <a:round/>
            </a:ln>
            <a:effectLst/>
          </c:spPr>
          <c:marker>
            <c:symbol val="none"/>
          </c:marker>
          <c:cat>
            <c:numRef>
              <c:f>'Ejercicio 1 al 3'!$Z$486:$Z$516</c:f>
              <c:numCache>
                <c:formatCode>General</c:formatCode>
                <c:ptCount val="31"/>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numCache>
            </c:numRef>
          </c:cat>
          <c:val>
            <c:numRef>
              <c:f>'Ejercicio 1 al 3'!$AA$486:$AA$516</c:f>
              <c:numCache>
                <c:formatCode>_-* #,##0.00_-;\-* #,##0.00_-;_-* "-"??_-;_-@_-</c:formatCode>
                <c:ptCount val="31"/>
                <c:pt idx="0">
                  <c:v>-2.9531768359603632</c:v>
                </c:pt>
                <c:pt idx="1">
                  <c:v>-2.9531768359603632</c:v>
                </c:pt>
                <c:pt idx="2">
                  <c:v>-2.9531768359603632</c:v>
                </c:pt>
                <c:pt idx="3">
                  <c:v>-2.9531768359603632</c:v>
                </c:pt>
                <c:pt idx="4">
                  <c:v>-2.9531768359603632</c:v>
                </c:pt>
                <c:pt idx="5">
                  <c:v>-2.9531768359603632</c:v>
                </c:pt>
                <c:pt idx="6">
                  <c:v>-2.9531768359603632</c:v>
                </c:pt>
                <c:pt idx="7">
                  <c:v>-2.923176835960362</c:v>
                </c:pt>
                <c:pt idx="8">
                  <c:v>-1.923176835960362</c:v>
                </c:pt>
                <c:pt idx="9">
                  <c:v>-0.92317683596036204</c:v>
                </c:pt>
                <c:pt idx="10">
                  <c:v>7.6823164039637959E-2</c:v>
                </c:pt>
                <c:pt idx="11">
                  <c:v>1.076823164039638</c:v>
                </c:pt>
                <c:pt idx="12">
                  <c:v>2.076823164039638</c:v>
                </c:pt>
                <c:pt idx="13">
                  <c:v>3.076823164039638</c:v>
                </c:pt>
                <c:pt idx="14">
                  <c:v>4.076823164039638</c:v>
                </c:pt>
                <c:pt idx="15">
                  <c:v>5.076823164039638</c:v>
                </c:pt>
                <c:pt idx="16">
                  <c:v>6.076823164039638</c:v>
                </c:pt>
                <c:pt idx="17">
                  <c:v>7.076823164039638</c:v>
                </c:pt>
                <c:pt idx="18">
                  <c:v>8.076823164039638</c:v>
                </c:pt>
                <c:pt idx="19">
                  <c:v>9.076823164039638</c:v>
                </c:pt>
                <c:pt idx="20">
                  <c:v>10.076823164039638</c:v>
                </c:pt>
                <c:pt idx="21">
                  <c:v>11.076823164039638</c:v>
                </c:pt>
                <c:pt idx="22">
                  <c:v>12.076823164039638</c:v>
                </c:pt>
                <c:pt idx="23">
                  <c:v>13.076823164039638</c:v>
                </c:pt>
                <c:pt idx="24">
                  <c:v>14.076823164039638</c:v>
                </c:pt>
                <c:pt idx="25">
                  <c:v>15.076823164039638</c:v>
                </c:pt>
                <c:pt idx="26">
                  <c:v>16.076823164039638</c:v>
                </c:pt>
                <c:pt idx="27">
                  <c:v>17.076823164039638</c:v>
                </c:pt>
                <c:pt idx="28">
                  <c:v>18.076823164039638</c:v>
                </c:pt>
                <c:pt idx="29">
                  <c:v>19.076823164039638</c:v>
                </c:pt>
                <c:pt idx="30">
                  <c:v>20.076823164039638</c:v>
                </c:pt>
              </c:numCache>
            </c:numRef>
          </c:val>
          <c:smooth val="0"/>
          <c:extLst>
            <c:ext xmlns:c16="http://schemas.microsoft.com/office/drawing/2014/chart" uri="{C3380CC4-5D6E-409C-BE32-E72D297353CC}">
              <c16:uniqueId val="{00000000-6425-444C-9F57-CE949753E6EA}"/>
            </c:ext>
          </c:extLst>
        </c:ser>
        <c:ser>
          <c:idx val="1"/>
          <c:order val="1"/>
          <c:tx>
            <c:strRef>
              <c:f>'Ejercicio 1 al 3'!$AB$485</c:f>
              <c:strCache>
                <c:ptCount val="1"/>
                <c:pt idx="0">
                  <c:v>put_fl</c:v>
                </c:pt>
              </c:strCache>
            </c:strRef>
          </c:tx>
          <c:spPr>
            <a:ln w="28575" cap="rnd">
              <a:solidFill>
                <a:schemeClr val="accent2"/>
              </a:solidFill>
              <a:round/>
            </a:ln>
            <a:effectLst/>
          </c:spPr>
          <c:marker>
            <c:symbol val="none"/>
          </c:marker>
          <c:cat>
            <c:numRef>
              <c:f>'Ejercicio 1 al 3'!$Z$486:$Z$516</c:f>
              <c:numCache>
                <c:formatCode>General</c:formatCode>
                <c:ptCount val="31"/>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pt idx="23">
                  <c:v>51</c:v>
                </c:pt>
                <c:pt idx="24">
                  <c:v>52</c:v>
                </c:pt>
                <c:pt idx="25">
                  <c:v>53</c:v>
                </c:pt>
                <c:pt idx="26">
                  <c:v>54</c:v>
                </c:pt>
                <c:pt idx="27">
                  <c:v>55</c:v>
                </c:pt>
                <c:pt idx="28">
                  <c:v>56</c:v>
                </c:pt>
                <c:pt idx="29">
                  <c:v>57</c:v>
                </c:pt>
                <c:pt idx="30">
                  <c:v>58</c:v>
                </c:pt>
              </c:numCache>
            </c:numRef>
          </c:cat>
          <c:val>
            <c:numRef>
              <c:f>'Ejercicio 1 al 3'!$AB$486:$AB$516</c:f>
              <c:numCache>
                <c:formatCode>_-* #,##0.00_-;\-* #,##0.00_-;_-* "-"??_-;_-@_-</c:formatCode>
                <c:ptCount val="31"/>
                <c:pt idx="0">
                  <c:v>4.0168231640396357</c:v>
                </c:pt>
                <c:pt idx="1">
                  <c:v>3.0168231640396357</c:v>
                </c:pt>
                <c:pt idx="2">
                  <c:v>2.0168231640396357</c:v>
                </c:pt>
                <c:pt idx="3">
                  <c:v>1.0168231640396357</c:v>
                </c:pt>
                <c:pt idx="4">
                  <c:v>1.6823164039635685E-2</c:v>
                </c:pt>
                <c:pt idx="5">
                  <c:v>-0.98317683596036431</c:v>
                </c:pt>
                <c:pt idx="6">
                  <c:v>-1.9831768359603643</c:v>
                </c:pt>
                <c:pt idx="7">
                  <c:v>-2.9531768359603632</c:v>
                </c:pt>
                <c:pt idx="8">
                  <c:v>-2.9531768359603632</c:v>
                </c:pt>
                <c:pt idx="9">
                  <c:v>-2.9531768359603632</c:v>
                </c:pt>
                <c:pt idx="10">
                  <c:v>-2.9531768359603632</c:v>
                </c:pt>
                <c:pt idx="11">
                  <c:v>-2.9531768359603632</c:v>
                </c:pt>
                <c:pt idx="12">
                  <c:v>-2.9531768359603632</c:v>
                </c:pt>
                <c:pt idx="13">
                  <c:v>-2.9531768359603632</c:v>
                </c:pt>
                <c:pt idx="14">
                  <c:v>-2.9531768359603632</c:v>
                </c:pt>
                <c:pt idx="15">
                  <c:v>-2.9531768359603632</c:v>
                </c:pt>
                <c:pt idx="16">
                  <c:v>-2.9531768359603632</c:v>
                </c:pt>
                <c:pt idx="17">
                  <c:v>-2.9531768359603632</c:v>
                </c:pt>
                <c:pt idx="18">
                  <c:v>-2.9531768359603632</c:v>
                </c:pt>
                <c:pt idx="19">
                  <c:v>-2.9531768359603632</c:v>
                </c:pt>
                <c:pt idx="20">
                  <c:v>-2.9531768359603632</c:v>
                </c:pt>
                <c:pt idx="21">
                  <c:v>-2.9531768359603632</c:v>
                </c:pt>
                <c:pt idx="22">
                  <c:v>-2.9531768359603632</c:v>
                </c:pt>
                <c:pt idx="23">
                  <c:v>-2.9531768359603632</c:v>
                </c:pt>
                <c:pt idx="24">
                  <c:v>-2.9531768359603632</c:v>
                </c:pt>
                <c:pt idx="25">
                  <c:v>-2.9531768359603632</c:v>
                </c:pt>
                <c:pt idx="26">
                  <c:v>-2.9531768359603632</c:v>
                </c:pt>
                <c:pt idx="27">
                  <c:v>-2.9531768359603632</c:v>
                </c:pt>
                <c:pt idx="28">
                  <c:v>-2.9531768359603632</c:v>
                </c:pt>
                <c:pt idx="29">
                  <c:v>-2.9531768359603632</c:v>
                </c:pt>
                <c:pt idx="30">
                  <c:v>-2.9531768359603632</c:v>
                </c:pt>
              </c:numCache>
            </c:numRef>
          </c:val>
          <c:smooth val="0"/>
          <c:extLst>
            <c:ext xmlns:c16="http://schemas.microsoft.com/office/drawing/2014/chart" uri="{C3380CC4-5D6E-409C-BE32-E72D297353CC}">
              <c16:uniqueId val="{00000001-6425-444C-9F57-CE949753E6EA}"/>
            </c:ext>
          </c:extLst>
        </c:ser>
        <c:dLbls>
          <c:showLegendKey val="0"/>
          <c:showVal val="0"/>
          <c:showCatName val="0"/>
          <c:showSerName val="0"/>
          <c:showPercent val="0"/>
          <c:showBubbleSize val="0"/>
        </c:dLbls>
        <c:smooth val="0"/>
        <c:axId val="898312656"/>
        <c:axId val="898354800"/>
      </c:lineChart>
      <c:catAx>
        <c:axId val="898312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98354800"/>
        <c:crosses val="autoZero"/>
        <c:auto val="1"/>
        <c:lblAlgn val="ctr"/>
        <c:lblOffset val="100"/>
        <c:noMultiLvlLbl val="0"/>
      </c:catAx>
      <c:valAx>
        <c:axId val="898354800"/>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9831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'Ejercicio 1 al 3'!$AH$551</c:f>
              <c:strCache>
                <c:ptCount val="1"/>
                <c:pt idx="0">
                  <c:v>call-call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'Ejercicio 1 al 3'!$AG$552:$AG$584</c:f>
              <c:numCache>
                <c:formatCode>General</c:formatCode>
                <c:ptCount val="33"/>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pt idx="14">
                  <c:v>54</c:v>
                </c:pt>
                <c:pt idx="15">
                  <c:v>55</c:v>
                </c:pt>
                <c:pt idx="16">
                  <c:v>56</c:v>
                </c:pt>
                <c:pt idx="17">
                  <c:v>57</c:v>
                </c:pt>
                <c:pt idx="18">
                  <c:v>58</c:v>
                </c:pt>
                <c:pt idx="19">
                  <c:v>59</c:v>
                </c:pt>
                <c:pt idx="20">
                  <c:v>60</c:v>
                </c:pt>
                <c:pt idx="21">
                  <c:v>61</c:v>
                </c:pt>
                <c:pt idx="22">
                  <c:v>62</c:v>
                </c:pt>
                <c:pt idx="23">
                  <c:v>63</c:v>
                </c:pt>
                <c:pt idx="24">
                  <c:v>64</c:v>
                </c:pt>
                <c:pt idx="25">
                  <c:v>65</c:v>
                </c:pt>
                <c:pt idx="26">
                  <c:v>66</c:v>
                </c:pt>
                <c:pt idx="27">
                  <c:v>67</c:v>
                </c:pt>
                <c:pt idx="28">
                  <c:v>68</c:v>
                </c:pt>
                <c:pt idx="29">
                  <c:v>69</c:v>
                </c:pt>
                <c:pt idx="30">
                  <c:v>70</c:v>
                </c:pt>
                <c:pt idx="31">
                  <c:v>71</c:v>
                </c:pt>
                <c:pt idx="32">
                  <c:v>72</c:v>
                </c:pt>
              </c:numCache>
            </c:numRef>
          </c:xVal>
          <c:yVal>
            <c:numRef>
              <c:f>'Ejercicio 1 al 3'!$AH$552:$AH$584</c:f>
              <c:numCache>
                <c:formatCode>_-* #,##0.00_-;\-* #,##0.00_-;_-* "-"??_-;_-@_-</c:formatCode>
                <c:ptCount val="33"/>
                <c:pt idx="0">
                  <c:v>-39.207946782243667</c:v>
                </c:pt>
                <c:pt idx="1">
                  <c:v>-38.207946782243667</c:v>
                </c:pt>
                <c:pt idx="2">
                  <c:v>-37.207946782243667</c:v>
                </c:pt>
                <c:pt idx="3">
                  <c:v>-36.207946782243667</c:v>
                </c:pt>
                <c:pt idx="4">
                  <c:v>-35.207946782243667</c:v>
                </c:pt>
                <c:pt idx="5">
                  <c:v>-34.207946782243667</c:v>
                </c:pt>
                <c:pt idx="6">
                  <c:v>-33.207946782243667</c:v>
                </c:pt>
                <c:pt idx="7">
                  <c:v>-32.207946782243667</c:v>
                </c:pt>
                <c:pt idx="8">
                  <c:v>-31.207946782243667</c:v>
                </c:pt>
                <c:pt idx="9">
                  <c:v>-30.207946782243667</c:v>
                </c:pt>
                <c:pt idx="10">
                  <c:v>-29.207946782243667</c:v>
                </c:pt>
                <c:pt idx="11">
                  <c:v>-28.207946782243667</c:v>
                </c:pt>
                <c:pt idx="12">
                  <c:v>-27.207946782243667</c:v>
                </c:pt>
                <c:pt idx="13">
                  <c:v>-26.207946782243667</c:v>
                </c:pt>
                <c:pt idx="14">
                  <c:v>-25.207946782243667</c:v>
                </c:pt>
                <c:pt idx="15">
                  <c:v>-24.207946782243667</c:v>
                </c:pt>
                <c:pt idx="16">
                  <c:v>-23.207946782243667</c:v>
                </c:pt>
                <c:pt idx="17">
                  <c:v>-22.207946782243667</c:v>
                </c:pt>
                <c:pt idx="18">
                  <c:v>-21.207946782243667</c:v>
                </c:pt>
                <c:pt idx="19">
                  <c:v>-20.207946782243667</c:v>
                </c:pt>
                <c:pt idx="20">
                  <c:v>-19.207946782243667</c:v>
                </c:pt>
                <c:pt idx="21">
                  <c:v>-18.207946782243667</c:v>
                </c:pt>
                <c:pt idx="22">
                  <c:v>-17.207946782243667</c:v>
                </c:pt>
                <c:pt idx="23">
                  <c:v>-16.207946782243667</c:v>
                </c:pt>
                <c:pt idx="24">
                  <c:v>-15.207946782243667</c:v>
                </c:pt>
                <c:pt idx="25">
                  <c:v>-14.207946782243667</c:v>
                </c:pt>
                <c:pt idx="26">
                  <c:v>-13.207946782243667</c:v>
                </c:pt>
                <c:pt idx="27">
                  <c:v>-12.207946782243667</c:v>
                </c:pt>
                <c:pt idx="28">
                  <c:v>-11.207946782243667</c:v>
                </c:pt>
                <c:pt idx="29">
                  <c:v>-10.207946782243667</c:v>
                </c:pt>
                <c:pt idx="30">
                  <c:v>-9.2079467822436669</c:v>
                </c:pt>
                <c:pt idx="31">
                  <c:v>-8.2079467822436669</c:v>
                </c:pt>
                <c:pt idx="32">
                  <c:v>-7.2079467822436669</c:v>
                </c:pt>
              </c:numCache>
            </c:numRef>
          </c:yVal>
          <c:smooth val="0"/>
          <c:extLst>
            <c:ext xmlns:c16="http://schemas.microsoft.com/office/drawing/2014/chart" uri="{C3380CC4-5D6E-409C-BE32-E72D297353CC}">
              <c16:uniqueId val="{00000000-5B94-0849-9787-E72AEFCEFB45}"/>
            </c:ext>
          </c:extLst>
        </c:ser>
        <c:dLbls>
          <c:showLegendKey val="0"/>
          <c:showVal val="0"/>
          <c:showCatName val="0"/>
          <c:showSerName val="0"/>
          <c:showPercent val="0"/>
          <c:showBubbleSize val="0"/>
        </c:dLbls>
        <c:axId val="520110479"/>
        <c:axId val="421245423"/>
      </c:scatterChart>
      <c:valAx>
        <c:axId val="52011047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21245423"/>
        <c:crosses val="autoZero"/>
        <c:crossBetween val="midCat"/>
      </c:valAx>
      <c:valAx>
        <c:axId val="421245423"/>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2011047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320345581802275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'Ejercicio 1 al 3'!$AI$551</c:f>
              <c:strCache>
                <c:ptCount val="1"/>
                <c:pt idx="0">
                  <c:v>put-call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'Ejercicio 1 al 3'!$AG$552:$AG$584</c:f>
              <c:numCache>
                <c:formatCode>General</c:formatCode>
                <c:ptCount val="33"/>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pt idx="14">
                  <c:v>54</c:v>
                </c:pt>
                <c:pt idx="15">
                  <c:v>55</c:v>
                </c:pt>
                <c:pt idx="16">
                  <c:v>56</c:v>
                </c:pt>
                <c:pt idx="17">
                  <c:v>57</c:v>
                </c:pt>
                <c:pt idx="18">
                  <c:v>58</c:v>
                </c:pt>
                <c:pt idx="19">
                  <c:v>59</c:v>
                </c:pt>
                <c:pt idx="20">
                  <c:v>60</c:v>
                </c:pt>
                <c:pt idx="21">
                  <c:v>61</c:v>
                </c:pt>
                <c:pt idx="22">
                  <c:v>62</c:v>
                </c:pt>
                <c:pt idx="23">
                  <c:v>63</c:v>
                </c:pt>
                <c:pt idx="24">
                  <c:v>64</c:v>
                </c:pt>
                <c:pt idx="25">
                  <c:v>65</c:v>
                </c:pt>
                <c:pt idx="26">
                  <c:v>66</c:v>
                </c:pt>
                <c:pt idx="27">
                  <c:v>67</c:v>
                </c:pt>
                <c:pt idx="28">
                  <c:v>68</c:v>
                </c:pt>
                <c:pt idx="29">
                  <c:v>69</c:v>
                </c:pt>
                <c:pt idx="30">
                  <c:v>70</c:v>
                </c:pt>
                <c:pt idx="31">
                  <c:v>71</c:v>
                </c:pt>
                <c:pt idx="32">
                  <c:v>72</c:v>
                </c:pt>
              </c:numCache>
            </c:numRef>
          </c:xVal>
          <c:yVal>
            <c:numRef>
              <c:f>'Ejercicio 1 al 3'!$AI$552:$AI$584</c:f>
              <c:numCache>
                <c:formatCode>_-* #,##0.00_-;\-* #,##0.00_-;_-* "-"??_-;_-@_-</c:formatCode>
                <c:ptCount val="33"/>
                <c:pt idx="0">
                  <c:v>-39.207946932270211</c:v>
                </c:pt>
                <c:pt idx="1">
                  <c:v>-39.207946932270211</c:v>
                </c:pt>
                <c:pt idx="2">
                  <c:v>-39.207946932270211</c:v>
                </c:pt>
                <c:pt idx="3">
                  <c:v>-39.207946932270211</c:v>
                </c:pt>
                <c:pt idx="4">
                  <c:v>-39.207946932270211</c:v>
                </c:pt>
                <c:pt idx="5">
                  <c:v>-39.207946932270211</c:v>
                </c:pt>
                <c:pt idx="6">
                  <c:v>-39.207946932270211</c:v>
                </c:pt>
                <c:pt idx="7">
                  <c:v>-39.207946932270211</c:v>
                </c:pt>
                <c:pt idx="8">
                  <c:v>-39.207946932270211</c:v>
                </c:pt>
                <c:pt idx="9">
                  <c:v>-39.207946932270211</c:v>
                </c:pt>
                <c:pt idx="10">
                  <c:v>-39.207946932270211</c:v>
                </c:pt>
                <c:pt idx="11">
                  <c:v>-39.207946932270211</c:v>
                </c:pt>
                <c:pt idx="12">
                  <c:v>-39.207946932270211</c:v>
                </c:pt>
                <c:pt idx="13">
                  <c:v>-39.207946932270211</c:v>
                </c:pt>
                <c:pt idx="14">
                  <c:v>-39.207946932270211</c:v>
                </c:pt>
                <c:pt idx="15">
                  <c:v>-39.207946932270211</c:v>
                </c:pt>
                <c:pt idx="16">
                  <c:v>-39.207946932270211</c:v>
                </c:pt>
                <c:pt idx="17">
                  <c:v>-39.207946932270211</c:v>
                </c:pt>
                <c:pt idx="18">
                  <c:v>-39.207946932270211</c:v>
                </c:pt>
                <c:pt idx="19">
                  <c:v>-39.207946932270211</c:v>
                </c:pt>
                <c:pt idx="20">
                  <c:v>-39.207946932270211</c:v>
                </c:pt>
                <c:pt idx="21">
                  <c:v>-39.207946932270211</c:v>
                </c:pt>
                <c:pt idx="22">
                  <c:v>-39.207946932270211</c:v>
                </c:pt>
                <c:pt idx="23">
                  <c:v>-39.207946932270211</c:v>
                </c:pt>
                <c:pt idx="24">
                  <c:v>-39.207946932270211</c:v>
                </c:pt>
                <c:pt idx="25">
                  <c:v>-39.207946932270211</c:v>
                </c:pt>
                <c:pt idx="26">
                  <c:v>-39.207946932270211</c:v>
                </c:pt>
                <c:pt idx="27">
                  <c:v>-39.207946932270211</c:v>
                </c:pt>
                <c:pt idx="28">
                  <c:v>-39.207946932270211</c:v>
                </c:pt>
                <c:pt idx="29">
                  <c:v>-39.207946932270211</c:v>
                </c:pt>
                <c:pt idx="30">
                  <c:v>-39.207946932270211</c:v>
                </c:pt>
                <c:pt idx="31">
                  <c:v>-39.207946932270211</c:v>
                </c:pt>
                <c:pt idx="32">
                  <c:v>-39.207946932270211</c:v>
                </c:pt>
              </c:numCache>
            </c:numRef>
          </c:yVal>
          <c:smooth val="0"/>
          <c:extLst>
            <c:ext xmlns:c16="http://schemas.microsoft.com/office/drawing/2014/chart" uri="{C3380CC4-5D6E-409C-BE32-E72D297353CC}">
              <c16:uniqueId val="{00000000-065B-864A-8B17-4FDF6A5FB0DF}"/>
            </c:ext>
          </c:extLst>
        </c:ser>
        <c:dLbls>
          <c:showLegendKey val="0"/>
          <c:showVal val="0"/>
          <c:showCatName val="0"/>
          <c:showSerName val="0"/>
          <c:showPercent val="0"/>
          <c:showBubbleSize val="0"/>
        </c:dLbls>
        <c:axId val="529108815"/>
        <c:axId val="739866831"/>
      </c:scatterChart>
      <c:valAx>
        <c:axId val="5291088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739866831"/>
        <c:crosses val="autoZero"/>
        <c:crossBetween val="midCat"/>
      </c:valAx>
      <c:valAx>
        <c:axId val="739866831"/>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2910881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3'!$AJ$551</c:f>
              <c:strCache>
                <c:ptCount val="1"/>
                <c:pt idx="0">
                  <c:v>call-put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'Ejercicio 1 al 3'!$AG$552:$AG$584</c:f>
              <c:numCache>
                <c:formatCode>General</c:formatCode>
                <c:ptCount val="33"/>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pt idx="14">
                  <c:v>54</c:v>
                </c:pt>
                <c:pt idx="15">
                  <c:v>55</c:v>
                </c:pt>
                <c:pt idx="16">
                  <c:v>56</c:v>
                </c:pt>
                <c:pt idx="17">
                  <c:v>57</c:v>
                </c:pt>
                <c:pt idx="18">
                  <c:v>58</c:v>
                </c:pt>
                <c:pt idx="19">
                  <c:v>59</c:v>
                </c:pt>
                <c:pt idx="20">
                  <c:v>60</c:v>
                </c:pt>
                <c:pt idx="21">
                  <c:v>61</c:v>
                </c:pt>
                <c:pt idx="22">
                  <c:v>62</c:v>
                </c:pt>
                <c:pt idx="23">
                  <c:v>63</c:v>
                </c:pt>
                <c:pt idx="24">
                  <c:v>64</c:v>
                </c:pt>
                <c:pt idx="25">
                  <c:v>65</c:v>
                </c:pt>
                <c:pt idx="26">
                  <c:v>66</c:v>
                </c:pt>
                <c:pt idx="27">
                  <c:v>67</c:v>
                </c:pt>
                <c:pt idx="28">
                  <c:v>68</c:v>
                </c:pt>
                <c:pt idx="29">
                  <c:v>69</c:v>
                </c:pt>
                <c:pt idx="30">
                  <c:v>70</c:v>
                </c:pt>
                <c:pt idx="31">
                  <c:v>71</c:v>
                </c:pt>
                <c:pt idx="32">
                  <c:v>72</c:v>
                </c:pt>
              </c:numCache>
            </c:numRef>
          </c:xVal>
          <c:yVal>
            <c:numRef>
              <c:f>'Ejercicio 1 al 3'!$AJ$552:$AJ$584</c:f>
              <c:numCache>
                <c:formatCode>_-* #,##0.00_-;\-* #,##0.00_-;_-* "-"??_-;_-@_-</c:formatCode>
                <c:ptCount val="33"/>
                <c:pt idx="0">
                  <c:v>-384.91885011566035</c:v>
                </c:pt>
                <c:pt idx="1">
                  <c:v>-384.91885011566035</c:v>
                </c:pt>
                <c:pt idx="2">
                  <c:v>-384.91885011566035</c:v>
                </c:pt>
                <c:pt idx="3">
                  <c:v>-384.91885011566035</c:v>
                </c:pt>
                <c:pt idx="4">
                  <c:v>-384.91885011566035</c:v>
                </c:pt>
                <c:pt idx="5">
                  <c:v>-384.91885011566035</c:v>
                </c:pt>
                <c:pt idx="6">
                  <c:v>-384.91885011566035</c:v>
                </c:pt>
                <c:pt idx="7">
                  <c:v>-384.91885011566035</c:v>
                </c:pt>
                <c:pt idx="8">
                  <c:v>-384.91885011566035</c:v>
                </c:pt>
                <c:pt idx="9">
                  <c:v>-384.91885011566035</c:v>
                </c:pt>
                <c:pt idx="10">
                  <c:v>-384.62276068905743</c:v>
                </c:pt>
                <c:pt idx="11">
                  <c:v>-383.62276068905743</c:v>
                </c:pt>
                <c:pt idx="12">
                  <c:v>-382.62276068905743</c:v>
                </c:pt>
                <c:pt idx="13">
                  <c:v>-381.62276068905743</c:v>
                </c:pt>
                <c:pt idx="14">
                  <c:v>-380.62276068905743</c:v>
                </c:pt>
                <c:pt idx="15">
                  <c:v>-379.62276068905743</c:v>
                </c:pt>
                <c:pt idx="16">
                  <c:v>-378.62276068905743</c:v>
                </c:pt>
                <c:pt idx="17">
                  <c:v>-377.62276068905743</c:v>
                </c:pt>
                <c:pt idx="18">
                  <c:v>-376.62276068905743</c:v>
                </c:pt>
                <c:pt idx="19">
                  <c:v>-375.62276068905743</c:v>
                </c:pt>
                <c:pt idx="20">
                  <c:v>-374.62276068905743</c:v>
                </c:pt>
                <c:pt idx="21">
                  <c:v>-373.62276068905743</c:v>
                </c:pt>
                <c:pt idx="22">
                  <c:v>-372.62276068905743</c:v>
                </c:pt>
                <c:pt idx="23">
                  <c:v>-371.62276068905743</c:v>
                </c:pt>
                <c:pt idx="24">
                  <c:v>-370.62276068905743</c:v>
                </c:pt>
                <c:pt idx="25">
                  <c:v>-369.62276068905743</c:v>
                </c:pt>
                <c:pt idx="26">
                  <c:v>-368.62276068905743</c:v>
                </c:pt>
                <c:pt idx="27">
                  <c:v>-367.62276068905743</c:v>
                </c:pt>
                <c:pt idx="28">
                  <c:v>-366.62276068905743</c:v>
                </c:pt>
                <c:pt idx="29">
                  <c:v>-365.62276068905743</c:v>
                </c:pt>
                <c:pt idx="30">
                  <c:v>-364.62276068905743</c:v>
                </c:pt>
                <c:pt idx="31">
                  <c:v>-363.62276068905743</c:v>
                </c:pt>
                <c:pt idx="32">
                  <c:v>-362.62276068905743</c:v>
                </c:pt>
              </c:numCache>
            </c:numRef>
          </c:yVal>
          <c:smooth val="1"/>
          <c:extLst>
            <c:ext xmlns:c16="http://schemas.microsoft.com/office/drawing/2014/chart" uri="{C3380CC4-5D6E-409C-BE32-E72D297353CC}">
              <c16:uniqueId val="{00000000-B589-CF4C-BC66-664F4717475C}"/>
            </c:ext>
          </c:extLst>
        </c:ser>
        <c:dLbls>
          <c:showLegendKey val="0"/>
          <c:showVal val="0"/>
          <c:showCatName val="0"/>
          <c:showSerName val="0"/>
          <c:showPercent val="0"/>
          <c:showBubbleSize val="0"/>
        </c:dLbls>
        <c:axId val="464337295"/>
        <c:axId val="844445247"/>
      </c:scatterChart>
      <c:valAx>
        <c:axId val="4643372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844445247"/>
        <c:crosses val="autoZero"/>
        <c:crossBetween val="midCat"/>
      </c:valAx>
      <c:valAx>
        <c:axId val="844445247"/>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643372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lineMarker"/>
        <c:varyColors val="0"/>
        <c:ser>
          <c:idx val="0"/>
          <c:order val="0"/>
          <c:tx>
            <c:strRef>
              <c:f>'Ejercicio 1 al 3'!$AK$551</c:f>
              <c:strCache>
                <c:ptCount val="1"/>
                <c:pt idx="0">
                  <c:v>put-put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'Ejercicio 1 al 3'!$AG$552:$AG$584</c:f>
              <c:numCache>
                <c:formatCode>General</c:formatCode>
                <c:ptCount val="33"/>
                <c:pt idx="0">
                  <c:v>40</c:v>
                </c:pt>
                <c:pt idx="1">
                  <c:v>41</c:v>
                </c:pt>
                <c:pt idx="2">
                  <c:v>42</c:v>
                </c:pt>
                <c:pt idx="3">
                  <c:v>43</c:v>
                </c:pt>
                <c:pt idx="4">
                  <c:v>44</c:v>
                </c:pt>
                <c:pt idx="5">
                  <c:v>45</c:v>
                </c:pt>
                <c:pt idx="6">
                  <c:v>46</c:v>
                </c:pt>
                <c:pt idx="7">
                  <c:v>47</c:v>
                </c:pt>
                <c:pt idx="8">
                  <c:v>48</c:v>
                </c:pt>
                <c:pt idx="9">
                  <c:v>49</c:v>
                </c:pt>
                <c:pt idx="10">
                  <c:v>50</c:v>
                </c:pt>
                <c:pt idx="11">
                  <c:v>51</c:v>
                </c:pt>
                <c:pt idx="12">
                  <c:v>52</c:v>
                </c:pt>
                <c:pt idx="13">
                  <c:v>53</c:v>
                </c:pt>
                <c:pt idx="14">
                  <c:v>54</c:v>
                </c:pt>
                <c:pt idx="15">
                  <c:v>55</c:v>
                </c:pt>
                <c:pt idx="16">
                  <c:v>56</c:v>
                </c:pt>
                <c:pt idx="17">
                  <c:v>57</c:v>
                </c:pt>
                <c:pt idx="18">
                  <c:v>58</c:v>
                </c:pt>
                <c:pt idx="19">
                  <c:v>59</c:v>
                </c:pt>
                <c:pt idx="20">
                  <c:v>60</c:v>
                </c:pt>
                <c:pt idx="21">
                  <c:v>61</c:v>
                </c:pt>
                <c:pt idx="22">
                  <c:v>62</c:v>
                </c:pt>
                <c:pt idx="23">
                  <c:v>63</c:v>
                </c:pt>
                <c:pt idx="24">
                  <c:v>64</c:v>
                </c:pt>
                <c:pt idx="25">
                  <c:v>65</c:v>
                </c:pt>
                <c:pt idx="26">
                  <c:v>66</c:v>
                </c:pt>
                <c:pt idx="27">
                  <c:v>67</c:v>
                </c:pt>
                <c:pt idx="28">
                  <c:v>68</c:v>
                </c:pt>
                <c:pt idx="29">
                  <c:v>69</c:v>
                </c:pt>
                <c:pt idx="30">
                  <c:v>70</c:v>
                </c:pt>
                <c:pt idx="31">
                  <c:v>71</c:v>
                </c:pt>
                <c:pt idx="32">
                  <c:v>72</c:v>
                </c:pt>
              </c:numCache>
            </c:numRef>
          </c:xVal>
          <c:yVal>
            <c:numRef>
              <c:f>'Ejercicio 1 al 3'!$AK$552:$AK$584</c:f>
              <c:numCache>
                <c:formatCode>_-* #,##0.00_-;\-* #,##0.00_-;_-* "-"??_-;_-@_-</c:formatCode>
                <c:ptCount val="33"/>
                <c:pt idx="0">
                  <c:v>9.7039105733970743</c:v>
                </c:pt>
                <c:pt idx="1">
                  <c:v>8.7039105733970743</c:v>
                </c:pt>
                <c:pt idx="2">
                  <c:v>7.7039105733970743</c:v>
                </c:pt>
                <c:pt idx="3">
                  <c:v>6.7039105733970743</c:v>
                </c:pt>
                <c:pt idx="4">
                  <c:v>5.7039105733970743</c:v>
                </c:pt>
                <c:pt idx="5">
                  <c:v>4.7039105733970743</c:v>
                </c:pt>
                <c:pt idx="6">
                  <c:v>3.7039105733970743</c:v>
                </c:pt>
                <c:pt idx="7">
                  <c:v>2.7039105733970743</c:v>
                </c:pt>
                <c:pt idx="8">
                  <c:v>1.7039105733970743</c:v>
                </c:pt>
                <c:pt idx="9">
                  <c:v>0.7039105733970743</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numCache>
            </c:numRef>
          </c:yVal>
          <c:smooth val="0"/>
          <c:extLst>
            <c:ext xmlns:c16="http://schemas.microsoft.com/office/drawing/2014/chart" uri="{C3380CC4-5D6E-409C-BE32-E72D297353CC}">
              <c16:uniqueId val="{00000000-4CBF-E645-94B8-E74413EED1A2}"/>
            </c:ext>
          </c:extLst>
        </c:ser>
        <c:dLbls>
          <c:showLegendKey val="0"/>
          <c:showVal val="0"/>
          <c:showCatName val="0"/>
          <c:showSerName val="0"/>
          <c:showPercent val="0"/>
          <c:showBubbleSize val="0"/>
        </c:dLbls>
        <c:axId val="575453551"/>
        <c:axId val="474831151"/>
      </c:scatterChart>
      <c:valAx>
        <c:axId val="5754535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74831151"/>
        <c:crosses val="autoZero"/>
        <c:crossBetween val="midCat"/>
      </c:valAx>
      <c:valAx>
        <c:axId val="474831151"/>
        <c:scaling>
          <c:orientation val="minMax"/>
        </c:scaling>
        <c:delete val="0"/>
        <c:axPos val="l"/>
        <c:majorGridlines>
          <c:spPr>
            <a:ln w="9525" cap="flat" cmpd="sng" algn="ctr">
              <a:solidFill>
                <a:schemeClr val="tx1">
                  <a:lumMod val="15000"/>
                  <a:lumOff val="85000"/>
                </a:schemeClr>
              </a:solidFill>
              <a:round/>
            </a:ln>
            <a:effectLst/>
          </c:spPr>
        </c:majorGridlines>
        <c:numFmt formatCode="_-* #,##0.00_-;\-* #,##0.00_-;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7545355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H&gt;k</a:t>
            </a:r>
          </a:p>
        </c:rich>
      </c:tx>
      <c:layout>
        <c:manualLayout>
          <c:xMode val="edge"/>
          <c:yMode val="edge"/>
          <c:x val="0.33680967939983453"/>
          <c:y val="3.1752698979413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3'!$U$284</c:f>
              <c:strCache>
                <c:ptCount val="1"/>
                <c:pt idx="0">
                  <c:v>Pui</c:v>
                </c:pt>
              </c:strCache>
            </c:strRef>
          </c:tx>
          <c:spPr>
            <a:ln w="19050" cap="rnd">
              <a:solidFill>
                <a:schemeClr val="accent1"/>
              </a:solidFill>
              <a:round/>
            </a:ln>
            <a:effectLst/>
          </c:spPr>
          <c:marker>
            <c:symbol val="none"/>
          </c:marker>
          <c:xVal>
            <c:numRef>
              <c:f>'Ejercicio 1 al 3'!$T$285:$T$307</c:f>
              <c:numCache>
                <c:formatCode>General</c:formatCode>
                <c:ptCount val="23"/>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numCache>
            </c:numRef>
          </c:xVal>
          <c:yVal>
            <c:numRef>
              <c:f>'Ejercicio 1 al 3'!$U$285:$U$307</c:f>
              <c:numCache>
                <c:formatCode>_-"$"* #,##0.00_-;\-"$"* #,##0.00_-;_-"$"* "-"??_-;_-@_-</c:formatCode>
                <c:ptCount val="23"/>
                <c:pt idx="0">
                  <c:v>-3.5501647398813674E-2</c:v>
                </c:pt>
                <c:pt idx="1">
                  <c:v>-3.5501647398813674E-2</c:v>
                </c:pt>
                <c:pt idx="2">
                  <c:v>-3.5501647398813674E-2</c:v>
                </c:pt>
                <c:pt idx="3">
                  <c:v>-3.5501647398813674E-2</c:v>
                </c:pt>
                <c:pt idx="4">
                  <c:v>-3.5501647398813674E-2</c:v>
                </c:pt>
                <c:pt idx="5">
                  <c:v>-3.5501647398813674E-2</c:v>
                </c:pt>
                <c:pt idx="6">
                  <c:v>-3.5501647398813674E-2</c:v>
                </c:pt>
                <c:pt idx="7">
                  <c:v>6.4644983526011863</c:v>
                </c:pt>
                <c:pt idx="8">
                  <c:v>6.4644983526011863</c:v>
                </c:pt>
                <c:pt idx="9">
                  <c:v>6.4644983526011863</c:v>
                </c:pt>
                <c:pt idx="10">
                  <c:v>6.4644983526011863</c:v>
                </c:pt>
                <c:pt idx="11">
                  <c:v>6.4644983526011863</c:v>
                </c:pt>
                <c:pt idx="12">
                  <c:v>6.4644983526011863</c:v>
                </c:pt>
                <c:pt idx="13">
                  <c:v>6.4644983526011863</c:v>
                </c:pt>
                <c:pt idx="14">
                  <c:v>6.4644983526011863</c:v>
                </c:pt>
                <c:pt idx="15">
                  <c:v>6.4644983526011863</c:v>
                </c:pt>
                <c:pt idx="16">
                  <c:v>6.4644983526011863</c:v>
                </c:pt>
                <c:pt idx="17">
                  <c:v>6.4644983526011863</c:v>
                </c:pt>
                <c:pt idx="18">
                  <c:v>6.4644983526011863</c:v>
                </c:pt>
                <c:pt idx="19">
                  <c:v>6.4644983526011863</c:v>
                </c:pt>
                <c:pt idx="20">
                  <c:v>6.4644983526011863</c:v>
                </c:pt>
                <c:pt idx="21">
                  <c:v>6.4644983526011863</c:v>
                </c:pt>
                <c:pt idx="22">
                  <c:v>6.4644983526011863</c:v>
                </c:pt>
              </c:numCache>
            </c:numRef>
          </c:yVal>
          <c:smooth val="1"/>
          <c:extLst>
            <c:ext xmlns:c16="http://schemas.microsoft.com/office/drawing/2014/chart" uri="{C3380CC4-5D6E-409C-BE32-E72D297353CC}">
              <c16:uniqueId val="{00000000-0C26-D54C-9488-F4142761D0D6}"/>
            </c:ext>
          </c:extLst>
        </c:ser>
        <c:ser>
          <c:idx val="1"/>
          <c:order val="1"/>
          <c:tx>
            <c:strRef>
              <c:f>'Ejercicio 1 al 3'!$V$284</c:f>
              <c:strCache>
                <c:ptCount val="1"/>
                <c:pt idx="0">
                  <c:v>puo</c:v>
                </c:pt>
              </c:strCache>
            </c:strRef>
          </c:tx>
          <c:spPr>
            <a:ln w="19050" cap="rnd">
              <a:solidFill>
                <a:schemeClr val="accent2"/>
              </a:solidFill>
              <a:round/>
            </a:ln>
            <a:effectLst/>
          </c:spPr>
          <c:marker>
            <c:symbol val="none"/>
          </c:marker>
          <c:xVal>
            <c:numRef>
              <c:f>'Ejercicio 1 al 3'!$T$285:$T$307</c:f>
              <c:numCache>
                <c:formatCode>General</c:formatCode>
                <c:ptCount val="23"/>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numCache>
            </c:numRef>
          </c:xVal>
          <c:yVal>
            <c:numRef>
              <c:f>'Ejercicio 1 al 3'!$V$285:$V$307</c:f>
              <c:numCache>
                <c:formatCode>_-"$"* #,##0.00_-;\-"$"* #,##0.00_-;_-"$"* "-"??_-;_-@_-</c:formatCode>
                <c:ptCount val="23"/>
                <c:pt idx="0">
                  <c:v>5.5016473988136749E-3</c:v>
                </c:pt>
                <c:pt idx="1">
                  <c:v>5.5016473988136749E-3</c:v>
                </c:pt>
                <c:pt idx="2">
                  <c:v>5.5016473988136749E-3</c:v>
                </c:pt>
                <c:pt idx="3">
                  <c:v>5.5016473988136749E-3</c:v>
                </c:pt>
                <c:pt idx="4">
                  <c:v>5.5016473988136749E-3</c:v>
                </c:pt>
                <c:pt idx="5">
                  <c:v>5.5016473988136749E-3</c:v>
                </c:pt>
                <c:pt idx="6">
                  <c:v>5.5016473988136749E-3</c:v>
                </c:pt>
                <c:pt idx="7">
                  <c:v>6.5055016473988134</c:v>
                </c:pt>
                <c:pt idx="8">
                  <c:v>6.5055016473988134</c:v>
                </c:pt>
                <c:pt idx="9">
                  <c:v>6.5055016473988134</c:v>
                </c:pt>
                <c:pt idx="10">
                  <c:v>6.5055016473988134</c:v>
                </c:pt>
                <c:pt idx="11">
                  <c:v>6.5055016473988134</c:v>
                </c:pt>
                <c:pt idx="12">
                  <c:v>6.5055016473988134</c:v>
                </c:pt>
                <c:pt idx="13">
                  <c:v>6.5055016473988134</c:v>
                </c:pt>
                <c:pt idx="14">
                  <c:v>6.5055016473988134</c:v>
                </c:pt>
                <c:pt idx="15">
                  <c:v>6.5055016473988134</c:v>
                </c:pt>
                <c:pt idx="16">
                  <c:v>6.5055016473988134</c:v>
                </c:pt>
                <c:pt idx="17">
                  <c:v>6.5055016473988134</c:v>
                </c:pt>
                <c:pt idx="18">
                  <c:v>6.5055016473988134</c:v>
                </c:pt>
                <c:pt idx="19">
                  <c:v>6.5055016473988134</c:v>
                </c:pt>
                <c:pt idx="20">
                  <c:v>6.5055016473988134</c:v>
                </c:pt>
                <c:pt idx="21">
                  <c:v>6.5055016473988134</c:v>
                </c:pt>
                <c:pt idx="22">
                  <c:v>6.5055016473988134</c:v>
                </c:pt>
              </c:numCache>
            </c:numRef>
          </c:yVal>
          <c:smooth val="1"/>
          <c:extLst>
            <c:ext xmlns:c16="http://schemas.microsoft.com/office/drawing/2014/chart" uri="{C3380CC4-5D6E-409C-BE32-E72D297353CC}">
              <c16:uniqueId val="{00000001-0C26-D54C-9488-F4142761D0D6}"/>
            </c:ext>
          </c:extLst>
        </c:ser>
        <c:dLbls>
          <c:showLegendKey val="0"/>
          <c:showVal val="0"/>
          <c:showCatName val="0"/>
          <c:showSerName val="0"/>
          <c:showPercent val="0"/>
          <c:showBubbleSize val="0"/>
        </c:dLbls>
        <c:axId val="1048604944"/>
        <c:axId val="1042963760"/>
      </c:scatterChart>
      <c:valAx>
        <c:axId val="10486049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42963760"/>
        <c:crosses val="autoZero"/>
        <c:crossBetween val="midCat"/>
      </c:valAx>
      <c:valAx>
        <c:axId val="10429637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4860494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H&lt;k</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scatterChart>
        <c:scatterStyle val="smoothMarker"/>
        <c:varyColors val="0"/>
        <c:ser>
          <c:idx val="0"/>
          <c:order val="0"/>
          <c:tx>
            <c:strRef>
              <c:f>'Ejercicio 1 al 3'!$W$284</c:f>
              <c:strCache>
                <c:ptCount val="1"/>
                <c:pt idx="0">
                  <c:v>Pui</c:v>
                </c:pt>
              </c:strCache>
            </c:strRef>
          </c:tx>
          <c:spPr>
            <a:ln w="19050" cap="rnd">
              <a:solidFill>
                <a:schemeClr val="accent1"/>
              </a:solidFill>
              <a:round/>
            </a:ln>
            <a:effectLst/>
          </c:spPr>
          <c:marker>
            <c:symbol val="none"/>
          </c:marker>
          <c:xVal>
            <c:numRef>
              <c:f>'Ejercicio 1 al 3'!$T$285:$T$307</c:f>
              <c:numCache>
                <c:formatCode>General</c:formatCode>
                <c:ptCount val="23"/>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numCache>
            </c:numRef>
          </c:xVal>
          <c:yVal>
            <c:numRef>
              <c:f>'Ejercicio 1 al 3'!$W$285:$W$307</c:f>
              <c:numCache>
                <c:formatCode>_-"$"* #,##0.00_-;\-"$"* #,##0.00_-;_-"$"* "-"??_-;_-@_-</c:formatCode>
                <c:ptCount val="23"/>
                <c:pt idx="0">
                  <c:v>-8.9810089563670693E-4</c:v>
                </c:pt>
                <c:pt idx="1">
                  <c:v>-8.9810089563670693E-4</c:v>
                </c:pt>
                <c:pt idx="2">
                  <c:v>-8.9810089563670693E-4</c:v>
                </c:pt>
                <c:pt idx="3">
                  <c:v>6.9691018991043618</c:v>
                </c:pt>
                <c:pt idx="4">
                  <c:v>6.9691018991043618</c:v>
                </c:pt>
                <c:pt idx="5">
                  <c:v>6.9691018991043618</c:v>
                </c:pt>
                <c:pt idx="6">
                  <c:v>6.9691018991043618</c:v>
                </c:pt>
                <c:pt idx="7">
                  <c:v>6.9691018991043618</c:v>
                </c:pt>
                <c:pt idx="8">
                  <c:v>6.9691018991043618</c:v>
                </c:pt>
                <c:pt idx="9">
                  <c:v>6.9691018991043618</c:v>
                </c:pt>
                <c:pt idx="10">
                  <c:v>6.9691018991043618</c:v>
                </c:pt>
                <c:pt idx="11">
                  <c:v>6.9691018991043618</c:v>
                </c:pt>
                <c:pt idx="12">
                  <c:v>6.9691018991043618</c:v>
                </c:pt>
                <c:pt idx="13">
                  <c:v>6.9691018991043618</c:v>
                </c:pt>
                <c:pt idx="14">
                  <c:v>6.9691018991043618</c:v>
                </c:pt>
                <c:pt idx="15">
                  <c:v>6.9691018991043618</c:v>
                </c:pt>
                <c:pt idx="16">
                  <c:v>6.9691018991043618</c:v>
                </c:pt>
                <c:pt idx="17">
                  <c:v>6.9691018991043618</c:v>
                </c:pt>
                <c:pt idx="18">
                  <c:v>6.9691018991043618</c:v>
                </c:pt>
                <c:pt idx="19">
                  <c:v>6.9691018991043618</c:v>
                </c:pt>
                <c:pt idx="20">
                  <c:v>6.9691018991043618</c:v>
                </c:pt>
                <c:pt idx="21">
                  <c:v>6.9691018991043618</c:v>
                </c:pt>
                <c:pt idx="22">
                  <c:v>6.9691018991043618</c:v>
                </c:pt>
              </c:numCache>
            </c:numRef>
          </c:yVal>
          <c:smooth val="1"/>
          <c:extLst>
            <c:ext xmlns:c16="http://schemas.microsoft.com/office/drawing/2014/chart" uri="{C3380CC4-5D6E-409C-BE32-E72D297353CC}">
              <c16:uniqueId val="{00000000-501D-664E-B72D-3947D330A7C8}"/>
            </c:ext>
          </c:extLst>
        </c:ser>
        <c:ser>
          <c:idx val="1"/>
          <c:order val="1"/>
          <c:tx>
            <c:strRef>
              <c:f>'Ejercicio 1 al 3'!$X$284</c:f>
              <c:strCache>
                <c:ptCount val="1"/>
                <c:pt idx="0">
                  <c:v>puo</c:v>
                </c:pt>
              </c:strCache>
            </c:strRef>
          </c:tx>
          <c:spPr>
            <a:ln w="19050" cap="rnd">
              <a:solidFill>
                <a:schemeClr val="accent2"/>
              </a:solidFill>
              <a:round/>
            </a:ln>
            <a:effectLst/>
          </c:spPr>
          <c:marker>
            <c:symbol val="none"/>
          </c:marker>
          <c:xVal>
            <c:numRef>
              <c:f>'Ejercicio 1 al 3'!$T$285:$T$307</c:f>
              <c:numCache>
                <c:formatCode>General</c:formatCode>
                <c:ptCount val="23"/>
                <c:pt idx="0">
                  <c:v>28</c:v>
                </c:pt>
                <c:pt idx="1">
                  <c:v>29</c:v>
                </c:pt>
                <c:pt idx="2">
                  <c:v>30</c:v>
                </c:pt>
                <c:pt idx="3">
                  <c:v>31</c:v>
                </c:pt>
                <c:pt idx="4">
                  <c:v>32</c:v>
                </c:pt>
                <c:pt idx="5">
                  <c:v>33</c:v>
                </c:pt>
                <c:pt idx="6">
                  <c:v>34</c:v>
                </c:pt>
                <c:pt idx="7">
                  <c:v>35</c:v>
                </c:pt>
                <c:pt idx="8">
                  <c:v>36</c:v>
                </c:pt>
                <c:pt idx="9">
                  <c:v>37</c:v>
                </c:pt>
                <c:pt idx="10">
                  <c:v>38</c:v>
                </c:pt>
                <c:pt idx="11">
                  <c:v>39</c:v>
                </c:pt>
                <c:pt idx="12">
                  <c:v>40</c:v>
                </c:pt>
                <c:pt idx="13">
                  <c:v>41</c:v>
                </c:pt>
                <c:pt idx="14">
                  <c:v>42</c:v>
                </c:pt>
                <c:pt idx="15">
                  <c:v>43</c:v>
                </c:pt>
                <c:pt idx="16">
                  <c:v>44</c:v>
                </c:pt>
                <c:pt idx="17">
                  <c:v>45</c:v>
                </c:pt>
                <c:pt idx="18">
                  <c:v>46</c:v>
                </c:pt>
                <c:pt idx="19">
                  <c:v>47</c:v>
                </c:pt>
                <c:pt idx="20">
                  <c:v>48</c:v>
                </c:pt>
                <c:pt idx="21">
                  <c:v>49</c:v>
                </c:pt>
                <c:pt idx="22">
                  <c:v>50</c:v>
                </c:pt>
              </c:numCache>
            </c:numRef>
          </c:xVal>
          <c:yVal>
            <c:numRef>
              <c:f>'Ejercicio 1 al 3'!$X$285:$X$307</c:f>
              <c:numCache>
                <c:formatCode>_-"$"* #,##0.00_-;\-"$"* #,##0.00_-;_-"$"* "-"??_-;_-@_-</c:formatCode>
                <c:ptCount val="23"/>
                <c:pt idx="0">
                  <c:v>8.9810089563670693E-4</c:v>
                </c:pt>
                <c:pt idx="1">
                  <c:v>8.9810089563670693E-4</c:v>
                </c:pt>
                <c:pt idx="2">
                  <c:v>8.9810089563670693E-4</c:v>
                </c:pt>
                <c:pt idx="3">
                  <c:v>6.9708981008956359</c:v>
                </c:pt>
                <c:pt idx="4">
                  <c:v>6.9708981008956359</c:v>
                </c:pt>
                <c:pt idx="5">
                  <c:v>6.9708981008956359</c:v>
                </c:pt>
                <c:pt idx="6">
                  <c:v>6.9708981008956359</c:v>
                </c:pt>
                <c:pt idx="7">
                  <c:v>6.9708981008956359</c:v>
                </c:pt>
                <c:pt idx="8">
                  <c:v>6.9708981008956359</c:v>
                </c:pt>
                <c:pt idx="9">
                  <c:v>6.9708981008956359</c:v>
                </c:pt>
                <c:pt idx="10">
                  <c:v>6.9708981008956359</c:v>
                </c:pt>
                <c:pt idx="11">
                  <c:v>6.9708981008956359</c:v>
                </c:pt>
                <c:pt idx="12">
                  <c:v>6.9708981008956359</c:v>
                </c:pt>
                <c:pt idx="13">
                  <c:v>6.9708981008956359</c:v>
                </c:pt>
                <c:pt idx="14">
                  <c:v>6.9708981008956359</c:v>
                </c:pt>
                <c:pt idx="15">
                  <c:v>6.9708981008956359</c:v>
                </c:pt>
                <c:pt idx="16">
                  <c:v>6.9708981008956359</c:v>
                </c:pt>
                <c:pt idx="17">
                  <c:v>6.9708981008956359</c:v>
                </c:pt>
                <c:pt idx="18">
                  <c:v>6.9708981008956359</c:v>
                </c:pt>
                <c:pt idx="19">
                  <c:v>6.9708981008956359</c:v>
                </c:pt>
                <c:pt idx="20">
                  <c:v>6.9708981008956359</c:v>
                </c:pt>
                <c:pt idx="21">
                  <c:v>6.9708981008956359</c:v>
                </c:pt>
                <c:pt idx="22">
                  <c:v>6.9708981008956359</c:v>
                </c:pt>
              </c:numCache>
            </c:numRef>
          </c:yVal>
          <c:smooth val="1"/>
          <c:extLst>
            <c:ext xmlns:c16="http://schemas.microsoft.com/office/drawing/2014/chart" uri="{C3380CC4-5D6E-409C-BE32-E72D297353CC}">
              <c16:uniqueId val="{00000001-501D-664E-B72D-3947D330A7C8}"/>
            </c:ext>
          </c:extLst>
        </c:ser>
        <c:dLbls>
          <c:showLegendKey val="0"/>
          <c:showVal val="0"/>
          <c:showCatName val="0"/>
          <c:showSerName val="0"/>
          <c:showPercent val="0"/>
          <c:showBubbleSize val="0"/>
        </c:dLbls>
        <c:axId val="1048913904"/>
        <c:axId val="1049162960"/>
      </c:scatterChart>
      <c:valAx>
        <c:axId val="1048913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49162960"/>
        <c:crosses val="autoZero"/>
        <c:crossBetween val="midCat"/>
      </c:valAx>
      <c:valAx>
        <c:axId val="104916296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quot;$&quot;* #,##0.00_-;_-&quot;$&quot;*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048913904"/>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Pay</a:t>
            </a:r>
            <a:r>
              <a:rPr lang="es-MX" baseline="0"/>
              <a:t> off de un bull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lineChart>
        <c:grouping val="standard"/>
        <c:varyColors val="0"/>
        <c:ser>
          <c:idx val="0"/>
          <c:order val="0"/>
          <c:tx>
            <c:strRef>
              <c:f>'Ejercico 6'!$L$9</c:f>
              <c:strCache>
                <c:ptCount val="1"/>
                <c:pt idx="0">
                  <c:v>call largo</c:v>
                </c:pt>
              </c:strCache>
            </c:strRef>
          </c:tx>
          <c:spPr>
            <a:ln w="28575" cap="rnd">
              <a:solidFill>
                <a:schemeClr val="accent1"/>
              </a:solidFill>
              <a:round/>
            </a:ln>
            <a:effectLst/>
          </c:spPr>
          <c:marker>
            <c:symbol val="none"/>
          </c:marker>
          <c:cat>
            <c:numRef>
              <c:f>'Ejercico 6'!$K$10:$K$30</c:f>
              <c:numCache>
                <c:formatCode>General</c:formatCode>
                <c:ptCount val="21"/>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numCache>
            </c:numRef>
          </c:cat>
          <c:val>
            <c:numRef>
              <c:f>'Ejercico 6'!$L$10:$L$30</c:f>
              <c:numCache>
                <c:formatCode>General</c:formatCode>
                <c:ptCount val="21"/>
                <c:pt idx="0">
                  <c:v>-1.7113979230192236</c:v>
                </c:pt>
                <c:pt idx="1">
                  <c:v>-1.7113979230192236</c:v>
                </c:pt>
                <c:pt idx="2">
                  <c:v>-1.7113979230192236</c:v>
                </c:pt>
                <c:pt idx="3">
                  <c:v>-1.7113979230192236</c:v>
                </c:pt>
                <c:pt idx="4">
                  <c:v>-1.7113979230192236</c:v>
                </c:pt>
                <c:pt idx="5">
                  <c:v>-1.7113979230192236</c:v>
                </c:pt>
                <c:pt idx="6">
                  <c:v>-1.7113979230192236</c:v>
                </c:pt>
                <c:pt idx="7">
                  <c:v>-1.7113979230192236</c:v>
                </c:pt>
                <c:pt idx="8">
                  <c:v>-1.7113979230192236</c:v>
                </c:pt>
                <c:pt idx="9">
                  <c:v>-1.7113979230192236</c:v>
                </c:pt>
                <c:pt idx="10">
                  <c:v>-0.71139792301922355</c:v>
                </c:pt>
                <c:pt idx="11">
                  <c:v>0.28860207698077645</c:v>
                </c:pt>
                <c:pt idx="12">
                  <c:v>1.2886020769807764</c:v>
                </c:pt>
                <c:pt idx="13">
                  <c:v>2.2886020769807764</c:v>
                </c:pt>
                <c:pt idx="14">
                  <c:v>3.2886020769807764</c:v>
                </c:pt>
                <c:pt idx="15">
                  <c:v>4.2886020769807764</c:v>
                </c:pt>
                <c:pt idx="16">
                  <c:v>5.2886020769807764</c:v>
                </c:pt>
                <c:pt idx="17">
                  <c:v>6.2886020769807764</c:v>
                </c:pt>
                <c:pt idx="18">
                  <c:v>7.2886020769807764</c:v>
                </c:pt>
                <c:pt idx="19">
                  <c:v>8.2886020769807764</c:v>
                </c:pt>
                <c:pt idx="20">
                  <c:v>9.2886020769807764</c:v>
                </c:pt>
              </c:numCache>
            </c:numRef>
          </c:val>
          <c:smooth val="0"/>
          <c:extLst>
            <c:ext xmlns:c16="http://schemas.microsoft.com/office/drawing/2014/chart" uri="{C3380CC4-5D6E-409C-BE32-E72D297353CC}">
              <c16:uniqueId val="{00000000-3778-3840-97E6-E2B178E7CED9}"/>
            </c:ext>
          </c:extLst>
        </c:ser>
        <c:ser>
          <c:idx val="1"/>
          <c:order val="1"/>
          <c:tx>
            <c:strRef>
              <c:f>'Ejercico 6'!$M$9</c:f>
              <c:strCache>
                <c:ptCount val="1"/>
                <c:pt idx="0">
                  <c:v>call corto</c:v>
                </c:pt>
              </c:strCache>
            </c:strRef>
          </c:tx>
          <c:spPr>
            <a:ln w="28575" cap="rnd">
              <a:solidFill>
                <a:schemeClr val="accent2"/>
              </a:solidFill>
              <a:round/>
            </a:ln>
            <a:effectLst/>
          </c:spPr>
          <c:marker>
            <c:symbol val="none"/>
          </c:marker>
          <c:cat>
            <c:numRef>
              <c:f>'Ejercico 6'!$K$10:$K$30</c:f>
              <c:numCache>
                <c:formatCode>General</c:formatCode>
                <c:ptCount val="21"/>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numCache>
            </c:numRef>
          </c:cat>
          <c:val>
            <c:numRef>
              <c:f>'Ejercico 6'!$M$10:$M$30</c:f>
              <c:numCache>
                <c:formatCode>General</c:formatCode>
                <c:ptCount val="21"/>
                <c:pt idx="0">
                  <c:v>0.79966482298452313</c:v>
                </c:pt>
                <c:pt idx="1">
                  <c:v>0.79966482298452313</c:v>
                </c:pt>
                <c:pt idx="2">
                  <c:v>0.79966482298452313</c:v>
                </c:pt>
                <c:pt idx="3">
                  <c:v>0.79966482298452313</c:v>
                </c:pt>
                <c:pt idx="4">
                  <c:v>0.79966482298452313</c:v>
                </c:pt>
                <c:pt idx="5">
                  <c:v>0.79966482298452313</c:v>
                </c:pt>
                <c:pt idx="6">
                  <c:v>0.79966482298452313</c:v>
                </c:pt>
                <c:pt idx="7">
                  <c:v>0.79966482298452313</c:v>
                </c:pt>
                <c:pt idx="8">
                  <c:v>0.79966482298452313</c:v>
                </c:pt>
                <c:pt idx="9">
                  <c:v>0.79966482298452313</c:v>
                </c:pt>
                <c:pt idx="10">
                  <c:v>0.79966482298452313</c:v>
                </c:pt>
                <c:pt idx="11">
                  <c:v>0.79966482298452313</c:v>
                </c:pt>
                <c:pt idx="12">
                  <c:v>-0.20033517701547687</c:v>
                </c:pt>
                <c:pt idx="13">
                  <c:v>-1.2003351770154769</c:v>
                </c:pt>
                <c:pt idx="14">
                  <c:v>-2.2003351770154769</c:v>
                </c:pt>
                <c:pt idx="15">
                  <c:v>-3.2003351770154769</c:v>
                </c:pt>
                <c:pt idx="16">
                  <c:v>-4.2003351770154769</c:v>
                </c:pt>
                <c:pt idx="17">
                  <c:v>-5.2003351770154769</c:v>
                </c:pt>
                <c:pt idx="18">
                  <c:v>-6.2003351770154769</c:v>
                </c:pt>
                <c:pt idx="19">
                  <c:v>-7.2003351770154769</c:v>
                </c:pt>
                <c:pt idx="20">
                  <c:v>-8.2003351770154769</c:v>
                </c:pt>
              </c:numCache>
            </c:numRef>
          </c:val>
          <c:smooth val="0"/>
          <c:extLst>
            <c:ext xmlns:c16="http://schemas.microsoft.com/office/drawing/2014/chart" uri="{C3380CC4-5D6E-409C-BE32-E72D297353CC}">
              <c16:uniqueId val="{00000001-3778-3840-97E6-E2B178E7CED9}"/>
            </c:ext>
          </c:extLst>
        </c:ser>
        <c:ser>
          <c:idx val="2"/>
          <c:order val="2"/>
          <c:tx>
            <c:strRef>
              <c:f>'Ejercico 6'!$N$9</c:f>
              <c:strCache>
                <c:ptCount val="1"/>
                <c:pt idx="0">
                  <c:v>Pay off Bull spread</c:v>
                </c:pt>
              </c:strCache>
            </c:strRef>
          </c:tx>
          <c:spPr>
            <a:ln w="28575" cap="rnd">
              <a:solidFill>
                <a:schemeClr val="accent3"/>
              </a:solidFill>
              <a:round/>
            </a:ln>
            <a:effectLst/>
          </c:spPr>
          <c:marker>
            <c:symbol val="none"/>
          </c:marker>
          <c:cat>
            <c:numRef>
              <c:f>'Ejercico 6'!$K$10:$K$30</c:f>
              <c:numCache>
                <c:formatCode>General</c:formatCode>
                <c:ptCount val="21"/>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pt idx="16">
                  <c:v>21</c:v>
                </c:pt>
                <c:pt idx="17">
                  <c:v>22</c:v>
                </c:pt>
                <c:pt idx="18">
                  <c:v>23</c:v>
                </c:pt>
                <c:pt idx="19">
                  <c:v>24</c:v>
                </c:pt>
                <c:pt idx="20">
                  <c:v>25</c:v>
                </c:pt>
              </c:numCache>
            </c:numRef>
          </c:cat>
          <c:val>
            <c:numRef>
              <c:f>'Ejercico 6'!$N$10:$N$30</c:f>
              <c:numCache>
                <c:formatCode>General</c:formatCode>
                <c:ptCount val="21"/>
                <c:pt idx="0">
                  <c:v>-0.91173310003470043</c:v>
                </c:pt>
                <c:pt idx="1">
                  <c:v>-0.91173310003470043</c:v>
                </c:pt>
                <c:pt idx="2">
                  <c:v>-0.91173310003470043</c:v>
                </c:pt>
                <c:pt idx="3">
                  <c:v>-0.91173310003470043</c:v>
                </c:pt>
                <c:pt idx="4">
                  <c:v>-0.91173310003470043</c:v>
                </c:pt>
                <c:pt idx="5">
                  <c:v>-0.91173310003470043</c:v>
                </c:pt>
                <c:pt idx="6">
                  <c:v>-0.91173310003470043</c:v>
                </c:pt>
                <c:pt idx="7">
                  <c:v>-0.91173310003470043</c:v>
                </c:pt>
                <c:pt idx="8">
                  <c:v>-0.91173310003470043</c:v>
                </c:pt>
                <c:pt idx="9">
                  <c:v>-0.91173310003470043</c:v>
                </c:pt>
                <c:pt idx="10">
                  <c:v>8.8266899965299572E-2</c:v>
                </c:pt>
                <c:pt idx="11">
                  <c:v>1.0882668999652996</c:v>
                </c:pt>
                <c:pt idx="12">
                  <c:v>1.0882668999652996</c:v>
                </c:pt>
                <c:pt idx="13">
                  <c:v>1.0882668999652996</c:v>
                </c:pt>
                <c:pt idx="14">
                  <c:v>1.0882668999652996</c:v>
                </c:pt>
                <c:pt idx="15">
                  <c:v>1.0882668999652996</c:v>
                </c:pt>
                <c:pt idx="16">
                  <c:v>1.0882668999652996</c:v>
                </c:pt>
                <c:pt idx="17">
                  <c:v>1.0882668999652996</c:v>
                </c:pt>
                <c:pt idx="18">
                  <c:v>1.0882668999652996</c:v>
                </c:pt>
                <c:pt idx="19">
                  <c:v>1.0882668999652996</c:v>
                </c:pt>
                <c:pt idx="20">
                  <c:v>1.0882668999652996</c:v>
                </c:pt>
              </c:numCache>
            </c:numRef>
          </c:val>
          <c:smooth val="0"/>
          <c:extLst>
            <c:ext xmlns:c16="http://schemas.microsoft.com/office/drawing/2014/chart" uri="{C3380CC4-5D6E-409C-BE32-E72D297353CC}">
              <c16:uniqueId val="{00000002-3778-3840-97E6-E2B178E7CED9}"/>
            </c:ext>
          </c:extLst>
        </c:ser>
        <c:dLbls>
          <c:showLegendKey val="0"/>
          <c:showVal val="0"/>
          <c:showCatName val="0"/>
          <c:showSerName val="0"/>
          <c:showPercent val="0"/>
          <c:showBubbleSize val="0"/>
        </c:dLbls>
        <c:smooth val="0"/>
        <c:axId val="1247886608"/>
        <c:axId val="1231342240"/>
      </c:lineChart>
      <c:catAx>
        <c:axId val="1247886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31342240"/>
        <c:crosses val="autoZero"/>
        <c:auto val="1"/>
        <c:lblAlgn val="ctr"/>
        <c:lblOffset val="100"/>
        <c:noMultiLvlLbl val="0"/>
      </c:catAx>
      <c:valAx>
        <c:axId val="1231342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2478866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r>
              <a:rPr lang="en-US"/>
              <a:t>Pagos de notas estructuradas según retorno del IPC</a:t>
            </a:r>
          </a:p>
        </c:rich>
      </c:tx>
      <c:overlay val="0"/>
      <c:spPr>
        <a:noFill/>
        <a:ln>
          <a:noFill/>
        </a:ln>
        <a:effectLst/>
      </c:spPr>
      <c:txPr>
        <a:bodyPr rot="0" spcFirstLastPara="1" vertOverflow="ellipsis" vert="horz" wrap="square" anchor="ctr" anchorCtr="1"/>
        <a:lstStyle/>
        <a:p>
          <a:pPr/>
          <a:endParaRPr lang="en-US"/>
        </a:p>
      </c:txPr>
    </c:title>
    <c:autoTitleDeleted val="0"/>
    <c:plotArea>
      <c:layout/>
      <c:lineChart>
        <c:grouping val="standard"/>
        <c:varyColors val="1"/>
        <c:ser>
          <c:idx val="0"/>
          <c:order val="0"/>
          <c:tx>
            <c:v>Nota i: call parcial</c:v>
          </c:tx>
          <c:spPr>
            <a:ln w="38100" cap="flat" cmpd="dbl" algn="ctr">
              <a:solidFill>
                <a:schemeClr val="accent1"/>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'Ejercicio 13'!$A$25:$A$33</c:f>
              <c:numCache>
                <c:formatCode>0%</c:formatCode>
                <c:ptCount val="9"/>
                <c:pt idx="0">
                  <c:v>-0.4</c:v>
                </c:pt>
                <c:pt idx="1">
                  <c:v>-0.3</c:v>
                </c:pt>
                <c:pt idx="2">
                  <c:v>-0.2</c:v>
                </c:pt>
                <c:pt idx="3">
                  <c:v>-0.1</c:v>
                </c:pt>
                <c:pt idx="4">
                  <c:v>0</c:v>
                </c:pt>
                <c:pt idx="5">
                  <c:v>0.1</c:v>
                </c:pt>
                <c:pt idx="6">
                  <c:v>0.2</c:v>
                </c:pt>
                <c:pt idx="7">
                  <c:v>0.3</c:v>
                </c:pt>
                <c:pt idx="8">
                  <c:v>0.4</c:v>
                </c:pt>
              </c:numCache>
            </c:numRef>
          </c:cat>
          <c:val>
            <c:numRef>
              <c:f>'Ejercicio 13'!$B$25:$B$33</c:f>
              <c:numCache>
                <c:formatCode>\$#,##0.00;[Red]\(\$#,##0.00\);\-</c:formatCode>
                <c:ptCount val="9"/>
                <c:pt idx="0">
                  <c:v>100</c:v>
                </c:pt>
                <c:pt idx="1">
                  <c:v>100</c:v>
                </c:pt>
                <c:pt idx="2">
                  <c:v>100</c:v>
                </c:pt>
                <c:pt idx="3">
                  <c:v>100</c:v>
                </c:pt>
                <c:pt idx="4">
                  <c:v>100</c:v>
                </c:pt>
                <c:pt idx="5">
                  <c:v>106.9646011787471</c:v>
                </c:pt>
                <c:pt idx="6">
                  <c:v>113.92920235749422</c:v>
                </c:pt>
                <c:pt idx="7">
                  <c:v>120.89380353624134</c:v>
                </c:pt>
                <c:pt idx="8">
                  <c:v>127.85840471498844</c:v>
                </c:pt>
              </c:numCache>
            </c:numRef>
          </c:val>
          <c:smooth val="0"/>
          <c:extLst>
            <c:ext xmlns:c16="http://schemas.microsoft.com/office/drawing/2014/chart" uri="{C3380CC4-5D6E-409C-BE32-E72D297353CC}">
              <c16:uniqueId val="{00000000-410A-4D24-914A-3004C7F035B6}"/>
            </c:ext>
          </c:extLst>
        </c:ser>
        <c:ser>
          <c:idx val="1"/>
          <c:order val="1"/>
          <c:tx>
            <c:v>Nota ii: put parcial</c:v>
          </c:tx>
          <c:spPr>
            <a:ln w="38100" cap="flat" cmpd="dbl" algn="ctr">
              <a:solidFill>
                <a:schemeClr val="accent2"/>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'Ejercicio 13'!$A$25:$A$33</c:f>
              <c:numCache>
                <c:formatCode>0%</c:formatCode>
                <c:ptCount val="9"/>
                <c:pt idx="0">
                  <c:v>-0.4</c:v>
                </c:pt>
                <c:pt idx="1">
                  <c:v>-0.3</c:v>
                </c:pt>
                <c:pt idx="2">
                  <c:v>-0.2</c:v>
                </c:pt>
                <c:pt idx="3">
                  <c:v>-0.1</c:v>
                </c:pt>
                <c:pt idx="4">
                  <c:v>0</c:v>
                </c:pt>
                <c:pt idx="5">
                  <c:v>0.1</c:v>
                </c:pt>
                <c:pt idx="6">
                  <c:v>0.2</c:v>
                </c:pt>
                <c:pt idx="7">
                  <c:v>0.3</c:v>
                </c:pt>
                <c:pt idx="8">
                  <c:v>0.4</c:v>
                </c:pt>
              </c:numCache>
            </c:numRef>
          </c:cat>
          <c:val>
            <c:numRef>
              <c:f>'Ejercicio 13'!$C$25:$C$33</c:f>
              <c:numCache>
                <c:formatCode>\$#,##0.00;[Red]\(\$#,##0.00\);\-</c:formatCode>
                <c:ptCount val="9"/>
                <c:pt idx="0">
                  <c:v>130.95378301665383</c:v>
                </c:pt>
                <c:pt idx="1">
                  <c:v>123.21533726249037</c:v>
                </c:pt>
                <c:pt idx="2">
                  <c:v>115.47689150832691</c:v>
                </c:pt>
                <c:pt idx="3">
                  <c:v>107.73844575416345</c:v>
                </c:pt>
                <c:pt idx="4">
                  <c:v>100</c:v>
                </c:pt>
                <c:pt idx="5">
                  <c:v>100</c:v>
                </c:pt>
                <c:pt idx="6">
                  <c:v>100</c:v>
                </c:pt>
                <c:pt idx="7">
                  <c:v>100</c:v>
                </c:pt>
                <c:pt idx="8">
                  <c:v>100</c:v>
                </c:pt>
              </c:numCache>
            </c:numRef>
          </c:val>
          <c:smooth val="0"/>
          <c:extLst>
            <c:ext xmlns:c16="http://schemas.microsoft.com/office/drawing/2014/chart" uri="{C3380CC4-5D6E-409C-BE32-E72D297353CC}">
              <c16:uniqueId val="{00000001-410A-4D24-914A-3004C7F035B6}"/>
            </c:ext>
          </c:extLst>
        </c:ser>
        <c:ser>
          <c:idx val="2"/>
          <c:order val="2"/>
          <c:tx>
            <c:v>Nota iii: call potenciado - short put</c:v>
          </c:tx>
          <c:spPr>
            <a:ln w="38100" cap="flat" cmpd="dbl" algn="ctr">
              <a:solidFill>
                <a:schemeClr val="accent3"/>
              </a:solidFill>
              <a:miter lim="800000"/>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numRef>
              <c:f>'Ejercicio 13'!$A$25:$A$33</c:f>
              <c:numCache>
                <c:formatCode>0%</c:formatCode>
                <c:ptCount val="9"/>
                <c:pt idx="0">
                  <c:v>-0.4</c:v>
                </c:pt>
                <c:pt idx="1">
                  <c:v>-0.3</c:v>
                </c:pt>
                <c:pt idx="2">
                  <c:v>-0.2</c:v>
                </c:pt>
                <c:pt idx="3">
                  <c:v>-0.1</c:v>
                </c:pt>
                <c:pt idx="4">
                  <c:v>0</c:v>
                </c:pt>
                <c:pt idx="5">
                  <c:v>0.1</c:v>
                </c:pt>
                <c:pt idx="6">
                  <c:v>0.2</c:v>
                </c:pt>
                <c:pt idx="7">
                  <c:v>0.3</c:v>
                </c:pt>
                <c:pt idx="8">
                  <c:v>0.4</c:v>
                </c:pt>
              </c:numCache>
            </c:numRef>
          </c:cat>
          <c:val>
            <c:numRef>
              <c:f>'Ejercicio 13'!$D$25:$D$33</c:f>
              <c:numCache>
                <c:formatCode>\$#,##0.00;[Red]\(\$#,##0.00\);\-</c:formatCode>
                <c:ptCount val="9"/>
                <c:pt idx="0">
                  <c:v>90</c:v>
                </c:pt>
                <c:pt idx="1">
                  <c:v>92.5</c:v>
                </c:pt>
                <c:pt idx="2">
                  <c:v>95</c:v>
                </c:pt>
                <c:pt idx="3">
                  <c:v>97.5</c:v>
                </c:pt>
                <c:pt idx="4">
                  <c:v>100</c:v>
                </c:pt>
                <c:pt idx="5">
                  <c:v>109.2146011787471</c:v>
                </c:pt>
                <c:pt idx="6">
                  <c:v>118.4292023574942</c:v>
                </c:pt>
                <c:pt idx="7">
                  <c:v>127.64380353624132</c:v>
                </c:pt>
                <c:pt idx="8">
                  <c:v>136.85840471498841</c:v>
                </c:pt>
              </c:numCache>
            </c:numRef>
          </c:val>
          <c:smooth val="0"/>
          <c:extLst>
            <c:ext xmlns:c16="http://schemas.microsoft.com/office/drawing/2014/chart" uri="{C3380CC4-5D6E-409C-BE32-E72D297353CC}">
              <c16:uniqueId val="{00000002-410A-4D24-914A-3004C7F035B6}"/>
            </c:ext>
          </c:extLst>
        </c:ser>
        <c:dLbls>
          <c:dLblPos val="ctr"/>
          <c:showLegendKey val="0"/>
          <c:showVal val="1"/>
          <c:showCatName val="0"/>
          <c:showSerName val="0"/>
          <c:showPercent val="0"/>
          <c:showBubbleSize val="0"/>
        </c:dLbls>
        <c:smooth val="0"/>
        <c:axId val="48650112"/>
        <c:axId val="48672768"/>
      </c:lineChart>
      <c:catAx>
        <c:axId val="48650112"/>
        <c:scaling>
          <c:orientation val="minMax"/>
        </c:scaling>
        <c:delete val="0"/>
        <c:axPos val="b"/>
        <c:majorGridlines>
          <c:spPr>
            <a:ln w="9525" cap="flat" cmpd="sng" algn="ctr">
              <a:solidFill>
                <a:schemeClr val="tx1">
                  <a:lumMod val="15000"/>
                  <a:lumOff val="85000"/>
                  <a:alpha val="32000"/>
                </a:schemeClr>
              </a:solidFill>
              <a:round/>
            </a:ln>
            <a:effectLst/>
          </c:spPr>
        </c:majorGridlines>
        <c:numFmt formatCode="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72768"/>
        <c:crosses val="autoZero"/>
        <c:auto val="1"/>
        <c:lblAlgn val="ctr"/>
        <c:lblOffset val="100"/>
        <c:noMultiLvlLbl val="0"/>
      </c:catAx>
      <c:valAx>
        <c:axId val="48672768"/>
        <c:scaling>
          <c:orientation val="minMax"/>
          <c:min val="80"/>
        </c:scaling>
        <c:delete val="0"/>
        <c:axPos val="l"/>
        <c:majorGridlines>
          <c:spPr>
            <a:ln w="9525" cap="flat" cmpd="sng" algn="ctr">
              <a:solidFill>
                <a:schemeClr val="tx1">
                  <a:lumMod val="15000"/>
                  <a:lumOff val="85000"/>
                  <a:alpha val="32000"/>
                </a:schemeClr>
              </a:solidFill>
              <a:round/>
            </a:ln>
            <a:effectLst/>
          </c:spPr>
        </c:majorGridlines>
        <c:numFmt formatCode="\$#,##0.00;[Red]\(\$#,##0.00\);\-" sourceLinked="1"/>
        <c:majorTickMark val="none"/>
        <c:minorTickMark val="none"/>
        <c:tickLblPos val="nextTo"/>
        <c:spPr>
          <a:noFill/>
          <a:ln w="3175" cap="flat" cmpd="sng" algn="ctr">
            <a:solidFill>
              <a:schemeClr val="tx1">
                <a:lumMod val="15000"/>
                <a:lumOff val="85000"/>
              </a:schemeClr>
            </a:solidFill>
            <a:round/>
            <a:tailEnd type="none" w="med" len="lg"/>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65011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1"/>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Straddle Ej. 14</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'Ejercicio 14 '!$C$7</c:f>
              <c:strCache>
                <c:ptCount val="1"/>
                <c:pt idx="0">
                  <c:v>LC</c:v>
                </c:pt>
              </c:strCache>
            </c:strRef>
          </c:tx>
          <c:spPr>
            <a:ln w="28575" cap="flat" cmpd="sng" algn="ctr">
              <a:solidFill>
                <a:srgbClr val="F7C7AC"/>
              </a:solidFill>
              <a:prstDash val="sysDash"/>
              <a:round/>
              <a:headEnd type="none" w="med" len="med"/>
              <a:tailEnd type="none" w="med" len="med"/>
            </a:ln>
            <a:effectLst/>
          </c:spPr>
          <c:marker>
            <c:symbol val="none"/>
          </c:marker>
          <c:cat>
            <c:numRef>
              <c:f>'Ejercicio 14 '!$B$8:$B$148</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'Ejercicio 14 '!$C$8:$C$148</c:f>
              <c:numCache>
                <c:formatCode>General</c:formatCode>
                <c:ptCount val="141"/>
                <c:pt idx="0">
                  <c:v>-3</c:v>
                </c:pt>
                <c:pt idx="1">
                  <c:v>-3</c:v>
                </c:pt>
                <c:pt idx="2">
                  <c:v>-3</c:v>
                </c:pt>
                <c:pt idx="3">
                  <c:v>-3</c:v>
                </c:pt>
                <c:pt idx="4">
                  <c:v>-3</c:v>
                </c:pt>
                <c:pt idx="5">
                  <c:v>-3</c:v>
                </c:pt>
                <c:pt idx="6">
                  <c:v>-3</c:v>
                </c:pt>
                <c:pt idx="7">
                  <c:v>-3</c:v>
                </c:pt>
                <c:pt idx="8">
                  <c:v>-3</c:v>
                </c:pt>
                <c:pt idx="9">
                  <c:v>-3</c:v>
                </c:pt>
                <c:pt idx="10">
                  <c:v>-3</c:v>
                </c:pt>
                <c:pt idx="11">
                  <c:v>-3</c:v>
                </c:pt>
                <c:pt idx="12">
                  <c:v>-3</c:v>
                </c:pt>
                <c:pt idx="13">
                  <c:v>-3</c:v>
                </c:pt>
                <c:pt idx="14">
                  <c:v>-3</c:v>
                </c:pt>
                <c:pt idx="15">
                  <c:v>-3</c:v>
                </c:pt>
                <c:pt idx="16">
                  <c:v>-3</c:v>
                </c:pt>
                <c:pt idx="17">
                  <c:v>-3</c:v>
                </c:pt>
                <c:pt idx="18">
                  <c:v>-3</c:v>
                </c:pt>
                <c:pt idx="19">
                  <c:v>-3</c:v>
                </c:pt>
                <c:pt idx="20">
                  <c:v>-3</c:v>
                </c:pt>
                <c:pt idx="21">
                  <c:v>-3</c:v>
                </c:pt>
                <c:pt idx="22">
                  <c:v>-3</c:v>
                </c:pt>
                <c:pt idx="23">
                  <c:v>-3</c:v>
                </c:pt>
                <c:pt idx="24">
                  <c:v>-3</c:v>
                </c:pt>
                <c:pt idx="25">
                  <c:v>-3</c:v>
                </c:pt>
                <c:pt idx="26">
                  <c:v>-3</c:v>
                </c:pt>
                <c:pt idx="27">
                  <c:v>-3</c:v>
                </c:pt>
                <c:pt idx="28">
                  <c:v>-3</c:v>
                </c:pt>
                <c:pt idx="29">
                  <c:v>-3</c:v>
                </c:pt>
                <c:pt idx="30">
                  <c:v>-3</c:v>
                </c:pt>
                <c:pt idx="31">
                  <c:v>-3</c:v>
                </c:pt>
                <c:pt idx="32">
                  <c:v>-3</c:v>
                </c:pt>
                <c:pt idx="33">
                  <c:v>-3</c:v>
                </c:pt>
                <c:pt idx="34">
                  <c:v>-3</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-3</c:v>
                </c:pt>
                <c:pt idx="60">
                  <c:v>-3</c:v>
                </c:pt>
                <c:pt idx="61">
                  <c:v>-3</c:v>
                </c:pt>
                <c:pt idx="62">
                  <c:v>-3</c:v>
                </c:pt>
                <c:pt idx="63">
                  <c:v>-3</c:v>
                </c:pt>
                <c:pt idx="64">
                  <c:v>-3</c:v>
                </c:pt>
                <c:pt idx="65">
                  <c:v>-3</c:v>
                </c:pt>
                <c:pt idx="66">
                  <c:v>-3</c:v>
                </c:pt>
                <c:pt idx="67">
                  <c:v>-3</c:v>
                </c:pt>
                <c:pt idx="68">
                  <c:v>-3</c:v>
                </c:pt>
                <c:pt idx="69">
                  <c:v>-3</c:v>
                </c:pt>
                <c:pt idx="70">
                  <c:v>-3</c:v>
                </c:pt>
                <c:pt idx="71">
                  <c:v>-2</c:v>
                </c:pt>
                <c:pt idx="72">
                  <c:v>-1</c:v>
                </c:pt>
                <c:pt idx="73">
                  <c:v>0</c:v>
                </c:pt>
                <c:pt idx="74">
                  <c:v>1</c:v>
                </c:pt>
                <c:pt idx="75">
                  <c:v>2</c:v>
                </c:pt>
                <c:pt idx="76">
                  <c:v>3</c:v>
                </c:pt>
                <c:pt idx="77">
                  <c:v>4</c:v>
                </c:pt>
                <c:pt idx="78">
                  <c:v>5</c:v>
                </c:pt>
                <c:pt idx="79">
                  <c:v>6</c:v>
                </c:pt>
                <c:pt idx="80">
                  <c:v>7</c:v>
                </c:pt>
                <c:pt idx="81">
                  <c:v>8</c:v>
                </c:pt>
                <c:pt idx="82">
                  <c:v>9</c:v>
                </c:pt>
                <c:pt idx="83">
                  <c:v>10</c:v>
                </c:pt>
                <c:pt idx="84">
                  <c:v>11</c:v>
                </c:pt>
                <c:pt idx="85">
                  <c:v>12</c:v>
                </c:pt>
                <c:pt idx="86">
                  <c:v>13</c:v>
                </c:pt>
                <c:pt idx="87">
                  <c:v>14</c:v>
                </c:pt>
                <c:pt idx="88">
                  <c:v>15</c:v>
                </c:pt>
                <c:pt idx="89">
                  <c:v>16</c:v>
                </c:pt>
                <c:pt idx="90">
                  <c:v>17</c:v>
                </c:pt>
                <c:pt idx="91">
                  <c:v>18</c:v>
                </c:pt>
                <c:pt idx="92">
                  <c:v>19</c:v>
                </c:pt>
                <c:pt idx="93">
                  <c:v>20</c:v>
                </c:pt>
                <c:pt idx="94">
                  <c:v>21</c:v>
                </c:pt>
                <c:pt idx="95">
                  <c:v>22</c:v>
                </c:pt>
                <c:pt idx="96">
                  <c:v>23</c:v>
                </c:pt>
                <c:pt idx="97">
                  <c:v>24</c:v>
                </c:pt>
                <c:pt idx="98">
                  <c:v>25</c:v>
                </c:pt>
                <c:pt idx="99">
                  <c:v>26</c:v>
                </c:pt>
                <c:pt idx="100">
                  <c:v>27</c:v>
                </c:pt>
                <c:pt idx="101">
                  <c:v>28</c:v>
                </c:pt>
                <c:pt idx="102">
                  <c:v>29</c:v>
                </c:pt>
                <c:pt idx="103">
                  <c:v>30</c:v>
                </c:pt>
                <c:pt idx="104">
                  <c:v>31</c:v>
                </c:pt>
                <c:pt idx="105">
                  <c:v>32</c:v>
                </c:pt>
                <c:pt idx="106">
                  <c:v>33</c:v>
                </c:pt>
                <c:pt idx="107">
                  <c:v>34</c:v>
                </c:pt>
                <c:pt idx="108">
                  <c:v>35</c:v>
                </c:pt>
                <c:pt idx="109">
                  <c:v>36</c:v>
                </c:pt>
                <c:pt idx="110">
                  <c:v>37</c:v>
                </c:pt>
                <c:pt idx="111">
                  <c:v>38</c:v>
                </c:pt>
                <c:pt idx="112">
                  <c:v>39</c:v>
                </c:pt>
                <c:pt idx="113">
                  <c:v>40</c:v>
                </c:pt>
                <c:pt idx="114">
                  <c:v>41</c:v>
                </c:pt>
                <c:pt idx="115">
                  <c:v>42</c:v>
                </c:pt>
                <c:pt idx="116">
                  <c:v>43</c:v>
                </c:pt>
                <c:pt idx="117">
                  <c:v>44</c:v>
                </c:pt>
                <c:pt idx="118">
                  <c:v>45</c:v>
                </c:pt>
                <c:pt idx="119">
                  <c:v>46</c:v>
                </c:pt>
                <c:pt idx="120">
                  <c:v>47</c:v>
                </c:pt>
                <c:pt idx="121">
                  <c:v>48</c:v>
                </c:pt>
                <c:pt idx="122">
                  <c:v>49</c:v>
                </c:pt>
                <c:pt idx="123">
                  <c:v>50</c:v>
                </c:pt>
                <c:pt idx="124">
                  <c:v>51</c:v>
                </c:pt>
                <c:pt idx="125">
                  <c:v>52</c:v>
                </c:pt>
                <c:pt idx="126">
                  <c:v>53</c:v>
                </c:pt>
                <c:pt idx="127">
                  <c:v>54</c:v>
                </c:pt>
                <c:pt idx="128">
                  <c:v>55</c:v>
                </c:pt>
                <c:pt idx="129">
                  <c:v>56</c:v>
                </c:pt>
                <c:pt idx="130">
                  <c:v>57</c:v>
                </c:pt>
                <c:pt idx="131">
                  <c:v>58</c:v>
                </c:pt>
                <c:pt idx="132">
                  <c:v>59</c:v>
                </c:pt>
                <c:pt idx="133">
                  <c:v>60</c:v>
                </c:pt>
                <c:pt idx="134">
                  <c:v>61</c:v>
                </c:pt>
                <c:pt idx="135">
                  <c:v>62</c:v>
                </c:pt>
                <c:pt idx="136">
                  <c:v>63</c:v>
                </c:pt>
                <c:pt idx="137">
                  <c:v>64</c:v>
                </c:pt>
                <c:pt idx="138">
                  <c:v>65</c:v>
                </c:pt>
                <c:pt idx="139">
                  <c:v>66</c:v>
                </c:pt>
                <c:pt idx="140">
                  <c:v>67</c:v>
                </c:pt>
              </c:numCache>
            </c:numRef>
          </c:val>
          <c:smooth val="0"/>
          <c:extLst>
            <c:ext xmlns:c16="http://schemas.microsoft.com/office/drawing/2014/chart" uri="{C3380CC4-5D6E-409C-BE32-E72D297353CC}">
              <c16:uniqueId val="{00000003-9E03-4AC2-A6DB-2AF9D9FDCC8D}"/>
            </c:ext>
          </c:extLst>
        </c:ser>
        <c:ser>
          <c:idx val="1"/>
          <c:order val="1"/>
          <c:tx>
            <c:strRef>
              <c:f>'Ejercicio 14 '!$D$7</c:f>
              <c:strCache>
                <c:ptCount val="1"/>
                <c:pt idx="0">
                  <c:v>LP</c:v>
                </c:pt>
              </c:strCache>
            </c:strRef>
          </c:tx>
          <c:spPr>
            <a:ln w="28575" cap="flat" cmpd="sng" algn="ctr">
              <a:solidFill>
                <a:srgbClr val="F7C7AC"/>
              </a:solidFill>
              <a:prstDash val="sysDot"/>
              <a:round/>
              <a:headEnd type="none" w="med" len="med"/>
              <a:tailEnd type="none" w="med" len="med"/>
            </a:ln>
            <a:effectLst/>
          </c:spPr>
          <c:marker>
            <c:symbol val="none"/>
          </c:marker>
          <c:cat>
            <c:numRef>
              <c:f>'Ejercicio 14 '!$B$8:$B$148</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'Ejercicio 14 '!$D$8:$D$148</c:f>
              <c:numCache>
                <c:formatCode>General</c:formatCode>
                <c:ptCount val="141"/>
                <c:pt idx="0">
                  <c:v>66</c:v>
                </c:pt>
                <c:pt idx="1">
                  <c:v>65</c:v>
                </c:pt>
                <c:pt idx="2">
                  <c:v>64</c:v>
                </c:pt>
                <c:pt idx="3">
                  <c:v>63</c:v>
                </c:pt>
                <c:pt idx="4">
                  <c:v>62</c:v>
                </c:pt>
                <c:pt idx="5">
                  <c:v>61</c:v>
                </c:pt>
                <c:pt idx="6">
                  <c:v>60</c:v>
                </c:pt>
                <c:pt idx="7">
                  <c:v>59</c:v>
                </c:pt>
                <c:pt idx="8">
                  <c:v>58</c:v>
                </c:pt>
                <c:pt idx="9">
                  <c:v>57</c:v>
                </c:pt>
                <c:pt idx="10">
                  <c:v>56</c:v>
                </c:pt>
                <c:pt idx="11">
                  <c:v>55</c:v>
                </c:pt>
                <c:pt idx="12">
                  <c:v>54</c:v>
                </c:pt>
                <c:pt idx="13">
                  <c:v>53</c:v>
                </c:pt>
                <c:pt idx="14">
                  <c:v>52</c:v>
                </c:pt>
                <c:pt idx="15">
                  <c:v>51</c:v>
                </c:pt>
                <c:pt idx="16">
                  <c:v>50</c:v>
                </c:pt>
                <c:pt idx="17">
                  <c:v>49</c:v>
                </c:pt>
                <c:pt idx="18">
                  <c:v>48</c:v>
                </c:pt>
                <c:pt idx="19">
                  <c:v>47</c:v>
                </c:pt>
                <c:pt idx="20">
                  <c:v>46</c:v>
                </c:pt>
                <c:pt idx="21">
                  <c:v>45</c:v>
                </c:pt>
                <c:pt idx="22">
                  <c:v>44</c:v>
                </c:pt>
                <c:pt idx="23">
                  <c:v>43</c:v>
                </c:pt>
                <c:pt idx="24">
                  <c:v>42</c:v>
                </c:pt>
                <c:pt idx="25">
                  <c:v>41</c:v>
                </c:pt>
                <c:pt idx="26">
                  <c:v>40</c:v>
                </c:pt>
                <c:pt idx="27">
                  <c:v>39</c:v>
                </c:pt>
                <c:pt idx="28">
                  <c:v>38</c:v>
                </c:pt>
                <c:pt idx="29">
                  <c:v>37</c:v>
                </c:pt>
                <c:pt idx="30">
                  <c:v>36</c:v>
                </c:pt>
                <c:pt idx="31">
                  <c:v>35</c:v>
                </c:pt>
                <c:pt idx="32">
                  <c:v>34</c:v>
                </c:pt>
                <c:pt idx="33">
                  <c:v>33</c:v>
                </c:pt>
                <c:pt idx="34">
                  <c:v>32</c:v>
                </c:pt>
                <c:pt idx="35">
                  <c:v>31</c:v>
                </c:pt>
                <c:pt idx="36">
                  <c:v>30</c:v>
                </c:pt>
                <c:pt idx="37">
                  <c:v>29</c:v>
                </c:pt>
                <c:pt idx="38">
                  <c:v>28</c:v>
                </c:pt>
                <c:pt idx="39">
                  <c:v>27</c:v>
                </c:pt>
                <c:pt idx="40">
                  <c:v>26</c:v>
                </c:pt>
                <c:pt idx="41">
                  <c:v>25</c:v>
                </c:pt>
                <c:pt idx="42">
                  <c:v>24</c:v>
                </c:pt>
                <c:pt idx="43">
                  <c:v>23</c:v>
                </c:pt>
                <c:pt idx="44">
                  <c:v>22</c:v>
                </c:pt>
                <c:pt idx="45">
                  <c:v>21</c:v>
                </c:pt>
                <c:pt idx="46">
                  <c:v>20</c:v>
                </c:pt>
                <c:pt idx="47">
                  <c:v>19</c:v>
                </c:pt>
                <c:pt idx="48">
                  <c:v>18</c:v>
                </c:pt>
                <c:pt idx="49">
                  <c:v>17</c:v>
                </c:pt>
                <c:pt idx="50">
                  <c:v>16</c:v>
                </c:pt>
                <c:pt idx="51">
                  <c:v>15</c:v>
                </c:pt>
                <c:pt idx="52">
                  <c:v>14</c:v>
                </c:pt>
                <c:pt idx="53">
                  <c:v>13</c:v>
                </c:pt>
                <c:pt idx="54">
                  <c:v>12</c:v>
                </c:pt>
                <c:pt idx="55">
                  <c:v>11</c:v>
                </c:pt>
                <c:pt idx="56">
                  <c:v>10</c:v>
                </c:pt>
                <c:pt idx="57">
                  <c:v>9</c:v>
                </c:pt>
                <c:pt idx="58">
                  <c:v>8</c:v>
                </c:pt>
                <c:pt idx="59">
                  <c:v>7</c:v>
                </c:pt>
                <c:pt idx="60">
                  <c:v>6</c:v>
                </c:pt>
                <c:pt idx="61">
                  <c:v>5</c:v>
                </c:pt>
                <c:pt idx="62">
                  <c:v>4</c:v>
                </c:pt>
                <c:pt idx="63">
                  <c:v>3</c:v>
                </c:pt>
                <c:pt idx="64">
                  <c:v>2</c:v>
                </c:pt>
                <c:pt idx="65">
                  <c:v>1</c:v>
                </c:pt>
                <c:pt idx="66">
                  <c:v>0</c:v>
                </c:pt>
                <c:pt idx="67">
                  <c:v>-1</c:v>
                </c:pt>
                <c:pt idx="68">
                  <c:v>-2</c:v>
                </c:pt>
                <c:pt idx="69">
                  <c:v>-3</c:v>
                </c:pt>
                <c:pt idx="70">
                  <c:v>-4</c:v>
                </c:pt>
                <c:pt idx="71">
                  <c:v>-4</c:v>
                </c:pt>
                <c:pt idx="72">
                  <c:v>-4</c:v>
                </c:pt>
                <c:pt idx="73">
                  <c:v>-4</c:v>
                </c:pt>
                <c:pt idx="74">
                  <c:v>-4</c:v>
                </c:pt>
                <c:pt idx="75">
                  <c:v>-4</c:v>
                </c:pt>
                <c:pt idx="76">
                  <c:v>-4</c:v>
                </c:pt>
                <c:pt idx="77">
                  <c:v>-4</c:v>
                </c:pt>
                <c:pt idx="78">
                  <c:v>-4</c:v>
                </c:pt>
                <c:pt idx="79">
                  <c:v>-4</c:v>
                </c:pt>
                <c:pt idx="80">
                  <c:v>-4</c:v>
                </c:pt>
                <c:pt idx="81">
                  <c:v>-4</c:v>
                </c:pt>
                <c:pt idx="82">
                  <c:v>-4</c:v>
                </c:pt>
                <c:pt idx="83">
                  <c:v>-4</c:v>
                </c:pt>
                <c:pt idx="84">
                  <c:v>-4</c:v>
                </c:pt>
                <c:pt idx="85">
                  <c:v>-4</c:v>
                </c:pt>
                <c:pt idx="86">
                  <c:v>-4</c:v>
                </c:pt>
                <c:pt idx="87">
                  <c:v>-4</c:v>
                </c:pt>
                <c:pt idx="88">
                  <c:v>-4</c:v>
                </c:pt>
                <c:pt idx="89">
                  <c:v>-4</c:v>
                </c:pt>
                <c:pt idx="90">
                  <c:v>-4</c:v>
                </c:pt>
                <c:pt idx="91">
                  <c:v>-4</c:v>
                </c:pt>
                <c:pt idx="92">
                  <c:v>-4</c:v>
                </c:pt>
                <c:pt idx="93">
                  <c:v>-4</c:v>
                </c:pt>
                <c:pt idx="94">
                  <c:v>-4</c:v>
                </c:pt>
                <c:pt idx="95">
                  <c:v>-4</c:v>
                </c:pt>
                <c:pt idx="96">
                  <c:v>-4</c:v>
                </c:pt>
                <c:pt idx="97">
                  <c:v>-4</c:v>
                </c:pt>
                <c:pt idx="98">
                  <c:v>-4</c:v>
                </c:pt>
                <c:pt idx="99">
                  <c:v>-4</c:v>
                </c:pt>
                <c:pt idx="100">
                  <c:v>-4</c:v>
                </c:pt>
                <c:pt idx="101">
                  <c:v>-4</c:v>
                </c:pt>
                <c:pt idx="102">
                  <c:v>-4</c:v>
                </c:pt>
                <c:pt idx="103">
                  <c:v>-4</c:v>
                </c:pt>
                <c:pt idx="104">
                  <c:v>-4</c:v>
                </c:pt>
                <c:pt idx="105">
                  <c:v>-4</c:v>
                </c:pt>
                <c:pt idx="106">
                  <c:v>-4</c:v>
                </c:pt>
                <c:pt idx="107">
                  <c:v>-4</c:v>
                </c:pt>
                <c:pt idx="108">
                  <c:v>-4</c:v>
                </c:pt>
                <c:pt idx="109">
                  <c:v>-4</c:v>
                </c:pt>
                <c:pt idx="110">
                  <c:v>-4</c:v>
                </c:pt>
                <c:pt idx="111">
                  <c:v>-4</c:v>
                </c:pt>
                <c:pt idx="112">
                  <c:v>-4</c:v>
                </c:pt>
                <c:pt idx="113">
                  <c:v>-4</c:v>
                </c:pt>
                <c:pt idx="114">
                  <c:v>-4</c:v>
                </c:pt>
                <c:pt idx="115">
                  <c:v>-4</c:v>
                </c:pt>
                <c:pt idx="116">
                  <c:v>-4</c:v>
                </c:pt>
                <c:pt idx="117">
                  <c:v>-4</c:v>
                </c:pt>
                <c:pt idx="118">
                  <c:v>-4</c:v>
                </c:pt>
                <c:pt idx="119">
                  <c:v>-4</c:v>
                </c:pt>
                <c:pt idx="120">
                  <c:v>-4</c:v>
                </c:pt>
                <c:pt idx="121">
                  <c:v>-4</c:v>
                </c:pt>
                <c:pt idx="122">
                  <c:v>-4</c:v>
                </c:pt>
                <c:pt idx="123">
                  <c:v>-4</c:v>
                </c:pt>
                <c:pt idx="124">
                  <c:v>-4</c:v>
                </c:pt>
                <c:pt idx="125">
                  <c:v>-4</c:v>
                </c:pt>
                <c:pt idx="126">
                  <c:v>-4</c:v>
                </c:pt>
                <c:pt idx="127">
                  <c:v>-4</c:v>
                </c:pt>
                <c:pt idx="128">
                  <c:v>-4</c:v>
                </c:pt>
                <c:pt idx="129">
                  <c:v>-4</c:v>
                </c:pt>
                <c:pt idx="130">
                  <c:v>-4</c:v>
                </c:pt>
                <c:pt idx="131">
                  <c:v>-4</c:v>
                </c:pt>
                <c:pt idx="132">
                  <c:v>-4</c:v>
                </c:pt>
                <c:pt idx="133">
                  <c:v>-4</c:v>
                </c:pt>
                <c:pt idx="134">
                  <c:v>-4</c:v>
                </c:pt>
                <c:pt idx="135">
                  <c:v>-4</c:v>
                </c:pt>
                <c:pt idx="136">
                  <c:v>-4</c:v>
                </c:pt>
                <c:pt idx="137">
                  <c:v>-4</c:v>
                </c:pt>
                <c:pt idx="138">
                  <c:v>-4</c:v>
                </c:pt>
                <c:pt idx="139">
                  <c:v>-4</c:v>
                </c:pt>
                <c:pt idx="140">
                  <c:v>-4</c:v>
                </c:pt>
              </c:numCache>
            </c:numRef>
          </c:val>
          <c:smooth val="0"/>
          <c:extLst>
            <c:ext xmlns:c16="http://schemas.microsoft.com/office/drawing/2014/chart" uri="{C3380CC4-5D6E-409C-BE32-E72D297353CC}">
              <c16:uniqueId val="{00000005-9E03-4AC2-A6DB-2AF9D9FDCC8D}"/>
            </c:ext>
          </c:extLst>
        </c:ser>
        <c:ser>
          <c:idx val="2"/>
          <c:order val="2"/>
          <c:tx>
            <c:strRef>
              <c:f>'Ejercicio 14 '!$E$7</c:f>
              <c:strCache>
                <c:ptCount val="1"/>
                <c:pt idx="0">
                  <c:v>Pay Off </c:v>
                </c:pt>
              </c:strCache>
            </c:strRef>
          </c:tx>
          <c:spPr>
            <a:ln w="28575" cap="rnd">
              <a:solidFill>
                <a:srgbClr val="BE5014"/>
              </a:solidFill>
              <a:prstDash val="solid"/>
              <a:round/>
            </a:ln>
            <a:effectLst/>
          </c:spPr>
          <c:marker>
            <c:symbol val="none"/>
          </c:marker>
          <c:cat>
            <c:numRef>
              <c:f>'Ejercicio 14 '!$B$8:$B$148</c:f>
              <c:numCache>
                <c:formatCode>General</c:formatCode>
                <c:ptCount val="14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numCache>
            </c:numRef>
          </c:cat>
          <c:val>
            <c:numRef>
              <c:f>'Ejercicio 14 '!$E$8:$E$148</c:f>
              <c:numCache>
                <c:formatCode>General</c:formatCode>
                <c:ptCount val="141"/>
                <c:pt idx="0">
                  <c:v>63</c:v>
                </c:pt>
                <c:pt idx="1">
                  <c:v>62</c:v>
                </c:pt>
                <c:pt idx="2">
                  <c:v>61</c:v>
                </c:pt>
                <c:pt idx="3">
                  <c:v>60</c:v>
                </c:pt>
                <c:pt idx="4">
                  <c:v>59</c:v>
                </c:pt>
                <c:pt idx="5">
                  <c:v>58</c:v>
                </c:pt>
                <c:pt idx="6">
                  <c:v>57</c:v>
                </c:pt>
                <c:pt idx="7">
                  <c:v>56</c:v>
                </c:pt>
                <c:pt idx="8">
                  <c:v>55</c:v>
                </c:pt>
                <c:pt idx="9">
                  <c:v>54</c:v>
                </c:pt>
                <c:pt idx="10">
                  <c:v>53</c:v>
                </c:pt>
                <c:pt idx="11">
                  <c:v>52</c:v>
                </c:pt>
                <c:pt idx="12">
                  <c:v>51</c:v>
                </c:pt>
                <c:pt idx="13">
                  <c:v>50</c:v>
                </c:pt>
                <c:pt idx="14">
                  <c:v>49</c:v>
                </c:pt>
                <c:pt idx="15">
                  <c:v>48</c:v>
                </c:pt>
                <c:pt idx="16">
                  <c:v>47</c:v>
                </c:pt>
                <c:pt idx="17">
                  <c:v>46</c:v>
                </c:pt>
                <c:pt idx="18">
                  <c:v>45</c:v>
                </c:pt>
                <c:pt idx="19">
                  <c:v>44</c:v>
                </c:pt>
                <c:pt idx="20">
                  <c:v>43</c:v>
                </c:pt>
                <c:pt idx="21">
                  <c:v>42</c:v>
                </c:pt>
                <c:pt idx="22">
                  <c:v>41</c:v>
                </c:pt>
                <c:pt idx="23">
                  <c:v>40</c:v>
                </c:pt>
                <c:pt idx="24">
                  <c:v>39</c:v>
                </c:pt>
                <c:pt idx="25">
                  <c:v>38</c:v>
                </c:pt>
                <c:pt idx="26">
                  <c:v>37</c:v>
                </c:pt>
                <c:pt idx="27">
                  <c:v>36</c:v>
                </c:pt>
                <c:pt idx="28">
                  <c:v>35</c:v>
                </c:pt>
                <c:pt idx="29">
                  <c:v>34</c:v>
                </c:pt>
                <c:pt idx="30">
                  <c:v>33</c:v>
                </c:pt>
                <c:pt idx="31">
                  <c:v>32</c:v>
                </c:pt>
                <c:pt idx="32">
                  <c:v>31</c:v>
                </c:pt>
                <c:pt idx="33">
                  <c:v>30</c:v>
                </c:pt>
                <c:pt idx="34">
                  <c:v>29</c:v>
                </c:pt>
                <c:pt idx="35">
                  <c:v>28</c:v>
                </c:pt>
                <c:pt idx="36">
                  <c:v>27</c:v>
                </c:pt>
                <c:pt idx="37">
                  <c:v>26</c:v>
                </c:pt>
                <c:pt idx="38">
                  <c:v>25</c:v>
                </c:pt>
                <c:pt idx="39">
                  <c:v>24</c:v>
                </c:pt>
                <c:pt idx="40">
                  <c:v>23</c:v>
                </c:pt>
                <c:pt idx="41">
                  <c:v>22</c:v>
                </c:pt>
                <c:pt idx="42">
                  <c:v>21</c:v>
                </c:pt>
                <c:pt idx="43">
                  <c:v>20</c:v>
                </c:pt>
                <c:pt idx="44">
                  <c:v>19</c:v>
                </c:pt>
                <c:pt idx="45">
                  <c:v>18</c:v>
                </c:pt>
                <c:pt idx="46">
                  <c:v>17</c:v>
                </c:pt>
                <c:pt idx="47">
                  <c:v>16</c:v>
                </c:pt>
                <c:pt idx="48">
                  <c:v>15</c:v>
                </c:pt>
                <c:pt idx="49">
                  <c:v>14</c:v>
                </c:pt>
                <c:pt idx="50">
                  <c:v>13</c:v>
                </c:pt>
                <c:pt idx="51">
                  <c:v>12</c:v>
                </c:pt>
                <c:pt idx="52">
                  <c:v>11</c:v>
                </c:pt>
                <c:pt idx="53">
                  <c:v>10</c:v>
                </c:pt>
                <c:pt idx="54">
                  <c:v>9</c:v>
                </c:pt>
                <c:pt idx="55">
                  <c:v>8</c:v>
                </c:pt>
                <c:pt idx="56">
                  <c:v>7</c:v>
                </c:pt>
                <c:pt idx="57">
                  <c:v>6</c:v>
                </c:pt>
                <c:pt idx="58">
                  <c:v>5</c:v>
                </c:pt>
                <c:pt idx="59">
                  <c:v>4</c:v>
                </c:pt>
                <c:pt idx="60">
                  <c:v>3</c:v>
                </c:pt>
                <c:pt idx="61">
                  <c:v>2</c:v>
                </c:pt>
                <c:pt idx="62">
                  <c:v>1</c:v>
                </c:pt>
                <c:pt idx="63">
                  <c:v>0</c:v>
                </c:pt>
                <c:pt idx="64">
                  <c:v>-1</c:v>
                </c:pt>
                <c:pt idx="65">
                  <c:v>-2</c:v>
                </c:pt>
                <c:pt idx="66">
                  <c:v>-3</c:v>
                </c:pt>
                <c:pt idx="67">
                  <c:v>-4</c:v>
                </c:pt>
                <c:pt idx="68">
                  <c:v>-5</c:v>
                </c:pt>
                <c:pt idx="69">
                  <c:v>-6</c:v>
                </c:pt>
                <c:pt idx="70">
                  <c:v>-7</c:v>
                </c:pt>
                <c:pt idx="71">
                  <c:v>-6</c:v>
                </c:pt>
                <c:pt idx="72">
                  <c:v>-5</c:v>
                </c:pt>
                <c:pt idx="73">
                  <c:v>-4</c:v>
                </c:pt>
                <c:pt idx="74">
                  <c:v>-3</c:v>
                </c:pt>
                <c:pt idx="75">
                  <c:v>-2</c:v>
                </c:pt>
                <c:pt idx="76">
                  <c:v>-1</c:v>
                </c:pt>
                <c:pt idx="77">
                  <c:v>0</c:v>
                </c:pt>
                <c:pt idx="78">
                  <c:v>1</c:v>
                </c:pt>
                <c:pt idx="79">
                  <c:v>2</c:v>
                </c:pt>
                <c:pt idx="80">
                  <c:v>3</c:v>
                </c:pt>
                <c:pt idx="81">
                  <c:v>4</c:v>
                </c:pt>
                <c:pt idx="82">
                  <c:v>5</c:v>
                </c:pt>
                <c:pt idx="83">
                  <c:v>6</c:v>
                </c:pt>
                <c:pt idx="84">
                  <c:v>7</c:v>
                </c:pt>
                <c:pt idx="85">
                  <c:v>8</c:v>
                </c:pt>
                <c:pt idx="86">
                  <c:v>9</c:v>
                </c:pt>
                <c:pt idx="87">
                  <c:v>10</c:v>
                </c:pt>
                <c:pt idx="88">
                  <c:v>11</c:v>
                </c:pt>
                <c:pt idx="89">
                  <c:v>12</c:v>
                </c:pt>
                <c:pt idx="90">
                  <c:v>13</c:v>
                </c:pt>
                <c:pt idx="91">
                  <c:v>14</c:v>
                </c:pt>
                <c:pt idx="92">
                  <c:v>15</c:v>
                </c:pt>
                <c:pt idx="93">
                  <c:v>16</c:v>
                </c:pt>
                <c:pt idx="94">
                  <c:v>17</c:v>
                </c:pt>
                <c:pt idx="95">
                  <c:v>18</c:v>
                </c:pt>
                <c:pt idx="96">
                  <c:v>19</c:v>
                </c:pt>
                <c:pt idx="97">
                  <c:v>20</c:v>
                </c:pt>
                <c:pt idx="98">
                  <c:v>21</c:v>
                </c:pt>
                <c:pt idx="99">
                  <c:v>22</c:v>
                </c:pt>
                <c:pt idx="100">
                  <c:v>23</c:v>
                </c:pt>
                <c:pt idx="101">
                  <c:v>24</c:v>
                </c:pt>
                <c:pt idx="102">
                  <c:v>25</c:v>
                </c:pt>
                <c:pt idx="103">
                  <c:v>26</c:v>
                </c:pt>
                <c:pt idx="104">
                  <c:v>27</c:v>
                </c:pt>
                <c:pt idx="105">
                  <c:v>28</c:v>
                </c:pt>
                <c:pt idx="106">
                  <c:v>29</c:v>
                </c:pt>
                <c:pt idx="107">
                  <c:v>30</c:v>
                </c:pt>
                <c:pt idx="108">
                  <c:v>31</c:v>
                </c:pt>
                <c:pt idx="109">
                  <c:v>32</c:v>
                </c:pt>
                <c:pt idx="110">
                  <c:v>33</c:v>
                </c:pt>
                <c:pt idx="111">
                  <c:v>34</c:v>
                </c:pt>
                <c:pt idx="112">
                  <c:v>35</c:v>
                </c:pt>
                <c:pt idx="113">
                  <c:v>36</c:v>
                </c:pt>
                <c:pt idx="114">
                  <c:v>37</c:v>
                </c:pt>
                <c:pt idx="115">
                  <c:v>38</c:v>
                </c:pt>
                <c:pt idx="116">
                  <c:v>39</c:v>
                </c:pt>
                <c:pt idx="117">
                  <c:v>40</c:v>
                </c:pt>
                <c:pt idx="118">
                  <c:v>41</c:v>
                </c:pt>
                <c:pt idx="119">
                  <c:v>42</c:v>
                </c:pt>
                <c:pt idx="120">
                  <c:v>43</c:v>
                </c:pt>
                <c:pt idx="121">
                  <c:v>44</c:v>
                </c:pt>
                <c:pt idx="122">
                  <c:v>45</c:v>
                </c:pt>
                <c:pt idx="123">
                  <c:v>46</c:v>
                </c:pt>
                <c:pt idx="124">
                  <c:v>47</c:v>
                </c:pt>
                <c:pt idx="125">
                  <c:v>48</c:v>
                </c:pt>
                <c:pt idx="126">
                  <c:v>49</c:v>
                </c:pt>
                <c:pt idx="127">
                  <c:v>50</c:v>
                </c:pt>
                <c:pt idx="128">
                  <c:v>51</c:v>
                </c:pt>
                <c:pt idx="129">
                  <c:v>52</c:v>
                </c:pt>
                <c:pt idx="130">
                  <c:v>53</c:v>
                </c:pt>
                <c:pt idx="131">
                  <c:v>54</c:v>
                </c:pt>
                <c:pt idx="132">
                  <c:v>55</c:v>
                </c:pt>
                <c:pt idx="133">
                  <c:v>56</c:v>
                </c:pt>
                <c:pt idx="134">
                  <c:v>57</c:v>
                </c:pt>
                <c:pt idx="135">
                  <c:v>58</c:v>
                </c:pt>
                <c:pt idx="136">
                  <c:v>59</c:v>
                </c:pt>
                <c:pt idx="137">
                  <c:v>60</c:v>
                </c:pt>
                <c:pt idx="138">
                  <c:v>61</c:v>
                </c:pt>
                <c:pt idx="139">
                  <c:v>62</c:v>
                </c:pt>
                <c:pt idx="140">
                  <c:v>63</c:v>
                </c:pt>
              </c:numCache>
            </c:numRef>
          </c:val>
          <c:smooth val="0"/>
          <c:extLst>
            <c:ext xmlns:c16="http://schemas.microsoft.com/office/drawing/2014/chart" uri="{C3380CC4-5D6E-409C-BE32-E72D297353CC}">
              <c16:uniqueId val="{00000007-9E03-4AC2-A6DB-2AF9D9FDCC8D}"/>
            </c:ext>
          </c:extLst>
        </c:ser>
        <c:dLbls>
          <c:showLegendKey val="0"/>
          <c:showVal val="0"/>
          <c:showCatName val="0"/>
          <c:showSerName val="0"/>
          <c:showPercent val="0"/>
          <c:showBubbleSize val="0"/>
        </c:dLbls>
        <c:smooth val="0"/>
        <c:axId val="1212425735"/>
        <c:axId val="1212427783"/>
      </c:lineChart>
      <c:catAx>
        <c:axId val="1212425735"/>
        <c:scaling>
          <c:orientation val="minMax"/>
        </c:scaling>
        <c:delete val="0"/>
        <c:axPos val="b"/>
        <c:numFmt formatCode="General" sourceLinked="1"/>
        <c:majorTickMark val="cross"/>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27783"/>
        <c:crosses val="autoZero"/>
        <c:auto val="1"/>
        <c:lblAlgn val="ctr"/>
        <c:lblOffset val="100"/>
        <c:noMultiLvlLbl val="0"/>
      </c:catAx>
      <c:valAx>
        <c:axId val="1212427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2425735"/>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r>
              <a:rPr lang="en-US"/>
              <a:t>Butterfly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000000"/>
              </a:solidFill>
              <a:latin typeface="+mn-lt"/>
              <a:ea typeface="+mn-ea"/>
              <a:cs typeface="+mn-cs"/>
            </a:defRPr>
          </a:pPr>
          <a:endParaRPr lang="en-US"/>
        </a:p>
      </c:txPr>
    </c:title>
    <c:autoTitleDeleted val="0"/>
    <c:plotArea>
      <c:layout/>
      <c:scatterChart>
        <c:scatterStyle val="lineMarker"/>
        <c:varyColors val="0"/>
        <c:ser>
          <c:idx val="0"/>
          <c:order val="0"/>
          <c:tx>
            <c:v>Campo5</c:v>
          </c:tx>
          <c:spPr>
            <a:ln w="25400" cap="rnd">
              <a:noFill/>
              <a:round/>
            </a:ln>
            <a:effectLst/>
          </c:spPr>
          <c:marker>
            <c:symbol val="circle"/>
            <c:size val="7"/>
            <c:spPr>
              <a:solidFill>
                <a:srgbClr val="ED7331"/>
              </a:solidFill>
              <a:ln w="9525">
                <a:solidFill>
                  <a:srgbClr val="FFFFFF"/>
                </a:solidFill>
                <a:prstDash val="solid"/>
              </a:ln>
              <a:effectLst/>
            </c:spPr>
          </c:marker>
          <c:xVal>
            <c:numRef>
              <c:f>'Ejercicio 17'!$B$8:$B$48</c:f>
              <c:numCache>
                <c:formatCode>General</c:formatCode>
                <c:ptCount val="41"/>
                <c:pt idx="0">
                  <c:v>50</c:v>
                </c:pt>
                <c:pt idx="1">
                  <c:v>50.5</c:v>
                </c:pt>
                <c:pt idx="2">
                  <c:v>51</c:v>
                </c:pt>
                <c:pt idx="3">
                  <c:v>51.5</c:v>
                </c:pt>
                <c:pt idx="4">
                  <c:v>52</c:v>
                </c:pt>
                <c:pt idx="5">
                  <c:v>52.5</c:v>
                </c:pt>
                <c:pt idx="6">
                  <c:v>53</c:v>
                </c:pt>
                <c:pt idx="7">
                  <c:v>53.5</c:v>
                </c:pt>
                <c:pt idx="8">
                  <c:v>54</c:v>
                </c:pt>
                <c:pt idx="9">
                  <c:v>54.5</c:v>
                </c:pt>
                <c:pt idx="10">
                  <c:v>55</c:v>
                </c:pt>
                <c:pt idx="11">
                  <c:v>55.5</c:v>
                </c:pt>
                <c:pt idx="12">
                  <c:v>56</c:v>
                </c:pt>
                <c:pt idx="13">
                  <c:v>56.5</c:v>
                </c:pt>
                <c:pt idx="14">
                  <c:v>57</c:v>
                </c:pt>
                <c:pt idx="15">
                  <c:v>57.5</c:v>
                </c:pt>
                <c:pt idx="16">
                  <c:v>58</c:v>
                </c:pt>
                <c:pt idx="17">
                  <c:v>58.5</c:v>
                </c:pt>
                <c:pt idx="18">
                  <c:v>59</c:v>
                </c:pt>
                <c:pt idx="19">
                  <c:v>59.5</c:v>
                </c:pt>
                <c:pt idx="20">
                  <c:v>60</c:v>
                </c:pt>
                <c:pt idx="21">
                  <c:v>60.5</c:v>
                </c:pt>
                <c:pt idx="22">
                  <c:v>61</c:v>
                </c:pt>
                <c:pt idx="23">
                  <c:v>61.5</c:v>
                </c:pt>
                <c:pt idx="24">
                  <c:v>62</c:v>
                </c:pt>
                <c:pt idx="25">
                  <c:v>62.5</c:v>
                </c:pt>
                <c:pt idx="26">
                  <c:v>63</c:v>
                </c:pt>
                <c:pt idx="27">
                  <c:v>63.5</c:v>
                </c:pt>
                <c:pt idx="28">
                  <c:v>64</c:v>
                </c:pt>
                <c:pt idx="29">
                  <c:v>64.5</c:v>
                </c:pt>
                <c:pt idx="30">
                  <c:v>65</c:v>
                </c:pt>
                <c:pt idx="31">
                  <c:v>65.5</c:v>
                </c:pt>
                <c:pt idx="32">
                  <c:v>66</c:v>
                </c:pt>
                <c:pt idx="33">
                  <c:v>66.5</c:v>
                </c:pt>
                <c:pt idx="34">
                  <c:v>67</c:v>
                </c:pt>
                <c:pt idx="35">
                  <c:v>67.5</c:v>
                </c:pt>
                <c:pt idx="36">
                  <c:v>68</c:v>
                </c:pt>
                <c:pt idx="37">
                  <c:v>68.5</c:v>
                </c:pt>
                <c:pt idx="38">
                  <c:v>69</c:v>
                </c:pt>
                <c:pt idx="39">
                  <c:v>69.5</c:v>
                </c:pt>
                <c:pt idx="40">
                  <c:v>70</c:v>
                </c:pt>
              </c:numCache>
            </c:numRef>
          </c:xVal>
          <c:yVal>
            <c:numRef>
              <c:f>'Ejercicio 17'!$F$8:$F$48</c:f>
              <c:numCache>
                <c:formatCode>General</c:formatCode>
                <c:ptCount val="41"/>
                <c:pt idx="0">
                  <c:v>-1</c:v>
                </c:pt>
                <c:pt idx="1">
                  <c:v>-1</c:v>
                </c:pt>
                <c:pt idx="2">
                  <c:v>-1</c:v>
                </c:pt>
                <c:pt idx="3">
                  <c:v>-1</c:v>
                </c:pt>
                <c:pt idx="4">
                  <c:v>-1</c:v>
                </c:pt>
                <c:pt idx="5">
                  <c:v>-1</c:v>
                </c:pt>
                <c:pt idx="6">
                  <c:v>-1</c:v>
                </c:pt>
                <c:pt idx="7">
                  <c:v>-1</c:v>
                </c:pt>
                <c:pt idx="8">
                  <c:v>-1</c:v>
                </c:pt>
                <c:pt idx="9">
                  <c:v>-1</c:v>
                </c:pt>
                <c:pt idx="10">
                  <c:v>-1</c:v>
                </c:pt>
                <c:pt idx="11">
                  <c:v>-0.5</c:v>
                </c:pt>
                <c:pt idx="12">
                  <c:v>0</c:v>
                </c:pt>
                <c:pt idx="13">
                  <c:v>0.5</c:v>
                </c:pt>
                <c:pt idx="14">
                  <c:v>1</c:v>
                </c:pt>
                <c:pt idx="15">
                  <c:v>1.5</c:v>
                </c:pt>
                <c:pt idx="16">
                  <c:v>2</c:v>
                </c:pt>
                <c:pt idx="17">
                  <c:v>2.5</c:v>
                </c:pt>
                <c:pt idx="18">
                  <c:v>3</c:v>
                </c:pt>
                <c:pt idx="19">
                  <c:v>3.5</c:v>
                </c:pt>
                <c:pt idx="20">
                  <c:v>4</c:v>
                </c:pt>
                <c:pt idx="21">
                  <c:v>3.5</c:v>
                </c:pt>
                <c:pt idx="22">
                  <c:v>3</c:v>
                </c:pt>
                <c:pt idx="23">
                  <c:v>2.5</c:v>
                </c:pt>
                <c:pt idx="24">
                  <c:v>2</c:v>
                </c:pt>
                <c:pt idx="25">
                  <c:v>1.5</c:v>
                </c:pt>
                <c:pt idx="26">
                  <c:v>1</c:v>
                </c:pt>
                <c:pt idx="27">
                  <c:v>0.5</c:v>
                </c:pt>
                <c:pt idx="28">
                  <c:v>0</c:v>
                </c:pt>
                <c:pt idx="29">
                  <c:v>-0.5</c:v>
                </c:pt>
                <c:pt idx="30">
                  <c:v>-1</c:v>
                </c:pt>
                <c:pt idx="31">
                  <c:v>-1</c:v>
                </c:pt>
                <c:pt idx="32">
                  <c:v>-1</c:v>
                </c:pt>
                <c:pt idx="33">
                  <c:v>-1</c:v>
                </c:pt>
                <c:pt idx="34">
                  <c:v>-1</c:v>
                </c:pt>
                <c:pt idx="35">
                  <c:v>-1</c:v>
                </c:pt>
                <c:pt idx="36">
                  <c:v>-1</c:v>
                </c:pt>
                <c:pt idx="37">
                  <c:v>-1</c:v>
                </c:pt>
                <c:pt idx="38">
                  <c:v>-1</c:v>
                </c:pt>
                <c:pt idx="39">
                  <c:v>-1</c:v>
                </c:pt>
                <c:pt idx="40">
                  <c:v>-1</c:v>
                </c:pt>
              </c:numCache>
            </c:numRef>
          </c:yVal>
          <c:smooth val="0"/>
          <c:extLst>
            <c:ext xmlns:c16="http://schemas.microsoft.com/office/drawing/2014/chart" uri="{C3380CC4-5D6E-409C-BE32-E72D297353CC}">
              <c16:uniqueId val="{E1B383D8-7249-4A3C-AF4D-FC18D976F8A0}"/>
            </c:ext>
          </c:extLst>
        </c:ser>
        <c:dLbls>
          <c:showLegendKey val="0"/>
          <c:showVal val="0"/>
          <c:showCatName val="0"/>
          <c:showSerName val="0"/>
          <c:showPercent val="0"/>
          <c:showBubbleSize val="0"/>
        </c:dLbls>
        <c:axId val="360047623"/>
        <c:axId val="360049671"/>
      </c:scatterChart>
      <c:valAx>
        <c:axId val="360047623"/>
        <c:scaling>
          <c:orientation val="minMax"/>
          <c:max val="70"/>
          <c:min val="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360049671"/>
        <c:crosses val="autoZero"/>
        <c:crossBetween val="midCat"/>
      </c:valAx>
      <c:valAx>
        <c:axId val="360049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360047623"/>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Bear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4"/>
          <c:order val="0"/>
          <c:tx>
            <c:strRef>
              <c:f>'Ejercicio 21'!$C$6</c:f>
              <c:strCache>
                <c:ptCount val="1"/>
                <c:pt idx="0">
                  <c:v>L_A</c:v>
                </c:pt>
              </c:strCache>
            </c:strRef>
          </c:tx>
          <c:spPr>
            <a:ln w="28575" cap="flat" cmpd="sng" algn="ctr">
              <a:solidFill>
                <a:srgbClr val="C1F0C8"/>
              </a:solidFill>
              <a:prstDash val="sysDot"/>
              <a:round/>
              <a:headEnd type="none" w="med" len="med"/>
              <a:tailEnd type="none" w="med" len="me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21'!$C$7:$C$57</c:f>
              <c:numCache>
                <c:formatCode>General</c:formatCode>
                <c:ptCount val="51"/>
                <c:pt idx="0">
                  <c:v>26</c:v>
                </c:pt>
                <c:pt idx="1">
                  <c:v>25</c:v>
                </c:pt>
                <c:pt idx="2">
                  <c:v>24</c:v>
                </c:pt>
                <c:pt idx="3">
                  <c:v>23</c:v>
                </c:pt>
                <c:pt idx="4">
                  <c:v>22</c:v>
                </c:pt>
                <c:pt idx="5">
                  <c:v>21</c:v>
                </c:pt>
                <c:pt idx="6">
                  <c:v>20</c:v>
                </c:pt>
                <c:pt idx="7">
                  <c:v>19</c:v>
                </c:pt>
                <c:pt idx="8">
                  <c:v>18</c:v>
                </c:pt>
                <c:pt idx="9">
                  <c:v>17</c:v>
                </c:pt>
                <c:pt idx="10">
                  <c:v>16</c:v>
                </c:pt>
                <c:pt idx="11">
                  <c:v>15</c:v>
                </c:pt>
                <c:pt idx="12">
                  <c:v>14</c:v>
                </c:pt>
                <c:pt idx="13">
                  <c:v>13</c:v>
                </c:pt>
                <c:pt idx="14">
                  <c:v>12</c:v>
                </c:pt>
                <c:pt idx="15">
                  <c:v>11</c:v>
                </c:pt>
                <c:pt idx="16">
                  <c:v>10</c:v>
                </c:pt>
                <c:pt idx="17">
                  <c:v>9</c:v>
                </c:pt>
                <c:pt idx="18">
                  <c:v>8</c:v>
                </c:pt>
                <c:pt idx="19">
                  <c:v>7</c:v>
                </c:pt>
                <c:pt idx="20">
                  <c:v>6</c:v>
                </c:pt>
                <c:pt idx="21">
                  <c:v>5</c:v>
                </c:pt>
                <c:pt idx="22">
                  <c:v>4</c:v>
                </c:pt>
                <c:pt idx="23">
                  <c:v>3</c:v>
                </c:pt>
                <c:pt idx="24">
                  <c:v>2</c:v>
                </c:pt>
                <c:pt idx="25">
                  <c:v>1</c:v>
                </c:pt>
                <c:pt idx="26">
                  <c:v>0</c:v>
                </c:pt>
                <c:pt idx="27">
                  <c:v>-1</c:v>
                </c:pt>
                <c:pt idx="28">
                  <c:v>-2</c:v>
                </c:pt>
                <c:pt idx="29">
                  <c:v>-3</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numCache>
            </c:numRef>
          </c:val>
          <c:smooth val="0"/>
          <c:extLst>
            <c:ext xmlns:c16="http://schemas.microsoft.com/office/drawing/2014/chart" uri="{C3380CC4-5D6E-409C-BE32-E72D297353CC}">
              <c16:uniqueId val="{00000008-82EC-4A91-B276-BBA7DEC0C685}"/>
            </c:ext>
          </c:extLst>
        </c:ser>
        <c:ser>
          <c:idx val="2"/>
          <c:order val="1"/>
          <c:tx>
            <c:strRef>
              <c:f>'Ejercicio 21'!$F$6</c:f>
              <c:strCache>
                <c:ptCount val="1"/>
                <c:pt idx="0">
                  <c:v>S_B</c:v>
                </c:pt>
              </c:strCache>
            </c:strRef>
          </c:tx>
          <c:spPr>
            <a:ln w="28575" cap="flat" cmpd="sng" algn="ctr">
              <a:solidFill>
                <a:srgbClr val="C1F0C8"/>
              </a:solidFill>
              <a:prstDash val="sysDash"/>
              <a:round/>
              <a:headEnd type="none" w="med" len="med"/>
              <a:tailEnd type="none" w="med" len="me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21'!$F$7:$F$57</c:f>
              <c:numCache>
                <c:formatCode>General</c:formatCode>
                <c:ptCount val="51"/>
                <c:pt idx="0">
                  <c:v>-28</c:v>
                </c:pt>
                <c:pt idx="1">
                  <c:v>-27</c:v>
                </c:pt>
                <c:pt idx="2">
                  <c:v>-26</c:v>
                </c:pt>
                <c:pt idx="3">
                  <c:v>-25</c:v>
                </c:pt>
                <c:pt idx="4">
                  <c:v>-24</c:v>
                </c:pt>
                <c:pt idx="5">
                  <c:v>-23</c:v>
                </c:pt>
                <c:pt idx="6">
                  <c:v>-22</c:v>
                </c:pt>
                <c:pt idx="7">
                  <c:v>-21</c:v>
                </c:pt>
                <c:pt idx="8">
                  <c:v>-20</c:v>
                </c:pt>
                <c:pt idx="9">
                  <c:v>-19</c:v>
                </c:pt>
                <c:pt idx="10">
                  <c:v>-18</c:v>
                </c:pt>
                <c:pt idx="11">
                  <c:v>-17</c:v>
                </c:pt>
                <c:pt idx="12">
                  <c:v>-16</c:v>
                </c:pt>
                <c:pt idx="13">
                  <c:v>-15</c:v>
                </c:pt>
                <c:pt idx="14">
                  <c:v>-14</c:v>
                </c:pt>
                <c:pt idx="15">
                  <c:v>-13</c:v>
                </c:pt>
                <c:pt idx="16">
                  <c:v>-12</c:v>
                </c:pt>
                <c:pt idx="17">
                  <c:v>-11</c:v>
                </c:pt>
                <c:pt idx="18">
                  <c:v>-10</c:v>
                </c:pt>
                <c:pt idx="19">
                  <c:v>-9</c:v>
                </c:pt>
                <c:pt idx="20">
                  <c:v>-8</c:v>
                </c:pt>
                <c:pt idx="21">
                  <c:v>-7</c:v>
                </c:pt>
                <c:pt idx="22">
                  <c:v>-6</c:v>
                </c:pt>
                <c:pt idx="23">
                  <c:v>-5</c:v>
                </c:pt>
                <c:pt idx="24">
                  <c:v>-4</c:v>
                </c:pt>
                <c:pt idx="25">
                  <c:v>-3</c:v>
                </c:pt>
                <c:pt idx="26">
                  <c:v>-2</c:v>
                </c:pt>
                <c:pt idx="27">
                  <c:v>-1</c:v>
                </c:pt>
                <c:pt idx="28">
                  <c:v>0</c:v>
                </c:pt>
                <c:pt idx="29">
                  <c:v>1</c:v>
                </c:pt>
                <c:pt idx="30">
                  <c:v>2</c:v>
                </c:pt>
                <c:pt idx="31">
                  <c:v>3</c:v>
                </c:pt>
                <c:pt idx="32">
                  <c:v>4</c:v>
                </c:pt>
                <c:pt idx="33">
                  <c:v>5</c:v>
                </c:pt>
                <c:pt idx="34">
                  <c:v>6</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numCache>
            </c:numRef>
          </c:val>
          <c:smooth val="0"/>
          <c:extLst>
            <c:ext xmlns:c16="http://schemas.microsoft.com/office/drawing/2014/chart" uri="{C3380CC4-5D6E-409C-BE32-E72D297353CC}">
              <c16:uniqueId val="{00000011-82EC-4A91-B276-BBA7DEC0C685}"/>
            </c:ext>
          </c:extLst>
        </c:ser>
        <c:ser>
          <c:idx val="3"/>
          <c:order val="2"/>
          <c:tx>
            <c:strRef>
              <c:f>'Ejercicio 21'!$G$6</c:f>
              <c:strCache>
                <c:ptCount val="1"/>
                <c:pt idx="0">
                  <c:v>Bear</c:v>
                </c:pt>
              </c:strCache>
            </c:strRef>
          </c:tx>
          <c:spPr>
            <a:ln w="28575" cap="rnd">
              <a:solidFill>
                <a:srgbClr val="3C7D22"/>
              </a:solidFill>
              <a:prstDash val="solid"/>
              <a:roun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21'!$G$7:$G$57</c:f>
              <c:numCache>
                <c:formatCode>General</c:formatCode>
                <c:ptCount val="51"/>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-1</c:v>
                </c:pt>
                <c:pt idx="32">
                  <c:v>0</c:v>
                </c:pt>
                <c:pt idx="33">
                  <c:v>1</c:v>
                </c:pt>
                <c:pt idx="34">
                  <c:v>2</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numCache>
            </c:numRef>
          </c:val>
          <c:smooth val="0"/>
          <c:extLst>
            <c:ext xmlns:c16="http://schemas.microsoft.com/office/drawing/2014/chart" uri="{C3380CC4-5D6E-409C-BE32-E72D297353CC}">
              <c16:uniqueId val="{00000013-82EC-4A91-B276-BBA7DEC0C685}"/>
            </c:ext>
          </c:extLst>
        </c:ser>
        <c:dLbls>
          <c:showLegendKey val="0"/>
          <c:showVal val="0"/>
          <c:showCatName val="0"/>
          <c:showSerName val="0"/>
          <c:showPercent val="0"/>
          <c:showBubbleSize val="0"/>
        </c:dLbls>
        <c:smooth val="0"/>
        <c:axId val="990035463"/>
        <c:axId val="993806855"/>
      </c:lineChart>
      <c:catAx>
        <c:axId val="9900354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806855"/>
        <c:crosses val="autoZero"/>
        <c:auto val="1"/>
        <c:lblAlgn val="ctr"/>
        <c:lblOffset val="100"/>
        <c:noMultiLvlLbl val="0"/>
      </c:catAx>
      <c:valAx>
        <c:axId val="993806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035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Bull Spread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'Ejercicio 21'!$D$6</c:f>
              <c:strCache>
                <c:ptCount val="1"/>
                <c:pt idx="0">
                  <c:v>L_B</c:v>
                </c:pt>
              </c:strCache>
            </c:strRef>
          </c:tx>
          <c:spPr>
            <a:ln w="28575" cap="flat" cmpd="sng" algn="ctr">
              <a:solidFill>
                <a:srgbClr val="C0E6F5"/>
              </a:solidFill>
              <a:prstDash val="sysDot"/>
              <a:round/>
              <a:headEnd type="none" w="med" len="med"/>
              <a:tailEnd type="none" w="med" len="me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21'!$D$7:$D$57</c:f>
              <c:numCache>
                <c:formatCode>General</c:formatCode>
                <c:ptCount val="51"/>
                <c:pt idx="0">
                  <c:v>28</c:v>
                </c:pt>
                <c:pt idx="1">
                  <c:v>27</c:v>
                </c:pt>
                <c:pt idx="2">
                  <c:v>26</c:v>
                </c:pt>
                <c:pt idx="3">
                  <c:v>25</c:v>
                </c:pt>
                <c:pt idx="4">
                  <c:v>24</c:v>
                </c:pt>
                <c:pt idx="5">
                  <c:v>23</c:v>
                </c:pt>
                <c:pt idx="6">
                  <c:v>22</c:v>
                </c:pt>
                <c:pt idx="7">
                  <c:v>21</c:v>
                </c:pt>
                <c:pt idx="8">
                  <c:v>20</c:v>
                </c:pt>
                <c:pt idx="9">
                  <c:v>19</c:v>
                </c:pt>
                <c:pt idx="10">
                  <c:v>18</c:v>
                </c:pt>
                <c:pt idx="11">
                  <c:v>17</c:v>
                </c:pt>
                <c:pt idx="12">
                  <c:v>16</c:v>
                </c:pt>
                <c:pt idx="13">
                  <c:v>15</c:v>
                </c:pt>
                <c:pt idx="14">
                  <c:v>14</c:v>
                </c:pt>
                <c:pt idx="15">
                  <c:v>13</c:v>
                </c:pt>
                <c:pt idx="16">
                  <c:v>12</c:v>
                </c:pt>
                <c:pt idx="17">
                  <c:v>11</c:v>
                </c:pt>
                <c:pt idx="18">
                  <c:v>10</c:v>
                </c:pt>
                <c:pt idx="19">
                  <c:v>9</c:v>
                </c:pt>
                <c:pt idx="20">
                  <c:v>8</c:v>
                </c:pt>
                <c:pt idx="21">
                  <c:v>7</c:v>
                </c:pt>
                <c:pt idx="22">
                  <c:v>6</c:v>
                </c:pt>
                <c:pt idx="23">
                  <c:v>5</c:v>
                </c:pt>
                <c:pt idx="24">
                  <c:v>4</c:v>
                </c:pt>
                <c:pt idx="25">
                  <c:v>3</c:v>
                </c:pt>
                <c:pt idx="26">
                  <c:v>2</c:v>
                </c:pt>
                <c:pt idx="27">
                  <c:v>1</c:v>
                </c:pt>
                <c:pt idx="28">
                  <c:v>0</c:v>
                </c:pt>
                <c:pt idx="29">
                  <c:v>-1</c:v>
                </c:pt>
                <c:pt idx="30">
                  <c:v>-2</c:v>
                </c:pt>
                <c:pt idx="31">
                  <c:v>-3</c:v>
                </c:pt>
                <c:pt idx="32">
                  <c:v>-4</c:v>
                </c:pt>
                <c:pt idx="33">
                  <c:v>-5</c:v>
                </c:pt>
                <c:pt idx="34">
                  <c:v>-6</c:v>
                </c:pt>
                <c:pt idx="35">
                  <c:v>-7</c:v>
                </c:pt>
                <c:pt idx="36">
                  <c:v>-7</c:v>
                </c:pt>
                <c:pt idx="37">
                  <c:v>-7</c:v>
                </c:pt>
                <c:pt idx="38">
                  <c:v>-7</c:v>
                </c:pt>
                <c:pt idx="39">
                  <c:v>-7</c:v>
                </c:pt>
                <c:pt idx="40">
                  <c:v>-7</c:v>
                </c:pt>
                <c:pt idx="41">
                  <c:v>-7</c:v>
                </c:pt>
                <c:pt idx="42">
                  <c:v>-7</c:v>
                </c:pt>
                <c:pt idx="43">
                  <c:v>-7</c:v>
                </c:pt>
                <c:pt idx="44">
                  <c:v>-7</c:v>
                </c:pt>
                <c:pt idx="45">
                  <c:v>-7</c:v>
                </c:pt>
                <c:pt idx="46">
                  <c:v>-7</c:v>
                </c:pt>
                <c:pt idx="47">
                  <c:v>-7</c:v>
                </c:pt>
                <c:pt idx="48">
                  <c:v>-7</c:v>
                </c:pt>
                <c:pt idx="49">
                  <c:v>-7</c:v>
                </c:pt>
                <c:pt idx="50">
                  <c:v>-7</c:v>
                </c:pt>
              </c:numCache>
            </c:numRef>
          </c:val>
          <c:smooth val="0"/>
          <c:extLst>
            <c:ext xmlns:c16="http://schemas.microsoft.com/office/drawing/2014/chart" uri="{C3380CC4-5D6E-409C-BE32-E72D297353CC}">
              <c16:uniqueId val="{00000004-6989-41AC-A542-21DDF4A64AF1}"/>
            </c:ext>
          </c:extLst>
        </c:ser>
        <c:ser>
          <c:idx val="3"/>
          <c:order val="1"/>
          <c:tx>
            <c:strRef>
              <c:f>'Ejercicio 21'!$E$6</c:f>
              <c:strCache>
                <c:ptCount val="1"/>
                <c:pt idx="0">
                  <c:v>S_A</c:v>
                </c:pt>
              </c:strCache>
            </c:strRef>
          </c:tx>
          <c:spPr>
            <a:ln w="28575" cap="flat" cmpd="sng" algn="ctr">
              <a:solidFill>
                <a:srgbClr val="C0E6F5"/>
              </a:solidFill>
              <a:prstDash val="dash"/>
              <a:round/>
              <a:headEnd type="none" w="med" len="med"/>
              <a:tailEnd type="none" w="med" len="me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21'!$E$7:$E$57</c:f>
              <c:numCache>
                <c:formatCode>General</c:formatCode>
                <c:ptCount val="51"/>
                <c:pt idx="0">
                  <c:v>-26</c:v>
                </c:pt>
                <c:pt idx="1">
                  <c:v>-25</c:v>
                </c:pt>
                <c:pt idx="2">
                  <c:v>-24</c:v>
                </c:pt>
                <c:pt idx="3">
                  <c:v>-23</c:v>
                </c:pt>
                <c:pt idx="4">
                  <c:v>-22</c:v>
                </c:pt>
                <c:pt idx="5">
                  <c:v>-21</c:v>
                </c:pt>
                <c:pt idx="6">
                  <c:v>-20</c:v>
                </c:pt>
                <c:pt idx="7">
                  <c:v>-19</c:v>
                </c:pt>
                <c:pt idx="8">
                  <c:v>-18</c:v>
                </c:pt>
                <c:pt idx="9">
                  <c:v>-17</c:v>
                </c:pt>
                <c:pt idx="10">
                  <c:v>-16</c:v>
                </c:pt>
                <c:pt idx="11">
                  <c:v>-15</c:v>
                </c:pt>
                <c:pt idx="12">
                  <c:v>-14</c:v>
                </c:pt>
                <c:pt idx="13">
                  <c:v>-13</c:v>
                </c:pt>
                <c:pt idx="14">
                  <c:v>-12</c:v>
                </c:pt>
                <c:pt idx="15">
                  <c:v>-11</c:v>
                </c:pt>
                <c:pt idx="16">
                  <c:v>-10</c:v>
                </c:pt>
                <c:pt idx="17">
                  <c:v>-9</c:v>
                </c:pt>
                <c:pt idx="18">
                  <c:v>-8</c:v>
                </c:pt>
                <c:pt idx="19">
                  <c:v>-7</c:v>
                </c:pt>
                <c:pt idx="20">
                  <c:v>-6</c:v>
                </c:pt>
                <c:pt idx="21">
                  <c:v>-5</c:v>
                </c:pt>
                <c:pt idx="22">
                  <c:v>-4</c:v>
                </c:pt>
                <c:pt idx="23">
                  <c:v>-3</c:v>
                </c:pt>
                <c:pt idx="24">
                  <c:v>-2</c:v>
                </c:pt>
                <c:pt idx="25">
                  <c:v>-1</c:v>
                </c:pt>
                <c:pt idx="26">
                  <c:v>0</c:v>
                </c:pt>
                <c:pt idx="27">
                  <c:v>1</c:v>
                </c:pt>
                <c:pt idx="28">
                  <c:v>2</c:v>
                </c:pt>
                <c:pt idx="29">
                  <c:v>3</c:v>
                </c:pt>
                <c:pt idx="30">
                  <c:v>4</c:v>
                </c:pt>
                <c:pt idx="31">
                  <c:v>4</c:v>
                </c:pt>
                <c:pt idx="32">
                  <c:v>4</c:v>
                </c:pt>
                <c:pt idx="33">
                  <c:v>4</c:v>
                </c:pt>
                <c:pt idx="34">
                  <c:v>4</c:v>
                </c:pt>
                <c:pt idx="35">
                  <c:v>4</c:v>
                </c:pt>
                <c:pt idx="36">
                  <c:v>4</c:v>
                </c:pt>
                <c:pt idx="37">
                  <c:v>4</c:v>
                </c:pt>
                <c:pt idx="38">
                  <c:v>4</c:v>
                </c:pt>
                <c:pt idx="39">
                  <c:v>4</c:v>
                </c:pt>
                <c:pt idx="40">
                  <c:v>4</c:v>
                </c:pt>
                <c:pt idx="41">
                  <c:v>4</c:v>
                </c:pt>
                <c:pt idx="42">
                  <c:v>4</c:v>
                </c:pt>
                <c:pt idx="43">
                  <c:v>4</c:v>
                </c:pt>
                <c:pt idx="44">
                  <c:v>4</c:v>
                </c:pt>
                <c:pt idx="45">
                  <c:v>4</c:v>
                </c:pt>
                <c:pt idx="46">
                  <c:v>4</c:v>
                </c:pt>
                <c:pt idx="47">
                  <c:v>4</c:v>
                </c:pt>
                <c:pt idx="48">
                  <c:v>4</c:v>
                </c:pt>
                <c:pt idx="49">
                  <c:v>4</c:v>
                </c:pt>
                <c:pt idx="50">
                  <c:v>4</c:v>
                </c:pt>
              </c:numCache>
            </c:numRef>
          </c:val>
          <c:smooth val="0"/>
          <c:extLst>
            <c:ext xmlns:c16="http://schemas.microsoft.com/office/drawing/2014/chart" uri="{C3380CC4-5D6E-409C-BE32-E72D297353CC}">
              <c16:uniqueId val="{00000006-6989-41AC-A542-21DDF4A64AF1}"/>
            </c:ext>
          </c:extLst>
        </c:ser>
        <c:ser>
          <c:idx val="6"/>
          <c:order val="2"/>
          <c:tx>
            <c:strRef>
              <c:f>'Ejercicio 21'!$H$6</c:f>
              <c:strCache>
                <c:ptCount val="1"/>
                <c:pt idx="0">
                  <c:v>Bull</c:v>
                </c:pt>
              </c:strCache>
            </c:strRef>
          </c:tx>
          <c:spPr>
            <a:ln w="28575" cap="rnd">
              <a:solidFill>
                <a:schemeClr val="accent1">
                  <a:lumMod val="60000"/>
                </a:schemeClr>
              </a:solidFill>
              <a:round/>
            </a:ln>
            <a:effectLst/>
          </c:spPr>
          <c:marker>
            <c:symbol val="none"/>
          </c:marker>
          <c:cat>
            <c:numRef>
              <c:f>'Ejercicio 21'!$B$7:$B$57</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21'!$H$7:$H$57</c:f>
              <c:numCache>
                <c:formatCode>General</c:formatCode>
                <c:ptCount val="51"/>
                <c:pt idx="0">
                  <c:v>2</c:v>
                </c:pt>
                <c:pt idx="1">
                  <c:v>2</c:v>
                </c:pt>
                <c:pt idx="2">
                  <c:v>2</c:v>
                </c:pt>
                <c:pt idx="3">
                  <c:v>2</c:v>
                </c:pt>
                <c:pt idx="4">
                  <c:v>2</c:v>
                </c:pt>
                <c:pt idx="5">
                  <c:v>2</c:v>
                </c:pt>
                <c:pt idx="6">
                  <c:v>2</c:v>
                </c:pt>
                <c:pt idx="7">
                  <c:v>2</c:v>
                </c:pt>
                <c:pt idx="8">
                  <c:v>2</c:v>
                </c:pt>
                <c:pt idx="9">
                  <c:v>2</c:v>
                </c:pt>
                <c:pt idx="10">
                  <c:v>2</c:v>
                </c:pt>
                <c:pt idx="11">
                  <c:v>2</c:v>
                </c:pt>
                <c:pt idx="12">
                  <c:v>2</c:v>
                </c:pt>
                <c:pt idx="13">
                  <c:v>2</c:v>
                </c:pt>
                <c:pt idx="14">
                  <c:v>2</c:v>
                </c:pt>
                <c:pt idx="15">
                  <c:v>2</c:v>
                </c:pt>
                <c:pt idx="16">
                  <c:v>2</c:v>
                </c:pt>
                <c:pt idx="17">
                  <c:v>2</c:v>
                </c:pt>
                <c:pt idx="18">
                  <c:v>2</c:v>
                </c:pt>
                <c:pt idx="19">
                  <c:v>2</c:v>
                </c:pt>
                <c:pt idx="20">
                  <c:v>2</c:v>
                </c:pt>
                <c:pt idx="21">
                  <c:v>2</c:v>
                </c:pt>
                <c:pt idx="22">
                  <c:v>2</c:v>
                </c:pt>
                <c:pt idx="23">
                  <c:v>2</c:v>
                </c:pt>
                <c:pt idx="24">
                  <c:v>2</c:v>
                </c:pt>
                <c:pt idx="25">
                  <c:v>2</c:v>
                </c:pt>
                <c:pt idx="26">
                  <c:v>2</c:v>
                </c:pt>
                <c:pt idx="27">
                  <c:v>2</c:v>
                </c:pt>
                <c:pt idx="28">
                  <c:v>2</c:v>
                </c:pt>
                <c:pt idx="29">
                  <c:v>2</c:v>
                </c:pt>
                <c:pt idx="30">
                  <c:v>2</c:v>
                </c:pt>
                <c:pt idx="31">
                  <c:v>1</c:v>
                </c:pt>
                <c:pt idx="32">
                  <c:v>0</c:v>
                </c:pt>
                <c:pt idx="33">
                  <c:v>-1</c:v>
                </c:pt>
                <c:pt idx="34">
                  <c:v>-2</c:v>
                </c:pt>
                <c:pt idx="35">
                  <c:v>-3</c:v>
                </c:pt>
                <c:pt idx="36">
                  <c:v>-3</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numCache>
            </c:numRef>
          </c:val>
          <c:smooth val="0"/>
          <c:extLst>
            <c:ext xmlns:c16="http://schemas.microsoft.com/office/drawing/2014/chart" uri="{C3380CC4-5D6E-409C-BE32-E72D297353CC}">
              <c16:uniqueId val="{0000000C-6989-41AC-A542-21DDF4A64AF1}"/>
            </c:ext>
          </c:extLst>
        </c:ser>
        <c:dLbls>
          <c:showLegendKey val="0"/>
          <c:showVal val="0"/>
          <c:showCatName val="0"/>
          <c:showSerName val="0"/>
          <c:showPercent val="0"/>
          <c:showBubbleSize val="0"/>
        </c:dLbls>
        <c:smooth val="0"/>
        <c:axId val="991763463"/>
        <c:axId val="1002161159"/>
      </c:lineChart>
      <c:catAx>
        <c:axId val="991763463"/>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161159"/>
        <c:crosses val="autoZero"/>
        <c:auto val="1"/>
        <c:lblAlgn val="ctr"/>
        <c:lblOffset val="100"/>
        <c:noMultiLvlLbl val="0"/>
      </c:catAx>
      <c:valAx>
        <c:axId val="1002161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63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'Ejercicio 22'!$C$10</c:f>
              <c:strCache>
                <c:ptCount val="1"/>
                <c:pt idx="0">
                  <c:v>C_DAO</c:v>
                </c:pt>
              </c:strCache>
            </c:strRef>
          </c:tx>
          <c:spPr>
            <a:ln w="28575" cap="rnd">
              <a:solidFill>
                <a:schemeClr val="accent1"/>
              </a:solidFill>
              <a:round/>
            </a:ln>
            <a:effectLst/>
          </c:spPr>
          <c:marker>
            <c:symbol val="none"/>
          </c:marker>
          <c:cat>
            <c:numRef>
              <c:f>'Ejercicio 22'!$B$11:$B$61</c:f>
              <c:numCache>
                <c:formatCode>General</c:formatCode>
                <c:ptCount val="5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numCache>
            </c:numRef>
          </c:cat>
          <c:val>
            <c:numRef>
              <c:f>'Ejercicio 22'!$C$11:$C$61</c:f>
              <c:numCache>
                <c:formatCode>General</c:formatCode>
                <c:ptCount val="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1</c:v>
                </c:pt>
                <c:pt idx="22">
                  <c:v>2</c:v>
                </c:pt>
                <c:pt idx="23">
                  <c:v>3</c:v>
                </c:pt>
                <c:pt idx="24">
                  <c:v>4</c:v>
                </c:pt>
                <c:pt idx="25">
                  <c:v>5</c:v>
                </c:pt>
                <c:pt idx="26">
                  <c:v>6</c:v>
                </c:pt>
                <c:pt idx="27">
                  <c:v>7</c:v>
                </c:pt>
                <c:pt idx="28">
                  <c:v>8</c:v>
                </c:pt>
                <c:pt idx="29">
                  <c:v>9</c:v>
                </c:pt>
                <c:pt idx="30">
                  <c:v>10</c:v>
                </c:pt>
                <c:pt idx="31">
                  <c:v>11</c:v>
                </c:pt>
                <c:pt idx="32">
                  <c:v>12</c:v>
                </c:pt>
                <c:pt idx="33">
                  <c:v>13</c:v>
                </c:pt>
                <c:pt idx="34">
                  <c:v>14</c:v>
                </c:pt>
                <c:pt idx="35">
                  <c:v>15</c:v>
                </c:pt>
                <c:pt idx="36">
                  <c:v>16</c:v>
                </c:pt>
                <c:pt idx="37">
                  <c:v>17</c:v>
                </c:pt>
                <c:pt idx="38">
                  <c:v>18</c:v>
                </c:pt>
                <c:pt idx="39">
                  <c:v>19</c:v>
                </c:pt>
                <c:pt idx="40">
                  <c:v>20</c:v>
                </c:pt>
                <c:pt idx="41">
                  <c:v>21</c:v>
                </c:pt>
                <c:pt idx="42">
                  <c:v>22</c:v>
                </c:pt>
                <c:pt idx="43">
                  <c:v>23</c:v>
                </c:pt>
                <c:pt idx="44">
                  <c:v>24</c:v>
                </c:pt>
                <c:pt idx="45">
                  <c:v>25</c:v>
                </c:pt>
                <c:pt idx="46">
                  <c:v>26</c:v>
                </c:pt>
                <c:pt idx="47">
                  <c:v>27</c:v>
                </c:pt>
                <c:pt idx="48">
                  <c:v>28</c:v>
                </c:pt>
                <c:pt idx="49">
                  <c:v>29</c:v>
                </c:pt>
                <c:pt idx="50">
                  <c:v>30</c:v>
                </c:pt>
              </c:numCache>
            </c:numRef>
          </c:val>
          <c:smooth val="0"/>
          <c:extLst>
            <c:ext xmlns:c16="http://schemas.microsoft.com/office/drawing/2014/chart" uri="{C3380CC4-5D6E-409C-BE32-E72D297353CC}">
              <c16:uniqueId val="{00000005-B945-4D2F-AEF0-7511E4E20A59}"/>
            </c:ext>
          </c:extLst>
        </c:ser>
        <c:dLbls>
          <c:showLegendKey val="0"/>
          <c:showVal val="0"/>
          <c:showCatName val="0"/>
          <c:showSerName val="0"/>
          <c:showPercent val="0"/>
          <c:showBubbleSize val="0"/>
        </c:dLbls>
        <c:smooth val="0"/>
        <c:axId val="992278535"/>
        <c:axId val="993141255"/>
      </c:lineChart>
      <c:catAx>
        <c:axId val="992278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3141255"/>
        <c:crosses val="autoZero"/>
        <c:auto val="1"/>
        <c:lblAlgn val="ctr"/>
        <c:lblOffset val="100"/>
        <c:noMultiLvlLbl val="0"/>
      </c:catAx>
      <c:valAx>
        <c:axId val="993141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278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 Off por Periodo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'Ejercicio 25'!$C$20</c:f>
              <c:strCache>
                <c:ptCount val="1"/>
                <c:pt idx="0">
                  <c:v>C_34</c:v>
                </c:pt>
              </c:strCache>
            </c:strRef>
          </c:tx>
          <c:spPr>
            <a:ln w="28575" cap="rnd">
              <a:solidFill>
                <a:srgbClr val="F2CEEF"/>
              </a:solidFill>
              <a:prstDash val="solid"/>
              <a:round/>
            </a:ln>
            <a:effectLst/>
          </c:spPr>
          <c:marker>
            <c:symbol val="none"/>
          </c:marker>
          <c:cat>
            <c:numRef>
              <c:f>'Ejercicio 25'!$B$21:$B$129</c:f>
              <c:numCache>
                <c:formatCode>General</c:formatCode>
                <c:ptCount val="109"/>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pt idx="101">
                  <c:v>151</c:v>
                </c:pt>
                <c:pt idx="102">
                  <c:v>152</c:v>
                </c:pt>
                <c:pt idx="103">
                  <c:v>153</c:v>
                </c:pt>
                <c:pt idx="104">
                  <c:v>154</c:v>
                </c:pt>
                <c:pt idx="105">
                  <c:v>155</c:v>
                </c:pt>
                <c:pt idx="106">
                  <c:v>156</c:v>
                </c:pt>
                <c:pt idx="107">
                  <c:v>157</c:v>
                </c:pt>
                <c:pt idx="108">
                  <c:v>158</c:v>
                </c:pt>
              </c:numCache>
            </c:numRef>
          </c:cat>
          <c:val>
            <c:numRef>
              <c:f>'Ejercicio 25'!$C$21:$C$129</c:f>
              <c:numCache>
                <c:formatCode>General</c:formatCode>
                <c:ptCount val="1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1</c:v>
                </c:pt>
                <c:pt idx="62">
                  <c:v>2</c:v>
                </c:pt>
                <c:pt idx="63">
                  <c:v>3</c:v>
                </c:pt>
                <c:pt idx="64">
                  <c:v>4</c:v>
                </c:pt>
                <c:pt idx="65">
                  <c:v>5</c:v>
                </c:pt>
                <c:pt idx="66">
                  <c:v>6</c:v>
                </c:pt>
                <c:pt idx="67">
                  <c:v>7</c:v>
                </c:pt>
                <c:pt idx="68">
                  <c:v>8</c:v>
                </c:pt>
                <c:pt idx="69">
                  <c:v>9</c:v>
                </c:pt>
                <c:pt idx="70">
                  <c:v>10</c:v>
                </c:pt>
                <c:pt idx="71">
                  <c:v>11</c:v>
                </c:pt>
                <c:pt idx="72">
                  <c:v>12</c:v>
                </c:pt>
                <c:pt idx="73">
                  <c:v>13</c:v>
                </c:pt>
                <c:pt idx="74">
                  <c:v>14</c:v>
                </c:pt>
                <c:pt idx="75">
                  <c:v>15</c:v>
                </c:pt>
                <c:pt idx="76">
                  <c:v>16</c:v>
                </c:pt>
                <c:pt idx="77">
                  <c:v>17</c:v>
                </c:pt>
                <c:pt idx="78">
                  <c:v>18</c:v>
                </c:pt>
                <c:pt idx="79">
                  <c:v>19</c:v>
                </c:pt>
                <c:pt idx="80">
                  <c:v>20</c:v>
                </c:pt>
                <c:pt idx="81">
                  <c:v>21</c:v>
                </c:pt>
                <c:pt idx="82">
                  <c:v>22</c:v>
                </c:pt>
                <c:pt idx="83">
                  <c:v>23</c:v>
                </c:pt>
                <c:pt idx="84">
                  <c:v>24</c:v>
                </c:pt>
                <c:pt idx="85">
                  <c:v>25</c:v>
                </c:pt>
                <c:pt idx="86">
                  <c:v>26</c:v>
                </c:pt>
                <c:pt idx="87">
                  <c:v>27</c:v>
                </c:pt>
                <c:pt idx="88">
                  <c:v>28</c:v>
                </c:pt>
                <c:pt idx="89">
                  <c:v>29</c:v>
                </c:pt>
                <c:pt idx="90">
                  <c:v>30</c:v>
                </c:pt>
                <c:pt idx="91">
                  <c:v>31</c:v>
                </c:pt>
                <c:pt idx="92">
                  <c:v>32</c:v>
                </c:pt>
                <c:pt idx="93">
                  <c:v>33</c:v>
                </c:pt>
                <c:pt idx="94">
                  <c:v>34</c:v>
                </c:pt>
                <c:pt idx="95">
                  <c:v>35</c:v>
                </c:pt>
                <c:pt idx="96">
                  <c:v>36</c:v>
                </c:pt>
                <c:pt idx="97">
                  <c:v>37</c:v>
                </c:pt>
                <c:pt idx="98">
                  <c:v>38</c:v>
                </c:pt>
                <c:pt idx="99">
                  <c:v>39</c:v>
                </c:pt>
                <c:pt idx="100">
                  <c:v>40</c:v>
                </c:pt>
                <c:pt idx="101">
                  <c:v>41</c:v>
                </c:pt>
                <c:pt idx="102">
                  <c:v>42</c:v>
                </c:pt>
                <c:pt idx="103">
                  <c:v>43</c:v>
                </c:pt>
                <c:pt idx="104">
                  <c:v>44</c:v>
                </c:pt>
                <c:pt idx="105">
                  <c:v>45</c:v>
                </c:pt>
                <c:pt idx="106">
                  <c:v>46</c:v>
                </c:pt>
                <c:pt idx="107">
                  <c:v>47</c:v>
                </c:pt>
                <c:pt idx="108">
                  <c:v>48</c:v>
                </c:pt>
              </c:numCache>
            </c:numRef>
          </c:val>
          <c:smooth val="0"/>
          <c:extLst>
            <c:ext xmlns:c16="http://schemas.microsoft.com/office/drawing/2014/chart" uri="{C3380CC4-5D6E-409C-BE32-E72D297353CC}">
              <c16:uniqueId val="{00000002-6418-42A5-9850-3E5803315070}"/>
            </c:ext>
          </c:extLst>
        </c:ser>
        <c:ser>
          <c:idx val="2"/>
          <c:order val="1"/>
          <c:tx>
            <c:strRef>
              <c:f>'Ejercicio 25'!$D$20</c:f>
              <c:strCache>
                <c:ptCount val="1"/>
                <c:pt idx="0">
                  <c:v>C_56</c:v>
                </c:pt>
              </c:strCache>
            </c:strRef>
          </c:tx>
          <c:spPr>
            <a:ln w="28575" cap="rnd">
              <a:solidFill>
                <a:srgbClr val="E49EDD"/>
              </a:solidFill>
              <a:prstDash val="solid"/>
              <a:round/>
            </a:ln>
            <a:effectLst/>
          </c:spPr>
          <c:marker>
            <c:symbol val="none"/>
          </c:marker>
          <c:cat>
            <c:numRef>
              <c:f>'Ejercicio 25'!$B$21:$B$129</c:f>
              <c:numCache>
                <c:formatCode>General</c:formatCode>
                <c:ptCount val="109"/>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pt idx="101">
                  <c:v>151</c:v>
                </c:pt>
                <c:pt idx="102">
                  <c:v>152</c:v>
                </c:pt>
                <c:pt idx="103">
                  <c:v>153</c:v>
                </c:pt>
                <c:pt idx="104">
                  <c:v>154</c:v>
                </c:pt>
                <c:pt idx="105">
                  <c:v>155</c:v>
                </c:pt>
                <c:pt idx="106">
                  <c:v>156</c:v>
                </c:pt>
                <c:pt idx="107">
                  <c:v>157</c:v>
                </c:pt>
                <c:pt idx="108">
                  <c:v>158</c:v>
                </c:pt>
              </c:numCache>
            </c:numRef>
          </c:cat>
          <c:val>
            <c:numRef>
              <c:f>'Ejercicio 25'!$D$21:$D$129</c:f>
              <c:numCache>
                <c:formatCode>General</c:formatCode>
                <c:ptCount val="1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0.5</c:v>
                </c:pt>
                <c:pt idx="59">
                  <c:v>1.5</c:v>
                </c:pt>
                <c:pt idx="60">
                  <c:v>2.5</c:v>
                </c:pt>
                <c:pt idx="61">
                  <c:v>3.5</c:v>
                </c:pt>
                <c:pt idx="62">
                  <c:v>4.5</c:v>
                </c:pt>
                <c:pt idx="63">
                  <c:v>5.5</c:v>
                </c:pt>
                <c:pt idx="64">
                  <c:v>6.5</c:v>
                </c:pt>
                <c:pt idx="65">
                  <c:v>7.5</c:v>
                </c:pt>
                <c:pt idx="66">
                  <c:v>8.5</c:v>
                </c:pt>
                <c:pt idx="67">
                  <c:v>9.5</c:v>
                </c:pt>
                <c:pt idx="68">
                  <c:v>10.5</c:v>
                </c:pt>
                <c:pt idx="69">
                  <c:v>11.5</c:v>
                </c:pt>
                <c:pt idx="70">
                  <c:v>12.5</c:v>
                </c:pt>
                <c:pt idx="71">
                  <c:v>13.5</c:v>
                </c:pt>
                <c:pt idx="72">
                  <c:v>14.5</c:v>
                </c:pt>
                <c:pt idx="73">
                  <c:v>15.5</c:v>
                </c:pt>
                <c:pt idx="74">
                  <c:v>16.5</c:v>
                </c:pt>
                <c:pt idx="75">
                  <c:v>17.5</c:v>
                </c:pt>
                <c:pt idx="76">
                  <c:v>18.5</c:v>
                </c:pt>
                <c:pt idx="77">
                  <c:v>19.5</c:v>
                </c:pt>
                <c:pt idx="78">
                  <c:v>20.5</c:v>
                </c:pt>
                <c:pt idx="79">
                  <c:v>21.5</c:v>
                </c:pt>
                <c:pt idx="80">
                  <c:v>22.5</c:v>
                </c:pt>
                <c:pt idx="81">
                  <c:v>23.5</c:v>
                </c:pt>
                <c:pt idx="82">
                  <c:v>24.5</c:v>
                </c:pt>
                <c:pt idx="83">
                  <c:v>25.5</c:v>
                </c:pt>
                <c:pt idx="84">
                  <c:v>26.5</c:v>
                </c:pt>
                <c:pt idx="85">
                  <c:v>27.5</c:v>
                </c:pt>
                <c:pt idx="86">
                  <c:v>28.5</c:v>
                </c:pt>
                <c:pt idx="87">
                  <c:v>29.5</c:v>
                </c:pt>
                <c:pt idx="88">
                  <c:v>30.5</c:v>
                </c:pt>
                <c:pt idx="89">
                  <c:v>31.5</c:v>
                </c:pt>
                <c:pt idx="90">
                  <c:v>32.5</c:v>
                </c:pt>
                <c:pt idx="91">
                  <c:v>33.5</c:v>
                </c:pt>
                <c:pt idx="92">
                  <c:v>34.5</c:v>
                </c:pt>
                <c:pt idx="93">
                  <c:v>35.5</c:v>
                </c:pt>
                <c:pt idx="94">
                  <c:v>36.5</c:v>
                </c:pt>
                <c:pt idx="95">
                  <c:v>37.5</c:v>
                </c:pt>
                <c:pt idx="96">
                  <c:v>38.5</c:v>
                </c:pt>
                <c:pt idx="97">
                  <c:v>39.5</c:v>
                </c:pt>
                <c:pt idx="98">
                  <c:v>40.5</c:v>
                </c:pt>
                <c:pt idx="99">
                  <c:v>41.5</c:v>
                </c:pt>
                <c:pt idx="100">
                  <c:v>42.5</c:v>
                </c:pt>
                <c:pt idx="101">
                  <c:v>43.5</c:v>
                </c:pt>
                <c:pt idx="102">
                  <c:v>44.5</c:v>
                </c:pt>
                <c:pt idx="103">
                  <c:v>45.5</c:v>
                </c:pt>
                <c:pt idx="104">
                  <c:v>46.5</c:v>
                </c:pt>
                <c:pt idx="105">
                  <c:v>47.5</c:v>
                </c:pt>
                <c:pt idx="106">
                  <c:v>48.5</c:v>
                </c:pt>
                <c:pt idx="107">
                  <c:v>49.5</c:v>
                </c:pt>
                <c:pt idx="108">
                  <c:v>50.5</c:v>
                </c:pt>
              </c:numCache>
            </c:numRef>
          </c:val>
          <c:smooth val="0"/>
          <c:extLst>
            <c:ext xmlns:c16="http://schemas.microsoft.com/office/drawing/2014/chart" uri="{C3380CC4-5D6E-409C-BE32-E72D297353CC}">
              <c16:uniqueId val="{00000004-6418-42A5-9850-3E5803315070}"/>
            </c:ext>
          </c:extLst>
        </c:ser>
        <c:ser>
          <c:idx val="3"/>
          <c:order val="2"/>
          <c:tx>
            <c:strRef>
              <c:f>'Ejercicio 25'!$E$20</c:f>
              <c:strCache>
                <c:ptCount val="1"/>
                <c:pt idx="0">
                  <c:v>C_78</c:v>
                </c:pt>
              </c:strCache>
            </c:strRef>
          </c:tx>
          <c:spPr>
            <a:ln w="28575" cap="rnd">
              <a:solidFill>
                <a:srgbClr val="D86DCD"/>
              </a:solidFill>
              <a:prstDash val="solid"/>
              <a:round/>
            </a:ln>
            <a:effectLst/>
          </c:spPr>
          <c:marker>
            <c:symbol val="none"/>
          </c:marker>
          <c:cat>
            <c:numRef>
              <c:f>'Ejercicio 25'!$B$21:$B$129</c:f>
              <c:numCache>
                <c:formatCode>General</c:formatCode>
                <c:ptCount val="109"/>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pt idx="101">
                  <c:v>151</c:v>
                </c:pt>
                <c:pt idx="102">
                  <c:v>152</c:v>
                </c:pt>
                <c:pt idx="103">
                  <c:v>153</c:v>
                </c:pt>
                <c:pt idx="104">
                  <c:v>154</c:v>
                </c:pt>
                <c:pt idx="105">
                  <c:v>155</c:v>
                </c:pt>
                <c:pt idx="106">
                  <c:v>156</c:v>
                </c:pt>
                <c:pt idx="107">
                  <c:v>157</c:v>
                </c:pt>
                <c:pt idx="108">
                  <c:v>158</c:v>
                </c:pt>
              </c:numCache>
            </c:numRef>
          </c:cat>
          <c:val>
            <c:numRef>
              <c:f>'Ejercicio 25'!$E$21:$E$129</c:f>
              <c:numCache>
                <c:formatCode>General</c:formatCode>
                <c:ptCount val="1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1</c:v>
                </c:pt>
                <c:pt idx="58">
                  <c:v>2</c:v>
                </c:pt>
                <c:pt idx="59">
                  <c:v>3</c:v>
                </c:pt>
                <c:pt idx="60">
                  <c:v>4</c:v>
                </c:pt>
                <c:pt idx="61">
                  <c:v>5</c:v>
                </c:pt>
                <c:pt idx="62">
                  <c:v>6</c:v>
                </c:pt>
                <c:pt idx="63">
                  <c:v>7</c:v>
                </c:pt>
                <c:pt idx="64">
                  <c:v>8</c:v>
                </c:pt>
                <c:pt idx="65">
                  <c:v>9</c:v>
                </c:pt>
                <c:pt idx="66">
                  <c:v>10</c:v>
                </c:pt>
                <c:pt idx="67">
                  <c:v>11</c:v>
                </c:pt>
                <c:pt idx="68">
                  <c:v>12</c:v>
                </c:pt>
                <c:pt idx="69">
                  <c:v>13</c:v>
                </c:pt>
                <c:pt idx="70">
                  <c:v>14</c:v>
                </c:pt>
                <c:pt idx="71">
                  <c:v>15</c:v>
                </c:pt>
                <c:pt idx="72">
                  <c:v>16</c:v>
                </c:pt>
                <c:pt idx="73">
                  <c:v>17</c:v>
                </c:pt>
                <c:pt idx="74">
                  <c:v>18</c:v>
                </c:pt>
                <c:pt idx="75">
                  <c:v>19</c:v>
                </c:pt>
                <c:pt idx="76">
                  <c:v>20</c:v>
                </c:pt>
                <c:pt idx="77">
                  <c:v>21</c:v>
                </c:pt>
                <c:pt idx="78">
                  <c:v>22</c:v>
                </c:pt>
                <c:pt idx="79">
                  <c:v>23</c:v>
                </c:pt>
                <c:pt idx="80">
                  <c:v>24</c:v>
                </c:pt>
                <c:pt idx="81">
                  <c:v>25</c:v>
                </c:pt>
                <c:pt idx="82">
                  <c:v>26</c:v>
                </c:pt>
                <c:pt idx="83">
                  <c:v>27</c:v>
                </c:pt>
                <c:pt idx="84">
                  <c:v>28</c:v>
                </c:pt>
                <c:pt idx="85">
                  <c:v>29</c:v>
                </c:pt>
                <c:pt idx="86">
                  <c:v>30</c:v>
                </c:pt>
                <c:pt idx="87">
                  <c:v>31</c:v>
                </c:pt>
                <c:pt idx="88">
                  <c:v>32</c:v>
                </c:pt>
                <c:pt idx="89">
                  <c:v>33</c:v>
                </c:pt>
                <c:pt idx="90">
                  <c:v>34</c:v>
                </c:pt>
                <c:pt idx="91">
                  <c:v>35</c:v>
                </c:pt>
                <c:pt idx="92">
                  <c:v>36</c:v>
                </c:pt>
                <c:pt idx="93">
                  <c:v>37</c:v>
                </c:pt>
                <c:pt idx="94">
                  <c:v>38</c:v>
                </c:pt>
                <c:pt idx="95">
                  <c:v>39</c:v>
                </c:pt>
                <c:pt idx="96">
                  <c:v>40</c:v>
                </c:pt>
                <c:pt idx="97">
                  <c:v>41</c:v>
                </c:pt>
                <c:pt idx="98">
                  <c:v>42</c:v>
                </c:pt>
                <c:pt idx="99">
                  <c:v>43</c:v>
                </c:pt>
                <c:pt idx="100">
                  <c:v>44</c:v>
                </c:pt>
                <c:pt idx="101">
                  <c:v>45</c:v>
                </c:pt>
                <c:pt idx="102">
                  <c:v>46</c:v>
                </c:pt>
                <c:pt idx="103">
                  <c:v>47</c:v>
                </c:pt>
                <c:pt idx="104">
                  <c:v>48</c:v>
                </c:pt>
                <c:pt idx="105">
                  <c:v>49</c:v>
                </c:pt>
                <c:pt idx="106">
                  <c:v>50</c:v>
                </c:pt>
                <c:pt idx="107">
                  <c:v>51</c:v>
                </c:pt>
                <c:pt idx="108">
                  <c:v>52</c:v>
                </c:pt>
              </c:numCache>
            </c:numRef>
          </c:val>
          <c:smooth val="0"/>
          <c:extLst>
            <c:ext xmlns:c16="http://schemas.microsoft.com/office/drawing/2014/chart" uri="{C3380CC4-5D6E-409C-BE32-E72D297353CC}">
              <c16:uniqueId val="{00000006-6418-42A5-9850-3E5803315070}"/>
            </c:ext>
          </c:extLst>
        </c:ser>
        <c:ser>
          <c:idx val="4"/>
          <c:order val="3"/>
          <c:tx>
            <c:strRef>
              <c:f>'Ejercicio 25'!$F$20</c:f>
              <c:strCache>
                <c:ptCount val="1"/>
                <c:pt idx="0">
                  <c:v>C_910</c:v>
                </c:pt>
              </c:strCache>
            </c:strRef>
          </c:tx>
          <c:spPr>
            <a:ln w="28575" cap="rnd">
              <a:solidFill>
                <a:schemeClr val="accent5"/>
              </a:solidFill>
              <a:round/>
            </a:ln>
            <a:effectLst/>
          </c:spPr>
          <c:marker>
            <c:symbol val="none"/>
          </c:marker>
          <c:cat>
            <c:numRef>
              <c:f>'Ejercicio 25'!$B$21:$B$129</c:f>
              <c:numCache>
                <c:formatCode>General</c:formatCode>
                <c:ptCount val="109"/>
                <c:pt idx="0">
                  <c:v>50</c:v>
                </c:pt>
                <c:pt idx="1">
                  <c:v>51</c:v>
                </c:pt>
                <c:pt idx="2">
                  <c:v>52</c:v>
                </c:pt>
                <c:pt idx="3">
                  <c:v>53</c:v>
                </c:pt>
                <c:pt idx="4">
                  <c:v>54</c:v>
                </c:pt>
                <c:pt idx="5">
                  <c:v>55</c:v>
                </c:pt>
                <c:pt idx="6">
                  <c:v>56</c:v>
                </c:pt>
                <c:pt idx="7">
                  <c:v>57</c:v>
                </c:pt>
                <c:pt idx="8">
                  <c:v>58</c:v>
                </c:pt>
                <c:pt idx="9">
                  <c:v>59</c:v>
                </c:pt>
                <c:pt idx="10">
                  <c:v>60</c:v>
                </c:pt>
                <c:pt idx="11">
                  <c:v>61</c:v>
                </c:pt>
                <c:pt idx="12">
                  <c:v>62</c:v>
                </c:pt>
                <c:pt idx="13">
                  <c:v>63</c:v>
                </c:pt>
                <c:pt idx="14">
                  <c:v>64</c:v>
                </c:pt>
                <c:pt idx="15">
                  <c:v>65</c:v>
                </c:pt>
                <c:pt idx="16">
                  <c:v>66</c:v>
                </c:pt>
                <c:pt idx="17">
                  <c:v>67</c:v>
                </c:pt>
                <c:pt idx="18">
                  <c:v>68</c:v>
                </c:pt>
                <c:pt idx="19">
                  <c:v>69</c:v>
                </c:pt>
                <c:pt idx="20">
                  <c:v>70</c:v>
                </c:pt>
                <c:pt idx="21">
                  <c:v>71</c:v>
                </c:pt>
                <c:pt idx="22">
                  <c:v>72</c:v>
                </c:pt>
                <c:pt idx="23">
                  <c:v>73</c:v>
                </c:pt>
                <c:pt idx="24">
                  <c:v>74</c:v>
                </c:pt>
                <c:pt idx="25">
                  <c:v>75</c:v>
                </c:pt>
                <c:pt idx="26">
                  <c:v>76</c:v>
                </c:pt>
                <c:pt idx="27">
                  <c:v>77</c:v>
                </c:pt>
                <c:pt idx="28">
                  <c:v>78</c:v>
                </c:pt>
                <c:pt idx="29">
                  <c:v>79</c:v>
                </c:pt>
                <c:pt idx="30">
                  <c:v>80</c:v>
                </c:pt>
                <c:pt idx="31">
                  <c:v>81</c:v>
                </c:pt>
                <c:pt idx="32">
                  <c:v>82</c:v>
                </c:pt>
                <c:pt idx="33">
                  <c:v>83</c:v>
                </c:pt>
                <c:pt idx="34">
                  <c:v>84</c:v>
                </c:pt>
                <c:pt idx="35">
                  <c:v>85</c:v>
                </c:pt>
                <c:pt idx="36">
                  <c:v>86</c:v>
                </c:pt>
                <c:pt idx="37">
                  <c:v>87</c:v>
                </c:pt>
                <c:pt idx="38">
                  <c:v>88</c:v>
                </c:pt>
                <c:pt idx="39">
                  <c:v>89</c:v>
                </c:pt>
                <c:pt idx="40">
                  <c:v>90</c:v>
                </c:pt>
                <c:pt idx="41">
                  <c:v>91</c:v>
                </c:pt>
                <c:pt idx="42">
                  <c:v>92</c:v>
                </c:pt>
                <c:pt idx="43">
                  <c:v>93</c:v>
                </c:pt>
                <c:pt idx="44">
                  <c:v>94</c:v>
                </c:pt>
                <c:pt idx="45">
                  <c:v>95</c:v>
                </c:pt>
                <c:pt idx="46">
                  <c:v>96</c:v>
                </c:pt>
                <c:pt idx="47">
                  <c:v>97</c:v>
                </c:pt>
                <c:pt idx="48">
                  <c:v>98</c:v>
                </c:pt>
                <c:pt idx="49">
                  <c:v>99</c:v>
                </c:pt>
                <c:pt idx="50">
                  <c:v>100</c:v>
                </c:pt>
                <c:pt idx="51">
                  <c:v>101</c:v>
                </c:pt>
                <c:pt idx="52">
                  <c:v>102</c:v>
                </c:pt>
                <c:pt idx="53">
                  <c:v>103</c:v>
                </c:pt>
                <c:pt idx="54">
                  <c:v>104</c:v>
                </c:pt>
                <c:pt idx="55">
                  <c:v>105</c:v>
                </c:pt>
                <c:pt idx="56">
                  <c:v>106</c:v>
                </c:pt>
                <c:pt idx="57">
                  <c:v>107</c:v>
                </c:pt>
                <c:pt idx="58">
                  <c:v>108</c:v>
                </c:pt>
                <c:pt idx="59">
                  <c:v>109</c:v>
                </c:pt>
                <c:pt idx="60">
                  <c:v>110</c:v>
                </c:pt>
                <c:pt idx="61">
                  <c:v>111</c:v>
                </c:pt>
                <c:pt idx="62">
                  <c:v>112</c:v>
                </c:pt>
                <c:pt idx="63">
                  <c:v>113</c:v>
                </c:pt>
                <c:pt idx="64">
                  <c:v>114</c:v>
                </c:pt>
                <c:pt idx="65">
                  <c:v>115</c:v>
                </c:pt>
                <c:pt idx="66">
                  <c:v>116</c:v>
                </c:pt>
                <c:pt idx="67">
                  <c:v>117</c:v>
                </c:pt>
                <c:pt idx="68">
                  <c:v>118</c:v>
                </c:pt>
                <c:pt idx="69">
                  <c:v>119</c:v>
                </c:pt>
                <c:pt idx="70">
                  <c:v>120</c:v>
                </c:pt>
                <c:pt idx="71">
                  <c:v>121</c:v>
                </c:pt>
                <c:pt idx="72">
                  <c:v>122</c:v>
                </c:pt>
                <c:pt idx="73">
                  <c:v>123</c:v>
                </c:pt>
                <c:pt idx="74">
                  <c:v>124</c:v>
                </c:pt>
                <c:pt idx="75">
                  <c:v>125</c:v>
                </c:pt>
                <c:pt idx="76">
                  <c:v>126</c:v>
                </c:pt>
                <c:pt idx="77">
                  <c:v>127</c:v>
                </c:pt>
                <c:pt idx="78">
                  <c:v>128</c:v>
                </c:pt>
                <c:pt idx="79">
                  <c:v>129</c:v>
                </c:pt>
                <c:pt idx="80">
                  <c:v>130</c:v>
                </c:pt>
                <c:pt idx="81">
                  <c:v>131</c:v>
                </c:pt>
                <c:pt idx="82">
                  <c:v>132</c:v>
                </c:pt>
                <c:pt idx="83">
                  <c:v>133</c:v>
                </c:pt>
                <c:pt idx="84">
                  <c:v>134</c:v>
                </c:pt>
                <c:pt idx="85">
                  <c:v>135</c:v>
                </c:pt>
                <c:pt idx="86">
                  <c:v>136</c:v>
                </c:pt>
                <c:pt idx="87">
                  <c:v>137</c:v>
                </c:pt>
                <c:pt idx="88">
                  <c:v>138</c:v>
                </c:pt>
                <c:pt idx="89">
                  <c:v>139</c:v>
                </c:pt>
                <c:pt idx="90">
                  <c:v>140</c:v>
                </c:pt>
                <c:pt idx="91">
                  <c:v>141</c:v>
                </c:pt>
                <c:pt idx="92">
                  <c:v>142</c:v>
                </c:pt>
                <c:pt idx="93">
                  <c:v>143</c:v>
                </c:pt>
                <c:pt idx="94">
                  <c:v>144</c:v>
                </c:pt>
                <c:pt idx="95">
                  <c:v>145</c:v>
                </c:pt>
                <c:pt idx="96">
                  <c:v>146</c:v>
                </c:pt>
                <c:pt idx="97">
                  <c:v>147</c:v>
                </c:pt>
                <c:pt idx="98">
                  <c:v>148</c:v>
                </c:pt>
                <c:pt idx="99">
                  <c:v>149</c:v>
                </c:pt>
                <c:pt idx="100">
                  <c:v>150</c:v>
                </c:pt>
                <c:pt idx="101">
                  <c:v>151</c:v>
                </c:pt>
                <c:pt idx="102">
                  <c:v>152</c:v>
                </c:pt>
                <c:pt idx="103">
                  <c:v>153</c:v>
                </c:pt>
                <c:pt idx="104">
                  <c:v>154</c:v>
                </c:pt>
                <c:pt idx="105">
                  <c:v>155</c:v>
                </c:pt>
                <c:pt idx="106">
                  <c:v>156</c:v>
                </c:pt>
                <c:pt idx="107">
                  <c:v>157</c:v>
                </c:pt>
                <c:pt idx="108">
                  <c:v>158</c:v>
                </c:pt>
              </c:numCache>
            </c:numRef>
          </c:cat>
          <c:val>
            <c:numRef>
              <c:f>'Ejercicio 25'!$F$21:$F$129</c:f>
              <c:numCache>
                <c:formatCode>General</c:formatCode>
                <c:ptCount val="10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1</c:v>
                </c:pt>
                <c:pt idx="55">
                  <c:v>2</c:v>
                </c:pt>
                <c:pt idx="56">
                  <c:v>3</c:v>
                </c:pt>
                <c:pt idx="57">
                  <c:v>4</c:v>
                </c:pt>
                <c:pt idx="58">
                  <c:v>5</c:v>
                </c:pt>
                <c:pt idx="59">
                  <c:v>6</c:v>
                </c:pt>
                <c:pt idx="60">
                  <c:v>7</c:v>
                </c:pt>
                <c:pt idx="61">
                  <c:v>8</c:v>
                </c:pt>
                <c:pt idx="62">
                  <c:v>9</c:v>
                </c:pt>
                <c:pt idx="63">
                  <c:v>10</c:v>
                </c:pt>
                <c:pt idx="64">
                  <c:v>11</c:v>
                </c:pt>
                <c:pt idx="65">
                  <c:v>12</c:v>
                </c:pt>
                <c:pt idx="66">
                  <c:v>13</c:v>
                </c:pt>
                <c:pt idx="67">
                  <c:v>14</c:v>
                </c:pt>
                <c:pt idx="68">
                  <c:v>15</c:v>
                </c:pt>
                <c:pt idx="69">
                  <c:v>16</c:v>
                </c:pt>
                <c:pt idx="70">
                  <c:v>17</c:v>
                </c:pt>
                <c:pt idx="71">
                  <c:v>18</c:v>
                </c:pt>
                <c:pt idx="72">
                  <c:v>19</c:v>
                </c:pt>
                <c:pt idx="73">
                  <c:v>20</c:v>
                </c:pt>
                <c:pt idx="74">
                  <c:v>21</c:v>
                </c:pt>
                <c:pt idx="75">
                  <c:v>22</c:v>
                </c:pt>
                <c:pt idx="76">
                  <c:v>23</c:v>
                </c:pt>
                <c:pt idx="77">
                  <c:v>24</c:v>
                </c:pt>
                <c:pt idx="78">
                  <c:v>25</c:v>
                </c:pt>
                <c:pt idx="79">
                  <c:v>26</c:v>
                </c:pt>
                <c:pt idx="80">
                  <c:v>27</c:v>
                </c:pt>
                <c:pt idx="81">
                  <c:v>28</c:v>
                </c:pt>
                <c:pt idx="82">
                  <c:v>29</c:v>
                </c:pt>
                <c:pt idx="83">
                  <c:v>30</c:v>
                </c:pt>
                <c:pt idx="84">
                  <c:v>31</c:v>
                </c:pt>
                <c:pt idx="85">
                  <c:v>32</c:v>
                </c:pt>
                <c:pt idx="86">
                  <c:v>33</c:v>
                </c:pt>
                <c:pt idx="87">
                  <c:v>34</c:v>
                </c:pt>
                <c:pt idx="88">
                  <c:v>35</c:v>
                </c:pt>
                <c:pt idx="89">
                  <c:v>36</c:v>
                </c:pt>
                <c:pt idx="90">
                  <c:v>37</c:v>
                </c:pt>
                <c:pt idx="91">
                  <c:v>38</c:v>
                </c:pt>
                <c:pt idx="92">
                  <c:v>39</c:v>
                </c:pt>
                <c:pt idx="93">
                  <c:v>40</c:v>
                </c:pt>
                <c:pt idx="94">
                  <c:v>41</c:v>
                </c:pt>
                <c:pt idx="95">
                  <c:v>42</c:v>
                </c:pt>
                <c:pt idx="96">
                  <c:v>43</c:v>
                </c:pt>
                <c:pt idx="97">
                  <c:v>44</c:v>
                </c:pt>
                <c:pt idx="98">
                  <c:v>45</c:v>
                </c:pt>
                <c:pt idx="99">
                  <c:v>46</c:v>
                </c:pt>
                <c:pt idx="100">
                  <c:v>47</c:v>
                </c:pt>
                <c:pt idx="101">
                  <c:v>48</c:v>
                </c:pt>
                <c:pt idx="102">
                  <c:v>49</c:v>
                </c:pt>
                <c:pt idx="103">
                  <c:v>50</c:v>
                </c:pt>
                <c:pt idx="104">
                  <c:v>51</c:v>
                </c:pt>
                <c:pt idx="105">
                  <c:v>52</c:v>
                </c:pt>
                <c:pt idx="106">
                  <c:v>53</c:v>
                </c:pt>
                <c:pt idx="107">
                  <c:v>54</c:v>
                </c:pt>
                <c:pt idx="108">
                  <c:v>55</c:v>
                </c:pt>
              </c:numCache>
            </c:numRef>
          </c:val>
          <c:smooth val="0"/>
          <c:extLst>
            <c:ext xmlns:c16="http://schemas.microsoft.com/office/drawing/2014/chart" uri="{C3380CC4-5D6E-409C-BE32-E72D297353CC}">
              <c16:uniqueId val="{00000008-6418-42A5-9850-3E5803315070}"/>
            </c:ext>
          </c:extLst>
        </c:ser>
        <c:dLbls>
          <c:showLegendKey val="0"/>
          <c:showVal val="0"/>
          <c:showCatName val="0"/>
          <c:showSerName val="0"/>
          <c:showPercent val="0"/>
          <c:showBubbleSize val="0"/>
        </c:dLbls>
        <c:smooth val="0"/>
        <c:axId val="1825623560"/>
        <c:axId val="1826161160"/>
      </c:lineChart>
      <c:catAx>
        <c:axId val="182562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161160"/>
        <c:crosses val="autoZero"/>
        <c:auto val="1"/>
        <c:lblAlgn val="ctr"/>
        <c:lblOffset val="100"/>
        <c:noMultiLvlLbl val="0"/>
      </c:catAx>
      <c:valAx>
        <c:axId val="18261611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6235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 por periodo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2"/>
          <c:order val="0"/>
          <c:tx>
            <c:strRef>
              <c:f>'Ejercicio 25'!$D$6</c:f>
              <c:strCache>
                <c:ptCount val="1"/>
                <c:pt idx="0">
                  <c:v>K</c:v>
                </c:pt>
              </c:strCache>
            </c:strRef>
          </c:tx>
          <c:spPr>
            <a:ln w="28575" cap="rnd">
              <a:solidFill>
                <a:srgbClr val="782170"/>
              </a:solidFill>
              <a:prstDash val="solid"/>
              <a:round/>
            </a:ln>
            <a:effectLst/>
          </c:spPr>
          <c:marker>
            <c:symbol val="none"/>
          </c:marker>
          <c:cat>
            <c:numRef>
              <c:f>'Ejercicio 25'!$B$7:$B$16</c:f>
              <c:numCache>
                <c:formatCode>General</c:formatCode>
                <c:ptCount val="10"/>
                <c:pt idx="0">
                  <c:v>1</c:v>
                </c:pt>
                <c:pt idx="1">
                  <c:v>2</c:v>
                </c:pt>
                <c:pt idx="2">
                  <c:v>3</c:v>
                </c:pt>
                <c:pt idx="3">
                  <c:v>4</c:v>
                </c:pt>
                <c:pt idx="4">
                  <c:v>5</c:v>
                </c:pt>
                <c:pt idx="5">
                  <c:v>6</c:v>
                </c:pt>
                <c:pt idx="6">
                  <c:v>7</c:v>
                </c:pt>
                <c:pt idx="7">
                  <c:v>8</c:v>
                </c:pt>
                <c:pt idx="8">
                  <c:v>9</c:v>
                </c:pt>
                <c:pt idx="9">
                  <c:v>10</c:v>
                </c:pt>
              </c:numCache>
            </c:numRef>
          </c:cat>
          <c:val>
            <c:numRef>
              <c:f>'Ejercicio 25'!$D$7:$D$16</c:f>
              <c:numCache>
                <c:formatCode>General</c:formatCode>
                <c:ptCount val="10"/>
                <c:pt idx="0">
                  <c:v>0</c:v>
                </c:pt>
                <c:pt idx="1">
                  <c:v>0</c:v>
                </c:pt>
                <c:pt idx="2">
                  <c:v>110</c:v>
                </c:pt>
                <c:pt idx="3">
                  <c:v>110</c:v>
                </c:pt>
                <c:pt idx="4">
                  <c:v>107.5</c:v>
                </c:pt>
                <c:pt idx="5">
                  <c:v>107.5</c:v>
                </c:pt>
                <c:pt idx="6">
                  <c:v>106</c:v>
                </c:pt>
                <c:pt idx="7">
                  <c:v>106</c:v>
                </c:pt>
                <c:pt idx="8">
                  <c:v>103</c:v>
                </c:pt>
                <c:pt idx="9">
                  <c:v>103</c:v>
                </c:pt>
              </c:numCache>
            </c:numRef>
          </c:val>
          <c:smooth val="0"/>
          <c:extLst>
            <c:ext xmlns:c16="http://schemas.microsoft.com/office/drawing/2014/chart" uri="{C3380CC4-5D6E-409C-BE32-E72D297353CC}">
              <c16:uniqueId val="{00000004-19E8-4CDD-AE8A-64C168651F63}"/>
            </c:ext>
          </c:extLst>
        </c:ser>
        <c:dLbls>
          <c:showLegendKey val="0"/>
          <c:showVal val="0"/>
          <c:showCatName val="0"/>
          <c:showSerName val="0"/>
          <c:showPercent val="0"/>
          <c:showBubbleSize val="0"/>
        </c:dLbls>
        <c:smooth val="0"/>
        <c:axId val="1835871240"/>
        <c:axId val="1835787272"/>
      </c:lineChart>
      <c:catAx>
        <c:axId val="1835871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787272"/>
        <c:crosses val="autoZero"/>
        <c:auto val="1"/>
        <c:lblAlgn val="ctr"/>
        <c:lblOffset val="100"/>
        <c:noMultiLvlLbl val="0"/>
      </c:catAx>
      <c:valAx>
        <c:axId val="1835787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8712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Distribución de Rendmientos diarios.</cx:v>
        </cx:txData>
      </cx:tx>
      <cx:txPr>
        <a:bodyPr spcFirstLastPara="1" vertOverflow="ellipsis" horzOverflow="overflow" wrap="square" lIns="0" tIns="0" rIns="0" bIns="0" anchor="ctr" anchorCtr="1"/>
        <a:lstStyle/>
        <a:p>
          <a:pPr algn="ctr" rtl="0">
            <a:defRPr/>
          </a:pPr>
          <a:r>
            <a:rPr lang="es-MX" sz="1400" b="0" i="0" u="none" strike="noStrike" baseline="0">
              <a:solidFill>
                <a:sysClr val="windowText" lastClr="C6C6C6">
                  <a:lumMod val="65000"/>
                  <a:lumOff val="35000"/>
                </a:sysClr>
              </a:solidFill>
              <a:latin typeface="Aptos Narrow" panose="02110004020202020204"/>
            </a:rPr>
            <a:t>Distribución de Rendmientos diarios.</a:t>
          </a:r>
        </a:p>
      </cx:txPr>
    </cx:title>
    <cx:plotArea>
      <cx:plotAreaRegion>
        <cx:series layoutId="clusteredColumn" uniqueId="{92DE292F-A4BC-C842-A3EB-72A3F2645DA4}" formatIdx="0">
          <cx:tx>
            <cx:txData>
              <cx:f>_xlchart.v1.0</cx:f>
              <cx:v>Rendimiento Diario</cx:v>
            </cx:txData>
          </cx:tx>
          <cx:dataLabels pos="inEnd">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layoutPr>
            <cx:binning intervalClosed="r"/>
          </cx:layoutPr>
        </cx:series>
      </cx:plotAreaRegion>
      <cx:axis id="0">
        <cx:catScaling gapWidth="0"/>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axis id="1">
        <cx:valScaling/>
        <cx:majorGridlines/>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37">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38100" cap="flat" cmpd="dbl" algn="ctr">
        <a:solidFill>
          <a:schemeClr val="phClr"/>
        </a:solidFill>
        <a:miter lim="800000"/>
      </a:ln>
    </cs:spPr>
  </cs:dataPointLine>
  <cs:dataPointMarker>
    <cs:lnRef idx="0">
      <cs:styleClr val="auto"/>
    </cs:lnRef>
    <cs:fillRef idx="0">
      <cs:styleClr val="auto"/>
    </cs:fillRef>
    <cs:effectRef idx="0"/>
    <cs:fontRef idx="minor">
      <a:schemeClr val="tx1"/>
    </cs:fontRef>
    <cs:spPr>
      <a:solidFill>
        <a:schemeClr val="phClr"/>
      </a:solidFill>
      <a:ln w="9525" cap="flat" cmpd="sng" algn="ctr">
        <a:solidFill>
          <a:schemeClr val="lt1"/>
        </a:solidFill>
        <a:round/>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tx1"/>
    </cs:fontRef>
    <cs:spPr>
      <a:ln w="9525">
        <a:solidFill>
          <a:schemeClr val="tx1">
            <a:lumMod val="35000"/>
            <a:lumOff val="65000"/>
          </a:schemeClr>
        </a:solidFill>
      </a:ln>
    </cs:spPr>
  </cs:dropLine>
  <cs:errorBar>
    <cs:lnRef idx="0"/>
    <cs:fillRef idx="0"/>
    <cs:effectRef idx="0"/>
    <cs:fontRef idx="minor">
      <a:schemeClr val="tx1"/>
    </cs:fontRef>
    <cs:spPr>
      <a:ln w="9525">
        <a:solidFill>
          <a:schemeClr val="tx1">
            <a:lumMod val="65000"/>
            <a:lumOff val="35000"/>
          </a:schemeClr>
        </a:solidFill>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alpha val="32000"/>
          </a:schemeClr>
        </a:solidFill>
        <a:round/>
      </a:ln>
    </cs:spPr>
  </cs:gridlineMajor>
  <cs:gridlineMinor>
    <cs:lnRef idx="0"/>
    <cs:fillRef idx="0"/>
    <cs:effectRef idx="0"/>
    <cs:fontRef idx="minor">
      <a:schemeClr val="tx1"/>
    </cs:fontRef>
    <cs:spPr>
      <a:ln>
        <a:solidFill>
          <a:schemeClr val="tx1">
            <a:lumMod val="5000"/>
            <a:lumOff val="95000"/>
            <a:alpha val="32000"/>
          </a:schemeClr>
        </a:solidFill>
      </a:ln>
    </cs:spPr>
  </cs:gridlineMinor>
  <cs:hiLoLine>
    <cs:lnRef idx="0"/>
    <cs:fillRef idx="0"/>
    <cs:effectRef idx="0"/>
    <cs:fontRef idx="minor">
      <a:schemeClr val="tx1"/>
    </cs:fontRef>
    <cs:spPr>
      <a:ln w="9525">
        <a:solidFill>
          <a:schemeClr val="tx1"/>
        </a:solidFill>
      </a:ln>
    </cs:spPr>
  </cs:hiLoLine>
  <cs:leaderLine>
    <cs:lnRef idx="0"/>
    <cs:fillRef idx="0"/>
    <cs:effectRef idx="0"/>
    <cs:fontRef idx="minor">
      <a:schemeClr val="tx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cs:fontRef>
    <cs:spPr>
      <a:ln w="3175" cap="flat" cmpd="sng" algn="ctr">
        <a:solidFill>
          <a:schemeClr val="tx1">
            <a:lumMod val="15000"/>
            <a:lumOff val="85000"/>
          </a:schemeClr>
        </a:solidFill>
        <a:round/>
        <a:tailEnd type="none" w="med" len="lg"/>
      </a:ln>
    </cs:spPr>
    <cs:defRPr sz="900" kern="1200"/>
  </cs:seriesAxis>
  <cs:seriesLine>
    <cs:lnRef idx="0"/>
    <cs:fillRef idx="0"/>
    <cs:effectRef idx="0"/>
    <cs:fontRef idx="minor">
      <a:schemeClr val="tx1"/>
    </cs:fontRef>
    <cs:spPr>
      <a:ln w="9525">
        <a:solidFill>
          <a:schemeClr val="tx1">
            <a:lumMod val="35000"/>
            <a:lumOff val="65000"/>
          </a:schemeClr>
        </a:solidFill>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2700" cap="rnd"/>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3175" cap="flat" cmpd="sng" algn="ctr">
        <a:solidFill>
          <a:schemeClr val="tx1">
            <a:lumMod val="15000"/>
            <a:lumOff val="85000"/>
          </a:schemeClr>
        </a:solidFill>
        <a:round/>
        <a:tailEnd type="none" w="med" len="lg"/>
      </a:ln>
    </cs:spPr>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8.emf"/><Relationship Id="rId18" Type="http://schemas.openxmlformats.org/officeDocument/2006/relationships/image" Target="../media/image11.png"/><Relationship Id="rId26" Type="http://schemas.openxmlformats.org/officeDocument/2006/relationships/chart" Target="../charts/chart10.xml"/><Relationship Id="rId39" Type="http://schemas.openxmlformats.org/officeDocument/2006/relationships/chart" Target="../charts/chart13.xml"/><Relationship Id="rId21" Type="http://schemas.openxmlformats.org/officeDocument/2006/relationships/image" Target="../media/image14.emf"/><Relationship Id="rId34" Type="http://schemas.openxmlformats.org/officeDocument/2006/relationships/chart" Target="../charts/chart12.xml"/><Relationship Id="rId42" Type="http://schemas.openxmlformats.org/officeDocument/2006/relationships/chart" Target="../charts/chart14.xml"/><Relationship Id="rId47" Type="http://schemas.openxmlformats.org/officeDocument/2006/relationships/image" Target="../media/image32.emf"/><Relationship Id="rId50" Type="http://schemas.openxmlformats.org/officeDocument/2006/relationships/image" Target="../media/image35.png"/><Relationship Id="rId55" Type="http://schemas.openxmlformats.org/officeDocument/2006/relationships/image" Target="../media/image40.emf"/><Relationship Id="rId7" Type="http://schemas.openxmlformats.org/officeDocument/2006/relationships/image" Target="../media/image3.emf"/><Relationship Id="rId2" Type="http://schemas.openxmlformats.org/officeDocument/2006/relationships/chart" Target="../charts/chart2.xml"/><Relationship Id="rId16" Type="http://schemas.openxmlformats.org/officeDocument/2006/relationships/chart" Target="../charts/chart6.xml"/><Relationship Id="rId29" Type="http://schemas.openxmlformats.org/officeDocument/2006/relationships/image" Target="../media/image18.emf"/><Relationship Id="rId11" Type="http://schemas.openxmlformats.org/officeDocument/2006/relationships/image" Target="../media/image7.emf"/><Relationship Id="rId24" Type="http://schemas.openxmlformats.org/officeDocument/2006/relationships/chart" Target="../charts/chart8.xml"/><Relationship Id="rId32" Type="http://schemas.openxmlformats.org/officeDocument/2006/relationships/image" Target="../media/image21.png"/><Relationship Id="rId37" Type="http://schemas.openxmlformats.org/officeDocument/2006/relationships/image" Target="../media/image24.png"/><Relationship Id="rId40" Type="http://schemas.openxmlformats.org/officeDocument/2006/relationships/image" Target="../media/image26.emf"/><Relationship Id="rId45" Type="http://schemas.openxmlformats.org/officeDocument/2006/relationships/image" Target="../media/image30.emf"/><Relationship Id="rId53" Type="http://schemas.openxmlformats.org/officeDocument/2006/relationships/image" Target="../media/image38.png"/><Relationship Id="rId58" Type="http://schemas.openxmlformats.org/officeDocument/2006/relationships/chart" Target="../charts/chart17.xml"/><Relationship Id="rId5" Type="http://schemas.openxmlformats.org/officeDocument/2006/relationships/image" Target="../media/image1.emf"/><Relationship Id="rId61" Type="http://schemas.openxmlformats.org/officeDocument/2006/relationships/chart" Target="../charts/chart20.xml"/><Relationship Id="rId19" Type="http://schemas.openxmlformats.org/officeDocument/2006/relationships/image" Target="../media/image12.png"/><Relationship Id="rId14" Type="http://schemas.openxmlformats.org/officeDocument/2006/relationships/image" Target="../media/image9.emf"/><Relationship Id="rId22" Type="http://schemas.openxmlformats.org/officeDocument/2006/relationships/image" Target="../media/image15.emf"/><Relationship Id="rId27" Type="http://schemas.microsoft.com/office/2014/relationships/chartEx" Target="../charts/chartEx1.xml"/><Relationship Id="rId30" Type="http://schemas.openxmlformats.org/officeDocument/2006/relationships/image" Target="../media/image19.png"/><Relationship Id="rId35" Type="http://schemas.openxmlformats.org/officeDocument/2006/relationships/image" Target="../media/image22.png"/><Relationship Id="rId43" Type="http://schemas.openxmlformats.org/officeDocument/2006/relationships/image" Target="../media/image28.png"/><Relationship Id="rId48" Type="http://schemas.openxmlformats.org/officeDocument/2006/relationships/image" Target="../media/image33.emf"/><Relationship Id="rId56" Type="http://schemas.openxmlformats.org/officeDocument/2006/relationships/chart" Target="../charts/chart15.xml"/><Relationship Id="rId8" Type="http://schemas.openxmlformats.org/officeDocument/2006/relationships/image" Target="../media/image4.emf"/><Relationship Id="rId51" Type="http://schemas.openxmlformats.org/officeDocument/2006/relationships/image" Target="../media/image36.png"/><Relationship Id="rId3" Type="http://schemas.openxmlformats.org/officeDocument/2006/relationships/chart" Target="../charts/chart3.xml"/><Relationship Id="rId12" Type="http://schemas.openxmlformats.org/officeDocument/2006/relationships/chart" Target="../charts/chart5.xml"/><Relationship Id="rId17" Type="http://schemas.openxmlformats.org/officeDocument/2006/relationships/chart" Target="../charts/chart7.xml"/><Relationship Id="rId25" Type="http://schemas.openxmlformats.org/officeDocument/2006/relationships/chart" Target="../charts/chart9.xml"/><Relationship Id="rId33" Type="http://schemas.openxmlformats.org/officeDocument/2006/relationships/chart" Target="../charts/chart11.xml"/><Relationship Id="rId38" Type="http://schemas.openxmlformats.org/officeDocument/2006/relationships/image" Target="../media/image25.emf"/><Relationship Id="rId46" Type="http://schemas.openxmlformats.org/officeDocument/2006/relationships/image" Target="../media/image31.emf"/><Relationship Id="rId59" Type="http://schemas.openxmlformats.org/officeDocument/2006/relationships/chart" Target="../charts/chart18.xml"/><Relationship Id="rId20" Type="http://schemas.openxmlformats.org/officeDocument/2006/relationships/image" Target="../media/image13.png"/><Relationship Id="rId41" Type="http://schemas.openxmlformats.org/officeDocument/2006/relationships/image" Target="../media/image27.emf"/><Relationship Id="rId54" Type="http://schemas.openxmlformats.org/officeDocument/2006/relationships/image" Target="../media/image39.emf"/><Relationship Id="rId1" Type="http://schemas.openxmlformats.org/officeDocument/2006/relationships/chart" Target="../charts/chart1.xml"/><Relationship Id="rId6" Type="http://schemas.openxmlformats.org/officeDocument/2006/relationships/image" Target="../media/image2.emf"/><Relationship Id="rId15" Type="http://schemas.openxmlformats.org/officeDocument/2006/relationships/image" Target="../media/image10.emf"/><Relationship Id="rId23" Type="http://schemas.openxmlformats.org/officeDocument/2006/relationships/image" Target="../media/image16.emf"/><Relationship Id="rId28" Type="http://schemas.openxmlformats.org/officeDocument/2006/relationships/image" Target="../media/image17.emf"/><Relationship Id="rId36" Type="http://schemas.openxmlformats.org/officeDocument/2006/relationships/image" Target="../media/image23.emf"/><Relationship Id="rId49" Type="http://schemas.openxmlformats.org/officeDocument/2006/relationships/image" Target="../media/image34.emf"/><Relationship Id="rId57" Type="http://schemas.openxmlformats.org/officeDocument/2006/relationships/chart" Target="../charts/chart16.xml"/><Relationship Id="rId10" Type="http://schemas.openxmlformats.org/officeDocument/2006/relationships/image" Target="../media/image6.emf"/><Relationship Id="rId31" Type="http://schemas.openxmlformats.org/officeDocument/2006/relationships/image" Target="../media/image20.png"/><Relationship Id="rId44" Type="http://schemas.openxmlformats.org/officeDocument/2006/relationships/image" Target="../media/image29.emf"/><Relationship Id="rId52" Type="http://schemas.openxmlformats.org/officeDocument/2006/relationships/image" Target="../media/image37.png"/><Relationship Id="rId60"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image" Target="../media/image5.emf"/></Relationships>
</file>

<file path=xl/drawings/_rels/drawing2.xml.rels><?xml version="1.0" encoding="UTF-8" standalone="yes"?>
<Relationships xmlns="http://schemas.openxmlformats.org/package/2006/relationships"><Relationship Id="rId8" Type="http://schemas.openxmlformats.org/officeDocument/2006/relationships/image" Target="../media/image48.png"/><Relationship Id="rId3" Type="http://schemas.openxmlformats.org/officeDocument/2006/relationships/image" Target="../media/image43.png"/><Relationship Id="rId7" Type="http://schemas.openxmlformats.org/officeDocument/2006/relationships/image" Target="../media/image47.png"/><Relationship Id="rId12" Type="http://schemas.openxmlformats.org/officeDocument/2006/relationships/image" Target="../media/image52.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11" Type="http://schemas.openxmlformats.org/officeDocument/2006/relationships/image" Target="../media/image51.png"/><Relationship Id="rId5" Type="http://schemas.openxmlformats.org/officeDocument/2006/relationships/image" Target="../media/image45.png"/><Relationship Id="rId10" Type="http://schemas.openxmlformats.org/officeDocument/2006/relationships/image" Target="../media/image50.png"/><Relationship Id="rId4" Type="http://schemas.openxmlformats.org/officeDocument/2006/relationships/image" Target="../media/image44.png"/><Relationship Id="rId9" Type="http://schemas.openxmlformats.org/officeDocument/2006/relationships/image" Target="../media/image49.png"/></Relationships>
</file>

<file path=xl/drawings/_rels/drawing3.xml.rels><?xml version="1.0" encoding="UTF-8" standalone="yes"?>
<Relationships xmlns="http://schemas.openxmlformats.org/package/2006/relationships"><Relationship Id="rId3" Type="http://schemas.openxmlformats.org/officeDocument/2006/relationships/image" Target="../media/image4.emf"/><Relationship Id="rId2" Type="http://schemas.openxmlformats.org/officeDocument/2006/relationships/image" Target="../media/image3.emf"/><Relationship Id="rId1" Type="http://schemas.openxmlformats.org/officeDocument/2006/relationships/image" Target="../media/image1.emf"/><Relationship Id="rId4"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emf"/><Relationship Id="rId1" Type="http://schemas.openxmlformats.org/officeDocument/2006/relationships/image" Target="../media/image17.emf"/></Relationships>
</file>

<file path=xl/drawings/_rels/drawing5.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image" Target="../media/image53.png"/></Relationships>
</file>

<file path=xl/drawings/_rels/drawing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8.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image" Target="../media/image54.png"/></Relationships>
</file>

<file path=xl/drawings/_rels/drawing9.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image" Target="../media/image55.png"/></Relationships>
</file>

<file path=xl/drawings/_rels/drawing10.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image" Target="../media/image5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7.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8.png"/></Relationships>
</file>

<file path=xl/drawings/drawing1.xml><?xml version="1.0" encoding="utf-8"?>
<xdr:wsDr xmlns:xdr="http://schemas.openxmlformats.org/drawingml/2006/spreadsheetDrawing" xmlns:a="http://schemas.openxmlformats.org/drawingml/2006/main">
  <xdr:twoCellAnchor>
    <xdr:from>
      <xdr:col>11</xdr:col>
      <xdr:colOff>6350</xdr:colOff>
      <xdr:row>1</xdr:row>
      <xdr:rowOff>190500</xdr:rowOff>
    </xdr:from>
    <xdr:to>
      <xdr:col>17</xdr:col>
      <xdr:colOff>68035</xdr:colOff>
      <xdr:row>17</xdr:row>
      <xdr:rowOff>22679</xdr:rowOff>
    </xdr:to>
    <xdr:graphicFrame macro="">
      <xdr:nvGraphicFramePr>
        <xdr:cNvPr id="2" name="Gráfico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8537</xdr:colOff>
      <xdr:row>17</xdr:row>
      <xdr:rowOff>10458</xdr:rowOff>
    </xdr:from>
    <xdr:to>
      <xdr:col>17</xdr:col>
      <xdr:colOff>56696</xdr:colOff>
      <xdr:row>32</xdr:row>
      <xdr:rowOff>158749</xdr:rowOff>
    </xdr:to>
    <xdr:graphicFrame macro="">
      <xdr:nvGraphicFramePr>
        <xdr:cNvPr id="5" name="Gráfico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819628</xdr:colOff>
      <xdr:row>1</xdr:row>
      <xdr:rowOff>191887</xdr:rowOff>
    </xdr:from>
    <xdr:to>
      <xdr:col>23</xdr:col>
      <xdr:colOff>771071</xdr:colOff>
      <xdr:row>16</xdr:row>
      <xdr:rowOff>192767</xdr:rowOff>
    </xdr:to>
    <xdr:graphicFrame macro="">
      <xdr:nvGraphicFramePr>
        <xdr:cNvPr id="6" name="Gráfico 5">
          <a:extLst>
            <a:ext uri="{FF2B5EF4-FFF2-40B4-BE49-F238E27FC236}">
              <a16:creationId xmlns:a16="http://schemas.microsoft.com/office/drawing/2014/main" id="{00000000-0008-0000-0000-000006000000}"/>
            </a:ext>
            <a:ext uri="{147F2762-F138-4A5C-976F-8EAC2B608ADB}">
              <a16:predDERef xmlns:a16="http://schemas.microsoft.com/office/drawing/2014/main" pre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798284</xdr:colOff>
      <xdr:row>17</xdr:row>
      <xdr:rowOff>34470</xdr:rowOff>
    </xdr:from>
    <xdr:to>
      <xdr:col>23</xdr:col>
      <xdr:colOff>771070</xdr:colOff>
      <xdr:row>31</xdr:row>
      <xdr:rowOff>102053</xdr:rowOff>
    </xdr:to>
    <xdr:graphicFrame macro="">
      <xdr:nvGraphicFramePr>
        <xdr:cNvPr id="7" name="Gráfico 6">
          <a:extLst>
            <a:ext uri="{FF2B5EF4-FFF2-40B4-BE49-F238E27FC236}">
              <a16:creationId xmlns:a16="http://schemas.microsoft.com/office/drawing/2014/main" id="{00000000-0008-0000-0000-000007000000}"/>
            </a:ext>
            <a:ext uri="{147F2762-F138-4A5C-976F-8EAC2B608ADB}">
              <a16:predDERef xmlns:a16="http://schemas.microsoft.com/office/drawing/2014/main" pre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0</xdr:colOff>
      <xdr:row>36</xdr:row>
      <xdr:rowOff>0</xdr:rowOff>
    </xdr:from>
    <xdr:to>
      <xdr:col>14</xdr:col>
      <xdr:colOff>249432</xdr:colOff>
      <xdr:row>37</xdr:row>
      <xdr:rowOff>39733</xdr:rowOff>
    </xdr:to>
    <xdr:pic>
      <xdr:nvPicPr>
        <xdr:cNvPr id="8" name="Picture 6">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105446" y="7347857"/>
          <a:ext cx="3552037"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0</xdr:colOff>
      <xdr:row>36</xdr:row>
      <xdr:rowOff>0</xdr:rowOff>
    </xdr:from>
    <xdr:to>
      <xdr:col>21</xdr:col>
      <xdr:colOff>196898</xdr:colOff>
      <xdr:row>37</xdr:row>
      <xdr:rowOff>119327</xdr:rowOff>
    </xdr:to>
    <xdr:pic>
      <xdr:nvPicPr>
        <xdr:cNvPr id="9" name="Picture 7">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4072054" y="7347857"/>
          <a:ext cx="3916680" cy="3234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45357</xdr:colOff>
      <xdr:row>39</xdr:row>
      <xdr:rowOff>11339</xdr:rowOff>
    </xdr:from>
    <xdr:to>
      <xdr:col>14</xdr:col>
      <xdr:colOff>4616</xdr:colOff>
      <xdr:row>42</xdr:row>
      <xdr:rowOff>152209</xdr:rowOff>
    </xdr:to>
    <xdr:pic>
      <xdr:nvPicPr>
        <xdr:cNvPr id="10" name="Picture 8">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9150803" y="7971518"/>
          <a:ext cx="3245485" cy="753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782411</xdr:colOff>
      <xdr:row>40</xdr:row>
      <xdr:rowOff>181429</xdr:rowOff>
    </xdr:from>
    <xdr:to>
      <xdr:col>19</xdr:col>
      <xdr:colOff>664</xdr:colOff>
      <xdr:row>42</xdr:row>
      <xdr:rowOff>51898</xdr:rowOff>
    </xdr:to>
    <xdr:pic>
      <xdr:nvPicPr>
        <xdr:cNvPr id="11" name="Picture 9">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026697" y="8345715"/>
          <a:ext cx="2042160" cy="2786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547688</xdr:colOff>
      <xdr:row>63</xdr:row>
      <xdr:rowOff>71438</xdr:rowOff>
    </xdr:from>
    <xdr:to>
      <xdr:col>19</xdr:col>
      <xdr:colOff>575349</xdr:colOff>
      <xdr:row>65</xdr:row>
      <xdr:rowOff>6624</xdr:rowOff>
    </xdr:to>
    <xdr:pic>
      <xdr:nvPicPr>
        <xdr:cNvPr id="4" name="Imagen 5">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b="70199"/>
        <a:stretch/>
      </xdr:blipFill>
      <xdr:spPr bwMode="auto">
        <a:xfrm>
          <a:off x="4738688" y="12707938"/>
          <a:ext cx="5349346" cy="384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457199</xdr:colOff>
      <xdr:row>67</xdr:row>
      <xdr:rowOff>67206</xdr:rowOff>
    </xdr:from>
    <xdr:to>
      <xdr:col>19</xdr:col>
      <xdr:colOff>549949</xdr:colOff>
      <xdr:row>69</xdr:row>
      <xdr:rowOff>65980</xdr:rowOff>
    </xdr:to>
    <xdr:pic>
      <xdr:nvPicPr>
        <xdr:cNvPr id="12" name="Imagen 6">
          <a:extLst>
            <a:ext uri="{FF2B5EF4-FFF2-40B4-BE49-F238E27FC236}">
              <a16:creationId xmlns:a16="http://schemas.microsoft.com/office/drawing/2014/main" id="{00000000-0008-0000-0000-00000C000000}"/>
            </a:ext>
          </a:extLst>
        </xdr:cNvPr>
        <xdr:cNvPicPr>
          <a:picLocks noChangeAspect="1" noChangeArrowheads="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b="66253"/>
        <a:stretch/>
      </xdr:blipFill>
      <xdr:spPr bwMode="auto">
        <a:xfrm>
          <a:off x="4648199" y="13491106"/>
          <a:ext cx="5414435" cy="4178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143935</xdr:colOff>
      <xdr:row>69</xdr:row>
      <xdr:rowOff>76200</xdr:rowOff>
    </xdr:from>
    <xdr:to>
      <xdr:col>19</xdr:col>
      <xdr:colOff>92750</xdr:colOff>
      <xdr:row>72</xdr:row>
      <xdr:rowOff>37890</xdr:rowOff>
    </xdr:to>
    <xdr:pic>
      <xdr:nvPicPr>
        <xdr:cNvPr id="13" name="Imagen 4">
          <a:extLst>
            <a:ext uri="{FF2B5EF4-FFF2-40B4-BE49-F238E27FC236}">
              <a16:creationId xmlns:a16="http://schemas.microsoft.com/office/drawing/2014/main" id="{00000000-0008-0000-0000-00000D000000}"/>
            </a:ext>
          </a:extLst>
        </xdr:cNvPr>
        <xdr:cNvPicPr>
          <a:picLocks noChangeAspect="1" noChangeArrowheads="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t="52755"/>
        <a:stretch/>
      </xdr:blipFill>
      <xdr:spPr bwMode="auto">
        <a:xfrm>
          <a:off x="4334935" y="13881100"/>
          <a:ext cx="5270500" cy="5966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777240</xdr:colOff>
      <xdr:row>64</xdr:row>
      <xdr:rowOff>5080</xdr:rowOff>
    </xdr:from>
    <xdr:to>
      <xdr:col>29</xdr:col>
      <xdr:colOff>812800</xdr:colOff>
      <xdr:row>80</xdr:row>
      <xdr:rowOff>50800</xdr:rowOff>
    </xdr:to>
    <xdr:graphicFrame macro="">
      <xdr:nvGraphicFramePr>
        <xdr:cNvPr id="14" name="Gráfico 13">
          <a:extLst>
            <a:ext uri="{FF2B5EF4-FFF2-40B4-BE49-F238E27FC236}">
              <a16:creationId xmlns:a16="http://schemas.microsoft.com/office/drawing/2014/main" id="{00000000-0008-0000-0000-00000E000000}"/>
            </a:ext>
            <a:ext uri="{147F2762-F138-4A5C-976F-8EAC2B608ADB}">
              <a16:predDERef xmlns:a16="http://schemas.microsoft.com/office/drawing/2014/main" pred="{00000000-0008-0000-00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13</xdr:col>
      <xdr:colOff>394446</xdr:colOff>
      <xdr:row>86</xdr:row>
      <xdr:rowOff>44825</xdr:rowOff>
    </xdr:from>
    <xdr:to>
      <xdr:col>17</xdr:col>
      <xdr:colOff>177235</xdr:colOff>
      <xdr:row>87</xdr:row>
      <xdr:rowOff>186505</xdr:rowOff>
    </xdr:to>
    <xdr:pic>
      <xdr:nvPicPr>
        <xdr:cNvPr id="15" name="Picture 20">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4585446" y="28340425"/>
          <a:ext cx="3256430" cy="344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331693</xdr:colOff>
      <xdr:row>88</xdr:row>
      <xdr:rowOff>161366</xdr:rowOff>
    </xdr:from>
    <xdr:to>
      <xdr:col>17</xdr:col>
      <xdr:colOff>446176</xdr:colOff>
      <xdr:row>90</xdr:row>
      <xdr:rowOff>113259</xdr:rowOff>
    </xdr:to>
    <xdr:pic>
      <xdr:nvPicPr>
        <xdr:cNvPr id="16" name="Picture 21">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4522693" y="28863366"/>
          <a:ext cx="3588124" cy="3582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322730</xdr:colOff>
      <xdr:row>91</xdr:row>
      <xdr:rowOff>143436</xdr:rowOff>
    </xdr:from>
    <xdr:to>
      <xdr:col>18</xdr:col>
      <xdr:colOff>237000</xdr:colOff>
      <xdr:row>94</xdr:row>
      <xdr:rowOff>96739</xdr:rowOff>
    </xdr:to>
    <xdr:pic>
      <xdr:nvPicPr>
        <xdr:cNvPr id="17" name="Picture 22">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4513730" y="29416936"/>
          <a:ext cx="4213412" cy="562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807720</xdr:colOff>
      <xdr:row>84</xdr:row>
      <xdr:rowOff>5080</xdr:rowOff>
    </xdr:from>
    <xdr:to>
      <xdr:col>29</xdr:col>
      <xdr:colOff>792480</xdr:colOff>
      <xdr:row>100</xdr:row>
      <xdr:rowOff>193040</xdr:rowOff>
    </xdr:to>
    <xdr:graphicFrame macro="">
      <xdr:nvGraphicFramePr>
        <xdr:cNvPr id="18" name="Gráfico 17">
          <a:extLst>
            <a:ext uri="{FF2B5EF4-FFF2-40B4-BE49-F238E27FC236}">
              <a16:creationId xmlns:a16="http://schemas.microsoft.com/office/drawing/2014/main" id="{00000000-0008-0000-0000-000012000000}"/>
            </a:ext>
            <a:ext uri="{147F2762-F138-4A5C-976F-8EAC2B608ADB}">
              <a16:predDERef xmlns:a16="http://schemas.microsoft.com/office/drawing/2014/main" pred="{00000000-0008-0000-00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817880</xdr:colOff>
      <xdr:row>105</xdr:row>
      <xdr:rowOff>15240</xdr:rowOff>
    </xdr:from>
    <xdr:to>
      <xdr:col>30</xdr:col>
      <xdr:colOff>0</xdr:colOff>
      <xdr:row>122</xdr:row>
      <xdr:rowOff>10160</xdr:rowOff>
    </xdr:to>
    <xdr:graphicFrame macro="">
      <xdr:nvGraphicFramePr>
        <xdr:cNvPr id="19" name="Gráfico 18">
          <a:extLst>
            <a:ext uri="{FF2B5EF4-FFF2-40B4-BE49-F238E27FC236}">
              <a16:creationId xmlns:a16="http://schemas.microsoft.com/office/drawing/2014/main" id="{00000000-0008-0000-0000-000013000000}"/>
            </a:ext>
            <a:ext uri="{147F2762-F138-4A5C-976F-8EAC2B608ADB}">
              <a16:predDERef xmlns:a16="http://schemas.microsoft.com/office/drawing/2014/main" pred="{00000000-0008-0000-00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13</xdr:col>
      <xdr:colOff>792480</xdr:colOff>
      <xdr:row>114</xdr:row>
      <xdr:rowOff>60960</xdr:rowOff>
    </xdr:from>
    <xdr:to>
      <xdr:col>19</xdr:col>
      <xdr:colOff>223135</xdr:colOff>
      <xdr:row>117</xdr:row>
      <xdr:rowOff>81278</xdr:rowOff>
    </xdr:to>
    <xdr:pic>
      <xdr:nvPicPr>
        <xdr:cNvPr id="20" name="Imagen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8"/>
        <a:stretch>
          <a:fillRect/>
        </a:stretch>
      </xdr:blipFill>
      <xdr:spPr>
        <a:xfrm>
          <a:off x="11490960" y="23591520"/>
          <a:ext cx="4737100" cy="660400"/>
        </a:xfrm>
        <a:prstGeom prst="rect">
          <a:avLst/>
        </a:prstGeom>
      </xdr:spPr>
    </xdr:pic>
    <xdr:clientData/>
  </xdr:twoCellAnchor>
  <xdr:twoCellAnchor editAs="oneCell">
    <xdr:from>
      <xdr:col>14</xdr:col>
      <xdr:colOff>10160</xdr:colOff>
      <xdr:row>107</xdr:row>
      <xdr:rowOff>132080</xdr:rowOff>
    </xdr:from>
    <xdr:to>
      <xdr:col>18</xdr:col>
      <xdr:colOff>39177</xdr:colOff>
      <xdr:row>109</xdr:row>
      <xdr:rowOff>134619</xdr:rowOff>
    </xdr:to>
    <xdr:pic>
      <xdr:nvPicPr>
        <xdr:cNvPr id="21" name="Imagen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19"/>
        <a:stretch>
          <a:fillRect/>
        </a:stretch>
      </xdr:blipFill>
      <xdr:spPr>
        <a:xfrm>
          <a:off x="11531600" y="22209760"/>
          <a:ext cx="3492500" cy="419100"/>
        </a:xfrm>
        <a:prstGeom prst="rect">
          <a:avLst/>
        </a:prstGeom>
      </xdr:spPr>
    </xdr:pic>
    <xdr:clientData/>
  </xdr:twoCellAnchor>
  <xdr:twoCellAnchor editAs="oneCell">
    <xdr:from>
      <xdr:col>14</xdr:col>
      <xdr:colOff>0</xdr:colOff>
      <xdr:row>111</xdr:row>
      <xdr:rowOff>0</xdr:rowOff>
    </xdr:from>
    <xdr:to>
      <xdr:col>18</xdr:col>
      <xdr:colOff>257617</xdr:colOff>
      <xdr:row>113</xdr:row>
      <xdr:rowOff>12700</xdr:rowOff>
    </xdr:to>
    <xdr:pic>
      <xdr:nvPicPr>
        <xdr:cNvPr id="22" name="Imagen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20"/>
        <a:stretch>
          <a:fillRect/>
        </a:stretch>
      </xdr:blipFill>
      <xdr:spPr>
        <a:xfrm>
          <a:off x="11521440" y="22910800"/>
          <a:ext cx="3721100" cy="419100"/>
        </a:xfrm>
        <a:prstGeom prst="rect">
          <a:avLst/>
        </a:prstGeom>
      </xdr:spPr>
    </xdr:pic>
    <xdr:clientData/>
  </xdr:twoCellAnchor>
  <xdr:twoCellAnchor editAs="oneCell">
    <xdr:from>
      <xdr:col>13</xdr:col>
      <xdr:colOff>744804</xdr:colOff>
      <xdr:row>131</xdr:row>
      <xdr:rowOff>113858</xdr:rowOff>
    </xdr:from>
    <xdr:to>
      <xdr:col>18</xdr:col>
      <xdr:colOff>436794</xdr:colOff>
      <xdr:row>133</xdr:row>
      <xdr:rowOff>7888</xdr:rowOff>
    </xdr:to>
    <xdr:pic>
      <xdr:nvPicPr>
        <xdr:cNvPr id="23" name="Picture 29">
          <a:extLst>
            <a:ext uri="{FF2B5EF4-FFF2-40B4-BE49-F238E27FC236}">
              <a16:creationId xmlns:a16="http://schemas.microsoft.com/office/drawing/2014/main" id="{00000000-0008-0000-0000-000017000000}"/>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11499024" y="26970280"/>
          <a:ext cx="3998939" cy="325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771251</xdr:colOff>
      <xdr:row>139</xdr:row>
      <xdr:rowOff>116513</xdr:rowOff>
    </xdr:from>
    <xdr:to>
      <xdr:col>19</xdr:col>
      <xdr:colOff>509246</xdr:colOff>
      <xdr:row>141</xdr:row>
      <xdr:rowOff>19597</xdr:rowOff>
    </xdr:to>
    <xdr:pic>
      <xdr:nvPicPr>
        <xdr:cNvPr id="26" name="Picture 28">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11525471" y="28685687"/>
          <a:ext cx="5069234" cy="3225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16474</xdr:colOff>
      <xdr:row>145</xdr:row>
      <xdr:rowOff>168084</xdr:rowOff>
    </xdr:from>
    <xdr:to>
      <xdr:col>19</xdr:col>
      <xdr:colOff>154997</xdr:colOff>
      <xdr:row>147</xdr:row>
      <xdr:rowOff>37747</xdr:rowOff>
    </xdr:to>
    <xdr:pic>
      <xdr:nvPicPr>
        <xdr:cNvPr id="27" name="Picture 30">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11597942" y="30042212"/>
          <a:ext cx="4642515" cy="2891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23</xdr:col>
      <xdr:colOff>824916</xdr:colOff>
      <xdr:row>130</xdr:row>
      <xdr:rowOff>183859</xdr:rowOff>
    </xdr:from>
    <xdr:to>
      <xdr:col>29</xdr:col>
      <xdr:colOff>827247</xdr:colOff>
      <xdr:row>148</xdr:row>
      <xdr:rowOff>0</xdr:rowOff>
    </xdr:to>
    <xdr:graphicFrame macro="">
      <xdr:nvGraphicFramePr>
        <xdr:cNvPr id="28" name="Gráfico 27">
          <a:extLst>
            <a:ext uri="{FF2B5EF4-FFF2-40B4-BE49-F238E27FC236}">
              <a16:creationId xmlns:a16="http://schemas.microsoft.com/office/drawing/2014/main" id="{00000000-0008-0000-0000-00001C000000}"/>
            </a:ext>
            <a:ext uri="{147F2762-F138-4A5C-976F-8EAC2B608ADB}">
              <a16:predDERef xmlns:a16="http://schemas.microsoft.com/office/drawing/2014/main" pred="{00000000-0008-0000-00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11</xdr:col>
      <xdr:colOff>12700</xdr:colOff>
      <xdr:row>168</xdr:row>
      <xdr:rowOff>82550</xdr:rowOff>
    </xdr:from>
    <xdr:to>
      <xdr:col>17</xdr:col>
      <xdr:colOff>234743</xdr:colOff>
      <xdr:row>172</xdr:row>
      <xdr:rowOff>112638</xdr:rowOff>
    </xdr:to>
    <mc:AlternateContent xmlns:mc="http://schemas.openxmlformats.org/markup-compatibility/2006" xmlns:a14="http://schemas.microsoft.com/office/drawing/2010/main">
      <mc:Choice Requires="a14">
        <xdr:sp macro="" textlink="">
          <xdr:nvSpPr>
            <xdr:cNvPr id="3" name="Rectangle 2">
              <a:extLst>
                <a:ext uri="{FF2B5EF4-FFF2-40B4-BE49-F238E27FC236}">
                  <a16:creationId xmlns:a16="http://schemas.microsoft.com/office/drawing/2014/main" id="{00000000-0008-0000-0000-000003000000}"/>
                </a:ext>
              </a:extLst>
            </xdr:cNvPr>
            <xdr:cNvSpPr txBox="1">
              <a:spLocks noChangeArrowheads="1"/>
            </xdr:cNvSpPr>
          </xdr:nvSpPr>
          <xdr:spPr bwMode="auto">
            <a:xfrm>
              <a:off x="889000" y="3219450"/>
              <a:ext cx="8223043" cy="79208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800" i="1" kern="0">
                        <a:solidFill>
                          <a:srgbClr val="000000"/>
                        </a:solidFill>
                        <a:latin typeface="Cambria Math"/>
                      </a:rPr>
                      <m:t> </m:t>
                    </m:r>
                    <m:sSub>
                      <m:sSubPr>
                        <m:ctrlPr>
                          <a:rPr lang="en-US" sz="800" i="1" kern="0">
                            <a:solidFill>
                              <a:srgbClr val="000000"/>
                            </a:solidFill>
                            <a:latin typeface="Cambria Math" panose="02040503050406030204" pitchFamily="18" charset="0"/>
                          </a:rPr>
                        </m:ctrlPr>
                      </m:sSubPr>
                      <m:e>
                        <m:r>
                          <a:rPr lang="en-US" sz="800" b="0" i="1" kern="0">
                            <a:solidFill>
                              <a:srgbClr val="000000"/>
                            </a:solidFill>
                            <a:latin typeface="Cambria Math"/>
                          </a:rPr>
                          <m:t>𝑐</m:t>
                        </m:r>
                      </m:e>
                      <m:sub>
                        <m:r>
                          <a:rPr lang="en-US" sz="800" b="0" i="1" kern="0">
                            <a:solidFill>
                              <a:srgbClr val="000000"/>
                            </a:solidFill>
                            <a:latin typeface="Cambria Math"/>
                          </a:rPr>
                          <m:t>𝑑</m:t>
                        </m:r>
                        <m:r>
                          <a:rPr lang="es-MX" sz="800" b="0" i="1" kern="0">
                            <a:solidFill>
                              <a:srgbClr val="000000"/>
                            </a:solidFill>
                            <a:latin typeface="Cambria Math" panose="02040503050406030204" pitchFamily="18" charset="0"/>
                          </a:rPr>
                          <m:t>𝑜</m:t>
                        </m:r>
                      </m:sub>
                    </m:sSub>
                    <m:r>
                      <a:rPr lang="en-US" sz="800" i="1" kern="0">
                        <a:solidFill>
                          <a:srgbClr val="000000"/>
                        </a:solidFill>
                        <a:latin typeface="Cambria Math"/>
                      </a:rPr>
                      <m:t>=</m:t>
                    </m:r>
                    <m:r>
                      <a:rPr lang="es-MX" sz="800" b="0" i="1" kern="0">
                        <a:solidFill>
                          <a:srgbClr val="000000"/>
                        </a:solidFill>
                        <a:latin typeface="Cambria Math" panose="02040503050406030204" pitchFamily="18" charset="0"/>
                      </a:rPr>
                      <m:t>𝑐</m:t>
                    </m:r>
                    <m:r>
                      <a:rPr lang="es-MX" sz="800" b="0" i="1" kern="0">
                        <a:solidFill>
                          <a:srgbClr val="000000"/>
                        </a:solidFill>
                        <a:latin typeface="Cambria Math" panose="02040503050406030204" pitchFamily="18" charset="0"/>
                      </a:rPr>
                      <m:t>−</m:t>
                    </m:r>
                    <m:d>
                      <m:dPr>
                        <m:ctrlPr>
                          <a:rPr lang="es-MX" sz="800" b="0" i="1" kern="0">
                            <a:solidFill>
                              <a:srgbClr val="000000"/>
                            </a:solidFill>
                            <a:latin typeface="Cambria Math" panose="02040503050406030204" pitchFamily="18" charset="0"/>
                          </a:rPr>
                        </m:ctrlPr>
                      </m:dPr>
                      <m:e>
                        <m:sSub>
                          <m:sSubPr>
                            <m:ctrlPr>
                              <a:rPr lang="en-US" sz="1050" i="1" kern="1200">
                                <a:solidFill>
                                  <a:schemeClr val="tx1"/>
                                </a:solidFill>
                                <a:effectLst/>
                                <a:latin typeface="Cambria Math" panose="02040503050406030204" pitchFamily="18" charset="0"/>
                                <a:ea typeface="+mn-ea"/>
                                <a:cs typeface="+mn-cs"/>
                              </a:rPr>
                            </m:ctrlPr>
                          </m:sSubPr>
                          <m:e>
                            <m:r>
                              <a:rPr lang="en-US" sz="1050" i="1" kern="1200">
                                <a:solidFill>
                                  <a:schemeClr val="tx1"/>
                                </a:solidFill>
                                <a:effectLst/>
                                <a:latin typeface="Cambria Math" panose="02040503050406030204" pitchFamily="18" charset="0"/>
                                <a:ea typeface="+mn-ea"/>
                                <a:cs typeface="+mn-cs"/>
                              </a:rPr>
                              <m:t>𝑆</m:t>
                            </m:r>
                          </m:e>
                          <m:sub>
                            <m:r>
                              <a:rPr lang="en-US" sz="1050" i="1" kern="1200">
                                <a:solidFill>
                                  <a:schemeClr val="tx1"/>
                                </a:solidFill>
                                <a:effectLst/>
                                <a:latin typeface="Cambria Math" panose="02040503050406030204" pitchFamily="18" charset="0"/>
                                <a:ea typeface="+mn-ea"/>
                                <a:cs typeface="+mn-cs"/>
                              </a:rPr>
                              <m:t>0</m:t>
                            </m:r>
                          </m:sub>
                        </m:sSub>
                        <m:sSup>
                          <m:sSupPr>
                            <m:ctrlPr>
                              <a:rPr lang="en-US" sz="1050" i="1" kern="1200">
                                <a:solidFill>
                                  <a:schemeClr val="tx1"/>
                                </a:solidFill>
                                <a:effectLst/>
                                <a:latin typeface="Cambria Math" panose="02040503050406030204" pitchFamily="18" charset="0"/>
                                <a:ea typeface="+mn-ea"/>
                                <a:cs typeface="+mn-cs"/>
                              </a:rPr>
                            </m:ctrlPr>
                          </m:sSupPr>
                          <m:e>
                            <m:r>
                              <a:rPr lang="en-US" sz="1050" i="1" kern="1200">
                                <a:solidFill>
                                  <a:schemeClr val="tx1"/>
                                </a:solidFill>
                                <a:effectLst/>
                                <a:latin typeface="Cambria Math" panose="02040503050406030204" pitchFamily="18" charset="0"/>
                                <a:ea typeface="+mn-ea"/>
                                <a:cs typeface="+mn-cs"/>
                              </a:rPr>
                              <m:t>𝑒</m:t>
                            </m:r>
                          </m:e>
                          <m:sup>
                            <m:r>
                              <a:rPr lang="en-US" sz="1050" i="1" kern="1200">
                                <a:solidFill>
                                  <a:schemeClr val="tx1"/>
                                </a:solidFill>
                                <a:effectLst/>
                                <a:latin typeface="Cambria Math" panose="02040503050406030204" pitchFamily="18" charset="0"/>
                                <a:ea typeface="+mn-ea"/>
                                <a:cs typeface="+mn-cs"/>
                              </a:rPr>
                              <m:t>−</m:t>
                            </m:r>
                            <m:r>
                              <a:rPr lang="en-US" sz="1050" i="1" kern="1200">
                                <a:solidFill>
                                  <a:schemeClr val="tx1"/>
                                </a:solidFill>
                                <a:effectLst/>
                                <a:latin typeface="Cambria Math" panose="02040503050406030204" pitchFamily="18" charset="0"/>
                                <a:ea typeface="+mn-ea"/>
                                <a:cs typeface="+mn-cs"/>
                              </a:rPr>
                              <m:t>𝑞</m:t>
                            </m:r>
                            <m:d>
                              <m:dPr>
                                <m:ctrlPr>
                                  <a:rPr lang="en-US" sz="1050" i="1" kern="1200">
                                    <a:solidFill>
                                      <a:schemeClr val="tx1"/>
                                    </a:solidFill>
                                    <a:effectLst/>
                                    <a:latin typeface="Cambria Math" panose="02040503050406030204" pitchFamily="18" charset="0"/>
                                    <a:ea typeface="+mn-ea"/>
                                    <a:cs typeface="+mn-cs"/>
                                  </a:rPr>
                                </m:ctrlPr>
                              </m:dPr>
                              <m:e>
                                <m:r>
                                  <a:rPr lang="en-US" sz="1050" b="0" i="1" kern="1200">
                                    <a:solidFill>
                                      <a:schemeClr val="tx1"/>
                                    </a:solidFill>
                                    <a:effectLst/>
                                    <a:latin typeface="Cambria Math" panose="02040503050406030204" pitchFamily="18" charset="0"/>
                                    <a:ea typeface="+mn-ea"/>
                                    <a:cs typeface="+mn-cs"/>
                                  </a:rPr>
                                  <m:t>𝑇</m:t>
                                </m:r>
                                <m:r>
                                  <a:rPr lang="en-US" sz="1050" i="1" kern="1200">
                                    <a:solidFill>
                                      <a:schemeClr val="tx1"/>
                                    </a:solidFill>
                                    <a:effectLst/>
                                    <a:latin typeface="Cambria Math" panose="02040503050406030204" pitchFamily="18" charset="0"/>
                                    <a:ea typeface="+mn-ea"/>
                                    <a:cs typeface="+mn-cs"/>
                                  </a:rPr>
                                  <m:t>−</m:t>
                                </m:r>
                                <m:r>
                                  <a:rPr lang="en-US" sz="1050" b="0" i="1" kern="1200">
                                    <a:solidFill>
                                      <a:schemeClr val="tx1"/>
                                    </a:solidFill>
                                    <a:effectLst/>
                                    <a:latin typeface="Cambria Math" panose="02040503050406030204" pitchFamily="18" charset="0"/>
                                    <a:ea typeface="+mn-ea"/>
                                    <a:cs typeface="+mn-cs"/>
                                  </a:rPr>
                                  <m:t>𝑡</m:t>
                                </m:r>
                              </m:e>
                            </m:d>
                          </m:sup>
                        </m:sSup>
                        <m:sSup>
                          <m:sSupPr>
                            <m:ctrlPr>
                              <a:rPr lang="en-US" sz="1050" b="0" i="1" kern="1200">
                                <a:solidFill>
                                  <a:schemeClr val="tx1"/>
                                </a:solidFill>
                                <a:effectLst/>
                                <a:latin typeface="Cambria Math" panose="02040503050406030204" pitchFamily="18" charset="0"/>
                                <a:ea typeface="+mn-ea"/>
                                <a:cs typeface="+mn-cs"/>
                              </a:rPr>
                            </m:ctrlPr>
                          </m:sSupPr>
                          <m:e>
                            <m:d>
                              <m:dPr>
                                <m:ctrlPr>
                                  <a:rPr lang="en-US" sz="1050" i="1" kern="1200">
                                    <a:solidFill>
                                      <a:schemeClr val="tx1"/>
                                    </a:solidFill>
                                    <a:effectLst/>
                                    <a:latin typeface="Cambria Math" panose="02040503050406030204" pitchFamily="18" charset="0"/>
                                    <a:ea typeface="+mn-ea"/>
                                    <a:cs typeface="+mn-cs"/>
                                  </a:rPr>
                                </m:ctrlPr>
                              </m:dPr>
                              <m:e>
                                <m:f>
                                  <m:fPr>
                                    <m:ctrlPr>
                                      <a:rPr lang="en-US" sz="1050" i="1" kern="1200">
                                        <a:solidFill>
                                          <a:schemeClr val="tx1"/>
                                        </a:solidFill>
                                        <a:effectLst/>
                                        <a:latin typeface="Cambria Math" panose="02040503050406030204" pitchFamily="18" charset="0"/>
                                        <a:ea typeface="+mn-ea"/>
                                        <a:cs typeface="+mn-cs"/>
                                      </a:rPr>
                                    </m:ctrlPr>
                                  </m:fPr>
                                  <m:num>
                                    <m:r>
                                      <a:rPr lang="en-US" sz="1050" i="1" kern="1200">
                                        <a:solidFill>
                                          <a:schemeClr val="tx1"/>
                                        </a:solidFill>
                                        <a:effectLst/>
                                        <a:latin typeface="Cambria Math" panose="02040503050406030204" pitchFamily="18" charset="0"/>
                                        <a:ea typeface="+mn-ea"/>
                                        <a:cs typeface="+mn-cs"/>
                                      </a:rPr>
                                      <m:t>𝐻</m:t>
                                    </m:r>
                                  </m:num>
                                  <m:den>
                                    <m:sSub>
                                      <m:sSubPr>
                                        <m:ctrlPr>
                                          <a:rPr lang="en-US" sz="1050" i="1" kern="1200">
                                            <a:solidFill>
                                              <a:schemeClr val="tx1"/>
                                            </a:solidFill>
                                            <a:effectLst/>
                                            <a:latin typeface="Cambria Math" panose="02040503050406030204" pitchFamily="18" charset="0"/>
                                            <a:ea typeface="+mn-ea"/>
                                            <a:cs typeface="+mn-cs"/>
                                          </a:rPr>
                                        </m:ctrlPr>
                                      </m:sSubPr>
                                      <m:e>
                                        <m:r>
                                          <a:rPr lang="en-US" sz="1050" i="1" kern="1200">
                                            <a:solidFill>
                                              <a:schemeClr val="tx1"/>
                                            </a:solidFill>
                                            <a:effectLst/>
                                            <a:latin typeface="Cambria Math" panose="02040503050406030204" pitchFamily="18" charset="0"/>
                                            <a:ea typeface="+mn-ea"/>
                                            <a:cs typeface="+mn-cs"/>
                                          </a:rPr>
                                          <m:t>𝑆</m:t>
                                        </m:r>
                                      </m:e>
                                      <m:sub>
                                        <m:r>
                                          <a:rPr lang="en-US" sz="1050" i="1" kern="1200">
                                            <a:solidFill>
                                              <a:schemeClr val="tx1"/>
                                            </a:solidFill>
                                            <a:effectLst/>
                                            <a:latin typeface="Cambria Math" panose="02040503050406030204" pitchFamily="18" charset="0"/>
                                            <a:ea typeface="+mn-ea"/>
                                            <a:cs typeface="+mn-cs"/>
                                          </a:rPr>
                                          <m:t>0</m:t>
                                        </m:r>
                                      </m:sub>
                                    </m:sSub>
                                  </m:den>
                                </m:f>
                              </m:e>
                            </m:d>
                          </m:e>
                          <m:sup>
                            <m:r>
                              <a:rPr lang="en-US" sz="1050" b="0" i="1" kern="1200">
                                <a:solidFill>
                                  <a:schemeClr val="tx1"/>
                                </a:solidFill>
                                <a:effectLst/>
                                <a:latin typeface="Cambria Math" panose="02040503050406030204" pitchFamily="18" charset="0"/>
                                <a:ea typeface="+mn-ea"/>
                                <a:cs typeface="+mn-cs"/>
                              </a:rPr>
                              <m:t>2</m:t>
                            </m:r>
                            <m:r>
                              <a:rPr lang="en-US" sz="1050" b="0" i="1" kern="1200">
                                <a:solidFill>
                                  <a:schemeClr val="tx1"/>
                                </a:solidFill>
                                <a:effectLst/>
                                <a:latin typeface="Cambria Math" panose="02040503050406030204" pitchFamily="18" charset="0"/>
                                <a:ea typeface="+mn-ea"/>
                                <a:cs typeface="+mn-cs"/>
                              </a:rPr>
                              <m:t>𝜆</m:t>
                            </m:r>
                          </m:sup>
                        </m:sSup>
                        <m:r>
                          <a:rPr lang="en-US" sz="1050" i="1" kern="1200">
                            <a:solidFill>
                              <a:schemeClr val="tx1"/>
                            </a:solidFill>
                            <a:effectLst/>
                            <a:latin typeface="Cambria Math" panose="02040503050406030204" pitchFamily="18" charset="0"/>
                            <a:ea typeface="+mn-ea"/>
                            <a:cs typeface="+mn-cs"/>
                          </a:rPr>
                          <m:t>𝑁</m:t>
                        </m:r>
                        <m:d>
                          <m:dPr>
                            <m:ctrlPr>
                              <a:rPr lang="en-US" sz="1050" i="1" kern="1200">
                                <a:solidFill>
                                  <a:schemeClr val="tx1"/>
                                </a:solidFill>
                                <a:effectLst/>
                                <a:latin typeface="Cambria Math" panose="02040503050406030204" pitchFamily="18" charset="0"/>
                                <a:ea typeface="+mn-ea"/>
                                <a:cs typeface="+mn-cs"/>
                              </a:rPr>
                            </m:ctrlPr>
                          </m:dPr>
                          <m:e>
                            <m:r>
                              <a:rPr lang="en-US" sz="1050" b="0" i="1" kern="1200">
                                <a:solidFill>
                                  <a:schemeClr val="tx1"/>
                                </a:solidFill>
                                <a:effectLst/>
                                <a:latin typeface="Cambria Math" panose="02040503050406030204" pitchFamily="18" charset="0"/>
                                <a:ea typeface="+mn-ea"/>
                                <a:cs typeface="+mn-cs"/>
                              </a:rPr>
                              <m:t>𝑦</m:t>
                            </m:r>
                          </m:e>
                        </m:d>
                        <m:r>
                          <a:rPr lang="en-US" sz="1050" i="1" kern="1200">
                            <a:solidFill>
                              <a:schemeClr val="tx1"/>
                            </a:solidFill>
                            <a:effectLst/>
                            <a:latin typeface="Cambria Math" panose="02040503050406030204" pitchFamily="18" charset="0"/>
                            <a:ea typeface="+mn-ea"/>
                            <a:cs typeface="+mn-cs"/>
                          </a:rPr>
                          <m:t>−</m:t>
                        </m:r>
                        <m:r>
                          <a:rPr lang="en-US" sz="1050" b="0" i="1" kern="1200">
                            <a:solidFill>
                              <a:schemeClr val="tx1"/>
                            </a:solidFill>
                            <a:effectLst/>
                            <a:latin typeface="Cambria Math" panose="02040503050406030204" pitchFamily="18" charset="0"/>
                            <a:ea typeface="+mn-ea"/>
                            <a:cs typeface="+mn-cs"/>
                          </a:rPr>
                          <m:t>𝐾</m:t>
                        </m:r>
                        <m:sSup>
                          <m:sSupPr>
                            <m:ctrlPr>
                              <a:rPr lang="en-US" sz="1050" i="1" kern="1200">
                                <a:solidFill>
                                  <a:schemeClr val="tx1"/>
                                </a:solidFill>
                                <a:effectLst/>
                                <a:latin typeface="Cambria Math" panose="02040503050406030204" pitchFamily="18" charset="0"/>
                                <a:ea typeface="+mn-ea"/>
                                <a:cs typeface="+mn-cs"/>
                              </a:rPr>
                            </m:ctrlPr>
                          </m:sSupPr>
                          <m:e>
                            <m:r>
                              <a:rPr lang="en-US" sz="1050" i="1" kern="1200">
                                <a:solidFill>
                                  <a:schemeClr val="tx1"/>
                                </a:solidFill>
                                <a:effectLst/>
                                <a:latin typeface="Cambria Math" panose="02040503050406030204" pitchFamily="18" charset="0"/>
                                <a:ea typeface="+mn-ea"/>
                                <a:cs typeface="+mn-cs"/>
                              </a:rPr>
                              <m:t>𝑒</m:t>
                            </m:r>
                          </m:e>
                          <m:sup>
                            <m:r>
                              <a:rPr lang="en-US" sz="1050" i="1" kern="1200">
                                <a:solidFill>
                                  <a:schemeClr val="tx1"/>
                                </a:solidFill>
                                <a:effectLst/>
                                <a:latin typeface="Cambria Math" panose="02040503050406030204" pitchFamily="18" charset="0"/>
                                <a:ea typeface="+mn-ea"/>
                                <a:cs typeface="+mn-cs"/>
                              </a:rPr>
                              <m:t>−</m:t>
                            </m:r>
                            <m:r>
                              <a:rPr lang="en-US" sz="1050" i="1" kern="1200">
                                <a:solidFill>
                                  <a:schemeClr val="tx1"/>
                                </a:solidFill>
                                <a:effectLst/>
                                <a:latin typeface="Cambria Math" panose="02040503050406030204" pitchFamily="18" charset="0"/>
                                <a:ea typeface="+mn-ea"/>
                                <a:cs typeface="+mn-cs"/>
                              </a:rPr>
                              <m:t>𝑟</m:t>
                            </m:r>
                            <m:d>
                              <m:dPr>
                                <m:ctrlPr>
                                  <a:rPr lang="en-US" sz="1050" i="1" kern="1200">
                                    <a:solidFill>
                                      <a:schemeClr val="tx1"/>
                                    </a:solidFill>
                                    <a:effectLst/>
                                    <a:latin typeface="Cambria Math" panose="02040503050406030204" pitchFamily="18" charset="0"/>
                                    <a:ea typeface="+mn-ea"/>
                                    <a:cs typeface="+mn-cs"/>
                                  </a:rPr>
                                </m:ctrlPr>
                              </m:dPr>
                              <m:e>
                                <m:r>
                                  <a:rPr lang="en-US" sz="1050" b="0" i="1" kern="1200">
                                    <a:solidFill>
                                      <a:schemeClr val="tx1"/>
                                    </a:solidFill>
                                    <a:effectLst/>
                                    <a:latin typeface="Cambria Math" panose="02040503050406030204" pitchFamily="18" charset="0"/>
                                    <a:ea typeface="+mn-ea"/>
                                    <a:cs typeface="+mn-cs"/>
                                  </a:rPr>
                                  <m:t>𝑇</m:t>
                                </m:r>
                                <m:r>
                                  <a:rPr lang="en-US" sz="1050" i="1" kern="1200">
                                    <a:solidFill>
                                      <a:schemeClr val="tx1"/>
                                    </a:solidFill>
                                    <a:effectLst/>
                                    <a:latin typeface="Cambria Math" panose="02040503050406030204" pitchFamily="18" charset="0"/>
                                    <a:ea typeface="+mn-ea"/>
                                    <a:cs typeface="+mn-cs"/>
                                  </a:rPr>
                                  <m:t>−</m:t>
                                </m:r>
                                <m:r>
                                  <a:rPr lang="en-US" sz="1050" i="1" kern="1200">
                                    <a:solidFill>
                                      <a:schemeClr val="tx1"/>
                                    </a:solidFill>
                                    <a:effectLst/>
                                    <a:latin typeface="Cambria Math" panose="02040503050406030204" pitchFamily="18" charset="0"/>
                                    <a:ea typeface="+mn-ea"/>
                                    <a:cs typeface="+mn-cs"/>
                                  </a:rPr>
                                  <m:t>𝑡</m:t>
                                </m:r>
                              </m:e>
                            </m:d>
                          </m:sup>
                        </m:sSup>
                        <m:sSup>
                          <m:sSupPr>
                            <m:ctrlPr>
                              <a:rPr lang="en-US" sz="1050" i="1" kern="1200">
                                <a:solidFill>
                                  <a:schemeClr val="tx1"/>
                                </a:solidFill>
                                <a:effectLst/>
                                <a:latin typeface="Cambria Math" panose="02040503050406030204" pitchFamily="18" charset="0"/>
                                <a:ea typeface="+mn-ea"/>
                                <a:cs typeface="+mn-cs"/>
                              </a:rPr>
                            </m:ctrlPr>
                          </m:sSupPr>
                          <m:e>
                            <m:d>
                              <m:dPr>
                                <m:ctrlPr>
                                  <a:rPr lang="en-US" sz="1050" i="1" kern="1200">
                                    <a:solidFill>
                                      <a:schemeClr val="tx1"/>
                                    </a:solidFill>
                                    <a:effectLst/>
                                    <a:latin typeface="Cambria Math" panose="02040503050406030204" pitchFamily="18" charset="0"/>
                                    <a:ea typeface="+mn-ea"/>
                                    <a:cs typeface="+mn-cs"/>
                                  </a:rPr>
                                </m:ctrlPr>
                              </m:dPr>
                              <m:e>
                                <m:f>
                                  <m:fPr>
                                    <m:ctrlPr>
                                      <a:rPr lang="en-US" sz="1050" i="1" kern="1200">
                                        <a:solidFill>
                                          <a:schemeClr val="tx1"/>
                                        </a:solidFill>
                                        <a:effectLst/>
                                        <a:latin typeface="Cambria Math" panose="02040503050406030204" pitchFamily="18" charset="0"/>
                                        <a:ea typeface="+mn-ea"/>
                                        <a:cs typeface="+mn-cs"/>
                                      </a:rPr>
                                    </m:ctrlPr>
                                  </m:fPr>
                                  <m:num>
                                    <m:r>
                                      <a:rPr lang="en-US" sz="1050" i="1" kern="1200">
                                        <a:solidFill>
                                          <a:schemeClr val="tx1"/>
                                        </a:solidFill>
                                        <a:effectLst/>
                                        <a:latin typeface="Cambria Math" panose="02040503050406030204" pitchFamily="18" charset="0"/>
                                        <a:ea typeface="+mn-ea"/>
                                        <a:cs typeface="+mn-cs"/>
                                      </a:rPr>
                                      <m:t>𝐻</m:t>
                                    </m:r>
                                  </m:num>
                                  <m:den>
                                    <m:sSub>
                                      <m:sSubPr>
                                        <m:ctrlPr>
                                          <a:rPr lang="en-US" sz="1050" i="1" kern="1200">
                                            <a:solidFill>
                                              <a:schemeClr val="tx1"/>
                                            </a:solidFill>
                                            <a:effectLst/>
                                            <a:latin typeface="Cambria Math" panose="02040503050406030204" pitchFamily="18" charset="0"/>
                                            <a:ea typeface="+mn-ea"/>
                                            <a:cs typeface="+mn-cs"/>
                                          </a:rPr>
                                        </m:ctrlPr>
                                      </m:sSubPr>
                                      <m:e>
                                        <m:r>
                                          <a:rPr lang="en-US" sz="1050" i="1" kern="1200">
                                            <a:solidFill>
                                              <a:schemeClr val="tx1"/>
                                            </a:solidFill>
                                            <a:effectLst/>
                                            <a:latin typeface="Cambria Math" panose="02040503050406030204" pitchFamily="18" charset="0"/>
                                            <a:ea typeface="+mn-ea"/>
                                            <a:cs typeface="+mn-cs"/>
                                          </a:rPr>
                                          <m:t>𝑆</m:t>
                                        </m:r>
                                      </m:e>
                                      <m:sub>
                                        <m:r>
                                          <a:rPr lang="en-US" sz="1050" i="1" kern="1200">
                                            <a:solidFill>
                                              <a:schemeClr val="tx1"/>
                                            </a:solidFill>
                                            <a:effectLst/>
                                            <a:latin typeface="Cambria Math" panose="02040503050406030204" pitchFamily="18" charset="0"/>
                                            <a:ea typeface="+mn-ea"/>
                                            <a:cs typeface="+mn-cs"/>
                                          </a:rPr>
                                          <m:t>0</m:t>
                                        </m:r>
                                      </m:sub>
                                    </m:sSub>
                                  </m:den>
                                </m:f>
                              </m:e>
                            </m:d>
                          </m:e>
                          <m:sup>
                            <m:r>
                              <a:rPr lang="en-US" sz="1050" i="1" kern="1200">
                                <a:solidFill>
                                  <a:schemeClr val="tx1"/>
                                </a:solidFill>
                                <a:effectLst/>
                                <a:latin typeface="Cambria Math" panose="02040503050406030204" pitchFamily="18" charset="0"/>
                                <a:ea typeface="+mn-ea"/>
                                <a:cs typeface="+mn-cs"/>
                              </a:rPr>
                              <m:t>2</m:t>
                            </m:r>
                            <m:r>
                              <a:rPr lang="en-US" sz="1050" i="1" kern="1200">
                                <a:solidFill>
                                  <a:schemeClr val="tx1"/>
                                </a:solidFill>
                                <a:effectLst/>
                                <a:latin typeface="Cambria Math" panose="02040503050406030204" pitchFamily="18" charset="0"/>
                                <a:ea typeface="+mn-ea"/>
                                <a:cs typeface="+mn-cs"/>
                              </a:rPr>
                              <m:t>𝜆</m:t>
                            </m:r>
                            <m:r>
                              <a:rPr lang="en-US" sz="1050" b="0" i="1" kern="1200">
                                <a:solidFill>
                                  <a:schemeClr val="tx1"/>
                                </a:solidFill>
                                <a:effectLst/>
                                <a:latin typeface="Cambria Math" panose="02040503050406030204" pitchFamily="18" charset="0"/>
                                <a:ea typeface="+mn-ea"/>
                                <a:cs typeface="+mn-cs"/>
                              </a:rPr>
                              <m:t>−2</m:t>
                            </m:r>
                          </m:sup>
                        </m:sSup>
                        <m:r>
                          <a:rPr lang="en-US" sz="1050" i="1" kern="1200">
                            <a:solidFill>
                              <a:schemeClr val="tx1"/>
                            </a:solidFill>
                            <a:effectLst/>
                            <a:latin typeface="Cambria Math" panose="02040503050406030204" pitchFamily="18" charset="0"/>
                            <a:ea typeface="+mn-ea"/>
                            <a:cs typeface="+mn-cs"/>
                          </a:rPr>
                          <m:t>𝑁</m:t>
                        </m:r>
                        <m:d>
                          <m:dPr>
                            <m:ctrlPr>
                              <a:rPr lang="en-US" sz="1050" i="1" kern="1200">
                                <a:solidFill>
                                  <a:schemeClr val="tx1"/>
                                </a:solidFill>
                                <a:effectLst/>
                                <a:latin typeface="Cambria Math" panose="02040503050406030204" pitchFamily="18" charset="0"/>
                                <a:ea typeface="+mn-ea"/>
                                <a:cs typeface="+mn-cs"/>
                              </a:rPr>
                            </m:ctrlPr>
                          </m:dPr>
                          <m:e>
                            <m:r>
                              <a:rPr lang="en-US" sz="1050" b="0" i="1" kern="1200">
                                <a:solidFill>
                                  <a:schemeClr val="tx1"/>
                                </a:solidFill>
                                <a:effectLst/>
                                <a:latin typeface="Cambria Math" panose="02040503050406030204" pitchFamily="18" charset="0"/>
                                <a:ea typeface="+mn-ea"/>
                                <a:cs typeface="+mn-cs"/>
                              </a:rPr>
                              <m:t>𝑦</m:t>
                            </m:r>
                            <m:r>
                              <a:rPr lang="en-US" sz="1050" b="0" i="1" kern="1200">
                                <a:solidFill>
                                  <a:schemeClr val="tx1"/>
                                </a:solidFill>
                                <a:effectLst/>
                                <a:latin typeface="Cambria Math" panose="02040503050406030204" pitchFamily="18" charset="0"/>
                                <a:ea typeface="+mn-ea"/>
                                <a:cs typeface="+mn-cs"/>
                              </a:rPr>
                              <m:t>−</m:t>
                            </m:r>
                            <m:r>
                              <a:rPr lang="en-US" sz="1050" b="0" i="1" kern="1200">
                                <a:solidFill>
                                  <a:schemeClr val="tx1"/>
                                </a:solidFill>
                                <a:effectLst/>
                                <a:latin typeface="Cambria Math" panose="02040503050406030204" pitchFamily="18" charset="0"/>
                                <a:ea typeface="+mn-ea"/>
                                <a:cs typeface="+mn-cs"/>
                              </a:rPr>
                              <m:t>𝜎</m:t>
                            </m:r>
                            <m:rad>
                              <m:radPr>
                                <m:degHide m:val="on"/>
                                <m:ctrlPr>
                                  <a:rPr lang="en-US" sz="1050" b="0" i="1" kern="1200">
                                    <a:solidFill>
                                      <a:schemeClr val="tx1"/>
                                    </a:solidFill>
                                    <a:effectLst/>
                                    <a:latin typeface="Cambria Math" panose="02040503050406030204" pitchFamily="18" charset="0"/>
                                    <a:ea typeface="+mn-ea"/>
                                    <a:cs typeface="+mn-cs"/>
                                  </a:rPr>
                                </m:ctrlPr>
                              </m:radPr>
                              <m:deg/>
                              <m:e>
                                <m:r>
                                  <a:rPr lang="en-US" sz="1050" b="0" i="1" kern="1200">
                                    <a:solidFill>
                                      <a:schemeClr val="tx1"/>
                                    </a:solidFill>
                                    <a:effectLst/>
                                    <a:latin typeface="Cambria Math" panose="02040503050406030204" pitchFamily="18" charset="0"/>
                                    <a:ea typeface="+mn-ea"/>
                                    <a:cs typeface="+mn-cs"/>
                                  </a:rPr>
                                  <m:t>𝑇</m:t>
                                </m:r>
                              </m:e>
                            </m:rad>
                          </m:e>
                        </m:d>
                      </m:e>
                    </m:d>
                  </m:oMath>
                </m:oMathPara>
              </a14:m>
              <a:endParaRPr lang="es-MX" sz="1000" kern="0">
                <a:solidFill>
                  <a:srgbClr val="000000"/>
                </a:solidFill>
                <a:latin typeface="Tahoma" pitchFamily="34" charset="0"/>
              </a:endParaRPr>
            </a:p>
          </xdr:txBody>
        </xdr:sp>
      </mc:Choice>
      <mc:Fallback xmlns="">
        <xdr:sp macro="" textlink="">
          <xdr:nvSpPr>
            <xdr:cNvPr id="3" name="Rectangle 2">
              <a:extLst>
                <a:ext uri="{FF2B5EF4-FFF2-40B4-BE49-F238E27FC236}">
                  <a16:creationId xmlns:a16="http://schemas.microsoft.com/office/drawing/2014/main" id="{7487BE4E-1DEE-F041-B42B-F1B540477AE9}"/>
                </a:ext>
              </a:extLst>
            </xdr:cNvPr>
            <xdr:cNvSpPr txBox="1">
              <a:spLocks noChangeArrowheads="1"/>
            </xdr:cNvSpPr>
          </xdr:nvSpPr>
          <xdr:spPr bwMode="auto">
            <a:xfrm>
              <a:off x="889000" y="3219450"/>
              <a:ext cx="8223043" cy="79208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800" i="0" kern="0">
                  <a:solidFill>
                    <a:srgbClr val="000000"/>
                  </a:solidFill>
                  <a:latin typeface="Cambria Math"/>
                </a:rPr>
                <a:t> </a:t>
              </a:r>
              <a:r>
                <a:rPr lang="en-US" sz="800" b="0" i="0" kern="0">
                  <a:solidFill>
                    <a:srgbClr val="000000"/>
                  </a:solidFill>
                  <a:latin typeface="Cambria Math"/>
                </a:rPr>
                <a:t>𝑐</a:t>
              </a:r>
              <a:r>
                <a:rPr lang="en-US" sz="800" b="0" i="0" kern="0">
                  <a:solidFill>
                    <a:srgbClr val="000000"/>
                  </a:solidFill>
                  <a:latin typeface="Cambria Math" panose="02040503050406030204" pitchFamily="18" charset="0"/>
                </a:rPr>
                <a:t>_</a:t>
              </a:r>
              <a:r>
                <a:rPr lang="en-US" sz="800" b="0" i="0" kern="0">
                  <a:solidFill>
                    <a:srgbClr val="000000"/>
                  </a:solidFill>
                  <a:latin typeface="Cambria Math"/>
                </a:rPr>
                <a:t>𝑑</a:t>
              </a:r>
              <a:r>
                <a:rPr lang="es-MX" sz="800" b="0" i="0" kern="0">
                  <a:solidFill>
                    <a:srgbClr val="000000"/>
                  </a:solidFill>
                  <a:latin typeface="Cambria Math" panose="02040503050406030204" pitchFamily="18" charset="0"/>
                </a:rPr>
                <a:t>𝑜</a:t>
              </a:r>
              <a:r>
                <a:rPr lang="en-US" sz="800" i="0" kern="0">
                  <a:solidFill>
                    <a:srgbClr val="000000"/>
                  </a:solidFill>
                  <a:latin typeface="Cambria Math"/>
                </a:rPr>
                <a:t>=</a:t>
              </a:r>
              <a:r>
                <a:rPr lang="es-MX" sz="800" b="0" i="0" kern="0">
                  <a:solidFill>
                    <a:srgbClr val="000000"/>
                  </a:solidFill>
                  <a:latin typeface="Cambria Math" panose="02040503050406030204" pitchFamily="18" charset="0"/>
                </a:rPr>
                <a:t>𝑐−(</a:t>
              </a:r>
              <a:r>
                <a:rPr lang="en-US" sz="1050" i="0" kern="1200">
                  <a:solidFill>
                    <a:schemeClr val="tx1"/>
                  </a:solidFill>
                  <a:effectLst/>
                  <a:latin typeface="Cambria Math" panose="02040503050406030204" pitchFamily="18" charset="0"/>
                  <a:ea typeface="+mn-ea"/>
                  <a:cs typeface="+mn-cs"/>
                </a:rPr>
                <a:t>𝑆_0 𝑒^(−𝑞(</a:t>
              </a:r>
              <a:r>
                <a:rPr lang="en-US" sz="1050" b="0" i="0" kern="1200">
                  <a:solidFill>
                    <a:schemeClr val="tx1"/>
                  </a:solidFill>
                  <a:effectLst/>
                  <a:latin typeface="Cambria Math" panose="02040503050406030204" pitchFamily="18" charset="0"/>
                  <a:ea typeface="+mn-ea"/>
                  <a:cs typeface="+mn-cs"/>
                </a:rPr>
                <a:t>𝑇</a:t>
              </a:r>
              <a:r>
                <a:rPr lang="en-US" sz="1050" i="0" kern="1200">
                  <a:solidFill>
                    <a:schemeClr val="tx1"/>
                  </a:solidFill>
                  <a:effectLst/>
                  <a:latin typeface="Cambria Math" panose="02040503050406030204" pitchFamily="18" charset="0"/>
                  <a:ea typeface="+mn-ea"/>
                  <a:cs typeface="+mn-cs"/>
                </a:rPr>
                <a:t>−</a:t>
              </a:r>
              <a:r>
                <a:rPr lang="en-US" sz="1050" b="0" i="0" kern="1200">
                  <a:solidFill>
                    <a:schemeClr val="tx1"/>
                  </a:solidFill>
                  <a:effectLst/>
                  <a:latin typeface="Cambria Math" panose="02040503050406030204" pitchFamily="18" charset="0"/>
                  <a:ea typeface="+mn-ea"/>
                  <a:cs typeface="+mn-cs"/>
                </a:rPr>
                <a:t>𝑡) ) (</a:t>
              </a:r>
              <a:r>
                <a:rPr lang="en-US" sz="1050" i="0" kern="1200">
                  <a:solidFill>
                    <a:schemeClr val="tx1"/>
                  </a:solidFill>
                  <a:effectLst/>
                  <a:latin typeface="Cambria Math" panose="02040503050406030204" pitchFamily="18" charset="0"/>
                  <a:ea typeface="+mn-ea"/>
                  <a:cs typeface="+mn-cs"/>
                </a:rPr>
                <a:t>𝐻/𝑆_0 )</a:t>
              </a:r>
              <a:r>
                <a:rPr lang="en-US" sz="1050" b="0" i="0" kern="1200">
                  <a:solidFill>
                    <a:schemeClr val="tx1"/>
                  </a:solidFill>
                  <a:effectLst/>
                  <a:latin typeface="Cambria Math" panose="02040503050406030204" pitchFamily="18" charset="0"/>
                  <a:ea typeface="+mn-ea"/>
                  <a:cs typeface="+mn-cs"/>
                </a:rPr>
                <a:t>^2𝜆 </a:t>
              </a:r>
              <a:r>
                <a:rPr lang="en-US" sz="1050" i="0" kern="1200">
                  <a:solidFill>
                    <a:schemeClr val="tx1"/>
                  </a:solidFill>
                  <a:effectLst/>
                  <a:latin typeface="Cambria Math" panose="02040503050406030204" pitchFamily="18" charset="0"/>
                  <a:ea typeface="+mn-ea"/>
                  <a:cs typeface="+mn-cs"/>
                </a:rPr>
                <a:t>𝑁(</a:t>
              </a:r>
              <a:r>
                <a:rPr lang="en-US" sz="1050" b="0" i="0" kern="1200">
                  <a:solidFill>
                    <a:schemeClr val="tx1"/>
                  </a:solidFill>
                  <a:effectLst/>
                  <a:latin typeface="Cambria Math" panose="02040503050406030204" pitchFamily="18" charset="0"/>
                  <a:ea typeface="+mn-ea"/>
                  <a:cs typeface="+mn-cs"/>
                </a:rPr>
                <a:t>𝑦)</a:t>
              </a:r>
              <a:r>
                <a:rPr lang="en-US" sz="1050" i="0" kern="1200">
                  <a:solidFill>
                    <a:schemeClr val="tx1"/>
                  </a:solidFill>
                  <a:effectLst/>
                  <a:latin typeface="Cambria Math" panose="02040503050406030204" pitchFamily="18" charset="0"/>
                  <a:ea typeface="+mn-ea"/>
                  <a:cs typeface="+mn-cs"/>
                </a:rPr>
                <a:t>−</a:t>
              </a:r>
              <a:r>
                <a:rPr lang="en-US" sz="1050" b="0" i="0" kern="1200">
                  <a:solidFill>
                    <a:schemeClr val="tx1"/>
                  </a:solidFill>
                  <a:effectLst/>
                  <a:latin typeface="Cambria Math" panose="02040503050406030204" pitchFamily="18" charset="0"/>
                  <a:ea typeface="+mn-ea"/>
                  <a:cs typeface="+mn-cs"/>
                </a:rPr>
                <a:t>𝐾</a:t>
              </a:r>
              <a:r>
                <a:rPr lang="en-US" sz="1050" i="0" kern="1200">
                  <a:solidFill>
                    <a:schemeClr val="tx1"/>
                  </a:solidFill>
                  <a:effectLst/>
                  <a:latin typeface="Cambria Math" panose="02040503050406030204" pitchFamily="18" charset="0"/>
                  <a:ea typeface="+mn-ea"/>
                  <a:cs typeface="+mn-cs"/>
                </a:rPr>
                <a:t>𝑒^(−𝑟(</a:t>
              </a:r>
              <a:r>
                <a:rPr lang="en-US" sz="1050" b="0" i="0" kern="1200">
                  <a:solidFill>
                    <a:schemeClr val="tx1"/>
                  </a:solidFill>
                  <a:effectLst/>
                  <a:latin typeface="Cambria Math" panose="02040503050406030204" pitchFamily="18" charset="0"/>
                  <a:ea typeface="+mn-ea"/>
                  <a:cs typeface="+mn-cs"/>
                </a:rPr>
                <a:t>𝑇</a:t>
              </a:r>
              <a:r>
                <a:rPr lang="en-US" sz="1050" i="0" kern="1200">
                  <a:solidFill>
                    <a:schemeClr val="tx1"/>
                  </a:solidFill>
                  <a:effectLst/>
                  <a:latin typeface="Cambria Math" panose="02040503050406030204" pitchFamily="18" charset="0"/>
                  <a:ea typeface="+mn-ea"/>
                  <a:cs typeface="+mn-cs"/>
                </a:rPr>
                <a:t>−𝑡) ) (𝐻/𝑆_0 )^(2𝜆</a:t>
              </a:r>
              <a:r>
                <a:rPr lang="en-US" sz="1050" b="0" i="0" kern="1200">
                  <a:solidFill>
                    <a:schemeClr val="tx1"/>
                  </a:solidFill>
                  <a:effectLst/>
                  <a:latin typeface="Cambria Math" panose="02040503050406030204" pitchFamily="18" charset="0"/>
                  <a:ea typeface="+mn-ea"/>
                  <a:cs typeface="+mn-cs"/>
                </a:rPr>
                <a:t>−2) </a:t>
              </a:r>
              <a:r>
                <a:rPr lang="en-US" sz="1050" i="0" kern="1200">
                  <a:solidFill>
                    <a:schemeClr val="tx1"/>
                  </a:solidFill>
                  <a:effectLst/>
                  <a:latin typeface="Cambria Math" panose="02040503050406030204" pitchFamily="18" charset="0"/>
                  <a:ea typeface="+mn-ea"/>
                  <a:cs typeface="+mn-cs"/>
                </a:rPr>
                <a:t>𝑁(</a:t>
              </a:r>
              <a:r>
                <a:rPr lang="en-US" sz="1050" b="0" i="0" kern="1200">
                  <a:solidFill>
                    <a:schemeClr val="tx1"/>
                  </a:solidFill>
                  <a:effectLst/>
                  <a:latin typeface="Cambria Math" panose="02040503050406030204" pitchFamily="18" charset="0"/>
                  <a:ea typeface="+mn-ea"/>
                  <a:cs typeface="+mn-cs"/>
                </a:rPr>
                <a:t>𝑦−𝜎√𝑇))</a:t>
              </a:r>
              <a:endParaRPr lang="es-MX" sz="1000" kern="0">
                <a:solidFill>
                  <a:srgbClr val="000000"/>
                </a:solidFill>
                <a:latin typeface="Tahoma" pitchFamily="34" charset="0"/>
              </a:endParaRPr>
            </a:p>
          </xdr:txBody>
        </xdr:sp>
      </mc:Fallback>
    </mc:AlternateContent>
    <xdr:clientData/>
  </xdr:twoCellAnchor>
  <xdr:twoCellAnchor>
    <xdr:from>
      <xdr:col>16</xdr:col>
      <xdr:colOff>396241</xdr:colOff>
      <xdr:row>167</xdr:row>
      <xdr:rowOff>213360</xdr:rowOff>
    </xdr:from>
    <xdr:to>
      <xdr:col>18</xdr:col>
      <xdr:colOff>589281</xdr:colOff>
      <xdr:row>172</xdr:row>
      <xdr:rowOff>81280</xdr:rowOff>
    </xdr:to>
    <mc:AlternateContent xmlns:mc="http://schemas.openxmlformats.org/markup-compatibility/2006" xmlns:a14="http://schemas.microsoft.com/office/drawing/2010/main">
      <mc:Choice Requires="a14">
        <xdr:sp macro="" textlink="">
          <xdr:nvSpPr>
            <xdr:cNvPr id="24" name="Rectangle 2">
              <a:extLst>
                <a:ext uri="{FF2B5EF4-FFF2-40B4-BE49-F238E27FC236}">
                  <a16:creationId xmlns:a16="http://schemas.microsoft.com/office/drawing/2014/main" id="{00000000-0008-0000-0000-000018000000}"/>
                </a:ext>
              </a:extLst>
            </xdr:cNvPr>
            <xdr:cNvSpPr txBox="1">
              <a:spLocks noChangeArrowheads="1"/>
            </xdr:cNvSpPr>
          </xdr:nvSpPr>
          <xdr:spPr bwMode="auto">
            <a:xfrm>
              <a:off x="13563601" y="34838640"/>
              <a:ext cx="1991360" cy="91440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i="1" kern="0">
                        <a:solidFill>
                          <a:srgbClr val="000000"/>
                        </a:solidFill>
                        <a:latin typeface="Cambria Math"/>
                        <a:ea typeface="Cambria Math"/>
                      </a:rPr>
                      <m:t>𝜆</m:t>
                    </m:r>
                    <m:r>
                      <a:rPr lang="en-US" sz="1100" b="0" i="1" kern="0">
                        <a:solidFill>
                          <a:srgbClr val="000000"/>
                        </a:solidFill>
                        <a:latin typeface="Cambria Math"/>
                        <a:ea typeface="Cambria Math"/>
                      </a:rPr>
                      <m:t>=</m:t>
                    </m:r>
                    <m:f>
                      <m:fPr>
                        <m:ctrlPr>
                          <a:rPr lang="en-US" sz="1100" b="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𝑟</m:t>
                        </m:r>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𝑞</m:t>
                        </m:r>
                        <m:r>
                          <a:rPr lang="en-US" sz="1100" b="0" i="1" kern="0">
                            <a:solidFill>
                              <a:srgbClr val="000000"/>
                            </a:solidFill>
                            <a:latin typeface="Cambria Math"/>
                            <a:ea typeface="Cambria Math"/>
                          </a:rPr>
                          <m:t>+</m:t>
                        </m:r>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/2</m:t>
                        </m:r>
                      </m:num>
                      <m:den>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den>
                    </m:f>
                  </m:oMath>
                </m:oMathPara>
              </a14:m>
              <a:endParaRPr lang="es-MX" sz="1100" kern="0">
                <a:solidFill>
                  <a:srgbClr val="000000"/>
                </a:solidFill>
                <a:latin typeface="Tahoma" pitchFamily="34" charset="0"/>
              </a:endParaRPr>
            </a:p>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b="0" i="1" kern="0">
                        <a:solidFill>
                          <a:srgbClr val="000000"/>
                        </a:solidFill>
                        <a:latin typeface="Cambria Math"/>
                        <a:ea typeface="Cambria Math"/>
                      </a:rPr>
                      <m:t>𝑦</m:t>
                    </m:r>
                    <m:r>
                      <a:rPr lang="en-US" sz="1100" i="1" kern="0">
                        <a:solidFill>
                          <a:srgbClr val="000000"/>
                        </a:solidFill>
                        <a:latin typeface="Cambria Math"/>
                        <a:ea typeface="Cambria Math"/>
                      </a:rPr>
                      <m:t>=</m:t>
                    </m:r>
                    <m:f>
                      <m:fPr>
                        <m:ctrlPr>
                          <a:rPr lang="en-US" sz="110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𝑙𝑛</m:t>
                        </m:r>
                        <m:d>
                          <m:dPr>
                            <m:begChr m:val="["/>
                            <m:endChr m:val="]"/>
                            <m:ctrlPr>
                              <a:rPr lang="en-US" sz="1100" b="0" i="1" kern="0">
                                <a:solidFill>
                                  <a:srgbClr val="000000"/>
                                </a:solidFill>
                                <a:latin typeface="Cambria Math" panose="02040503050406030204" pitchFamily="18" charset="0"/>
                                <a:ea typeface="Cambria Math"/>
                              </a:rPr>
                            </m:ctrlPr>
                          </m:dPr>
                          <m:e>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𝐻</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m:t>
                            </m:r>
                            <m:d>
                              <m:dPr>
                                <m:ctrlPr>
                                  <a:rPr lang="en-US" sz="1100" b="0" i="1" kern="0">
                                    <a:solidFill>
                                      <a:srgbClr val="000000"/>
                                    </a:solidFill>
                                    <a:latin typeface="Cambria Math" panose="02040503050406030204" pitchFamily="18" charset="0"/>
                                    <a:ea typeface="Cambria Math"/>
                                  </a:rPr>
                                </m:ctrlPr>
                              </m:dPr>
                              <m:e>
                                <m:sSub>
                                  <m:sSubPr>
                                    <m:ctrlPr>
                                      <a:rPr lang="en-US" sz="1100" i="1" kern="0">
                                        <a:solidFill>
                                          <a:srgbClr val="000000"/>
                                        </a:solidFill>
                                        <a:latin typeface="Cambria Math" panose="02040503050406030204" pitchFamily="18" charset="0"/>
                                        <a:ea typeface="Cambria Math"/>
                                      </a:rPr>
                                    </m:ctrlPr>
                                  </m:sSubPr>
                                  <m:e>
                                    <m:r>
                                      <a:rPr lang="en-US" sz="1100" i="1" kern="0">
                                        <a:solidFill>
                                          <a:srgbClr val="000000"/>
                                        </a:solidFill>
                                        <a:latin typeface="Cambria Math"/>
                                        <a:ea typeface="Cambria Math"/>
                                      </a:rPr>
                                      <m:t>𝑆</m:t>
                                    </m:r>
                                  </m:e>
                                  <m:sub>
                                    <m:r>
                                      <a:rPr lang="en-US" sz="1100" i="1" kern="0">
                                        <a:solidFill>
                                          <a:srgbClr val="000000"/>
                                        </a:solidFill>
                                        <a:latin typeface="Cambria Math"/>
                                        <a:ea typeface="Cambria Math"/>
                                      </a:rPr>
                                      <m:t>0</m:t>
                                    </m:r>
                                  </m:sub>
                                </m:sSub>
                                <m:r>
                                  <a:rPr lang="en-US" sz="1100" i="1" kern="0">
                                    <a:solidFill>
                                      <a:srgbClr val="000000"/>
                                    </a:solidFill>
                                    <a:latin typeface="Cambria Math"/>
                                    <a:ea typeface="Cambria Math"/>
                                  </a:rPr>
                                  <m:t>𝐾</m:t>
                                </m:r>
                              </m:e>
                            </m:d>
                          </m:e>
                        </m:d>
                      </m:num>
                      <m:den>
                        <m:r>
                          <a:rPr lang="en-US" sz="1100" i="1" kern="0">
                            <a:solidFill>
                              <a:srgbClr val="000000"/>
                            </a:solidFill>
                            <a:latin typeface="Cambria Math"/>
                            <a:ea typeface="Cambria Math"/>
                          </a:rPr>
                          <m:t>𝜎</m:t>
                        </m:r>
                        <m:rad>
                          <m:radPr>
                            <m:degHide m:val="on"/>
                            <m:ctrlPr>
                              <a:rPr lang="en-US" sz="110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den>
                    </m:f>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𝜆𝜎</m:t>
                    </m:r>
                    <m:rad>
                      <m:radPr>
                        <m:degHide m:val="on"/>
                        <m:ctrlPr>
                          <a:rPr lang="en-US" sz="1100" b="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oMath>
                </m:oMathPara>
              </a14:m>
              <a:endParaRPr lang="es-MX" sz="1100" kern="0">
                <a:solidFill>
                  <a:srgbClr val="000000"/>
                </a:solidFill>
                <a:latin typeface="Tahoma" pitchFamily="34" charset="0"/>
              </a:endParaRPr>
            </a:p>
          </xdr:txBody>
        </xdr:sp>
      </mc:Choice>
      <mc:Fallback xmlns="">
        <xdr:sp macro="" textlink="">
          <xdr:nvSpPr>
            <xdr:cNvPr id="24" name="Rectangle 2">
              <a:extLst>
                <a:ext uri="{FF2B5EF4-FFF2-40B4-BE49-F238E27FC236}">
                  <a16:creationId xmlns:a16="http://schemas.microsoft.com/office/drawing/2014/main" id="{897BF928-26F0-784C-99DD-2C1FF6CAA2FC}"/>
                </a:ext>
              </a:extLst>
            </xdr:cNvPr>
            <xdr:cNvSpPr txBox="1">
              <a:spLocks noChangeArrowheads="1"/>
            </xdr:cNvSpPr>
          </xdr:nvSpPr>
          <xdr:spPr bwMode="auto">
            <a:xfrm>
              <a:off x="13563601" y="34838640"/>
              <a:ext cx="1991360" cy="91440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i="0" kern="0">
                  <a:solidFill>
                    <a:srgbClr val="000000"/>
                  </a:solidFill>
                  <a:latin typeface="Cambria Math"/>
                  <a:ea typeface="Cambria Math"/>
                </a:rPr>
                <a:t>𝜆</a:t>
              </a:r>
              <a:r>
                <a:rPr lang="en-US" sz="1100" b="0" i="0" kern="0">
                  <a:solidFill>
                    <a:srgbClr val="000000"/>
                  </a:solidFill>
                  <a:latin typeface="Cambria Math"/>
                  <a:ea typeface="Cambria Math"/>
                </a:rPr>
                <a:t>=</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𝑟−𝑞+𝜎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2/2</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 </a:t>
              </a:r>
              <a:endParaRPr lang="es-MX" sz="1100" kern="0">
                <a:solidFill>
                  <a:srgbClr val="000000"/>
                </a:solidFill>
                <a:latin typeface="Tahoma" pitchFamily="34" charset="0"/>
              </a:endParaRPr>
            </a:p>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b="0" i="0" kern="0">
                  <a:solidFill>
                    <a:srgbClr val="000000"/>
                  </a:solidFill>
                  <a:latin typeface="Cambria Math"/>
                  <a:ea typeface="Cambria Math"/>
                </a:rPr>
                <a:t>𝑦</a:t>
              </a:r>
              <a:r>
                <a:rPr lang="en-US" sz="1100" i="0" kern="0">
                  <a:solidFill>
                    <a:srgbClr val="000000"/>
                  </a:solidFill>
                  <a:latin typeface="Cambria Math"/>
                  <a:ea typeface="Cambria Math"/>
                </a:rPr>
                <a:t>=</a:t>
              </a:r>
              <a:r>
                <a:rPr lang="en-US" sz="1100" b="0" i="0" kern="0">
                  <a:solidFill>
                    <a:srgbClr val="000000"/>
                  </a:solidFill>
                  <a:latin typeface="Cambria Math"/>
                  <a:ea typeface="Cambria Math"/>
                </a:rPr>
                <a:t>𝑙𝑛</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𝐻</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𝑆</a:t>
              </a:r>
              <a:r>
                <a:rPr lang="en-US" sz="1100" i="0" kern="0">
                  <a:solidFill>
                    <a:srgbClr val="000000"/>
                  </a:solidFill>
                  <a:latin typeface="Cambria Math" panose="02040503050406030204" pitchFamily="18" charset="0"/>
                  <a:ea typeface="Cambria Math"/>
                </a:rPr>
                <a:t>_</a:t>
              </a:r>
              <a:r>
                <a:rPr lang="en-US" sz="1100" i="0" kern="0">
                  <a:solidFill>
                    <a:srgbClr val="000000"/>
                  </a:solidFill>
                  <a:latin typeface="Cambria Math"/>
                  <a:ea typeface="Cambria Math"/>
                </a:rPr>
                <a:t>0 𝐾</a:t>
              </a:r>
              <a:r>
                <a:rPr lang="en-US" sz="110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𝜎</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+𝜆𝜎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endParaRPr lang="es-MX" sz="1100" kern="0">
                <a:solidFill>
                  <a:srgbClr val="000000"/>
                </a:solidFill>
                <a:latin typeface="Tahoma" pitchFamily="34" charset="0"/>
              </a:endParaRPr>
            </a:p>
          </xdr:txBody>
        </xdr:sp>
      </mc:Fallback>
    </mc:AlternateContent>
    <xdr:clientData/>
  </xdr:twoCellAnchor>
  <xdr:twoCellAnchor>
    <xdr:from>
      <xdr:col>13</xdr:col>
      <xdr:colOff>304800</xdr:colOff>
      <xdr:row>158</xdr:row>
      <xdr:rowOff>121920</xdr:rowOff>
    </xdr:from>
    <xdr:to>
      <xdr:col>21</xdr:col>
      <xdr:colOff>30480</xdr:colOff>
      <xdr:row>166</xdr:row>
      <xdr:rowOff>142240</xdr:rowOff>
    </xdr:to>
    <mc:AlternateContent xmlns:mc="http://schemas.openxmlformats.org/markup-compatibility/2006" xmlns:a14="http://schemas.microsoft.com/office/drawing/2010/main">
      <mc:Choice Requires="a14">
        <xdr:sp macro="" textlink="">
          <xdr:nvSpPr>
            <xdr:cNvPr id="25" name="Rectangle 2">
              <a:extLst>
                <a:ext uri="{FF2B5EF4-FFF2-40B4-BE49-F238E27FC236}">
                  <a16:creationId xmlns:a16="http://schemas.microsoft.com/office/drawing/2014/main" id="{00000000-0008-0000-0000-000019000000}"/>
                </a:ext>
              </a:extLst>
            </xdr:cNvPr>
            <xdr:cNvSpPr txBox="1">
              <a:spLocks noChangeArrowheads="1"/>
            </xdr:cNvSpPr>
          </xdr:nvSpPr>
          <xdr:spPr bwMode="auto">
            <a:xfrm>
              <a:off x="11003280" y="32887920"/>
              <a:ext cx="6461760" cy="166624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center"/>
                  </m:oMathParaPr>
                  <m:oMath xmlns:m="http://schemas.openxmlformats.org/officeDocument/2006/math">
                    <m:r>
                      <a:rPr lang="en-US" sz="1600" i="1" kern="0">
                        <a:solidFill>
                          <a:srgbClr val="000000"/>
                        </a:solidFill>
                        <a:latin typeface="Cambria Math"/>
                      </a:rPr>
                      <m:t> </m:t>
                    </m:r>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𝑐</m:t>
                        </m:r>
                      </m:e>
                      <m:sub>
                        <m:r>
                          <a:rPr lang="en-US" sz="1600" b="0" i="1" kern="0">
                            <a:solidFill>
                              <a:srgbClr val="000000"/>
                            </a:solidFill>
                            <a:latin typeface="Cambria Math"/>
                          </a:rPr>
                          <m:t>𝑑𝑖</m:t>
                        </m:r>
                      </m:sub>
                    </m:sSub>
                    <m:r>
                      <a:rPr lang="en-US" sz="1600" i="1" kern="0">
                        <a:solidFill>
                          <a:srgbClr val="000000"/>
                        </a:solidFill>
                        <a:latin typeface="Cambria Math"/>
                      </a:rPr>
                      <m:t>=</m:t>
                    </m:r>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𝑆</m:t>
                        </m:r>
                      </m:e>
                      <m:sub>
                        <m:r>
                          <a:rPr lang="en-US" sz="1600" i="1" kern="0">
                            <a:solidFill>
                              <a:srgbClr val="000000"/>
                            </a:solidFill>
                            <a:latin typeface="Cambria Math"/>
                          </a:rPr>
                          <m:t>0</m:t>
                        </m:r>
                      </m:sub>
                    </m:sSub>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𝑞</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b="0" i="1" kern="0">
                                <a:solidFill>
                                  <a:srgbClr val="000000"/>
                                </a:solidFill>
                                <a:latin typeface="Cambria Math"/>
                                <a:ea typeface="Cambria Math"/>
                              </a:rPr>
                              <m:t>𝑡</m:t>
                            </m:r>
                          </m:e>
                        </m:d>
                      </m:sup>
                    </m:sSup>
                    <m:sSup>
                      <m:sSupPr>
                        <m:ctrlPr>
                          <a:rPr lang="en-US" sz="1600" b="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b="0" i="1" kern="0">
                            <a:solidFill>
                              <a:srgbClr val="000000"/>
                            </a:solidFill>
                            <a:latin typeface="Cambria Math"/>
                            <a:ea typeface="Cambria Math"/>
                          </a:rPr>
                          <m:t>2</m:t>
                        </m:r>
                        <m:r>
                          <a:rPr lang="en-US" sz="1600" b="0" i="1" kern="0">
                            <a:solidFill>
                              <a:srgbClr val="000000"/>
                            </a:solidFill>
                            <a:latin typeface="Cambria Math"/>
                            <a:ea typeface="Cambria Math"/>
                          </a:rPr>
                          <m:t>𝜆</m:t>
                        </m:r>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r>
                          <a:rPr lang="en-US" sz="1600" b="0" i="1" kern="0">
                            <a:solidFill>
                              <a:srgbClr val="000000"/>
                            </a:solidFill>
                            <a:latin typeface="Cambria Math"/>
                          </a:rPr>
                          <m:t>𝑦</m:t>
                        </m:r>
                      </m:e>
                    </m:d>
                    <m:r>
                      <a:rPr lang="en-US" sz="1600" i="1" kern="0">
                        <a:solidFill>
                          <a:srgbClr val="000000"/>
                        </a:solidFill>
                        <a:latin typeface="Cambria Math"/>
                      </a:rPr>
                      <m:t>−</m:t>
                    </m:r>
                    <m:r>
                      <a:rPr lang="en-US" sz="1600" b="0" i="1" kern="0">
                        <a:solidFill>
                          <a:srgbClr val="000000"/>
                        </a:solidFill>
                        <a:latin typeface="Cambria Math"/>
                        <a:ea typeface="Cambria Math"/>
                      </a:rPr>
                      <m:t>𝐾</m:t>
                    </m:r>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𝑟</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sSup>
                      <m:sSupPr>
                        <m:ctrlPr>
                          <a:rPr lang="en-US" sz="160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i="1" kern="0">
                            <a:solidFill>
                              <a:srgbClr val="000000"/>
                            </a:solidFill>
                            <a:latin typeface="Cambria Math"/>
                            <a:ea typeface="Cambria Math"/>
                          </a:rPr>
                          <m:t>2</m:t>
                        </m:r>
                        <m:r>
                          <a:rPr lang="en-US" sz="1600" i="1" kern="0">
                            <a:solidFill>
                              <a:srgbClr val="000000"/>
                            </a:solidFill>
                            <a:latin typeface="Cambria Math"/>
                            <a:ea typeface="Cambria Math"/>
                          </a:rPr>
                          <m:t>𝜆</m:t>
                        </m:r>
                        <m:r>
                          <a:rPr lang="en-US" sz="1600" b="0" i="1" kern="0">
                            <a:solidFill>
                              <a:srgbClr val="000000"/>
                            </a:solidFill>
                            <a:latin typeface="Cambria Math"/>
                            <a:ea typeface="Cambria Math"/>
                          </a:rPr>
                          <m:t>−2</m:t>
                        </m:r>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r>
                          <a:rPr lang="en-US" sz="1600" b="0" i="1" kern="0">
                            <a:solidFill>
                              <a:srgbClr val="000000"/>
                            </a:solidFill>
                            <a:latin typeface="Cambria Math"/>
                          </a:rPr>
                          <m:t>𝑦</m:t>
                        </m:r>
                        <m:r>
                          <a:rPr lang="en-US" sz="1600" b="0" i="1" kern="0">
                            <a:solidFill>
                              <a:srgbClr val="000000"/>
                            </a:solidFill>
                            <a:latin typeface="Cambria Math"/>
                          </a:rPr>
                          <m:t>−</m:t>
                        </m:r>
                        <m:r>
                          <a:rPr lang="en-US" sz="1600" b="0" i="1" kern="0">
                            <a:solidFill>
                              <a:srgbClr val="000000"/>
                            </a:solidFill>
                            <a:latin typeface="Cambria Math"/>
                            <a:ea typeface="Cambria Math"/>
                          </a:rPr>
                          <m:t>𝜎</m:t>
                        </m:r>
                        <m:rad>
                          <m:radPr>
                            <m:degHide m:val="on"/>
                            <m:ctrlPr>
                              <a:rPr lang="en-US" sz="1600" b="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e>
                        </m:rad>
                      </m:e>
                    </m:d>
                  </m:oMath>
                </m:oMathPara>
              </a14:m>
              <a:endParaRPr lang="es-MX" sz="1600" kern="0">
                <a:solidFill>
                  <a:srgbClr val="000000"/>
                </a:solidFill>
                <a:latin typeface="Tahoma" pitchFamily="34" charset="0"/>
              </a:endParaRPr>
            </a:p>
          </xdr:txBody>
        </xdr:sp>
      </mc:Choice>
      <mc:Fallback xmlns="">
        <xdr:sp macro="" textlink="">
          <xdr:nvSpPr>
            <xdr:cNvPr id="25" name="Rectangle 2">
              <a:extLst>
                <a:ext uri="{FF2B5EF4-FFF2-40B4-BE49-F238E27FC236}">
                  <a16:creationId xmlns:a16="http://schemas.microsoft.com/office/drawing/2014/main" id="{4D7FA22C-F177-22DF-8757-9393A04C2716}"/>
                </a:ext>
              </a:extLst>
            </xdr:cNvPr>
            <xdr:cNvSpPr txBox="1">
              <a:spLocks noChangeArrowheads="1"/>
            </xdr:cNvSpPr>
          </xdr:nvSpPr>
          <xdr:spPr bwMode="auto">
            <a:xfrm>
              <a:off x="11003280" y="32887920"/>
              <a:ext cx="6461760" cy="166624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a:rPr>
                <a:t> </a:t>
              </a:r>
              <a:r>
                <a:rPr lang="en-US" sz="1600" b="0" i="0" kern="0">
                  <a:solidFill>
                    <a:srgbClr val="000000"/>
                  </a:solidFill>
                  <a:latin typeface="Cambria Math"/>
                </a:rPr>
                <a:t>𝑐</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𝑑𝑖</a:t>
              </a:r>
              <a:r>
                <a:rPr lang="en-US" sz="1600" i="0" kern="0">
                  <a:solidFill>
                    <a:srgbClr val="000000"/>
                  </a:solidFill>
                  <a:latin typeface="Cambria Math"/>
                </a:rPr>
                <a:t>=𝑆</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0</a:t>
              </a:r>
              <a:r>
                <a:rPr lang="en-US" sz="1600" i="0" kern="0">
                  <a:solidFill>
                    <a:srgbClr val="000000"/>
                  </a:solidFill>
                  <a:latin typeface="Cambria Math" panose="02040503050406030204" pitchFamily="18" charset="0"/>
                </a:rPr>
                <a:t> </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−𝑞</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 ) </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2𝜆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𝑦</a:t>
              </a:r>
              <a:r>
                <a:rPr lang="en-US" sz="1600" b="0" i="0" kern="0">
                  <a:solidFill>
                    <a:srgbClr val="000000"/>
                  </a:solidFill>
                  <a:latin typeface="Cambria Math" panose="02040503050406030204" pitchFamily="18" charset="0"/>
                </a:rPr>
                <a:t>)</a:t>
              </a:r>
              <a:r>
                <a:rPr lang="en-US" sz="1600" i="0" kern="0">
                  <a:solidFill>
                    <a:srgbClr val="000000"/>
                  </a:solidFill>
                  <a:latin typeface="Cambria Math"/>
                </a:rPr>
                <a:t>−</a:t>
              </a:r>
              <a:r>
                <a:rPr lang="en-US" sz="1600" b="0" i="0" kern="0">
                  <a:solidFill>
                    <a:srgbClr val="000000"/>
                  </a:solidFill>
                  <a:latin typeface="Cambria Math"/>
                  <a:ea typeface="Cambria Math"/>
                </a:rPr>
                <a:t>𝐾</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−𝑟</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−𝑡</a:t>
              </a:r>
              <a:r>
                <a:rPr lang="en-US" sz="1600" i="0" kern="0">
                  <a:solidFill>
                    <a:srgbClr val="000000"/>
                  </a:solidFill>
                  <a:latin typeface="Cambria Math" panose="02040503050406030204" pitchFamily="18" charset="0"/>
                  <a:ea typeface="Cambria Math"/>
                </a:rPr>
                <a:t>) ) (</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2𝜆</a:t>
              </a:r>
              <a:r>
                <a:rPr lang="en-US" sz="1600" b="0" i="0" kern="0">
                  <a:solidFill>
                    <a:srgbClr val="000000"/>
                  </a:solidFill>
                  <a:latin typeface="Cambria Math"/>
                  <a:ea typeface="Cambria Math"/>
                </a:rPr>
                <a:t>−2</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𝑦−</a:t>
              </a:r>
              <a:r>
                <a:rPr lang="en-US" sz="1600" b="0" i="0" kern="0">
                  <a:solidFill>
                    <a:srgbClr val="000000"/>
                  </a:solidFill>
                  <a:latin typeface="Cambria Math"/>
                  <a:ea typeface="Cambria Math"/>
                </a:rPr>
                <a:t>𝜎</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13</xdr:col>
      <xdr:colOff>483276</xdr:colOff>
      <xdr:row>191</xdr:row>
      <xdr:rowOff>0</xdr:rowOff>
    </xdr:from>
    <xdr:to>
      <xdr:col>19</xdr:col>
      <xdr:colOff>202302</xdr:colOff>
      <xdr:row>193</xdr:row>
      <xdr:rowOff>123629</xdr:rowOff>
    </xdr:to>
    <mc:AlternateContent xmlns:mc="http://schemas.openxmlformats.org/markup-compatibility/2006" xmlns:a14="http://schemas.microsoft.com/office/drawing/2010/main">
      <mc:Choice Requires="a14">
        <xdr:sp macro="" textlink="">
          <xdr:nvSpPr>
            <xdr:cNvPr id="29" name="Rectangle 2">
              <a:extLst>
                <a:ext uri="{FF2B5EF4-FFF2-40B4-BE49-F238E27FC236}">
                  <a16:creationId xmlns:a16="http://schemas.microsoft.com/office/drawing/2014/main" id="{00000000-0008-0000-0000-00001D000000}"/>
                </a:ext>
              </a:extLst>
            </xdr:cNvPr>
            <xdr:cNvSpPr txBox="1">
              <a:spLocks noChangeArrowheads="1"/>
            </xdr:cNvSpPr>
          </xdr:nvSpPr>
          <xdr:spPr bwMode="auto">
            <a:xfrm>
              <a:off x="11149028" y="39471150"/>
              <a:ext cx="4799026" cy="528231"/>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600" i="1" kern="0">
                        <a:solidFill>
                          <a:srgbClr val="000000"/>
                        </a:solidFill>
                        <a:latin typeface="Cambria Math"/>
                      </a:rPr>
                      <m:t> </m:t>
                    </m:r>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𝑐</m:t>
                        </m:r>
                      </m:e>
                      <m:sub>
                        <m:r>
                          <a:rPr lang="en-US" sz="1600" b="0" i="1" kern="0">
                            <a:solidFill>
                              <a:srgbClr val="000000"/>
                            </a:solidFill>
                            <a:latin typeface="Cambria Math"/>
                          </a:rPr>
                          <m:t>𝑑𝑜</m:t>
                        </m:r>
                      </m:sub>
                    </m:sSub>
                    <m:r>
                      <a:rPr lang="en-US" sz="1600" i="1" kern="0">
                        <a:solidFill>
                          <a:srgbClr val="000000"/>
                        </a:solidFill>
                        <a:latin typeface="Cambria Math"/>
                      </a:rPr>
                      <m:t>=</m:t>
                    </m:r>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𝑆</m:t>
                        </m:r>
                      </m:e>
                      <m:sub>
                        <m:r>
                          <a:rPr lang="en-US" sz="1600" i="1" kern="0">
                            <a:solidFill>
                              <a:srgbClr val="000000"/>
                            </a:solidFill>
                            <a:latin typeface="Cambria Math"/>
                          </a:rPr>
                          <m:t>0</m:t>
                        </m:r>
                      </m:sub>
                    </m:sSub>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𝑥</m:t>
                            </m:r>
                          </m:e>
                          <m:sub>
                            <m:r>
                              <a:rPr lang="en-US" sz="1600" b="0" i="1" kern="0">
                                <a:solidFill>
                                  <a:srgbClr val="000000"/>
                                </a:solidFill>
                                <a:latin typeface="Cambria Math"/>
                              </a:rPr>
                              <m:t>1</m:t>
                            </m:r>
                          </m:sub>
                        </m:sSub>
                      </m:e>
                    </m:d>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𝑞</m:t>
                        </m:r>
                        <m:d>
                          <m:dPr>
                            <m:ctrlPr>
                              <a:rPr lang="en-US" sz="1600" i="1" kern="0">
                                <a:solidFill>
                                  <a:srgbClr val="000000"/>
                                </a:solidFill>
                                <a:latin typeface="Cambria Math" panose="02040503050406030204" pitchFamily="18" charset="0"/>
                                <a:ea typeface="Cambria Math"/>
                              </a:rPr>
                            </m:ctrlPr>
                          </m:dPr>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r>
                      <a:rPr lang="en-US" sz="1600" i="1" kern="0">
                        <a:solidFill>
                          <a:srgbClr val="000000"/>
                        </a:solidFill>
                        <a:latin typeface="Cambria Math"/>
                        <a:ea typeface="Cambria Math"/>
                      </a:rPr>
                      <m:t>−</m:t>
                    </m:r>
                    <m:r>
                      <a:rPr lang="en-US" sz="1600" i="1" kern="0">
                        <a:solidFill>
                          <a:srgbClr val="000000"/>
                        </a:solidFill>
                        <a:latin typeface="Cambria Math"/>
                        <a:ea typeface="Cambria Math"/>
                      </a:rPr>
                      <m:t>𝐾</m:t>
                    </m:r>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𝑟</m:t>
                        </m:r>
                        <m:d>
                          <m:dPr>
                            <m:ctrlPr>
                              <a:rPr lang="en-US" sz="1600" i="1" kern="0">
                                <a:solidFill>
                                  <a:srgbClr val="000000"/>
                                </a:solidFill>
                                <a:latin typeface="Cambria Math" panose="02040503050406030204" pitchFamily="18" charset="0"/>
                                <a:ea typeface="Cambria Math"/>
                              </a:rPr>
                            </m:ctrlPr>
                          </m:dPr>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𝑥</m:t>
                            </m:r>
                          </m:e>
                          <m:sub>
                            <m:r>
                              <a:rPr lang="en-US" sz="1600" i="1" kern="0">
                                <a:solidFill>
                                  <a:srgbClr val="000000"/>
                                </a:solidFill>
                                <a:latin typeface="Cambria Math"/>
                              </a:rPr>
                              <m:t>1</m:t>
                            </m:r>
                          </m:sub>
                        </m:sSub>
                        <m:r>
                          <a:rPr lang="en-US" sz="1600" i="1" kern="0">
                            <a:solidFill>
                              <a:srgbClr val="000000"/>
                            </a:solidFill>
                            <a:latin typeface="Cambria Math"/>
                          </a:rPr>
                          <m:t>−</m:t>
                        </m:r>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rad>
                      </m:e>
                    </m:d>
                  </m:oMath>
                </m:oMathPara>
              </a14:m>
              <a:endParaRPr lang="es-MX" sz="1600" kern="0">
                <a:solidFill>
                  <a:srgbClr val="000000"/>
                </a:solidFill>
                <a:latin typeface="Tahoma" pitchFamily="34" charset="0"/>
              </a:endParaRPr>
            </a:p>
          </xdr:txBody>
        </xdr:sp>
      </mc:Choice>
      <mc:Fallback xmlns="">
        <xdr:sp macro="" textlink="">
          <xdr:nvSpPr>
            <xdr:cNvPr id="29" name="Rectangle 2">
              <a:extLst>
                <a:ext uri="{FF2B5EF4-FFF2-40B4-BE49-F238E27FC236}">
                  <a16:creationId xmlns:a16="http://schemas.microsoft.com/office/drawing/2014/main" id="{3EB712E1-591A-F437-4EF3-20B903976E72}"/>
                </a:ext>
              </a:extLst>
            </xdr:cNvPr>
            <xdr:cNvSpPr txBox="1">
              <a:spLocks noChangeArrowheads="1"/>
            </xdr:cNvSpPr>
          </xdr:nvSpPr>
          <xdr:spPr bwMode="auto">
            <a:xfrm>
              <a:off x="11149028" y="39471150"/>
              <a:ext cx="4799026" cy="528231"/>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a:rPr>
                <a:t> </a:t>
              </a:r>
              <a:r>
                <a:rPr lang="en-US" sz="1600" b="0" i="0" kern="0">
                  <a:solidFill>
                    <a:srgbClr val="000000"/>
                  </a:solidFill>
                  <a:latin typeface="Cambria Math"/>
                </a:rPr>
                <a:t>𝑐</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𝑑𝑜</a:t>
              </a:r>
              <a:r>
                <a:rPr lang="en-US" sz="1600" i="0" kern="0">
                  <a:solidFill>
                    <a:srgbClr val="000000"/>
                  </a:solidFill>
                  <a:latin typeface="Cambria Math"/>
                </a:rPr>
                <a:t>=𝑆</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0 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𝑥</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1</a:t>
              </a:r>
              <a:r>
                <a:rPr lang="en-US" sz="1600" b="0" i="0" kern="0">
                  <a:solidFill>
                    <a:srgbClr val="000000"/>
                  </a:solidFill>
                  <a:latin typeface="Cambria Math" panose="02040503050406030204" pitchFamily="18" charset="0"/>
                </a:rPr>
                <a:t> ) </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−𝑞</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−𝐾</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−𝑟</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𝑥</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19</xdr:col>
      <xdr:colOff>44956</xdr:colOff>
      <xdr:row>190</xdr:row>
      <xdr:rowOff>101150</xdr:rowOff>
    </xdr:from>
    <xdr:to>
      <xdr:col>26</xdr:col>
      <xdr:colOff>460795</xdr:colOff>
      <xdr:row>193</xdr:row>
      <xdr:rowOff>191062</xdr:rowOff>
    </xdr:to>
    <mc:AlternateContent xmlns:mc="http://schemas.openxmlformats.org/markup-compatibility/2006" xmlns:a14="http://schemas.microsoft.com/office/drawing/2010/main">
      <mc:Choice Requires="a14">
        <xdr:sp macro="" textlink="">
          <xdr:nvSpPr>
            <xdr:cNvPr id="30" name="Rectangle 2">
              <a:extLst>
                <a:ext uri="{FF2B5EF4-FFF2-40B4-BE49-F238E27FC236}">
                  <a16:creationId xmlns:a16="http://schemas.microsoft.com/office/drawing/2014/main" id="{00000000-0008-0000-0000-00001E000000}"/>
                </a:ext>
              </a:extLst>
            </xdr:cNvPr>
            <xdr:cNvSpPr txBox="1">
              <a:spLocks noChangeArrowheads="1"/>
            </xdr:cNvSpPr>
          </xdr:nvSpPr>
          <xdr:spPr bwMode="auto">
            <a:xfrm>
              <a:off x="15790708" y="39358761"/>
              <a:ext cx="6158937" cy="708053"/>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m:t>
                        </m:r>
                        <m:r>
                          <a:rPr lang="en-US" sz="1600" i="1" kern="0">
                            <a:solidFill>
                              <a:srgbClr val="000000"/>
                            </a:solidFill>
                            <a:latin typeface="Cambria Math"/>
                          </a:rPr>
                          <m:t>𝑆</m:t>
                        </m:r>
                      </m:e>
                      <m:sub>
                        <m:r>
                          <a:rPr lang="en-US" sz="1600" i="1" kern="0">
                            <a:solidFill>
                              <a:srgbClr val="000000"/>
                            </a:solidFill>
                            <a:latin typeface="Cambria Math"/>
                          </a:rPr>
                          <m:t>0</m:t>
                        </m:r>
                      </m:sub>
                    </m:sSub>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𝑞</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b="0" i="1" kern="0">
                                <a:solidFill>
                                  <a:srgbClr val="000000"/>
                                </a:solidFill>
                                <a:latin typeface="Cambria Math"/>
                                <a:ea typeface="Cambria Math"/>
                              </a:rPr>
                              <m:t>𝑡</m:t>
                            </m:r>
                          </m:e>
                        </m:d>
                      </m:sup>
                    </m:sSup>
                    <m:sSup>
                      <m:sSupPr>
                        <m:ctrlPr>
                          <a:rPr lang="en-US" sz="1600" b="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b="0" i="1" kern="0">
                            <a:solidFill>
                              <a:srgbClr val="000000"/>
                            </a:solidFill>
                            <a:latin typeface="Cambria Math"/>
                            <a:ea typeface="Cambria Math"/>
                          </a:rPr>
                          <m:t>2</m:t>
                        </m:r>
                        <m:r>
                          <a:rPr lang="en-US" sz="1600" b="0" i="1" kern="0">
                            <a:solidFill>
                              <a:srgbClr val="000000"/>
                            </a:solidFill>
                            <a:latin typeface="Cambria Math"/>
                            <a:ea typeface="Cambria Math"/>
                          </a:rPr>
                          <m:t>𝜆</m:t>
                        </m:r>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𝑦</m:t>
                            </m:r>
                          </m:e>
                          <m:sub>
                            <m:r>
                              <a:rPr lang="en-US" sz="1600" b="0" i="1" kern="0">
                                <a:solidFill>
                                  <a:srgbClr val="000000"/>
                                </a:solidFill>
                                <a:latin typeface="Cambria Math"/>
                              </a:rPr>
                              <m:t>1</m:t>
                            </m:r>
                          </m:sub>
                        </m:sSub>
                      </m:e>
                    </m:d>
                    <m:r>
                      <a:rPr lang="en-US" sz="1600" i="1" kern="0">
                        <a:solidFill>
                          <a:srgbClr val="000000"/>
                        </a:solidFill>
                        <a:latin typeface="Cambria Math"/>
                      </a:rPr>
                      <m:t>−</m:t>
                    </m:r>
                    <m:r>
                      <a:rPr lang="en-US" sz="1600" b="0" i="1" kern="0">
                        <a:solidFill>
                          <a:srgbClr val="000000"/>
                        </a:solidFill>
                        <a:latin typeface="Cambria Math"/>
                        <a:ea typeface="Cambria Math"/>
                      </a:rPr>
                      <m:t>𝐾</m:t>
                    </m:r>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𝑟</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sSup>
                      <m:sSupPr>
                        <m:ctrlPr>
                          <a:rPr lang="en-US" sz="160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i="1" kern="0">
                            <a:solidFill>
                              <a:srgbClr val="000000"/>
                            </a:solidFill>
                            <a:latin typeface="Cambria Math"/>
                            <a:ea typeface="Cambria Math"/>
                          </a:rPr>
                          <m:t>2</m:t>
                        </m:r>
                        <m:r>
                          <a:rPr lang="en-US" sz="1600" i="1" kern="0">
                            <a:solidFill>
                              <a:srgbClr val="000000"/>
                            </a:solidFill>
                            <a:latin typeface="Cambria Math"/>
                            <a:ea typeface="Cambria Math"/>
                          </a:rPr>
                          <m:t>𝜆</m:t>
                        </m:r>
                        <m:r>
                          <a:rPr lang="en-US" sz="1600" b="0" i="1" kern="0">
                            <a:solidFill>
                              <a:srgbClr val="000000"/>
                            </a:solidFill>
                            <a:latin typeface="Cambria Math"/>
                            <a:ea typeface="Cambria Math"/>
                          </a:rPr>
                          <m:t>−2</m:t>
                        </m:r>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𝑦</m:t>
                            </m:r>
                          </m:e>
                          <m:sub>
                            <m:r>
                              <a:rPr lang="en-US" sz="1600" i="1" kern="0">
                                <a:solidFill>
                                  <a:srgbClr val="000000"/>
                                </a:solidFill>
                                <a:latin typeface="Cambria Math"/>
                              </a:rPr>
                              <m:t>1</m:t>
                            </m:r>
                          </m:sub>
                        </m:sSub>
                        <m:r>
                          <a:rPr lang="en-US" sz="1600" b="0" i="1" kern="0">
                            <a:solidFill>
                              <a:srgbClr val="000000"/>
                            </a:solidFill>
                            <a:latin typeface="Cambria Math"/>
                          </a:rPr>
                          <m:t>−</m:t>
                        </m:r>
                        <m:r>
                          <a:rPr lang="en-US" sz="1600" b="0" i="1" kern="0">
                            <a:solidFill>
                              <a:srgbClr val="000000"/>
                            </a:solidFill>
                            <a:latin typeface="Cambria Math"/>
                            <a:ea typeface="Cambria Math"/>
                          </a:rPr>
                          <m:t>𝜎</m:t>
                        </m:r>
                        <m:rad>
                          <m:radPr>
                            <m:degHide m:val="on"/>
                            <m:ctrlPr>
                              <a:rPr lang="en-US" sz="1600" b="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e>
                        </m:rad>
                      </m:e>
                    </m:d>
                  </m:oMath>
                </m:oMathPara>
              </a14:m>
              <a:endParaRPr lang="es-MX" sz="1600" kern="0">
                <a:solidFill>
                  <a:srgbClr val="000000"/>
                </a:solidFill>
                <a:latin typeface="Tahoma" pitchFamily="34" charset="0"/>
              </a:endParaRPr>
            </a:p>
          </xdr:txBody>
        </xdr:sp>
      </mc:Choice>
      <mc:Fallback xmlns="">
        <xdr:sp macro="" textlink="">
          <xdr:nvSpPr>
            <xdr:cNvPr id="30" name="Rectangle 2">
              <a:extLst>
                <a:ext uri="{FF2B5EF4-FFF2-40B4-BE49-F238E27FC236}">
                  <a16:creationId xmlns:a16="http://schemas.microsoft.com/office/drawing/2014/main" id="{452C7DB3-F076-B979-8608-67A894177209}"/>
                </a:ext>
              </a:extLst>
            </xdr:cNvPr>
            <xdr:cNvSpPr txBox="1">
              <a:spLocks noChangeArrowheads="1"/>
            </xdr:cNvSpPr>
          </xdr:nvSpPr>
          <xdr:spPr bwMode="auto">
            <a:xfrm>
              <a:off x="15790708" y="39358761"/>
              <a:ext cx="6158937" cy="708053"/>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panose="02040503050406030204" pitchFamily="18" charset="0"/>
                </a:rPr>
                <a:t>〖</a:t>
              </a:r>
              <a:r>
                <a:rPr lang="en-US" sz="1600" b="0" i="0" kern="0">
                  <a:solidFill>
                    <a:srgbClr val="000000"/>
                  </a:solidFill>
                  <a:latin typeface="Cambria Math"/>
                </a:rPr>
                <a:t>−</a:t>
              </a:r>
              <a:r>
                <a:rPr lang="en-US" sz="1600" i="0" kern="0">
                  <a:solidFill>
                    <a:srgbClr val="000000"/>
                  </a:solidFill>
                  <a:latin typeface="Cambria Math"/>
                </a:rPr>
                <a:t>𝑆</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0</a:t>
              </a:r>
              <a:r>
                <a:rPr lang="en-US" sz="1600" i="0" kern="0">
                  <a:solidFill>
                    <a:srgbClr val="000000"/>
                  </a:solidFill>
                  <a:latin typeface="Cambria Math" panose="02040503050406030204" pitchFamily="18" charset="0"/>
                </a:rPr>
                <a:t> </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−𝑞</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 ) </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2𝜆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𝑦</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1</a:t>
              </a:r>
              <a:r>
                <a:rPr lang="en-US" sz="1600" b="0" i="0" kern="0">
                  <a:solidFill>
                    <a:srgbClr val="000000"/>
                  </a:solidFill>
                  <a:latin typeface="Cambria Math" panose="02040503050406030204" pitchFamily="18" charset="0"/>
                </a:rPr>
                <a:t> )</a:t>
              </a:r>
              <a:r>
                <a:rPr lang="en-US" sz="1600" i="0" kern="0">
                  <a:solidFill>
                    <a:srgbClr val="000000"/>
                  </a:solidFill>
                  <a:latin typeface="Cambria Math"/>
                </a:rPr>
                <a:t>−</a:t>
              </a:r>
              <a:r>
                <a:rPr lang="en-US" sz="1600" b="0" i="0" kern="0">
                  <a:solidFill>
                    <a:srgbClr val="000000"/>
                  </a:solidFill>
                  <a:latin typeface="Cambria Math"/>
                  <a:ea typeface="Cambria Math"/>
                </a:rPr>
                <a:t>𝐾</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−𝑟</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−𝑡</a:t>
              </a:r>
              <a:r>
                <a:rPr lang="en-US" sz="1600" i="0" kern="0">
                  <a:solidFill>
                    <a:srgbClr val="000000"/>
                  </a:solidFill>
                  <a:latin typeface="Cambria Math" panose="02040503050406030204" pitchFamily="18" charset="0"/>
                  <a:ea typeface="Cambria Math"/>
                </a:rPr>
                <a:t>) ) (</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2𝜆</a:t>
              </a:r>
              <a:r>
                <a:rPr lang="en-US" sz="1600" b="0" i="0" kern="0">
                  <a:solidFill>
                    <a:srgbClr val="000000"/>
                  </a:solidFill>
                  <a:latin typeface="Cambria Math"/>
                  <a:ea typeface="Cambria Math"/>
                </a:rPr>
                <a:t>−2</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𝑦</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b="0" i="0" kern="0">
                  <a:solidFill>
                    <a:srgbClr val="000000"/>
                  </a:solidFill>
                  <a:latin typeface="Cambria Math"/>
                </a:rPr>
                <a:t>−</a:t>
              </a:r>
              <a:r>
                <a:rPr lang="en-US" sz="1600" b="0" i="0" kern="0">
                  <a:solidFill>
                    <a:srgbClr val="000000"/>
                  </a:solidFill>
                  <a:latin typeface="Cambria Math"/>
                  <a:ea typeface="Cambria Math"/>
                </a:rPr>
                <a:t>𝜎</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18</xdr:col>
      <xdr:colOff>185402</xdr:colOff>
      <xdr:row>195</xdr:row>
      <xdr:rowOff>139050</xdr:rowOff>
    </xdr:from>
    <xdr:to>
      <xdr:col>21</xdr:col>
      <xdr:colOff>407883</xdr:colOff>
      <xdr:row>198</xdr:row>
      <xdr:rowOff>111240</xdr:rowOff>
    </xdr:to>
    <mc:AlternateContent xmlns:mc="http://schemas.openxmlformats.org/markup-compatibility/2006" xmlns:a14="http://schemas.microsoft.com/office/drawing/2010/main">
      <mc:Choice Requires="a14">
        <xdr:sp macro="" textlink="">
          <xdr:nvSpPr>
            <xdr:cNvPr id="32" name="Rectangle 2">
              <a:extLst>
                <a:ext uri="{FF2B5EF4-FFF2-40B4-BE49-F238E27FC236}">
                  <a16:creationId xmlns:a16="http://schemas.microsoft.com/office/drawing/2014/main" id="{00000000-0008-0000-0000-000020000000}"/>
                </a:ext>
              </a:extLst>
            </xdr:cNvPr>
            <xdr:cNvSpPr txBox="1">
              <a:spLocks noChangeArrowheads="1"/>
            </xdr:cNvSpPr>
          </xdr:nvSpPr>
          <xdr:spPr bwMode="auto">
            <a:xfrm>
              <a:off x="16009417" y="40695619"/>
              <a:ext cx="2697590" cy="593285"/>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sSub>
                      <m:sSubPr>
                        <m:ctrlPr>
                          <a:rPr lang="en-US" sz="1600" i="1" kern="0">
                            <a:solidFill>
                              <a:srgbClr val="000000"/>
                            </a:solidFill>
                            <a:latin typeface="Cambria Math" panose="02040503050406030204" pitchFamily="18" charset="0"/>
                          </a:rPr>
                        </m:ctrlPr>
                      </m:sSubPr>
                      <m:e>
                        <m:r>
                          <a:rPr lang="es-MX" sz="1600" b="0" i="1" kern="0">
                            <a:solidFill>
                              <a:srgbClr val="000000"/>
                            </a:solidFill>
                            <a:latin typeface="Cambria Math" panose="02040503050406030204" pitchFamily="18" charset="0"/>
                          </a:rPr>
                          <m:t>𝑦</m:t>
                        </m:r>
                      </m:e>
                      <m:sub>
                        <m:r>
                          <a:rPr lang="en-US" sz="1600" i="1" kern="0">
                            <a:solidFill>
                              <a:srgbClr val="000000"/>
                            </a:solidFill>
                            <a:latin typeface="Cambria Math"/>
                          </a:rPr>
                          <m:t>1</m:t>
                        </m:r>
                      </m:sub>
                    </m:sSub>
                    <m:r>
                      <a:rPr lang="en-US" sz="1600" i="1" kern="0">
                        <a:solidFill>
                          <a:srgbClr val="000000"/>
                        </a:solidFill>
                        <a:latin typeface="Cambria Math"/>
                        <a:ea typeface="Cambria Math"/>
                      </a:rPr>
                      <m:t>=</m:t>
                    </m:r>
                    <m:f>
                      <m:fPr>
                        <m:ctrlPr>
                          <a:rPr lang="en-US" sz="1600" i="1" kern="0">
                            <a:solidFill>
                              <a:srgbClr val="000000"/>
                            </a:solidFill>
                            <a:latin typeface="Cambria Math" panose="02040503050406030204" pitchFamily="18" charset="0"/>
                            <a:ea typeface="Cambria Math"/>
                          </a:rPr>
                        </m:ctrlPr>
                      </m:fPr>
                      <m:num>
                        <m:r>
                          <a:rPr lang="en-US" sz="1600" b="0" i="1" kern="0">
                            <a:solidFill>
                              <a:srgbClr val="000000"/>
                            </a:solidFill>
                            <a:latin typeface="Cambria Math"/>
                            <a:ea typeface="Cambria Math"/>
                          </a:rPr>
                          <m:t>𝑙𝑛</m:t>
                        </m:r>
                        <m:d>
                          <m:dPr>
                            <m:begChr m:val="["/>
                            <m:endChr m:val="]"/>
                            <m:ctrlPr>
                              <a:rPr lang="en-US" sz="1600" b="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𝐻</m:t>
                            </m:r>
                            <m:r>
                              <a:rPr lang="en-US" sz="1600" b="0" i="1" kern="0">
                                <a:solidFill>
                                  <a:srgbClr val="000000"/>
                                </a:solidFill>
                                <a:latin typeface="Cambria Math"/>
                                <a:ea typeface="Cambria Math"/>
                              </a:rPr>
                              <m:t>/</m:t>
                            </m:r>
                            <m:sSub>
                              <m:sSubPr>
                                <m:ctrlPr>
                                  <a:rPr lang="en-US" sz="1600" b="0" i="1" kern="0">
                                    <a:solidFill>
                                      <a:srgbClr val="000000"/>
                                    </a:solidFill>
                                    <a:latin typeface="Cambria Math" panose="02040503050406030204" pitchFamily="18" charset="0"/>
                                    <a:ea typeface="Cambria Math"/>
                                  </a:rPr>
                                </m:ctrlPr>
                              </m:sSubPr>
                              <m:e>
                                <m:r>
                                  <a:rPr lang="en-US" sz="1600" b="0" i="1" kern="0">
                                    <a:solidFill>
                                      <a:srgbClr val="000000"/>
                                    </a:solidFill>
                                    <a:latin typeface="Cambria Math"/>
                                    <a:ea typeface="Cambria Math"/>
                                  </a:rPr>
                                  <m:t>𝑆</m:t>
                                </m:r>
                              </m:e>
                              <m:sub>
                                <m:r>
                                  <a:rPr lang="en-US" sz="1600" b="0" i="1" kern="0">
                                    <a:solidFill>
                                      <a:srgbClr val="000000"/>
                                    </a:solidFill>
                                    <a:latin typeface="Cambria Math"/>
                                    <a:ea typeface="Cambria Math"/>
                                  </a:rPr>
                                  <m:t>0</m:t>
                                </m:r>
                              </m:sub>
                            </m:sSub>
                          </m:e>
                        </m:d>
                      </m:num>
                      <m:den>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den>
                    </m:f>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𝜆𝜎</m:t>
                    </m:r>
                    <m:rad>
                      <m:radPr>
                        <m:degHide m:val="on"/>
                        <m:ctrlPr>
                          <a:rPr lang="en-US" sz="1600" b="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oMath>
                </m:oMathPara>
              </a14:m>
              <a:endParaRPr lang="es-MX" sz="1600" kern="0">
                <a:solidFill>
                  <a:srgbClr val="000000"/>
                </a:solidFill>
                <a:latin typeface="Tahoma" pitchFamily="34" charset="0"/>
              </a:endParaRPr>
            </a:p>
          </xdr:txBody>
        </xdr:sp>
      </mc:Choice>
      <mc:Fallback xmlns="">
        <xdr:sp macro="" textlink="">
          <xdr:nvSpPr>
            <xdr:cNvPr id="32" name="Rectangle 2">
              <a:extLst>
                <a:ext uri="{FF2B5EF4-FFF2-40B4-BE49-F238E27FC236}">
                  <a16:creationId xmlns:a16="http://schemas.microsoft.com/office/drawing/2014/main" id="{A80794E9-550B-AB9E-3220-8709CB531DB8}"/>
                </a:ext>
              </a:extLst>
            </xdr:cNvPr>
            <xdr:cNvSpPr txBox="1">
              <a:spLocks noChangeArrowheads="1"/>
            </xdr:cNvSpPr>
          </xdr:nvSpPr>
          <xdr:spPr bwMode="auto">
            <a:xfrm>
              <a:off x="16009417" y="40695619"/>
              <a:ext cx="2697590" cy="593285"/>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s-MX" sz="1600" b="0" i="0" kern="0">
                  <a:solidFill>
                    <a:srgbClr val="000000"/>
                  </a:solidFill>
                  <a:latin typeface="Cambria Math" panose="02040503050406030204" pitchFamily="18" charset="0"/>
                </a:rPr>
                <a:t>𝑦</a:t>
              </a:r>
              <a:r>
                <a:rPr lang="en-US" sz="1600" b="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a:ea typeface="Cambria Math"/>
                </a:rPr>
                <a:t>=</a:t>
              </a:r>
              <a:r>
                <a:rPr lang="en-US" sz="1600" b="0" i="0" kern="0">
                  <a:solidFill>
                    <a:srgbClr val="000000"/>
                  </a:solidFill>
                  <a:latin typeface="Cambria Math"/>
                  <a:ea typeface="Cambria Math"/>
                </a:rPr>
                <a:t>𝑙𝑛</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𝐻/𝑆</a:t>
              </a:r>
              <a:r>
                <a:rPr lang="en-US" sz="1600" b="0" i="0" kern="0">
                  <a:solidFill>
                    <a:srgbClr val="000000"/>
                  </a:solidFill>
                  <a:latin typeface="Cambria Math" panose="02040503050406030204" pitchFamily="18" charset="0"/>
                  <a:ea typeface="Cambria Math"/>
                </a:rPr>
                <a:t>_</a:t>
              </a:r>
              <a:r>
                <a:rPr lang="en-US" sz="1600" b="0" i="0" kern="0">
                  <a:solidFill>
                    <a:srgbClr val="000000"/>
                  </a:solidFill>
                  <a:latin typeface="Cambria Math"/>
                  <a:ea typeface="Cambria Math"/>
                </a:rPr>
                <a:t>0</a:t>
              </a:r>
              <a:r>
                <a:rPr lang="en-US" sz="1600" b="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𝑇−𝑡</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+𝜆𝜎</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𝑇−𝑡</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14</xdr:col>
      <xdr:colOff>404602</xdr:colOff>
      <xdr:row>194</xdr:row>
      <xdr:rowOff>89912</xdr:rowOff>
    </xdr:from>
    <xdr:to>
      <xdr:col>17</xdr:col>
      <xdr:colOff>775487</xdr:colOff>
      <xdr:row>199</xdr:row>
      <xdr:rowOff>22478</xdr:rowOff>
    </xdr:to>
    <mc:AlternateContent xmlns:mc="http://schemas.openxmlformats.org/markup-compatibility/2006" xmlns:a14="http://schemas.microsoft.com/office/drawing/2010/main">
      <mc:Choice Requires="a14">
        <xdr:sp macro="" textlink="">
          <xdr:nvSpPr>
            <xdr:cNvPr id="33" name="Rectangle 2">
              <a:extLst>
                <a:ext uri="{FF2B5EF4-FFF2-40B4-BE49-F238E27FC236}">
                  <a16:creationId xmlns:a16="http://schemas.microsoft.com/office/drawing/2014/main" id="{00000000-0008-0000-0000-000021000000}"/>
                </a:ext>
              </a:extLst>
            </xdr:cNvPr>
            <xdr:cNvSpPr txBox="1">
              <a:spLocks noChangeArrowheads="1"/>
            </xdr:cNvSpPr>
          </xdr:nvSpPr>
          <xdr:spPr bwMode="auto">
            <a:xfrm>
              <a:off x="11890797" y="40167965"/>
              <a:ext cx="2989557" cy="96654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600" i="1" kern="0">
                        <a:solidFill>
                          <a:srgbClr val="000000"/>
                        </a:solidFill>
                        <a:latin typeface="Cambria Math"/>
                      </a:rPr>
                      <m:t> </m:t>
                    </m:r>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𝑥</m:t>
                        </m:r>
                      </m:e>
                      <m:sub>
                        <m:r>
                          <a:rPr lang="en-US" sz="1600" b="0" i="1" kern="0">
                            <a:solidFill>
                              <a:srgbClr val="000000"/>
                            </a:solidFill>
                            <a:latin typeface="Cambria Math"/>
                          </a:rPr>
                          <m:t>1</m:t>
                        </m:r>
                      </m:sub>
                    </m:sSub>
                    <m:r>
                      <a:rPr lang="en-US" sz="1600" b="0" i="1" kern="0">
                        <a:solidFill>
                          <a:srgbClr val="000000"/>
                        </a:solidFill>
                        <a:latin typeface="Cambria Math"/>
                        <a:ea typeface="Cambria Math"/>
                      </a:rPr>
                      <m:t>=</m:t>
                    </m:r>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𝑙𝑛</m:t>
                        </m:r>
                        <m:d>
                          <m:dPr>
                            <m:begChr m:val="["/>
                            <m:endChr m:val="]"/>
                            <m:ctrlPr>
                              <a:rPr lang="en-US" sz="1600" i="1" kern="0">
                                <a:solidFill>
                                  <a:srgbClr val="000000"/>
                                </a:solidFill>
                                <a:latin typeface="Cambria Math" panose="02040503050406030204" pitchFamily="18" charset="0"/>
                                <a:ea typeface="Cambria Math"/>
                              </a:rPr>
                            </m:ctrlPr>
                          </m:dPr>
                          <m:e>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r>
                              <a:rPr lang="en-US" sz="1600" i="1" kern="0">
                                <a:solidFill>
                                  <a:srgbClr val="000000"/>
                                </a:solidFill>
                                <a:latin typeface="Cambria Math"/>
                                <a:ea typeface="Cambria Math"/>
                              </a:rPr>
                              <m:t>/</m:t>
                            </m:r>
                            <m:r>
                              <a:rPr lang="en-US" sz="1600" b="0" i="1" kern="0">
                                <a:solidFill>
                                  <a:srgbClr val="000000"/>
                                </a:solidFill>
                                <a:latin typeface="Cambria Math"/>
                                <a:ea typeface="Cambria Math"/>
                              </a:rPr>
                              <m:t>𝐻</m:t>
                            </m:r>
                          </m:e>
                        </m:d>
                      </m:num>
                      <m:den>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den>
                    </m:f>
                    <m:r>
                      <a:rPr lang="en-US" sz="1600" i="1" kern="0">
                        <a:solidFill>
                          <a:srgbClr val="000000"/>
                        </a:solidFill>
                        <a:latin typeface="Cambria Math"/>
                        <a:ea typeface="Cambria Math"/>
                      </a:rPr>
                      <m:t>+</m:t>
                    </m:r>
                    <m:r>
                      <a:rPr lang="en-US" sz="1600" i="1" kern="0">
                        <a:solidFill>
                          <a:srgbClr val="000000"/>
                        </a:solidFill>
                        <a:latin typeface="Cambria Math"/>
                        <a:ea typeface="Cambria Math"/>
                      </a:rPr>
                      <m:t>𝜆𝜎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oMath>
                </m:oMathPara>
              </a14:m>
              <a:endParaRPr lang="es-MX" sz="1600" kern="0">
                <a:solidFill>
                  <a:srgbClr val="000000"/>
                </a:solidFill>
                <a:latin typeface="Tahoma" pitchFamily="34" charset="0"/>
              </a:endParaRPr>
            </a:p>
          </xdr:txBody>
        </xdr:sp>
      </mc:Choice>
      <mc:Fallback xmlns="">
        <xdr:sp macro="" textlink="">
          <xdr:nvSpPr>
            <xdr:cNvPr id="33" name="Rectangle 2">
              <a:extLst>
                <a:ext uri="{FF2B5EF4-FFF2-40B4-BE49-F238E27FC236}">
                  <a16:creationId xmlns:a16="http://schemas.microsoft.com/office/drawing/2014/main" id="{BEEF20AD-E28C-A3DD-73D5-BC91404A2D97}"/>
                </a:ext>
              </a:extLst>
            </xdr:cNvPr>
            <xdr:cNvSpPr txBox="1">
              <a:spLocks noChangeArrowheads="1"/>
            </xdr:cNvSpPr>
          </xdr:nvSpPr>
          <xdr:spPr bwMode="auto">
            <a:xfrm>
              <a:off x="11890797" y="40167965"/>
              <a:ext cx="2989557" cy="96654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a:rPr>
                <a:t> </a:t>
              </a:r>
              <a:r>
                <a:rPr lang="en-US" sz="1600" b="0" i="0" kern="0">
                  <a:solidFill>
                    <a:srgbClr val="000000"/>
                  </a:solidFill>
                  <a:latin typeface="Cambria Math"/>
                </a:rPr>
                <a:t>𝑥</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1</a:t>
              </a:r>
              <a:r>
                <a:rPr lang="en-US" sz="1600" b="0" i="0" kern="0">
                  <a:solidFill>
                    <a:srgbClr val="000000"/>
                  </a:solidFill>
                  <a:latin typeface="Cambria Math"/>
                  <a:ea typeface="Cambria Math"/>
                </a:rPr>
                <a:t>=</a:t>
              </a:r>
              <a:r>
                <a:rPr lang="en-US" sz="1600" i="0" kern="0">
                  <a:solidFill>
                    <a:srgbClr val="000000"/>
                  </a:solidFill>
                  <a:latin typeface="Cambria Math"/>
                  <a:ea typeface="Cambria Math"/>
                </a:rPr>
                <a:t>𝑙𝑛</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b="0" i="0" kern="0">
                  <a:solidFill>
                    <a:srgbClr val="000000"/>
                  </a:solidFill>
                  <a:latin typeface="Cambria Math"/>
                  <a:ea typeface="Cambria Math"/>
                </a:rPr>
                <a:t>𝐻</a:t>
              </a:r>
              <a:r>
                <a:rPr lang="en-US" sz="1600" b="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+𝜆𝜎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21</xdr:col>
      <xdr:colOff>565476</xdr:colOff>
      <xdr:row>195</xdr:row>
      <xdr:rowOff>157592</xdr:rowOff>
    </xdr:from>
    <xdr:to>
      <xdr:col>25</xdr:col>
      <xdr:colOff>101972</xdr:colOff>
      <xdr:row>198</xdr:row>
      <xdr:rowOff>179823</xdr:rowOff>
    </xdr:to>
    <mc:AlternateContent xmlns:mc="http://schemas.openxmlformats.org/markup-compatibility/2006" xmlns:a14="http://schemas.microsoft.com/office/drawing/2010/main">
      <mc:Choice Requires="a14">
        <xdr:sp macro="" textlink="">
          <xdr:nvSpPr>
            <xdr:cNvPr id="35" name="Rectangle 2">
              <a:extLst>
                <a:ext uri="{FF2B5EF4-FFF2-40B4-BE49-F238E27FC236}">
                  <a16:creationId xmlns:a16="http://schemas.microsoft.com/office/drawing/2014/main" id="{00000000-0008-0000-0000-000023000000}"/>
                </a:ext>
              </a:extLst>
            </xdr:cNvPr>
            <xdr:cNvSpPr txBox="1">
              <a:spLocks noChangeArrowheads="1"/>
            </xdr:cNvSpPr>
          </xdr:nvSpPr>
          <xdr:spPr bwMode="auto">
            <a:xfrm>
              <a:off x="18864600" y="40714161"/>
              <a:ext cx="2836642" cy="64332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i="1" kern="0">
                        <a:solidFill>
                          <a:srgbClr val="000000"/>
                        </a:solidFill>
                        <a:latin typeface="Cambria Math"/>
                        <a:ea typeface="Cambria Math"/>
                      </a:rPr>
                      <m:t>𝜆</m:t>
                    </m:r>
                    <m:r>
                      <a:rPr lang="en-US" sz="1100" b="0" i="1" kern="0">
                        <a:solidFill>
                          <a:srgbClr val="000000"/>
                        </a:solidFill>
                        <a:latin typeface="Cambria Math"/>
                        <a:ea typeface="Cambria Math"/>
                      </a:rPr>
                      <m:t>=</m:t>
                    </m:r>
                    <m:f>
                      <m:fPr>
                        <m:ctrlPr>
                          <a:rPr lang="en-US" sz="1100" b="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𝑟</m:t>
                        </m:r>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𝑞</m:t>
                        </m:r>
                        <m:r>
                          <a:rPr lang="en-US" sz="1100" b="0" i="1" kern="0">
                            <a:solidFill>
                              <a:srgbClr val="000000"/>
                            </a:solidFill>
                            <a:latin typeface="Cambria Math"/>
                            <a:ea typeface="Cambria Math"/>
                          </a:rPr>
                          <m:t>+</m:t>
                        </m:r>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/2</m:t>
                        </m:r>
                      </m:num>
                      <m:den>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den>
                    </m:f>
                  </m:oMath>
                </m:oMathPara>
              </a14:m>
              <a:endParaRPr lang="es-MX" sz="1100" kern="0">
                <a:solidFill>
                  <a:srgbClr val="000000"/>
                </a:solidFill>
                <a:latin typeface="Tahoma" pitchFamily="34" charset="0"/>
              </a:endParaRPr>
            </a:p>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b="0" i="1" kern="0">
                        <a:solidFill>
                          <a:srgbClr val="000000"/>
                        </a:solidFill>
                        <a:latin typeface="Cambria Math"/>
                        <a:ea typeface="Cambria Math"/>
                      </a:rPr>
                      <m:t>𝑦</m:t>
                    </m:r>
                    <m:r>
                      <a:rPr lang="en-US" sz="1100" i="1" kern="0">
                        <a:solidFill>
                          <a:srgbClr val="000000"/>
                        </a:solidFill>
                        <a:latin typeface="Cambria Math"/>
                        <a:ea typeface="Cambria Math"/>
                      </a:rPr>
                      <m:t>=</m:t>
                    </m:r>
                    <m:f>
                      <m:fPr>
                        <m:ctrlPr>
                          <a:rPr lang="en-US" sz="110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𝑙𝑛</m:t>
                        </m:r>
                        <m:d>
                          <m:dPr>
                            <m:begChr m:val="["/>
                            <m:endChr m:val="]"/>
                            <m:ctrlPr>
                              <a:rPr lang="en-US" sz="1100" b="0" i="1" kern="0">
                                <a:solidFill>
                                  <a:srgbClr val="000000"/>
                                </a:solidFill>
                                <a:latin typeface="Cambria Math" panose="02040503050406030204" pitchFamily="18" charset="0"/>
                                <a:ea typeface="Cambria Math"/>
                              </a:rPr>
                            </m:ctrlPr>
                          </m:dPr>
                          <m:e>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𝐻</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m:t>
                            </m:r>
                            <m:d>
                              <m:dPr>
                                <m:ctrlPr>
                                  <a:rPr lang="en-US" sz="1100" b="0" i="1" kern="0">
                                    <a:solidFill>
                                      <a:srgbClr val="000000"/>
                                    </a:solidFill>
                                    <a:latin typeface="Cambria Math" panose="02040503050406030204" pitchFamily="18" charset="0"/>
                                    <a:ea typeface="Cambria Math"/>
                                  </a:rPr>
                                </m:ctrlPr>
                              </m:dPr>
                              <m:e>
                                <m:sSub>
                                  <m:sSubPr>
                                    <m:ctrlPr>
                                      <a:rPr lang="en-US" sz="1100" i="1" kern="0">
                                        <a:solidFill>
                                          <a:srgbClr val="000000"/>
                                        </a:solidFill>
                                        <a:latin typeface="Cambria Math" panose="02040503050406030204" pitchFamily="18" charset="0"/>
                                        <a:ea typeface="Cambria Math"/>
                                      </a:rPr>
                                    </m:ctrlPr>
                                  </m:sSubPr>
                                  <m:e>
                                    <m:r>
                                      <a:rPr lang="en-US" sz="1100" i="1" kern="0">
                                        <a:solidFill>
                                          <a:srgbClr val="000000"/>
                                        </a:solidFill>
                                        <a:latin typeface="Cambria Math"/>
                                        <a:ea typeface="Cambria Math"/>
                                      </a:rPr>
                                      <m:t>𝑆</m:t>
                                    </m:r>
                                  </m:e>
                                  <m:sub>
                                    <m:r>
                                      <a:rPr lang="en-US" sz="1100" i="1" kern="0">
                                        <a:solidFill>
                                          <a:srgbClr val="000000"/>
                                        </a:solidFill>
                                        <a:latin typeface="Cambria Math"/>
                                        <a:ea typeface="Cambria Math"/>
                                      </a:rPr>
                                      <m:t>0</m:t>
                                    </m:r>
                                  </m:sub>
                                </m:sSub>
                                <m:r>
                                  <a:rPr lang="en-US" sz="1100" i="1" kern="0">
                                    <a:solidFill>
                                      <a:srgbClr val="000000"/>
                                    </a:solidFill>
                                    <a:latin typeface="Cambria Math"/>
                                    <a:ea typeface="Cambria Math"/>
                                  </a:rPr>
                                  <m:t>𝐾</m:t>
                                </m:r>
                              </m:e>
                            </m:d>
                          </m:e>
                        </m:d>
                      </m:num>
                      <m:den>
                        <m:r>
                          <a:rPr lang="en-US" sz="1100" i="1" kern="0">
                            <a:solidFill>
                              <a:srgbClr val="000000"/>
                            </a:solidFill>
                            <a:latin typeface="Cambria Math"/>
                            <a:ea typeface="Cambria Math"/>
                          </a:rPr>
                          <m:t>𝜎</m:t>
                        </m:r>
                        <m:rad>
                          <m:radPr>
                            <m:degHide m:val="on"/>
                            <m:ctrlPr>
                              <a:rPr lang="en-US" sz="110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den>
                    </m:f>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𝜆𝜎</m:t>
                    </m:r>
                    <m:rad>
                      <m:radPr>
                        <m:degHide m:val="on"/>
                        <m:ctrlPr>
                          <a:rPr lang="en-US" sz="1100" b="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oMath>
                </m:oMathPara>
              </a14:m>
              <a:endParaRPr lang="es-MX" sz="1100" kern="0">
                <a:solidFill>
                  <a:srgbClr val="000000"/>
                </a:solidFill>
                <a:latin typeface="Tahoma" pitchFamily="34" charset="0"/>
              </a:endParaRPr>
            </a:p>
          </xdr:txBody>
        </xdr:sp>
      </mc:Choice>
      <mc:Fallback xmlns="">
        <xdr:sp macro="" textlink="">
          <xdr:nvSpPr>
            <xdr:cNvPr id="35" name="Rectangle 2">
              <a:extLst>
                <a:ext uri="{FF2B5EF4-FFF2-40B4-BE49-F238E27FC236}">
                  <a16:creationId xmlns:a16="http://schemas.microsoft.com/office/drawing/2014/main" id="{A4713E19-BAB3-414E-B792-2593ECCF2CD1}"/>
                </a:ext>
              </a:extLst>
            </xdr:cNvPr>
            <xdr:cNvSpPr txBox="1">
              <a:spLocks noChangeArrowheads="1"/>
            </xdr:cNvSpPr>
          </xdr:nvSpPr>
          <xdr:spPr bwMode="auto">
            <a:xfrm>
              <a:off x="18864600" y="40714161"/>
              <a:ext cx="2836642" cy="64332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i="0" kern="0">
                  <a:solidFill>
                    <a:srgbClr val="000000"/>
                  </a:solidFill>
                  <a:latin typeface="Cambria Math"/>
                  <a:ea typeface="Cambria Math"/>
                </a:rPr>
                <a:t>𝜆</a:t>
              </a:r>
              <a:r>
                <a:rPr lang="en-US" sz="1100" b="0" i="0" kern="0">
                  <a:solidFill>
                    <a:srgbClr val="000000"/>
                  </a:solidFill>
                  <a:latin typeface="Cambria Math"/>
                  <a:ea typeface="Cambria Math"/>
                </a:rPr>
                <a:t>=</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𝑟−𝑞+𝜎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2/2</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 </a:t>
              </a:r>
              <a:endParaRPr lang="es-MX" sz="1100" kern="0">
                <a:solidFill>
                  <a:srgbClr val="000000"/>
                </a:solidFill>
                <a:latin typeface="Tahoma" pitchFamily="34" charset="0"/>
              </a:endParaRPr>
            </a:p>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b="0" i="0" kern="0">
                  <a:solidFill>
                    <a:srgbClr val="000000"/>
                  </a:solidFill>
                  <a:latin typeface="Cambria Math"/>
                  <a:ea typeface="Cambria Math"/>
                </a:rPr>
                <a:t>𝑦</a:t>
              </a:r>
              <a:r>
                <a:rPr lang="en-US" sz="1100" i="0" kern="0">
                  <a:solidFill>
                    <a:srgbClr val="000000"/>
                  </a:solidFill>
                  <a:latin typeface="Cambria Math"/>
                  <a:ea typeface="Cambria Math"/>
                </a:rPr>
                <a:t>=</a:t>
              </a:r>
              <a:r>
                <a:rPr lang="en-US" sz="1100" b="0" i="0" kern="0">
                  <a:solidFill>
                    <a:srgbClr val="000000"/>
                  </a:solidFill>
                  <a:latin typeface="Cambria Math"/>
                  <a:ea typeface="Cambria Math"/>
                </a:rPr>
                <a:t>𝑙𝑛</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𝐻</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𝑆</a:t>
              </a:r>
              <a:r>
                <a:rPr lang="en-US" sz="1100" i="0" kern="0">
                  <a:solidFill>
                    <a:srgbClr val="000000"/>
                  </a:solidFill>
                  <a:latin typeface="Cambria Math" panose="02040503050406030204" pitchFamily="18" charset="0"/>
                  <a:ea typeface="Cambria Math"/>
                </a:rPr>
                <a:t>_</a:t>
              </a:r>
              <a:r>
                <a:rPr lang="en-US" sz="1100" i="0" kern="0">
                  <a:solidFill>
                    <a:srgbClr val="000000"/>
                  </a:solidFill>
                  <a:latin typeface="Cambria Math"/>
                  <a:ea typeface="Cambria Math"/>
                </a:rPr>
                <a:t>0 𝐾</a:t>
              </a:r>
              <a:r>
                <a:rPr lang="en-US" sz="110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𝜎</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+𝜆𝜎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endParaRPr lang="es-MX" sz="1100" kern="0">
                <a:solidFill>
                  <a:srgbClr val="000000"/>
                </a:solidFill>
                <a:latin typeface="Tahoma" pitchFamily="34" charset="0"/>
              </a:endParaRPr>
            </a:p>
          </xdr:txBody>
        </xdr:sp>
      </mc:Fallback>
    </mc:AlternateContent>
    <xdr:clientData/>
  </xdr:twoCellAnchor>
  <xdr:twoCellAnchor>
    <xdr:from>
      <xdr:col>26</xdr:col>
      <xdr:colOff>90880</xdr:colOff>
      <xdr:row>153</xdr:row>
      <xdr:rowOff>32391</xdr:rowOff>
    </xdr:from>
    <xdr:to>
      <xdr:col>32</xdr:col>
      <xdr:colOff>524311</xdr:colOff>
      <xdr:row>175</xdr:row>
      <xdr:rowOff>58257</xdr:rowOff>
    </xdr:to>
    <xdr:graphicFrame macro="">
      <xdr:nvGraphicFramePr>
        <xdr:cNvPr id="34" name="Gráfico 33">
          <a:extLst>
            <a:ext uri="{FF2B5EF4-FFF2-40B4-BE49-F238E27FC236}">
              <a16:creationId xmlns:a16="http://schemas.microsoft.com/office/drawing/2014/main" id="{00000000-0008-0000-0000-000022000000}"/>
            </a:ext>
            <a:ext uri="{147F2762-F138-4A5C-976F-8EAC2B608ADB}">
              <a16:predDERef xmlns:a16="http://schemas.microsoft.com/office/drawing/2014/main" pred="{00000000-0008-0000-00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13</xdr:col>
      <xdr:colOff>483276</xdr:colOff>
      <xdr:row>227</xdr:row>
      <xdr:rowOff>0</xdr:rowOff>
    </xdr:from>
    <xdr:to>
      <xdr:col>19</xdr:col>
      <xdr:colOff>202302</xdr:colOff>
      <xdr:row>229</xdr:row>
      <xdr:rowOff>123629</xdr:rowOff>
    </xdr:to>
    <xdr:sp macro="" textlink="">
      <xdr:nvSpPr>
        <xdr:cNvPr id="36" name="Rectangle 2">
          <a:extLst>
            <a:ext uri="{FF2B5EF4-FFF2-40B4-BE49-F238E27FC236}">
              <a16:creationId xmlns:a16="http://schemas.microsoft.com/office/drawing/2014/main" id="{00000000-0008-0000-0000-000024000000}"/>
            </a:ext>
          </a:extLst>
        </xdr:cNvPr>
        <xdr:cNvSpPr txBox="1">
          <a:spLocks noChangeArrowheads="1"/>
        </xdr:cNvSpPr>
      </xdr:nvSpPr>
      <xdr:spPr bwMode="auto">
        <a:xfrm>
          <a:off x="12064744" y="39428257"/>
          <a:ext cx="4833980" cy="51977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endParaRPr lang="es-MX" sz="1600" kern="0">
            <a:solidFill>
              <a:srgbClr val="000000"/>
            </a:solidFill>
            <a:latin typeface="Tahoma" pitchFamily="34" charset="0"/>
          </a:endParaRPr>
        </a:p>
      </xdr:txBody>
    </xdr:sp>
    <xdr:clientData/>
  </xdr:twoCellAnchor>
  <xdr:twoCellAnchor>
    <xdr:from>
      <xdr:col>18</xdr:col>
      <xdr:colOff>185402</xdr:colOff>
      <xdr:row>231</xdr:row>
      <xdr:rowOff>139050</xdr:rowOff>
    </xdr:from>
    <xdr:to>
      <xdr:col>21</xdr:col>
      <xdr:colOff>407883</xdr:colOff>
      <xdr:row>234</xdr:row>
      <xdr:rowOff>111240</xdr:rowOff>
    </xdr:to>
    <mc:AlternateContent xmlns:mc="http://schemas.openxmlformats.org/markup-compatibility/2006" xmlns:a14="http://schemas.microsoft.com/office/drawing/2010/main">
      <mc:Choice Requires="a14">
        <xdr:sp macro="" textlink="">
          <xdr:nvSpPr>
            <xdr:cNvPr id="37" name="Rectangle 2">
              <a:extLst>
                <a:ext uri="{FF2B5EF4-FFF2-40B4-BE49-F238E27FC236}">
                  <a16:creationId xmlns:a16="http://schemas.microsoft.com/office/drawing/2014/main" id="{00000000-0008-0000-0000-000025000000}"/>
                </a:ext>
              </a:extLst>
            </xdr:cNvPr>
            <xdr:cNvSpPr txBox="1">
              <a:spLocks noChangeArrowheads="1"/>
            </xdr:cNvSpPr>
          </xdr:nvSpPr>
          <xdr:spPr bwMode="auto">
            <a:xfrm>
              <a:off x="16054576" y="40359600"/>
              <a:ext cx="2704224" cy="589713"/>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sSub>
                      <m:sSubPr>
                        <m:ctrlPr>
                          <a:rPr lang="en-US" sz="1600" i="1" kern="0">
                            <a:solidFill>
                              <a:srgbClr val="000000"/>
                            </a:solidFill>
                            <a:latin typeface="Cambria Math" panose="02040503050406030204" pitchFamily="18" charset="0"/>
                          </a:rPr>
                        </m:ctrlPr>
                      </m:sSubPr>
                      <m:e>
                        <m:r>
                          <a:rPr lang="es-MX" sz="1600" b="0" i="1" kern="0">
                            <a:solidFill>
                              <a:srgbClr val="000000"/>
                            </a:solidFill>
                            <a:latin typeface="Cambria Math" panose="02040503050406030204" pitchFamily="18" charset="0"/>
                          </a:rPr>
                          <m:t>𝑦</m:t>
                        </m:r>
                      </m:e>
                      <m:sub>
                        <m:r>
                          <a:rPr lang="en-US" sz="1600" i="1" kern="0">
                            <a:solidFill>
                              <a:srgbClr val="000000"/>
                            </a:solidFill>
                            <a:latin typeface="Cambria Math"/>
                          </a:rPr>
                          <m:t>1</m:t>
                        </m:r>
                      </m:sub>
                    </m:sSub>
                    <m:r>
                      <a:rPr lang="en-US" sz="1600" i="1" kern="0">
                        <a:solidFill>
                          <a:srgbClr val="000000"/>
                        </a:solidFill>
                        <a:latin typeface="Cambria Math"/>
                        <a:ea typeface="Cambria Math"/>
                      </a:rPr>
                      <m:t>=</m:t>
                    </m:r>
                    <m:f>
                      <m:fPr>
                        <m:ctrlPr>
                          <a:rPr lang="en-US" sz="1600" i="1" kern="0">
                            <a:solidFill>
                              <a:srgbClr val="000000"/>
                            </a:solidFill>
                            <a:latin typeface="Cambria Math" panose="02040503050406030204" pitchFamily="18" charset="0"/>
                            <a:ea typeface="Cambria Math"/>
                          </a:rPr>
                        </m:ctrlPr>
                      </m:fPr>
                      <m:num>
                        <m:r>
                          <a:rPr lang="en-US" sz="1600" b="0" i="1" kern="0">
                            <a:solidFill>
                              <a:srgbClr val="000000"/>
                            </a:solidFill>
                            <a:latin typeface="Cambria Math"/>
                            <a:ea typeface="Cambria Math"/>
                          </a:rPr>
                          <m:t>𝑙𝑛</m:t>
                        </m:r>
                        <m:d>
                          <m:dPr>
                            <m:begChr m:val="["/>
                            <m:endChr m:val="]"/>
                            <m:ctrlPr>
                              <a:rPr lang="en-US" sz="1600" b="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𝐻</m:t>
                            </m:r>
                            <m:r>
                              <a:rPr lang="en-US" sz="1600" b="0" i="1" kern="0">
                                <a:solidFill>
                                  <a:srgbClr val="000000"/>
                                </a:solidFill>
                                <a:latin typeface="Cambria Math"/>
                                <a:ea typeface="Cambria Math"/>
                              </a:rPr>
                              <m:t>/</m:t>
                            </m:r>
                            <m:sSub>
                              <m:sSubPr>
                                <m:ctrlPr>
                                  <a:rPr lang="en-US" sz="1600" b="0" i="1" kern="0">
                                    <a:solidFill>
                                      <a:srgbClr val="000000"/>
                                    </a:solidFill>
                                    <a:latin typeface="Cambria Math" panose="02040503050406030204" pitchFamily="18" charset="0"/>
                                    <a:ea typeface="Cambria Math"/>
                                  </a:rPr>
                                </m:ctrlPr>
                              </m:sSubPr>
                              <m:e>
                                <m:r>
                                  <a:rPr lang="en-US" sz="1600" b="0" i="1" kern="0">
                                    <a:solidFill>
                                      <a:srgbClr val="000000"/>
                                    </a:solidFill>
                                    <a:latin typeface="Cambria Math"/>
                                    <a:ea typeface="Cambria Math"/>
                                  </a:rPr>
                                  <m:t>𝑆</m:t>
                                </m:r>
                              </m:e>
                              <m:sub>
                                <m:r>
                                  <a:rPr lang="en-US" sz="1600" b="0" i="1" kern="0">
                                    <a:solidFill>
                                      <a:srgbClr val="000000"/>
                                    </a:solidFill>
                                    <a:latin typeface="Cambria Math"/>
                                    <a:ea typeface="Cambria Math"/>
                                  </a:rPr>
                                  <m:t>0</m:t>
                                </m:r>
                              </m:sub>
                            </m:sSub>
                          </m:e>
                        </m:d>
                      </m:num>
                      <m:den>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den>
                    </m:f>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𝜆𝜎</m:t>
                    </m:r>
                    <m:rad>
                      <m:radPr>
                        <m:degHide m:val="on"/>
                        <m:ctrlPr>
                          <a:rPr lang="en-US" sz="1600" b="0" i="1" kern="0">
                            <a:solidFill>
                              <a:srgbClr val="000000"/>
                            </a:solidFill>
                            <a:latin typeface="Cambria Math" panose="02040503050406030204" pitchFamily="18" charset="0"/>
                            <a:ea typeface="Cambria Math"/>
                          </a:rPr>
                        </m:ctrlPr>
                      </m:radPr>
                      <m:deg/>
                      <m:e>
                        <m:r>
                          <a:rPr lang="en-US" sz="1600" b="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oMath>
                </m:oMathPara>
              </a14:m>
              <a:endParaRPr lang="es-MX" sz="1600" kern="0">
                <a:solidFill>
                  <a:srgbClr val="000000"/>
                </a:solidFill>
                <a:latin typeface="Tahoma" pitchFamily="34" charset="0"/>
              </a:endParaRPr>
            </a:p>
          </xdr:txBody>
        </xdr:sp>
      </mc:Choice>
      <mc:Fallback xmlns="">
        <xdr:sp macro="" textlink="">
          <xdr:nvSpPr>
            <xdr:cNvPr id="37" name="Rectangle 2">
              <a:extLst>
                <a:ext uri="{FF2B5EF4-FFF2-40B4-BE49-F238E27FC236}">
                  <a16:creationId xmlns:a16="http://schemas.microsoft.com/office/drawing/2014/main" id="{177C830A-4431-6C4F-9E79-9064B8DDE251}"/>
                </a:ext>
              </a:extLst>
            </xdr:cNvPr>
            <xdr:cNvSpPr txBox="1">
              <a:spLocks noChangeArrowheads="1"/>
            </xdr:cNvSpPr>
          </xdr:nvSpPr>
          <xdr:spPr bwMode="auto">
            <a:xfrm>
              <a:off x="16054576" y="40359600"/>
              <a:ext cx="2704224" cy="589713"/>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s-MX" sz="1600" b="0" i="0" kern="0">
                  <a:solidFill>
                    <a:srgbClr val="000000"/>
                  </a:solidFill>
                  <a:latin typeface="Cambria Math" panose="02040503050406030204" pitchFamily="18" charset="0"/>
                </a:rPr>
                <a:t>𝑦</a:t>
              </a:r>
              <a:r>
                <a:rPr lang="en-US" sz="1600" b="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a:ea typeface="Cambria Math"/>
                </a:rPr>
                <a:t>=</a:t>
              </a:r>
              <a:r>
                <a:rPr lang="en-US" sz="1600" b="0" i="0" kern="0">
                  <a:solidFill>
                    <a:srgbClr val="000000"/>
                  </a:solidFill>
                  <a:latin typeface="Cambria Math"/>
                  <a:ea typeface="Cambria Math"/>
                </a:rPr>
                <a:t>𝑙𝑛</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𝐻/𝑆</a:t>
              </a:r>
              <a:r>
                <a:rPr lang="en-US" sz="1600" b="0" i="0" kern="0">
                  <a:solidFill>
                    <a:srgbClr val="000000"/>
                  </a:solidFill>
                  <a:latin typeface="Cambria Math" panose="02040503050406030204" pitchFamily="18" charset="0"/>
                  <a:ea typeface="Cambria Math"/>
                </a:rPr>
                <a:t>_</a:t>
              </a:r>
              <a:r>
                <a:rPr lang="en-US" sz="1600" b="0" i="0" kern="0">
                  <a:solidFill>
                    <a:srgbClr val="000000"/>
                  </a:solidFill>
                  <a:latin typeface="Cambria Math"/>
                  <a:ea typeface="Cambria Math"/>
                </a:rPr>
                <a:t>0</a:t>
              </a:r>
              <a:r>
                <a:rPr lang="en-US" sz="1600" b="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𝑇−𝑡</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+𝜆𝜎</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𝑇−𝑡</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14</xdr:col>
      <xdr:colOff>404602</xdr:colOff>
      <xdr:row>230</xdr:row>
      <xdr:rowOff>89912</xdr:rowOff>
    </xdr:from>
    <xdr:to>
      <xdr:col>17</xdr:col>
      <xdr:colOff>775487</xdr:colOff>
      <xdr:row>235</xdr:row>
      <xdr:rowOff>22478</xdr:rowOff>
    </xdr:to>
    <mc:AlternateContent xmlns:mc="http://schemas.openxmlformats.org/markup-compatibility/2006" xmlns:a14="http://schemas.microsoft.com/office/drawing/2010/main">
      <mc:Choice Requires="a14">
        <xdr:sp macro="" textlink="">
          <xdr:nvSpPr>
            <xdr:cNvPr id="38" name="Rectangle 2">
              <a:extLst>
                <a:ext uri="{FF2B5EF4-FFF2-40B4-BE49-F238E27FC236}">
                  <a16:creationId xmlns:a16="http://schemas.microsoft.com/office/drawing/2014/main" id="{00000000-0008-0000-0000-000026000000}"/>
                </a:ext>
              </a:extLst>
            </xdr:cNvPr>
            <xdr:cNvSpPr txBox="1">
              <a:spLocks noChangeArrowheads="1"/>
            </xdr:cNvSpPr>
          </xdr:nvSpPr>
          <xdr:spPr bwMode="auto">
            <a:xfrm>
              <a:off x="12813318" y="40112389"/>
              <a:ext cx="3004096" cy="94623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600" i="1" kern="0">
                        <a:solidFill>
                          <a:srgbClr val="000000"/>
                        </a:solidFill>
                        <a:latin typeface="Cambria Math"/>
                      </a:rPr>
                      <m:t> </m:t>
                    </m:r>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𝑥</m:t>
                        </m:r>
                      </m:e>
                      <m:sub>
                        <m:r>
                          <a:rPr lang="en-US" sz="1600" b="0" i="1" kern="0">
                            <a:solidFill>
                              <a:srgbClr val="000000"/>
                            </a:solidFill>
                            <a:latin typeface="Cambria Math"/>
                          </a:rPr>
                          <m:t>1</m:t>
                        </m:r>
                      </m:sub>
                    </m:sSub>
                    <m:r>
                      <a:rPr lang="en-US" sz="1600" b="0" i="1" kern="0">
                        <a:solidFill>
                          <a:srgbClr val="000000"/>
                        </a:solidFill>
                        <a:latin typeface="Cambria Math"/>
                        <a:ea typeface="Cambria Math"/>
                      </a:rPr>
                      <m:t>=</m:t>
                    </m:r>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𝑙𝑛</m:t>
                        </m:r>
                        <m:d>
                          <m:dPr>
                            <m:begChr m:val="["/>
                            <m:endChr m:val="]"/>
                            <m:ctrlPr>
                              <a:rPr lang="en-US" sz="1600" i="1" kern="0">
                                <a:solidFill>
                                  <a:srgbClr val="000000"/>
                                </a:solidFill>
                                <a:latin typeface="Cambria Math" panose="02040503050406030204" pitchFamily="18" charset="0"/>
                                <a:ea typeface="Cambria Math"/>
                              </a:rPr>
                            </m:ctrlPr>
                          </m:dPr>
                          <m:e>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r>
                              <a:rPr lang="en-US" sz="1600" i="1" kern="0">
                                <a:solidFill>
                                  <a:srgbClr val="000000"/>
                                </a:solidFill>
                                <a:latin typeface="Cambria Math"/>
                                <a:ea typeface="Cambria Math"/>
                              </a:rPr>
                              <m:t>/</m:t>
                            </m:r>
                            <m:r>
                              <a:rPr lang="en-US" sz="1600" b="0" i="1" kern="0">
                                <a:solidFill>
                                  <a:srgbClr val="000000"/>
                                </a:solidFill>
                                <a:latin typeface="Cambria Math"/>
                                <a:ea typeface="Cambria Math"/>
                              </a:rPr>
                              <m:t>𝐻</m:t>
                            </m:r>
                          </m:e>
                        </m:d>
                      </m:num>
                      <m:den>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den>
                    </m:f>
                    <m:r>
                      <a:rPr lang="en-US" sz="1600" i="1" kern="0">
                        <a:solidFill>
                          <a:srgbClr val="000000"/>
                        </a:solidFill>
                        <a:latin typeface="Cambria Math"/>
                        <a:ea typeface="Cambria Math"/>
                      </a:rPr>
                      <m:t>+</m:t>
                    </m:r>
                    <m:r>
                      <a:rPr lang="en-US" sz="1600" i="1" kern="0">
                        <a:solidFill>
                          <a:srgbClr val="000000"/>
                        </a:solidFill>
                        <a:latin typeface="Cambria Math"/>
                        <a:ea typeface="Cambria Math"/>
                      </a:rPr>
                      <m:t>𝜆𝜎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b="0" i="1" kern="0">
                            <a:solidFill>
                              <a:srgbClr val="000000"/>
                            </a:solidFill>
                            <a:latin typeface="Cambria Math"/>
                            <a:ea typeface="Cambria Math"/>
                          </a:rPr>
                          <m:t>−</m:t>
                        </m:r>
                        <m:r>
                          <a:rPr lang="en-US" sz="1600" b="0" i="1" kern="0">
                            <a:solidFill>
                              <a:srgbClr val="000000"/>
                            </a:solidFill>
                            <a:latin typeface="Cambria Math"/>
                            <a:ea typeface="Cambria Math"/>
                          </a:rPr>
                          <m:t>𝑡</m:t>
                        </m:r>
                      </m:e>
                    </m:rad>
                  </m:oMath>
                </m:oMathPara>
              </a14:m>
              <a:endParaRPr lang="es-MX" sz="1600" kern="0">
                <a:solidFill>
                  <a:srgbClr val="000000"/>
                </a:solidFill>
                <a:latin typeface="Tahoma" pitchFamily="34" charset="0"/>
              </a:endParaRPr>
            </a:p>
          </xdr:txBody>
        </xdr:sp>
      </mc:Choice>
      <mc:Fallback xmlns="">
        <xdr:sp macro="" textlink="">
          <xdr:nvSpPr>
            <xdr:cNvPr id="38" name="Rectangle 2">
              <a:extLst>
                <a:ext uri="{FF2B5EF4-FFF2-40B4-BE49-F238E27FC236}">
                  <a16:creationId xmlns:a16="http://schemas.microsoft.com/office/drawing/2014/main" id="{9491128A-22FC-264E-9FD4-9F13F2B6589E}"/>
                </a:ext>
              </a:extLst>
            </xdr:cNvPr>
            <xdr:cNvSpPr txBox="1">
              <a:spLocks noChangeArrowheads="1"/>
            </xdr:cNvSpPr>
          </xdr:nvSpPr>
          <xdr:spPr bwMode="auto">
            <a:xfrm>
              <a:off x="12813318" y="40112389"/>
              <a:ext cx="3004096" cy="94623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a:rPr>
                <a:t> </a:t>
              </a:r>
              <a:r>
                <a:rPr lang="en-US" sz="1600" b="0" i="0" kern="0">
                  <a:solidFill>
                    <a:srgbClr val="000000"/>
                  </a:solidFill>
                  <a:latin typeface="Cambria Math"/>
                </a:rPr>
                <a:t>𝑥</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1</a:t>
              </a:r>
              <a:r>
                <a:rPr lang="en-US" sz="1600" b="0" i="0" kern="0">
                  <a:solidFill>
                    <a:srgbClr val="000000"/>
                  </a:solidFill>
                  <a:latin typeface="Cambria Math"/>
                  <a:ea typeface="Cambria Math"/>
                </a:rPr>
                <a:t>=</a:t>
              </a:r>
              <a:r>
                <a:rPr lang="en-US" sz="1600" i="0" kern="0">
                  <a:solidFill>
                    <a:srgbClr val="000000"/>
                  </a:solidFill>
                  <a:latin typeface="Cambria Math"/>
                  <a:ea typeface="Cambria Math"/>
                </a:rPr>
                <a:t>𝑙𝑛</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b="0" i="0" kern="0">
                  <a:solidFill>
                    <a:srgbClr val="000000"/>
                  </a:solidFill>
                  <a:latin typeface="Cambria Math"/>
                  <a:ea typeface="Cambria Math"/>
                </a:rPr>
                <a:t>𝐻</a:t>
              </a:r>
              <a:r>
                <a:rPr lang="en-US" sz="1600" b="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+𝜆𝜎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21</xdr:col>
      <xdr:colOff>565476</xdr:colOff>
      <xdr:row>231</xdr:row>
      <xdr:rowOff>157592</xdr:rowOff>
    </xdr:from>
    <xdr:to>
      <xdr:col>25</xdr:col>
      <xdr:colOff>101972</xdr:colOff>
      <xdr:row>234</xdr:row>
      <xdr:rowOff>179823</xdr:rowOff>
    </xdr:to>
    <mc:AlternateContent xmlns:mc="http://schemas.openxmlformats.org/markup-compatibility/2006" xmlns:a14="http://schemas.microsoft.com/office/drawing/2010/main">
      <mc:Choice Requires="a14">
        <xdr:sp macro="" textlink="">
          <xdr:nvSpPr>
            <xdr:cNvPr id="39" name="Rectangle 2">
              <a:extLst>
                <a:ext uri="{FF2B5EF4-FFF2-40B4-BE49-F238E27FC236}">
                  <a16:creationId xmlns:a16="http://schemas.microsoft.com/office/drawing/2014/main" id="{00000000-0008-0000-0000-000027000000}"/>
                </a:ext>
              </a:extLst>
            </xdr:cNvPr>
            <xdr:cNvSpPr txBox="1">
              <a:spLocks noChangeArrowheads="1"/>
            </xdr:cNvSpPr>
          </xdr:nvSpPr>
          <xdr:spPr bwMode="auto">
            <a:xfrm>
              <a:off x="18916393" y="40378142"/>
              <a:ext cx="2845487" cy="639754"/>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i="1" kern="0">
                        <a:solidFill>
                          <a:srgbClr val="000000"/>
                        </a:solidFill>
                        <a:latin typeface="Cambria Math"/>
                        <a:ea typeface="Cambria Math"/>
                      </a:rPr>
                      <m:t>𝜆</m:t>
                    </m:r>
                    <m:r>
                      <a:rPr lang="en-US" sz="1100" b="0" i="1" kern="0">
                        <a:solidFill>
                          <a:srgbClr val="000000"/>
                        </a:solidFill>
                        <a:latin typeface="Cambria Math"/>
                        <a:ea typeface="Cambria Math"/>
                      </a:rPr>
                      <m:t>=</m:t>
                    </m:r>
                    <m:f>
                      <m:fPr>
                        <m:ctrlPr>
                          <a:rPr lang="en-US" sz="1100" b="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𝑟</m:t>
                        </m:r>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𝑞</m:t>
                        </m:r>
                        <m:r>
                          <a:rPr lang="en-US" sz="1100" b="0" i="1" kern="0">
                            <a:solidFill>
                              <a:srgbClr val="000000"/>
                            </a:solidFill>
                            <a:latin typeface="Cambria Math"/>
                            <a:ea typeface="Cambria Math"/>
                          </a:rPr>
                          <m:t>+</m:t>
                        </m:r>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/2</m:t>
                        </m:r>
                      </m:num>
                      <m:den>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𝜎</m:t>
                            </m:r>
                          </m:e>
                          <m:sup>
                            <m:r>
                              <a:rPr lang="en-US" sz="1100" b="0" i="1" kern="0">
                                <a:solidFill>
                                  <a:srgbClr val="000000"/>
                                </a:solidFill>
                                <a:latin typeface="Cambria Math"/>
                                <a:ea typeface="Cambria Math"/>
                              </a:rPr>
                              <m:t>2</m:t>
                            </m:r>
                          </m:sup>
                        </m:sSup>
                      </m:den>
                    </m:f>
                  </m:oMath>
                </m:oMathPara>
              </a14:m>
              <a:endParaRPr lang="es-MX" sz="1100" kern="0">
                <a:solidFill>
                  <a:srgbClr val="000000"/>
                </a:solidFill>
                <a:latin typeface="Tahoma" pitchFamily="34" charset="0"/>
              </a:endParaRPr>
            </a:p>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100" i="1" kern="0">
                        <a:solidFill>
                          <a:srgbClr val="000000"/>
                        </a:solidFill>
                        <a:latin typeface="Cambria Math"/>
                      </a:rPr>
                      <m:t> </m:t>
                    </m:r>
                    <m:r>
                      <a:rPr lang="en-US" sz="1100" b="0" i="1" kern="0">
                        <a:solidFill>
                          <a:srgbClr val="000000"/>
                        </a:solidFill>
                        <a:latin typeface="Cambria Math"/>
                        <a:ea typeface="Cambria Math"/>
                      </a:rPr>
                      <m:t>𝑦</m:t>
                    </m:r>
                    <m:r>
                      <a:rPr lang="en-US" sz="1100" i="1" kern="0">
                        <a:solidFill>
                          <a:srgbClr val="000000"/>
                        </a:solidFill>
                        <a:latin typeface="Cambria Math"/>
                        <a:ea typeface="Cambria Math"/>
                      </a:rPr>
                      <m:t>=</m:t>
                    </m:r>
                    <m:f>
                      <m:fPr>
                        <m:ctrlPr>
                          <a:rPr lang="en-US" sz="1100" i="1" kern="0">
                            <a:solidFill>
                              <a:srgbClr val="000000"/>
                            </a:solidFill>
                            <a:latin typeface="Cambria Math" panose="02040503050406030204" pitchFamily="18" charset="0"/>
                            <a:ea typeface="Cambria Math"/>
                          </a:rPr>
                        </m:ctrlPr>
                      </m:fPr>
                      <m:num>
                        <m:r>
                          <a:rPr lang="en-US" sz="1100" b="0" i="1" kern="0">
                            <a:solidFill>
                              <a:srgbClr val="000000"/>
                            </a:solidFill>
                            <a:latin typeface="Cambria Math"/>
                            <a:ea typeface="Cambria Math"/>
                          </a:rPr>
                          <m:t>𝑙𝑛</m:t>
                        </m:r>
                        <m:d>
                          <m:dPr>
                            <m:begChr m:val="["/>
                            <m:endChr m:val="]"/>
                            <m:ctrlPr>
                              <a:rPr lang="en-US" sz="1100" b="0" i="1" kern="0">
                                <a:solidFill>
                                  <a:srgbClr val="000000"/>
                                </a:solidFill>
                                <a:latin typeface="Cambria Math" panose="02040503050406030204" pitchFamily="18" charset="0"/>
                                <a:ea typeface="Cambria Math"/>
                              </a:rPr>
                            </m:ctrlPr>
                          </m:dPr>
                          <m:e>
                            <m:sSup>
                              <m:sSupPr>
                                <m:ctrlPr>
                                  <a:rPr lang="en-US" sz="1100" b="0" i="1" kern="0">
                                    <a:solidFill>
                                      <a:srgbClr val="000000"/>
                                    </a:solidFill>
                                    <a:latin typeface="Cambria Math" panose="02040503050406030204" pitchFamily="18" charset="0"/>
                                    <a:ea typeface="Cambria Math"/>
                                  </a:rPr>
                                </m:ctrlPr>
                              </m:sSupPr>
                              <m:e>
                                <m:r>
                                  <a:rPr lang="en-US" sz="1100" b="0" i="1" kern="0">
                                    <a:solidFill>
                                      <a:srgbClr val="000000"/>
                                    </a:solidFill>
                                    <a:latin typeface="Cambria Math"/>
                                    <a:ea typeface="Cambria Math"/>
                                  </a:rPr>
                                  <m:t>𝐻</m:t>
                                </m:r>
                              </m:e>
                              <m:sup>
                                <m:r>
                                  <a:rPr lang="en-US" sz="1100" b="0" i="1" kern="0">
                                    <a:solidFill>
                                      <a:srgbClr val="000000"/>
                                    </a:solidFill>
                                    <a:latin typeface="Cambria Math"/>
                                    <a:ea typeface="Cambria Math"/>
                                  </a:rPr>
                                  <m:t>2</m:t>
                                </m:r>
                              </m:sup>
                            </m:sSup>
                            <m:r>
                              <a:rPr lang="en-US" sz="1100" b="0" i="1" kern="0">
                                <a:solidFill>
                                  <a:srgbClr val="000000"/>
                                </a:solidFill>
                                <a:latin typeface="Cambria Math"/>
                                <a:ea typeface="Cambria Math"/>
                              </a:rPr>
                              <m:t>/</m:t>
                            </m:r>
                            <m:d>
                              <m:dPr>
                                <m:ctrlPr>
                                  <a:rPr lang="en-US" sz="1100" b="0" i="1" kern="0">
                                    <a:solidFill>
                                      <a:srgbClr val="000000"/>
                                    </a:solidFill>
                                    <a:latin typeface="Cambria Math" panose="02040503050406030204" pitchFamily="18" charset="0"/>
                                    <a:ea typeface="Cambria Math"/>
                                  </a:rPr>
                                </m:ctrlPr>
                              </m:dPr>
                              <m:e>
                                <m:sSub>
                                  <m:sSubPr>
                                    <m:ctrlPr>
                                      <a:rPr lang="en-US" sz="1100" i="1" kern="0">
                                        <a:solidFill>
                                          <a:srgbClr val="000000"/>
                                        </a:solidFill>
                                        <a:latin typeface="Cambria Math" panose="02040503050406030204" pitchFamily="18" charset="0"/>
                                        <a:ea typeface="Cambria Math"/>
                                      </a:rPr>
                                    </m:ctrlPr>
                                  </m:sSubPr>
                                  <m:e>
                                    <m:r>
                                      <a:rPr lang="en-US" sz="1100" i="1" kern="0">
                                        <a:solidFill>
                                          <a:srgbClr val="000000"/>
                                        </a:solidFill>
                                        <a:latin typeface="Cambria Math"/>
                                        <a:ea typeface="Cambria Math"/>
                                      </a:rPr>
                                      <m:t>𝑆</m:t>
                                    </m:r>
                                  </m:e>
                                  <m:sub>
                                    <m:r>
                                      <a:rPr lang="en-US" sz="1100" i="1" kern="0">
                                        <a:solidFill>
                                          <a:srgbClr val="000000"/>
                                        </a:solidFill>
                                        <a:latin typeface="Cambria Math"/>
                                        <a:ea typeface="Cambria Math"/>
                                      </a:rPr>
                                      <m:t>0</m:t>
                                    </m:r>
                                  </m:sub>
                                </m:sSub>
                                <m:r>
                                  <a:rPr lang="en-US" sz="1100" i="1" kern="0">
                                    <a:solidFill>
                                      <a:srgbClr val="000000"/>
                                    </a:solidFill>
                                    <a:latin typeface="Cambria Math"/>
                                    <a:ea typeface="Cambria Math"/>
                                  </a:rPr>
                                  <m:t>𝐾</m:t>
                                </m:r>
                              </m:e>
                            </m:d>
                          </m:e>
                        </m:d>
                      </m:num>
                      <m:den>
                        <m:r>
                          <a:rPr lang="en-US" sz="1100" i="1" kern="0">
                            <a:solidFill>
                              <a:srgbClr val="000000"/>
                            </a:solidFill>
                            <a:latin typeface="Cambria Math"/>
                            <a:ea typeface="Cambria Math"/>
                          </a:rPr>
                          <m:t>𝜎</m:t>
                        </m:r>
                        <m:rad>
                          <m:radPr>
                            <m:degHide m:val="on"/>
                            <m:ctrlPr>
                              <a:rPr lang="en-US" sz="110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den>
                    </m:f>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𝜆𝜎</m:t>
                    </m:r>
                    <m:rad>
                      <m:radPr>
                        <m:degHide m:val="on"/>
                        <m:ctrlPr>
                          <a:rPr lang="en-US" sz="1100" b="0" i="1" kern="0">
                            <a:solidFill>
                              <a:srgbClr val="000000"/>
                            </a:solidFill>
                            <a:latin typeface="Cambria Math" panose="02040503050406030204" pitchFamily="18" charset="0"/>
                            <a:ea typeface="Cambria Math"/>
                          </a:rPr>
                        </m:ctrlPr>
                      </m:radPr>
                      <m:deg/>
                      <m:e>
                        <m:r>
                          <a:rPr lang="en-US" sz="1100" b="0" i="1" kern="0">
                            <a:solidFill>
                              <a:srgbClr val="000000"/>
                            </a:solidFill>
                            <a:latin typeface="Cambria Math"/>
                            <a:ea typeface="Cambria Math"/>
                          </a:rPr>
                          <m:t>𝑇</m:t>
                        </m:r>
                      </m:e>
                    </m:rad>
                  </m:oMath>
                </m:oMathPara>
              </a14:m>
              <a:endParaRPr lang="es-MX" sz="1100" kern="0">
                <a:solidFill>
                  <a:srgbClr val="000000"/>
                </a:solidFill>
                <a:latin typeface="Tahoma" pitchFamily="34" charset="0"/>
              </a:endParaRPr>
            </a:p>
          </xdr:txBody>
        </xdr:sp>
      </mc:Choice>
      <mc:Fallback xmlns="">
        <xdr:sp macro="" textlink="">
          <xdr:nvSpPr>
            <xdr:cNvPr id="39" name="Rectangle 2">
              <a:extLst>
                <a:ext uri="{FF2B5EF4-FFF2-40B4-BE49-F238E27FC236}">
                  <a16:creationId xmlns:a16="http://schemas.microsoft.com/office/drawing/2014/main" id="{900F50D2-25AB-B348-8341-BF0375C558F4}"/>
                </a:ext>
              </a:extLst>
            </xdr:cNvPr>
            <xdr:cNvSpPr txBox="1">
              <a:spLocks noChangeArrowheads="1"/>
            </xdr:cNvSpPr>
          </xdr:nvSpPr>
          <xdr:spPr bwMode="auto">
            <a:xfrm>
              <a:off x="18916393" y="40378142"/>
              <a:ext cx="2845487" cy="639754"/>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i="0" kern="0">
                  <a:solidFill>
                    <a:srgbClr val="000000"/>
                  </a:solidFill>
                  <a:latin typeface="Cambria Math"/>
                  <a:ea typeface="Cambria Math"/>
                </a:rPr>
                <a:t>𝜆</a:t>
              </a:r>
              <a:r>
                <a:rPr lang="en-US" sz="1100" b="0" i="0" kern="0">
                  <a:solidFill>
                    <a:srgbClr val="000000"/>
                  </a:solidFill>
                  <a:latin typeface="Cambria Math"/>
                  <a:ea typeface="Cambria Math"/>
                </a:rPr>
                <a:t>=</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𝑟−𝑞+𝜎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2/2</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 </a:t>
              </a:r>
              <a:endParaRPr lang="es-MX" sz="1100" kern="0">
                <a:solidFill>
                  <a:srgbClr val="000000"/>
                </a:solidFill>
                <a:latin typeface="Tahoma" pitchFamily="34" charset="0"/>
              </a:endParaRPr>
            </a:p>
            <a:p>
              <a:pPr algn="just" fontAlgn="base">
                <a:lnSpc>
                  <a:spcPct val="140000"/>
                </a:lnSpc>
                <a:spcBef>
                  <a:spcPct val="35000"/>
                </a:spcBef>
                <a:spcAft>
                  <a:spcPct val="35000"/>
                </a:spcAft>
                <a:defRPr/>
              </a:pPr>
              <a:r>
                <a:rPr lang="en-US" sz="1100" i="0" kern="0">
                  <a:solidFill>
                    <a:srgbClr val="000000"/>
                  </a:solidFill>
                  <a:latin typeface="Cambria Math"/>
                </a:rPr>
                <a:t> </a:t>
              </a:r>
              <a:r>
                <a:rPr lang="en-US" sz="1100" b="0" i="0" kern="0">
                  <a:solidFill>
                    <a:srgbClr val="000000"/>
                  </a:solidFill>
                  <a:latin typeface="Cambria Math"/>
                  <a:ea typeface="Cambria Math"/>
                </a:rPr>
                <a:t>𝑦</a:t>
              </a:r>
              <a:r>
                <a:rPr lang="en-US" sz="1100" i="0" kern="0">
                  <a:solidFill>
                    <a:srgbClr val="000000"/>
                  </a:solidFill>
                  <a:latin typeface="Cambria Math"/>
                  <a:ea typeface="Cambria Math"/>
                </a:rPr>
                <a:t>=</a:t>
              </a:r>
              <a:r>
                <a:rPr lang="en-US" sz="1100" b="0" i="0" kern="0">
                  <a:solidFill>
                    <a:srgbClr val="000000"/>
                  </a:solidFill>
                  <a:latin typeface="Cambria Math"/>
                  <a:ea typeface="Cambria Math"/>
                </a:rPr>
                <a:t>𝑙𝑛</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𝐻</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𝑆</a:t>
              </a:r>
              <a:r>
                <a:rPr lang="en-US" sz="1100" i="0" kern="0">
                  <a:solidFill>
                    <a:srgbClr val="000000"/>
                  </a:solidFill>
                  <a:latin typeface="Cambria Math" panose="02040503050406030204" pitchFamily="18" charset="0"/>
                  <a:ea typeface="Cambria Math"/>
                </a:rPr>
                <a:t>_</a:t>
              </a:r>
              <a:r>
                <a:rPr lang="en-US" sz="1100" i="0" kern="0">
                  <a:solidFill>
                    <a:srgbClr val="000000"/>
                  </a:solidFill>
                  <a:latin typeface="Cambria Math"/>
                  <a:ea typeface="Cambria Math"/>
                </a:rPr>
                <a:t>0 𝐾</a:t>
              </a:r>
              <a:r>
                <a:rPr lang="en-US" sz="1100" i="0" kern="0">
                  <a:solidFill>
                    <a:srgbClr val="000000"/>
                  </a:solidFill>
                  <a:latin typeface="Cambria Math" panose="02040503050406030204" pitchFamily="18" charset="0"/>
                  <a:ea typeface="Cambria Math"/>
                </a:rPr>
                <a:t>)]/(</a:t>
              </a:r>
              <a:r>
                <a:rPr lang="en-US" sz="1100" i="0" kern="0">
                  <a:solidFill>
                    <a:srgbClr val="000000"/>
                  </a:solidFill>
                  <a:latin typeface="Cambria Math"/>
                  <a:ea typeface="Cambria Math"/>
                </a:rPr>
                <a:t>𝜎</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+𝜆𝜎</a:t>
              </a:r>
              <a:r>
                <a:rPr lang="en-US" sz="1100" b="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endParaRPr lang="es-MX" sz="1100" kern="0">
                <a:solidFill>
                  <a:srgbClr val="000000"/>
                </a:solidFill>
                <a:latin typeface="Tahoma" pitchFamily="34" charset="0"/>
              </a:endParaRPr>
            </a:p>
          </xdr:txBody>
        </xdr:sp>
      </mc:Fallback>
    </mc:AlternateContent>
    <xdr:clientData/>
  </xdr:twoCellAnchor>
  <xdr:twoCellAnchor>
    <xdr:from>
      <xdr:col>15</xdr:col>
      <xdr:colOff>0</xdr:colOff>
      <xdr:row>226</xdr:row>
      <xdr:rowOff>0</xdr:rowOff>
    </xdr:from>
    <xdr:to>
      <xdr:col>20</xdr:col>
      <xdr:colOff>570917</xdr:colOff>
      <xdr:row>230</xdr:row>
      <xdr:rowOff>48500</xdr:rowOff>
    </xdr:to>
    <mc:AlternateContent xmlns:mc="http://schemas.openxmlformats.org/markup-compatibility/2006" xmlns:a14="http://schemas.microsoft.com/office/drawing/2010/main">
      <mc:Choice Requires="a14">
        <xdr:sp macro="" textlink="">
          <xdr:nvSpPr>
            <xdr:cNvPr id="40" name="Rectangle 2">
              <a:extLst>
                <a:ext uri="{FF2B5EF4-FFF2-40B4-BE49-F238E27FC236}">
                  <a16:creationId xmlns:a16="http://schemas.microsoft.com/office/drawing/2014/main" id="{00000000-0008-0000-0000-000028000000}"/>
                </a:ext>
              </a:extLst>
            </xdr:cNvPr>
            <xdr:cNvSpPr txBox="1">
              <a:spLocks noChangeArrowheads="1"/>
            </xdr:cNvSpPr>
          </xdr:nvSpPr>
          <xdr:spPr bwMode="auto">
            <a:xfrm>
              <a:off x="13235963" y="46488991"/>
              <a:ext cx="4858624" cy="86409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600" i="1" kern="0">
                        <a:solidFill>
                          <a:srgbClr val="000000"/>
                        </a:solidFill>
                        <a:latin typeface="Cambria Math"/>
                      </a:rPr>
                      <m:t> </m:t>
                    </m:r>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𝑐</m:t>
                        </m:r>
                      </m:e>
                      <m:sub>
                        <m:r>
                          <a:rPr lang="en-US" sz="1600" b="0" i="1" kern="0">
                            <a:solidFill>
                              <a:srgbClr val="000000"/>
                            </a:solidFill>
                            <a:latin typeface="Cambria Math"/>
                          </a:rPr>
                          <m:t>𝑢𝑖</m:t>
                        </m:r>
                      </m:sub>
                    </m:sSub>
                    <m:r>
                      <a:rPr lang="en-US" sz="1600" i="1" kern="0">
                        <a:solidFill>
                          <a:srgbClr val="000000"/>
                        </a:solidFill>
                        <a:latin typeface="Cambria Math"/>
                      </a:rPr>
                      <m:t>=</m:t>
                    </m:r>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𝑆</m:t>
                        </m:r>
                      </m:e>
                      <m:sub>
                        <m:r>
                          <a:rPr lang="en-US" sz="1600" i="1" kern="0">
                            <a:solidFill>
                              <a:srgbClr val="000000"/>
                            </a:solidFill>
                            <a:latin typeface="Cambria Math"/>
                          </a:rPr>
                          <m:t>0</m:t>
                        </m:r>
                      </m:sub>
                    </m:sSub>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𝑥</m:t>
                            </m:r>
                          </m:e>
                          <m:sub>
                            <m:r>
                              <a:rPr lang="en-US" sz="1600" b="0" i="1" kern="0">
                                <a:solidFill>
                                  <a:srgbClr val="000000"/>
                                </a:solidFill>
                                <a:latin typeface="Cambria Math"/>
                              </a:rPr>
                              <m:t>1</m:t>
                            </m:r>
                          </m:sub>
                        </m:sSub>
                      </m:e>
                    </m:d>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𝑞</m:t>
                        </m:r>
                        <m:d>
                          <m:dPr>
                            <m:ctrlPr>
                              <a:rPr lang="en-US" sz="1600" i="1" kern="0">
                                <a:solidFill>
                                  <a:srgbClr val="000000"/>
                                </a:solidFill>
                                <a:latin typeface="Cambria Math" panose="02040503050406030204" pitchFamily="18" charset="0"/>
                                <a:ea typeface="Cambria Math"/>
                              </a:rPr>
                            </m:ctrlPr>
                          </m:dPr>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r>
                      <a:rPr lang="en-US" sz="1600" i="1" kern="0">
                        <a:solidFill>
                          <a:srgbClr val="000000"/>
                        </a:solidFill>
                        <a:latin typeface="Cambria Math"/>
                        <a:ea typeface="Cambria Math"/>
                      </a:rPr>
                      <m:t>−</m:t>
                    </m:r>
                    <m:r>
                      <a:rPr lang="en-US" sz="1600" i="1" kern="0">
                        <a:solidFill>
                          <a:srgbClr val="000000"/>
                        </a:solidFill>
                        <a:latin typeface="Cambria Math"/>
                        <a:ea typeface="Cambria Math"/>
                      </a:rPr>
                      <m:t>𝐾</m:t>
                    </m:r>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𝑟</m:t>
                        </m:r>
                        <m:d>
                          <m:dPr>
                            <m:ctrlPr>
                              <a:rPr lang="en-US" sz="1600" i="1" kern="0">
                                <a:solidFill>
                                  <a:srgbClr val="000000"/>
                                </a:solidFill>
                                <a:latin typeface="Cambria Math" panose="02040503050406030204" pitchFamily="18" charset="0"/>
                                <a:ea typeface="Cambria Math"/>
                              </a:rPr>
                            </m:ctrlPr>
                          </m:dPr>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𝑥</m:t>
                            </m:r>
                          </m:e>
                          <m:sub>
                            <m:r>
                              <a:rPr lang="en-US" sz="1600" i="1" kern="0">
                                <a:solidFill>
                                  <a:srgbClr val="000000"/>
                                </a:solidFill>
                                <a:latin typeface="Cambria Math"/>
                              </a:rPr>
                              <m:t>1</m:t>
                            </m:r>
                          </m:sub>
                        </m:sSub>
                        <m:r>
                          <a:rPr lang="en-US" sz="1600" i="1" kern="0">
                            <a:solidFill>
                              <a:srgbClr val="000000"/>
                            </a:solidFill>
                            <a:latin typeface="Cambria Math"/>
                          </a:rPr>
                          <m:t>−</m:t>
                        </m:r>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rad>
                      </m:e>
                    </m:d>
                  </m:oMath>
                </m:oMathPara>
              </a14:m>
              <a:endParaRPr lang="es-MX" sz="1600" kern="0">
                <a:solidFill>
                  <a:srgbClr val="000000"/>
                </a:solidFill>
                <a:latin typeface="Tahoma" pitchFamily="34" charset="0"/>
              </a:endParaRPr>
            </a:p>
          </xdr:txBody>
        </xdr:sp>
      </mc:Choice>
      <mc:Fallback xmlns="">
        <xdr:sp macro="" textlink="">
          <xdr:nvSpPr>
            <xdr:cNvPr id="40" name="Rectangle 2">
              <a:extLst>
                <a:ext uri="{FF2B5EF4-FFF2-40B4-BE49-F238E27FC236}">
                  <a16:creationId xmlns:a16="http://schemas.microsoft.com/office/drawing/2014/main" id="{DB4D8CBF-8A23-2613-ECA5-E5439AB06731}"/>
                </a:ext>
              </a:extLst>
            </xdr:cNvPr>
            <xdr:cNvSpPr txBox="1">
              <a:spLocks noChangeArrowheads="1"/>
            </xdr:cNvSpPr>
          </xdr:nvSpPr>
          <xdr:spPr bwMode="auto">
            <a:xfrm>
              <a:off x="13235963" y="46488991"/>
              <a:ext cx="4858624" cy="864096"/>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a:rPr>
                <a:t> </a:t>
              </a:r>
              <a:r>
                <a:rPr lang="en-US" sz="1600" b="0" i="0" kern="0">
                  <a:solidFill>
                    <a:srgbClr val="000000"/>
                  </a:solidFill>
                  <a:latin typeface="Cambria Math"/>
                </a:rPr>
                <a:t>𝑐</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𝑢𝑖</a:t>
              </a:r>
              <a:r>
                <a:rPr lang="en-US" sz="1600" i="0" kern="0">
                  <a:solidFill>
                    <a:srgbClr val="000000"/>
                  </a:solidFill>
                  <a:latin typeface="Cambria Math"/>
                </a:rPr>
                <a:t>=𝑆</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0 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𝑥</a:t>
              </a:r>
              <a:r>
                <a:rPr lang="en-US" sz="1600" b="0" i="0" kern="0">
                  <a:solidFill>
                    <a:srgbClr val="000000"/>
                  </a:solidFill>
                  <a:latin typeface="Cambria Math" panose="02040503050406030204" pitchFamily="18" charset="0"/>
                </a:rPr>
                <a:t>_</a:t>
              </a:r>
              <a:r>
                <a:rPr lang="en-US" sz="1600" b="0" i="0" kern="0">
                  <a:solidFill>
                    <a:srgbClr val="000000"/>
                  </a:solidFill>
                  <a:latin typeface="Cambria Math"/>
                </a:rPr>
                <a:t>1</a:t>
              </a:r>
              <a:r>
                <a:rPr lang="en-US" sz="1600" b="0" i="0" kern="0">
                  <a:solidFill>
                    <a:srgbClr val="000000"/>
                  </a:solidFill>
                  <a:latin typeface="Cambria Math" panose="02040503050406030204" pitchFamily="18" charset="0"/>
                </a:rPr>
                <a:t> ) </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−𝑞</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−𝐾</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−𝑟</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𝑥</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20</xdr:col>
      <xdr:colOff>442752</xdr:colOff>
      <xdr:row>225</xdr:row>
      <xdr:rowOff>128165</xdr:rowOff>
    </xdr:from>
    <xdr:to>
      <xdr:col>31</xdr:col>
      <xdr:colOff>763523</xdr:colOff>
      <xdr:row>230</xdr:row>
      <xdr:rowOff>93210</xdr:rowOff>
    </xdr:to>
    <mc:AlternateContent xmlns:mc="http://schemas.openxmlformats.org/markup-compatibility/2006" xmlns:a14="http://schemas.microsoft.com/office/drawing/2010/main">
      <mc:Choice Requires="a14">
        <xdr:sp macro="" textlink="">
          <xdr:nvSpPr>
            <xdr:cNvPr id="41" name="Rectangle 2">
              <a:extLst>
                <a:ext uri="{FF2B5EF4-FFF2-40B4-BE49-F238E27FC236}">
                  <a16:creationId xmlns:a16="http://schemas.microsoft.com/office/drawing/2014/main" id="{00000000-0008-0000-0000-000029000000}"/>
                </a:ext>
              </a:extLst>
            </xdr:cNvPr>
            <xdr:cNvSpPr txBox="1">
              <a:spLocks noChangeArrowheads="1"/>
            </xdr:cNvSpPr>
          </xdr:nvSpPr>
          <xdr:spPr bwMode="auto">
            <a:xfrm>
              <a:off x="17966422" y="46419082"/>
              <a:ext cx="9420495" cy="978715"/>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sSub>
                      <m:sSubPr>
                        <m:ctrlPr>
                          <a:rPr lang="en-US" sz="1600" i="1" kern="0">
                            <a:solidFill>
                              <a:srgbClr val="000000"/>
                            </a:solidFill>
                            <a:latin typeface="Cambria Math" panose="02040503050406030204" pitchFamily="18" charset="0"/>
                          </a:rPr>
                        </m:ctrlPr>
                      </m:sSubPr>
                      <m:e>
                        <m:r>
                          <a:rPr lang="en-US" sz="1600" b="0" i="1" kern="0">
                            <a:solidFill>
                              <a:srgbClr val="000000"/>
                            </a:solidFill>
                            <a:latin typeface="Cambria Math"/>
                          </a:rPr>
                          <m:t>−</m:t>
                        </m:r>
                        <m:r>
                          <a:rPr lang="en-US" sz="1600" i="1" kern="0">
                            <a:solidFill>
                              <a:srgbClr val="000000"/>
                            </a:solidFill>
                            <a:latin typeface="Cambria Math"/>
                          </a:rPr>
                          <m:t>𝑆</m:t>
                        </m:r>
                      </m:e>
                      <m:sub>
                        <m:r>
                          <a:rPr lang="en-US" sz="1600" i="1" kern="0">
                            <a:solidFill>
                              <a:srgbClr val="000000"/>
                            </a:solidFill>
                            <a:latin typeface="Cambria Math"/>
                          </a:rPr>
                          <m:t>0</m:t>
                        </m:r>
                      </m:sub>
                    </m:sSub>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𝑞</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b="0" i="1" kern="0">
                                <a:solidFill>
                                  <a:srgbClr val="000000"/>
                                </a:solidFill>
                                <a:latin typeface="Cambria Math"/>
                                <a:ea typeface="Cambria Math"/>
                              </a:rPr>
                              <m:t>𝑡</m:t>
                            </m:r>
                          </m:e>
                        </m:d>
                      </m:sup>
                    </m:sSup>
                    <m:sSup>
                      <m:sSupPr>
                        <m:ctrlPr>
                          <a:rPr lang="en-US" sz="1600" b="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b="0" i="1" kern="0">
                            <a:solidFill>
                              <a:srgbClr val="000000"/>
                            </a:solidFill>
                            <a:latin typeface="Cambria Math"/>
                            <a:ea typeface="Cambria Math"/>
                          </a:rPr>
                          <m:t>2</m:t>
                        </m:r>
                        <m:r>
                          <a:rPr lang="en-US" sz="1600" b="0" i="1" kern="0">
                            <a:solidFill>
                              <a:srgbClr val="000000"/>
                            </a:solidFill>
                            <a:latin typeface="Cambria Math"/>
                            <a:ea typeface="Cambria Math"/>
                          </a:rPr>
                          <m:t>𝜆</m:t>
                        </m:r>
                      </m:sup>
                    </m:sSup>
                    <m:d>
                      <m:dPr>
                        <m:begChr m:val="["/>
                        <m:endChr m:val="]"/>
                        <m:ctrlPr>
                          <a:rPr lang="en-US" sz="1600" b="0" i="1" kern="0">
                            <a:solidFill>
                              <a:srgbClr val="000000"/>
                            </a:solidFill>
                            <a:latin typeface="Cambria Math" panose="02040503050406030204" pitchFamily="18" charset="0"/>
                            <a:ea typeface="Cambria Math"/>
                          </a:rPr>
                        </m:ctrlPr>
                      </m:dPr>
                      <m:e>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r>
                              <a:rPr lang="en-US" sz="1600" b="0" i="1" kern="0">
                                <a:solidFill>
                                  <a:srgbClr val="000000"/>
                                </a:solidFill>
                                <a:latin typeface="Cambria Math"/>
                              </a:rPr>
                              <m:t>−</m:t>
                            </m:r>
                            <m:r>
                              <a:rPr lang="en-US" sz="1600" b="0" i="1" kern="0">
                                <a:solidFill>
                                  <a:srgbClr val="000000"/>
                                </a:solidFill>
                                <a:latin typeface="Cambria Math"/>
                              </a:rPr>
                              <m:t>𝑦</m:t>
                            </m:r>
                          </m:e>
                        </m:d>
                        <m:r>
                          <a:rPr lang="en-US" sz="1600" b="0" i="1" kern="0">
                            <a:solidFill>
                              <a:srgbClr val="000000"/>
                            </a:solidFill>
                            <a:latin typeface="Cambria Math"/>
                          </a:rPr>
                          <m:t>−</m:t>
                        </m:r>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𝑦</m:t>
                                </m:r>
                              </m:e>
                              <m:sub>
                                <m:r>
                                  <a:rPr lang="en-US" sz="1600" i="1" kern="0">
                                    <a:solidFill>
                                      <a:srgbClr val="000000"/>
                                    </a:solidFill>
                                    <a:latin typeface="Cambria Math"/>
                                  </a:rPr>
                                  <m:t>1</m:t>
                                </m:r>
                              </m:sub>
                            </m:sSub>
                          </m:e>
                        </m:d>
                      </m:e>
                    </m:d>
                    <m:r>
                      <a:rPr lang="en-US" sz="1600" b="0" i="1" kern="0">
                        <a:solidFill>
                          <a:srgbClr val="000000"/>
                        </a:solidFill>
                        <a:latin typeface="Cambria Math"/>
                      </a:rPr>
                      <m:t>+</m:t>
                    </m:r>
                    <m:r>
                      <a:rPr lang="en-US" sz="1600" b="0" i="1" kern="0">
                        <a:solidFill>
                          <a:srgbClr val="000000"/>
                        </a:solidFill>
                        <a:latin typeface="Cambria Math"/>
                        <a:ea typeface="Cambria Math"/>
                      </a:rPr>
                      <m:t>𝐾</m:t>
                    </m:r>
                    <m:sSup>
                      <m:sSupPr>
                        <m:ctrlPr>
                          <a:rPr lang="en-US" sz="1600" i="1" kern="0">
                            <a:solidFill>
                              <a:srgbClr val="000000"/>
                            </a:solidFill>
                            <a:latin typeface="Cambria Math" panose="02040503050406030204" pitchFamily="18" charset="0"/>
                          </a:rPr>
                        </m:ctrlPr>
                      </m:sSupPr>
                      <m:e>
                        <m:r>
                          <a:rPr lang="en-US" sz="1600" i="1" kern="0">
                            <a:solidFill>
                              <a:srgbClr val="000000"/>
                            </a:solidFill>
                            <a:latin typeface="Cambria Math"/>
                          </a:rPr>
                          <m:t>𝑒</m:t>
                        </m:r>
                      </m:e>
                      <m:sup>
                        <m:r>
                          <a:rPr lang="en-US" sz="1600" i="1" kern="0">
                            <a:solidFill>
                              <a:srgbClr val="000000"/>
                            </a:solidFill>
                            <a:latin typeface="Cambria Math"/>
                          </a:rPr>
                          <m:t>−</m:t>
                        </m:r>
                        <m:r>
                          <a:rPr lang="en-US" sz="1600" i="1" kern="0">
                            <a:solidFill>
                              <a:srgbClr val="000000"/>
                            </a:solidFill>
                            <a:latin typeface="Cambria Math"/>
                          </a:rPr>
                          <m:t>𝑟</m:t>
                        </m:r>
                        <m:d>
                          <m:dPr>
                            <m:ctrlPr>
                              <a:rPr lang="en-US" sz="1600" i="1" kern="0">
                                <a:solidFill>
                                  <a:srgbClr val="000000"/>
                                </a:solidFill>
                                <a:latin typeface="Cambria Math" panose="02040503050406030204" pitchFamily="18" charset="0"/>
                                <a:ea typeface="Cambria Math"/>
                              </a:rPr>
                            </m:ctrlPr>
                          </m:dPr>
                          <m:e>
                            <m:r>
                              <a:rPr lang="en-US" sz="1600" b="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d>
                      </m:sup>
                    </m:sSup>
                    <m:sSup>
                      <m:sSupPr>
                        <m:ctrlPr>
                          <a:rPr lang="en-US" sz="1600" i="1" kern="0">
                            <a:solidFill>
                              <a:srgbClr val="000000"/>
                            </a:solidFill>
                            <a:latin typeface="Cambria Math" panose="02040503050406030204" pitchFamily="18" charset="0"/>
                            <a:ea typeface="Cambria Math"/>
                          </a:rPr>
                        </m:ctrlPr>
                      </m:sSupPr>
                      <m:e>
                        <m:d>
                          <m:dPr>
                            <m:ctrlPr>
                              <a:rPr lang="en-US" sz="1600" i="1" kern="0">
                                <a:solidFill>
                                  <a:srgbClr val="000000"/>
                                </a:solidFill>
                                <a:latin typeface="Cambria Math" panose="02040503050406030204" pitchFamily="18" charset="0"/>
                                <a:ea typeface="Cambria Math"/>
                              </a:rPr>
                            </m:ctrlPr>
                          </m:dPr>
                          <m:e>
                            <m:f>
                              <m:fPr>
                                <m:ctrlPr>
                                  <a:rPr lang="en-US" sz="1600" i="1" kern="0">
                                    <a:solidFill>
                                      <a:srgbClr val="000000"/>
                                    </a:solidFill>
                                    <a:latin typeface="Cambria Math" panose="02040503050406030204" pitchFamily="18" charset="0"/>
                                    <a:ea typeface="Cambria Math"/>
                                  </a:rPr>
                                </m:ctrlPr>
                              </m:fPr>
                              <m:num>
                                <m:r>
                                  <a:rPr lang="en-US" sz="1600" i="1" kern="0">
                                    <a:solidFill>
                                      <a:srgbClr val="000000"/>
                                    </a:solidFill>
                                    <a:latin typeface="Cambria Math"/>
                                    <a:ea typeface="Cambria Math"/>
                                  </a:rPr>
                                  <m:t>𝐻</m:t>
                                </m:r>
                              </m:num>
                              <m:den>
                                <m:sSub>
                                  <m:sSubPr>
                                    <m:ctrlPr>
                                      <a:rPr lang="en-US" sz="1600" i="1" kern="0">
                                        <a:solidFill>
                                          <a:srgbClr val="000000"/>
                                        </a:solidFill>
                                        <a:latin typeface="Cambria Math" panose="02040503050406030204" pitchFamily="18" charset="0"/>
                                        <a:ea typeface="Cambria Math"/>
                                      </a:rPr>
                                    </m:ctrlPr>
                                  </m:sSubPr>
                                  <m:e>
                                    <m:r>
                                      <a:rPr lang="en-US" sz="1600" i="1" kern="0">
                                        <a:solidFill>
                                          <a:srgbClr val="000000"/>
                                        </a:solidFill>
                                        <a:latin typeface="Cambria Math"/>
                                        <a:ea typeface="Cambria Math"/>
                                      </a:rPr>
                                      <m:t>𝑆</m:t>
                                    </m:r>
                                  </m:e>
                                  <m:sub>
                                    <m:r>
                                      <a:rPr lang="en-US" sz="1600" i="1" kern="0">
                                        <a:solidFill>
                                          <a:srgbClr val="000000"/>
                                        </a:solidFill>
                                        <a:latin typeface="Cambria Math"/>
                                        <a:ea typeface="Cambria Math"/>
                                      </a:rPr>
                                      <m:t>0</m:t>
                                    </m:r>
                                  </m:sub>
                                </m:sSub>
                              </m:den>
                            </m:f>
                          </m:e>
                        </m:d>
                      </m:e>
                      <m:sup>
                        <m:r>
                          <a:rPr lang="en-US" sz="1600" i="1" kern="0">
                            <a:solidFill>
                              <a:srgbClr val="000000"/>
                            </a:solidFill>
                            <a:latin typeface="Cambria Math"/>
                            <a:ea typeface="Cambria Math"/>
                          </a:rPr>
                          <m:t>2</m:t>
                        </m:r>
                        <m:r>
                          <a:rPr lang="en-US" sz="1600" i="1" kern="0">
                            <a:solidFill>
                              <a:srgbClr val="000000"/>
                            </a:solidFill>
                            <a:latin typeface="Cambria Math"/>
                            <a:ea typeface="Cambria Math"/>
                          </a:rPr>
                          <m:t>𝜆</m:t>
                        </m:r>
                        <m:r>
                          <a:rPr lang="en-US" sz="1600" b="0" i="1" kern="0">
                            <a:solidFill>
                              <a:srgbClr val="000000"/>
                            </a:solidFill>
                            <a:latin typeface="Cambria Math"/>
                            <a:ea typeface="Cambria Math"/>
                          </a:rPr>
                          <m:t>−2</m:t>
                        </m:r>
                      </m:sup>
                    </m:sSup>
                    <m:d>
                      <m:dPr>
                        <m:begChr m:val="["/>
                        <m:endChr m:val="]"/>
                        <m:ctrlPr>
                          <a:rPr lang="en-US" sz="1600" b="0" i="1" kern="0">
                            <a:solidFill>
                              <a:srgbClr val="000000"/>
                            </a:solidFill>
                            <a:latin typeface="Cambria Math" panose="02040503050406030204" pitchFamily="18" charset="0"/>
                            <a:ea typeface="Cambria Math"/>
                          </a:rPr>
                        </m:ctrlPr>
                      </m:dPr>
                      <m:e>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r>
                              <a:rPr lang="en-US" sz="1600" i="1" kern="0">
                                <a:solidFill>
                                  <a:srgbClr val="000000"/>
                                </a:solidFill>
                                <a:latin typeface="Cambria Math"/>
                              </a:rPr>
                              <m:t>−</m:t>
                            </m:r>
                            <m:r>
                              <a:rPr lang="en-US" sz="1600" i="1" kern="0">
                                <a:solidFill>
                                  <a:srgbClr val="000000"/>
                                </a:solidFill>
                                <a:latin typeface="Cambria Math"/>
                              </a:rPr>
                              <m:t>𝑦</m:t>
                            </m:r>
                            <m:r>
                              <a:rPr lang="en-US" sz="1600" i="1" kern="0">
                                <a:solidFill>
                                  <a:srgbClr val="000000"/>
                                </a:solidFill>
                                <a:latin typeface="Cambria Math"/>
                              </a:rPr>
                              <m:t>−</m:t>
                            </m:r>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rad>
                          </m:e>
                        </m:d>
                        <m:r>
                          <a:rPr lang="en-US" sz="1600" i="1" kern="0">
                            <a:solidFill>
                              <a:srgbClr val="000000"/>
                            </a:solidFill>
                            <a:latin typeface="Cambria Math"/>
                          </a:rPr>
                          <m:t>−</m:t>
                        </m:r>
                        <m:r>
                          <a:rPr lang="en-US" sz="1600" i="1" kern="0">
                            <a:solidFill>
                              <a:srgbClr val="000000"/>
                            </a:solidFill>
                            <a:latin typeface="Cambria Math"/>
                          </a:rPr>
                          <m:t>𝑁</m:t>
                        </m:r>
                        <m:d>
                          <m:dPr>
                            <m:ctrlPr>
                              <a:rPr lang="en-US" sz="1600" i="1" kern="0">
                                <a:solidFill>
                                  <a:srgbClr val="000000"/>
                                </a:solidFill>
                                <a:latin typeface="Cambria Math" panose="02040503050406030204" pitchFamily="18" charset="0"/>
                              </a:rPr>
                            </m:ctrlPr>
                          </m:dPr>
                          <m:e>
                            <m:r>
                              <a:rPr lang="en-US" sz="1600" i="1" kern="0">
                                <a:solidFill>
                                  <a:srgbClr val="000000"/>
                                </a:solidFill>
                                <a:latin typeface="Cambria Math"/>
                              </a:rPr>
                              <m:t>−</m:t>
                            </m:r>
                            <m:sSub>
                              <m:sSubPr>
                                <m:ctrlPr>
                                  <a:rPr lang="en-US" sz="1600" i="1" kern="0">
                                    <a:solidFill>
                                      <a:srgbClr val="000000"/>
                                    </a:solidFill>
                                    <a:latin typeface="Cambria Math" panose="02040503050406030204" pitchFamily="18" charset="0"/>
                                  </a:rPr>
                                </m:ctrlPr>
                              </m:sSubPr>
                              <m:e>
                                <m:r>
                                  <a:rPr lang="en-US" sz="1600" i="1" kern="0">
                                    <a:solidFill>
                                      <a:srgbClr val="000000"/>
                                    </a:solidFill>
                                    <a:latin typeface="Cambria Math"/>
                                  </a:rPr>
                                  <m:t>𝑦</m:t>
                                </m:r>
                              </m:e>
                              <m:sub>
                                <m:r>
                                  <a:rPr lang="en-US" sz="1600" i="1" kern="0">
                                    <a:solidFill>
                                      <a:srgbClr val="000000"/>
                                    </a:solidFill>
                                    <a:latin typeface="Cambria Math"/>
                                  </a:rPr>
                                  <m:t>1</m:t>
                                </m:r>
                              </m:sub>
                            </m:sSub>
                            <m:r>
                              <a:rPr lang="en-US" sz="1600" i="1" kern="0">
                                <a:solidFill>
                                  <a:srgbClr val="000000"/>
                                </a:solidFill>
                                <a:latin typeface="Cambria Math"/>
                              </a:rPr>
                              <m:t>+</m:t>
                            </m:r>
                            <m:r>
                              <a:rPr lang="en-US" sz="1600" i="1" kern="0">
                                <a:solidFill>
                                  <a:srgbClr val="000000"/>
                                </a:solidFill>
                                <a:latin typeface="Cambria Math"/>
                                <a:ea typeface="Cambria Math"/>
                              </a:rPr>
                              <m:t>𝜎</m:t>
                            </m:r>
                            <m:rad>
                              <m:radPr>
                                <m:degHide m:val="on"/>
                                <m:ctrlPr>
                                  <a:rPr lang="en-US" sz="1600" i="1" kern="0">
                                    <a:solidFill>
                                      <a:srgbClr val="000000"/>
                                    </a:solidFill>
                                    <a:latin typeface="Cambria Math" panose="02040503050406030204" pitchFamily="18" charset="0"/>
                                    <a:ea typeface="Cambria Math"/>
                                  </a:rPr>
                                </m:ctrlPr>
                              </m:radPr>
                              <m:deg/>
                              <m:e>
                                <m:r>
                                  <a:rPr lang="en-US" sz="1600" i="1" kern="0">
                                    <a:solidFill>
                                      <a:srgbClr val="000000"/>
                                    </a:solidFill>
                                    <a:latin typeface="Cambria Math"/>
                                    <a:ea typeface="Cambria Math"/>
                                  </a:rPr>
                                  <m:t>𝑇</m:t>
                                </m:r>
                                <m:r>
                                  <a:rPr lang="en-US" sz="1600" i="1" kern="0">
                                    <a:solidFill>
                                      <a:srgbClr val="000000"/>
                                    </a:solidFill>
                                    <a:latin typeface="Cambria Math"/>
                                    <a:ea typeface="Cambria Math"/>
                                  </a:rPr>
                                  <m:t>−</m:t>
                                </m:r>
                                <m:r>
                                  <a:rPr lang="en-US" sz="1600" i="1" kern="0">
                                    <a:solidFill>
                                      <a:srgbClr val="000000"/>
                                    </a:solidFill>
                                    <a:latin typeface="Cambria Math"/>
                                    <a:ea typeface="Cambria Math"/>
                                  </a:rPr>
                                  <m:t>𝑡</m:t>
                                </m:r>
                              </m:e>
                            </m:rad>
                          </m:e>
                        </m:d>
                      </m:e>
                    </m:d>
                  </m:oMath>
                </m:oMathPara>
              </a14:m>
              <a:endParaRPr lang="es-MX" sz="1600" kern="0">
                <a:solidFill>
                  <a:srgbClr val="000000"/>
                </a:solidFill>
                <a:latin typeface="Tahoma" pitchFamily="34" charset="0"/>
              </a:endParaRPr>
            </a:p>
          </xdr:txBody>
        </xdr:sp>
      </mc:Choice>
      <mc:Fallback xmlns="">
        <xdr:sp macro="" textlink="">
          <xdr:nvSpPr>
            <xdr:cNvPr id="41" name="Rectangle 2">
              <a:extLst>
                <a:ext uri="{FF2B5EF4-FFF2-40B4-BE49-F238E27FC236}">
                  <a16:creationId xmlns:a16="http://schemas.microsoft.com/office/drawing/2014/main" id="{FA46F396-5998-923B-3895-FB0FCE216FE5}"/>
                </a:ext>
              </a:extLst>
            </xdr:cNvPr>
            <xdr:cNvSpPr txBox="1">
              <a:spLocks noChangeArrowheads="1"/>
            </xdr:cNvSpPr>
          </xdr:nvSpPr>
          <xdr:spPr bwMode="auto">
            <a:xfrm>
              <a:off x="17966422" y="46419082"/>
              <a:ext cx="9420495" cy="978715"/>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600" i="0" kern="0">
                  <a:solidFill>
                    <a:srgbClr val="000000"/>
                  </a:solidFill>
                  <a:latin typeface="Cambria Math" panose="02040503050406030204" pitchFamily="18" charset="0"/>
                </a:rPr>
                <a:t>〖</a:t>
              </a:r>
              <a:r>
                <a:rPr lang="en-US" sz="1600" b="0" i="0" kern="0">
                  <a:solidFill>
                    <a:srgbClr val="000000"/>
                  </a:solidFill>
                  <a:latin typeface="Cambria Math"/>
                </a:rPr>
                <a:t>−</a:t>
              </a:r>
              <a:r>
                <a:rPr lang="en-US" sz="1600" i="0" kern="0">
                  <a:solidFill>
                    <a:srgbClr val="000000"/>
                  </a:solidFill>
                  <a:latin typeface="Cambria Math"/>
                </a:rPr>
                <a:t>𝑆</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0</a:t>
              </a:r>
              <a:r>
                <a:rPr lang="en-US" sz="1600" i="0" kern="0">
                  <a:solidFill>
                    <a:srgbClr val="000000"/>
                  </a:solidFill>
                  <a:latin typeface="Cambria Math" panose="02040503050406030204" pitchFamily="18" charset="0"/>
                </a:rPr>
                <a:t> </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−𝑞</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a:t>
              </a:r>
              <a:r>
                <a:rPr lang="en-US" sz="1600" b="0" i="0" kern="0">
                  <a:solidFill>
                    <a:srgbClr val="000000"/>
                  </a:solidFill>
                  <a:latin typeface="Cambria Math"/>
                  <a:ea typeface="Cambria Math"/>
                </a:rPr>
                <a:t>𝑡</a:t>
              </a:r>
              <a:r>
                <a:rPr lang="en-US" sz="1600" b="0" i="0" kern="0">
                  <a:solidFill>
                    <a:srgbClr val="000000"/>
                  </a:solidFill>
                  <a:latin typeface="Cambria Math" panose="02040503050406030204" pitchFamily="18" charset="0"/>
                  <a:ea typeface="Cambria Math"/>
                </a:rPr>
                <a:t>) ) </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b="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2𝜆</a:t>
              </a:r>
              <a:r>
                <a:rPr lang="en-US" sz="1600" b="0" i="0" kern="0">
                  <a:solidFill>
                    <a:srgbClr val="000000"/>
                  </a:solidFill>
                  <a:latin typeface="Cambria Math" panose="02040503050406030204" pitchFamily="18" charset="0"/>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b="0" i="0" kern="0">
                  <a:solidFill>
                    <a:srgbClr val="000000"/>
                  </a:solidFill>
                  <a:latin typeface="Cambria Math"/>
                </a:rPr>
                <a:t>−𝑦</a:t>
              </a:r>
              <a:r>
                <a:rPr lang="en-US" sz="1600" b="0" i="0" kern="0">
                  <a:solidFill>
                    <a:srgbClr val="000000"/>
                  </a:solidFill>
                  <a:latin typeface="Cambria Math" panose="02040503050406030204" pitchFamily="18" charset="0"/>
                </a:rPr>
                <a:t>)</a:t>
              </a:r>
              <a:r>
                <a:rPr lang="en-US" sz="1600" b="0" i="0" kern="0">
                  <a:solidFill>
                    <a:srgbClr val="000000"/>
                  </a:solidFill>
                  <a:latin typeface="Cambria Math"/>
                </a:rPr>
                <a:t>−</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𝑦</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panose="02040503050406030204" pitchFamily="18" charset="0"/>
                </a:rPr>
                <a:t> )]</a:t>
              </a:r>
              <a:r>
                <a:rPr lang="en-US" sz="1600" b="0" i="0" kern="0">
                  <a:solidFill>
                    <a:srgbClr val="000000"/>
                  </a:solidFill>
                  <a:latin typeface="Cambria Math"/>
                </a:rPr>
                <a:t>+</a:t>
              </a:r>
              <a:r>
                <a:rPr lang="en-US" sz="1600" b="0" i="0" kern="0">
                  <a:solidFill>
                    <a:srgbClr val="000000"/>
                  </a:solidFill>
                  <a:latin typeface="Cambria Math"/>
                  <a:ea typeface="Cambria Math"/>
                </a:rPr>
                <a:t>𝐾</a:t>
              </a:r>
              <a:r>
                <a:rPr lang="en-US" sz="1600" i="0" kern="0">
                  <a:solidFill>
                    <a:srgbClr val="000000"/>
                  </a:solidFill>
                  <a:latin typeface="Cambria Math"/>
                </a:rPr>
                <a:t>𝑒</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−𝑟</a:t>
              </a:r>
              <a:r>
                <a:rPr lang="en-US" sz="1600" i="0" kern="0">
                  <a:solidFill>
                    <a:srgbClr val="000000"/>
                  </a:solidFill>
                  <a:latin typeface="Cambria Math" panose="02040503050406030204" pitchFamily="18" charset="0"/>
                  <a:ea typeface="Cambria Math"/>
                </a:rPr>
                <a:t>(</a:t>
              </a:r>
              <a:r>
                <a:rPr lang="en-US" sz="1600" b="0" i="0" kern="0">
                  <a:solidFill>
                    <a:srgbClr val="000000"/>
                  </a:solidFill>
                  <a:latin typeface="Cambria Math"/>
                  <a:ea typeface="Cambria Math"/>
                </a:rPr>
                <a:t>𝑇</a:t>
              </a:r>
              <a:r>
                <a:rPr lang="en-US" sz="1600" i="0" kern="0">
                  <a:solidFill>
                    <a:srgbClr val="000000"/>
                  </a:solidFill>
                  <a:latin typeface="Cambria Math"/>
                  <a:ea typeface="Cambria Math"/>
                </a:rPr>
                <a:t>−𝑡</a:t>
              </a:r>
              <a:r>
                <a:rPr lang="en-US" sz="1600" i="0" kern="0">
                  <a:solidFill>
                    <a:srgbClr val="000000"/>
                  </a:solidFill>
                  <a:latin typeface="Cambria Math" panose="02040503050406030204" pitchFamily="18" charset="0"/>
                  <a:ea typeface="Cambria Math"/>
                </a:rPr>
                <a:t>) ) (</a:t>
              </a:r>
              <a:r>
                <a:rPr lang="en-US" sz="1600" i="0" kern="0">
                  <a:solidFill>
                    <a:srgbClr val="000000"/>
                  </a:solidFill>
                  <a:latin typeface="Cambria Math"/>
                  <a:ea typeface="Cambria Math"/>
                </a:rPr>
                <a:t>𝐻</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𝑆</a:t>
              </a:r>
              <a:r>
                <a:rPr lang="en-US" sz="1600" i="0" kern="0">
                  <a:solidFill>
                    <a:srgbClr val="000000"/>
                  </a:solidFill>
                  <a:latin typeface="Cambria Math" panose="02040503050406030204" pitchFamily="18" charset="0"/>
                  <a:ea typeface="Cambria Math"/>
                </a:rPr>
                <a:t>_</a:t>
              </a:r>
              <a:r>
                <a:rPr lang="en-US" sz="1600" i="0" kern="0">
                  <a:solidFill>
                    <a:srgbClr val="000000"/>
                  </a:solidFill>
                  <a:latin typeface="Cambria Math"/>
                  <a:ea typeface="Cambria Math"/>
                </a:rPr>
                <a:t>0</a:t>
              </a:r>
              <a:r>
                <a:rPr lang="en-US" sz="1600" i="0" kern="0">
                  <a:solidFill>
                    <a:srgbClr val="000000"/>
                  </a:solidFill>
                  <a:latin typeface="Cambria Math" panose="02040503050406030204" pitchFamily="18" charset="0"/>
                  <a:ea typeface="Cambria Math"/>
                </a:rPr>
                <a:t> )^(</a:t>
              </a:r>
              <a:r>
                <a:rPr lang="en-US" sz="1600" i="0" kern="0">
                  <a:solidFill>
                    <a:srgbClr val="000000"/>
                  </a:solidFill>
                  <a:latin typeface="Cambria Math"/>
                  <a:ea typeface="Cambria Math"/>
                </a:rPr>
                <a:t>2𝜆</a:t>
              </a:r>
              <a:r>
                <a:rPr lang="en-US" sz="1600" b="0" i="0" kern="0">
                  <a:solidFill>
                    <a:srgbClr val="000000"/>
                  </a:solidFill>
                  <a:latin typeface="Cambria Math"/>
                  <a:ea typeface="Cambria Math"/>
                </a:rPr>
                <a:t>−2</a:t>
              </a:r>
              <a:r>
                <a:rPr lang="en-US" sz="1600" b="0" i="0" kern="0">
                  <a:solidFill>
                    <a:srgbClr val="000000"/>
                  </a:solidFill>
                  <a:latin typeface="Cambria Math" panose="02040503050406030204" pitchFamily="18" charset="0"/>
                  <a:ea typeface="Cambria Math"/>
                </a:rPr>
                <a:t>) [</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−𝑦−</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rPr>
                <a:t>−𝑁</a:t>
              </a:r>
              <a:r>
                <a:rPr lang="en-US" sz="1600" i="0" kern="0">
                  <a:solidFill>
                    <a:srgbClr val="000000"/>
                  </a:solidFill>
                  <a:latin typeface="Cambria Math" panose="02040503050406030204" pitchFamily="18" charset="0"/>
                </a:rPr>
                <a:t>(</a:t>
              </a:r>
              <a:r>
                <a:rPr lang="en-US" sz="1600" i="0" kern="0">
                  <a:solidFill>
                    <a:srgbClr val="000000"/>
                  </a:solidFill>
                  <a:latin typeface="Cambria Math"/>
                </a:rPr>
                <a:t>−𝑦</a:t>
              </a:r>
              <a:r>
                <a:rPr lang="en-US" sz="1600" i="0" kern="0">
                  <a:solidFill>
                    <a:srgbClr val="000000"/>
                  </a:solidFill>
                  <a:latin typeface="Cambria Math" panose="02040503050406030204" pitchFamily="18" charset="0"/>
                </a:rPr>
                <a:t>_</a:t>
              </a:r>
              <a:r>
                <a:rPr lang="en-US" sz="1600" i="0" kern="0">
                  <a:solidFill>
                    <a:srgbClr val="000000"/>
                  </a:solidFill>
                  <a:latin typeface="Cambria Math"/>
                </a:rPr>
                <a:t>1+</a:t>
              </a:r>
              <a:r>
                <a:rPr lang="en-US" sz="1600" i="0" kern="0">
                  <a:solidFill>
                    <a:srgbClr val="000000"/>
                  </a:solidFill>
                  <a:latin typeface="Cambria Math"/>
                  <a:ea typeface="Cambria Math"/>
                </a:rPr>
                <a:t>𝜎</a:t>
              </a:r>
              <a:r>
                <a:rPr lang="en-US" sz="1600" i="0" kern="0">
                  <a:solidFill>
                    <a:srgbClr val="000000"/>
                  </a:solidFill>
                  <a:latin typeface="Cambria Math" panose="02040503050406030204" pitchFamily="18" charset="0"/>
                  <a:ea typeface="Cambria Math"/>
                </a:rPr>
                <a:t>√(</a:t>
              </a:r>
              <a:r>
                <a:rPr lang="en-US" sz="1600" i="0" kern="0">
                  <a:solidFill>
                    <a:srgbClr val="000000"/>
                  </a:solidFill>
                  <a:latin typeface="Cambria Math"/>
                  <a:ea typeface="Cambria Math"/>
                </a:rPr>
                <a:t>𝑇−𝑡</a:t>
              </a:r>
              <a:r>
                <a:rPr lang="en-US" sz="1600" i="0" kern="0">
                  <a:solidFill>
                    <a:srgbClr val="000000"/>
                  </a:solidFill>
                  <a:latin typeface="Cambria Math" panose="02040503050406030204" pitchFamily="18" charset="0"/>
                  <a:ea typeface="Cambria Math"/>
                </a:rPr>
                <a:t>))]</a:t>
              </a:r>
              <a:endParaRPr lang="es-MX" sz="1600" kern="0">
                <a:solidFill>
                  <a:srgbClr val="000000"/>
                </a:solidFill>
                <a:latin typeface="Tahoma" pitchFamily="34" charset="0"/>
              </a:endParaRPr>
            </a:p>
          </xdr:txBody>
        </xdr:sp>
      </mc:Fallback>
    </mc:AlternateContent>
    <xdr:clientData/>
  </xdr:twoCellAnchor>
  <xdr:twoCellAnchor>
    <xdr:from>
      <xdr:col>22</xdr:col>
      <xdr:colOff>813265</xdr:colOff>
      <xdr:row>239</xdr:row>
      <xdr:rowOff>148904</xdr:rowOff>
    </xdr:from>
    <xdr:to>
      <xdr:col>32</xdr:col>
      <xdr:colOff>267981</xdr:colOff>
      <xdr:row>258</xdr:row>
      <xdr:rowOff>116514</xdr:rowOff>
    </xdr:to>
    <xdr:graphicFrame macro="">
      <xdr:nvGraphicFramePr>
        <xdr:cNvPr id="42" name="Gráfico 41">
          <a:extLst>
            <a:ext uri="{FF2B5EF4-FFF2-40B4-BE49-F238E27FC236}">
              <a16:creationId xmlns:a16="http://schemas.microsoft.com/office/drawing/2014/main" id="{00000000-0008-0000-0000-00002A000000}"/>
            </a:ext>
            <a:ext uri="{147F2762-F138-4A5C-976F-8EAC2B608ADB}">
              <a16:predDERef xmlns:a16="http://schemas.microsoft.com/office/drawing/2014/main" pred="{00000000-0008-0000-00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24</xdr:col>
      <xdr:colOff>815945</xdr:colOff>
      <xdr:row>2</xdr:row>
      <xdr:rowOff>33716</xdr:rowOff>
    </xdr:from>
    <xdr:to>
      <xdr:col>30</xdr:col>
      <xdr:colOff>797963</xdr:colOff>
      <xdr:row>16</xdr:row>
      <xdr:rowOff>0</xdr:rowOff>
    </xdr:to>
    <mc:AlternateContent xmlns:mc="http://schemas.openxmlformats.org/markup-compatibility/2006">
      <mc:Choice xmlns:cx1="http://schemas.microsoft.com/office/drawing/2015/9/8/chartex" Requires="cx1">
        <xdr:graphicFrame macro="">
          <xdr:nvGraphicFramePr>
            <xdr:cNvPr id="31" name="Gráfico 30">
              <a:extLst>
                <a:ext uri="{FF2B5EF4-FFF2-40B4-BE49-F238E27FC236}">
                  <a16:creationId xmlns:a16="http://schemas.microsoft.com/office/drawing/2014/main" id="{00000000-0008-0000-0000-00001F000000}"/>
                </a:ext>
                <a:ext uri="{147F2762-F138-4A5C-976F-8EAC2B608ADB}">
                  <a16:predDERef xmlns:a16="http://schemas.microsoft.com/office/drawing/2014/main" pred="{00000000-0008-0000-0000-00002A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7"/>
            </a:graphicData>
          </a:graphic>
        </xdr:graphicFrame>
      </mc:Choice>
      <mc:Fallback>
        <xdr:sp macro="" textlink="">
          <xdr:nvSpPr>
            <xdr:cNvPr id="0" name=""/>
            <xdr:cNvSpPr>
              <a:spLocks noTextEdit="1"/>
            </xdr:cNvSpPr>
          </xdr:nvSpPr>
          <xdr:spPr>
            <a:xfrm>
              <a:off x="22018595" y="440116"/>
              <a:ext cx="4935018" cy="281108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692243</xdr:colOff>
      <xdr:row>344</xdr:row>
      <xdr:rowOff>17426</xdr:rowOff>
    </xdr:from>
    <xdr:to>
      <xdr:col>13</xdr:col>
      <xdr:colOff>618785</xdr:colOff>
      <xdr:row>345</xdr:row>
      <xdr:rowOff>121368</xdr:rowOff>
    </xdr:to>
    <xdr:pic>
      <xdr:nvPicPr>
        <xdr:cNvPr id="43" name="Picture 14">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8974852" y="70894469"/>
          <a:ext cx="3239585" cy="3248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485729</xdr:colOff>
      <xdr:row>346</xdr:row>
      <xdr:rowOff>16232</xdr:rowOff>
    </xdr:from>
    <xdr:to>
      <xdr:col>13</xdr:col>
      <xdr:colOff>659719</xdr:colOff>
      <xdr:row>348</xdr:row>
      <xdr:rowOff>56684</xdr:rowOff>
    </xdr:to>
    <xdr:pic>
      <xdr:nvPicPr>
        <xdr:cNvPr id="44" name="Picture 15">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8768338" y="71312928"/>
          <a:ext cx="3487033" cy="5042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38485</xdr:colOff>
      <xdr:row>325</xdr:row>
      <xdr:rowOff>38485</xdr:rowOff>
    </xdr:from>
    <xdr:to>
      <xdr:col>21</xdr:col>
      <xdr:colOff>96212</xdr:colOff>
      <xdr:row>333</xdr:row>
      <xdr:rowOff>195294</xdr:rowOff>
    </xdr:to>
    <xdr:pic>
      <xdr:nvPicPr>
        <xdr:cNvPr id="45" name="Picture 19">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30"/>
        <a:stretch>
          <a:fillRect/>
        </a:stretch>
      </xdr:blipFill>
      <xdr:spPr>
        <a:xfrm>
          <a:off x="12449849" y="69080303"/>
          <a:ext cx="6426969" cy="1861365"/>
        </a:xfrm>
        <a:prstGeom prst="rect">
          <a:avLst/>
        </a:prstGeom>
      </xdr:spPr>
    </xdr:pic>
    <xdr:clientData/>
  </xdr:twoCellAnchor>
  <xdr:twoCellAnchor editAs="oneCell">
    <xdr:from>
      <xdr:col>15</xdr:col>
      <xdr:colOff>622300</xdr:colOff>
      <xdr:row>355</xdr:row>
      <xdr:rowOff>0</xdr:rowOff>
    </xdr:from>
    <xdr:to>
      <xdr:col>18</xdr:col>
      <xdr:colOff>949739</xdr:colOff>
      <xdr:row>361</xdr:row>
      <xdr:rowOff>37119</xdr:rowOff>
    </xdr:to>
    <xdr:pic>
      <xdr:nvPicPr>
        <xdr:cNvPr id="46" name="Picture 2">
          <a:extLst>
            <a:ext uri="{FF2B5EF4-FFF2-40B4-BE49-F238E27FC236}">
              <a16:creationId xmlns:a16="http://schemas.microsoft.com/office/drawing/2014/main" id="{00000000-0008-0000-0000-00002E000000}"/>
            </a:ext>
          </a:extLst>
        </xdr:cNvPr>
        <xdr:cNvPicPr>
          <a:picLocks noChangeAspect="1" noChangeArrowheads="1"/>
        </xdr:cNvPicPr>
      </xdr:nvPicPr>
      <xdr:blipFill rotWithShape="1">
        <a:blip xmlns:r="http://schemas.openxmlformats.org/officeDocument/2006/relationships" r:embed="rId31" cstate="print">
          <a:extLst>
            <a:ext uri="{28A0092B-C50C-407E-A947-70E740481C1C}">
              <a14:useLocalDpi xmlns:a14="http://schemas.microsoft.com/office/drawing/2010/main" val="0"/>
            </a:ext>
          </a:extLst>
        </a:blip>
        <a:srcRect/>
        <a:stretch/>
      </xdr:blipFill>
      <xdr:spPr bwMode="auto">
        <a:xfrm>
          <a:off x="13874474" y="73152000"/>
          <a:ext cx="2977874" cy="1283053"/>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15</xdr:col>
      <xdr:colOff>622300</xdr:colOff>
      <xdr:row>361</xdr:row>
      <xdr:rowOff>114300</xdr:rowOff>
    </xdr:from>
    <xdr:to>
      <xdr:col>18</xdr:col>
      <xdr:colOff>938695</xdr:colOff>
      <xdr:row>366</xdr:row>
      <xdr:rowOff>2135</xdr:rowOff>
    </xdr:to>
    <xdr:pic>
      <xdr:nvPicPr>
        <xdr:cNvPr id="47" name="Picture 2">
          <a:extLst>
            <a:ext uri="{FF2B5EF4-FFF2-40B4-BE49-F238E27FC236}">
              <a16:creationId xmlns:a16="http://schemas.microsoft.com/office/drawing/2014/main" id="{00000000-0008-0000-0000-00002F000000}"/>
            </a:ext>
          </a:extLst>
        </xdr:cNvPr>
        <xdr:cNvPicPr>
          <a:picLocks noChangeAspect="1" noChangeArrowheads="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l="2810" t="39054" r="3646" b="30473"/>
        <a:stretch/>
      </xdr:blipFill>
      <xdr:spPr bwMode="auto">
        <a:xfrm>
          <a:off x="13874474" y="74481083"/>
          <a:ext cx="2966830" cy="992040"/>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editAs="oneCell">
    <xdr:from>
      <xdr:col>15</xdr:col>
      <xdr:colOff>640521</xdr:colOff>
      <xdr:row>366</xdr:row>
      <xdr:rowOff>143566</xdr:rowOff>
    </xdr:from>
    <xdr:to>
      <xdr:col>18</xdr:col>
      <xdr:colOff>901922</xdr:colOff>
      <xdr:row>371</xdr:row>
      <xdr:rowOff>141577</xdr:rowOff>
    </xdr:to>
    <xdr:pic>
      <xdr:nvPicPr>
        <xdr:cNvPr id="48" name="Picture 2">
          <a:extLst>
            <a:ext uri="{FF2B5EF4-FFF2-40B4-BE49-F238E27FC236}">
              <a16:creationId xmlns:a16="http://schemas.microsoft.com/office/drawing/2014/main" id="{00000000-0008-0000-0000-000030000000}"/>
            </a:ext>
          </a:extLst>
        </xdr:cNvPr>
        <xdr:cNvPicPr>
          <a:picLocks noChangeAspect="1" noChangeArrowheads="1"/>
        </xdr:cNvPicPr>
      </xdr:nvPicPr>
      <xdr:blipFill rotWithShape="1">
        <a:blip xmlns:r="http://schemas.openxmlformats.org/officeDocument/2006/relationships" r:embed="rId32" cstate="print">
          <a:extLst>
            <a:ext uri="{28A0092B-C50C-407E-A947-70E740481C1C}">
              <a14:useLocalDpi xmlns:a14="http://schemas.microsoft.com/office/drawing/2010/main" val="0"/>
            </a:ext>
          </a:extLst>
        </a:blip>
        <a:srcRect l="2574" t="69892" r="15092" b="4115"/>
        <a:stretch/>
      </xdr:blipFill>
      <xdr:spPr bwMode="auto">
        <a:xfrm>
          <a:off x="13892695" y="75592609"/>
          <a:ext cx="2911836" cy="1022405"/>
        </a:xfrm>
        <a:prstGeom prst="rect">
          <a:avLst/>
        </a:prstGeom>
        <a:noFill/>
        <a:ln>
          <a:noFill/>
        </a:ln>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Lst>
      </xdr:spPr>
    </xdr:pic>
    <xdr:clientData/>
  </xdr:twoCellAnchor>
  <xdr:twoCellAnchor>
    <xdr:from>
      <xdr:col>29</xdr:col>
      <xdr:colOff>0</xdr:colOff>
      <xdr:row>325</xdr:row>
      <xdr:rowOff>50799</xdr:rowOff>
    </xdr:from>
    <xdr:to>
      <xdr:col>36</xdr:col>
      <xdr:colOff>152399</xdr:colOff>
      <xdr:row>344</xdr:row>
      <xdr:rowOff>101599</xdr:rowOff>
    </xdr:to>
    <xdr:graphicFrame macro="">
      <xdr:nvGraphicFramePr>
        <xdr:cNvPr id="50" name="Gráfico 49">
          <a:extLst>
            <a:ext uri="{FF2B5EF4-FFF2-40B4-BE49-F238E27FC236}">
              <a16:creationId xmlns:a16="http://schemas.microsoft.com/office/drawing/2014/main" id="{00000000-0008-0000-0000-000032000000}"/>
            </a:ext>
            <a:ext uri="{147F2762-F138-4A5C-976F-8EAC2B608ADB}">
              <a16:predDERef xmlns:a16="http://schemas.microsoft.com/office/drawing/2014/main" pred="{00000000-0008-0000-0000-00003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28</xdr:col>
      <xdr:colOff>808990</xdr:colOff>
      <xdr:row>364</xdr:row>
      <xdr:rowOff>1270</xdr:rowOff>
    </xdr:from>
    <xdr:to>
      <xdr:col>36</xdr:col>
      <xdr:colOff>538480</xdr:colOff>
      <xdr:row>383</xdr:row>
      <xdr:rowOff>83820</xdr:rowOff>
    </xdr:to>
    <xdr:graphicFrame macro="">
      <xdr:nvGraphicFramePr>
        <xdr:cNvPr id="51" name="Gráfico 50">
          <a:extLst>
            <a:ext uri="{FF2B5EF4-FFF2-40B4-BE49-F238E27FC236}">
              <a16:creationId xmlns:a16="http://schemas.microsoft.com/office/drawing/2014/main" id="{00000000-0008-0000-0000-000033000000}"/>
            </a:ext>
            <a:ext uri="{147F2762-F138-4A5C-976F-8EAC2B608ADB}">
              <a16:predDERef xmlns:a16="http://schemas.microsoft.com/office/drawing/2014/main" pred="{00000000-0008-0000-0000-00003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editAs="oneCell">
    <xdr:from>
      <xdr:col>17</xdr:col>
      <xdr:colOff>623887</xdr:colOff>
      <xdr:row>410</xdr:row>
      <xdr:rowOff>166306</xdr:rowOff>
    </xdr:from>
    <xdr:to>
      <xdr:col>23</xdr:col>
      <xdr:colOff>503269</xdr:colOff>
      <xdr:row>425</xdr:row>
      <xdr:rowOff>169652</xdr:rowOff>
    </xdr:to>
    <xdr:pic>
      <xdr:nvPicPr>
        <xdr:cNvPr id="52" name="Imagen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5"/>
        <a:stretch>
          <a:fillRect/>
        </a:stretch>
      </xdr:blipFill>
      <xdr:spPr>
        <a:xfrm>
          <a:off x="8561387" y="2401506"/>
          <a:ext cx="5238782" cy="3074025"/>
        </a:xfrm>
        <a:prstGeom prst="rect">
          <a:avLst/>
        </a:prstGeom>
      </xdr:spPr>
    </xdr:pic>
    <xdr:clientData/>
  </xdr:twoCellAnchor>
  <xdr:twoCellAnchor editAs="oneCell">
    <xdr:from>
      <xdr:col>13</xdr:col>
      <xdr:colOff>396875</xdr:colOff>
      <xdr:row>414</xdr:row>
      <xdr:rowOff>134326</xdr:rowOff>
    </xdr:from>
    <xdr:to>
      <xdr:col>17</xdr:col>
      <xdr:colOff>392113</xdr:colOff>
      <xdr:row>415</xdr:row>
      <xdr:rowOff>187327</xdr:rowOff>
    </xdr:to>
    <xdr:pic>
      <xdr:nvPicPr>
        <xdr:cNvPr id="53" name="Imagen 52">
          <a:extLst>
            <a:ext uri="{FF2B5EF4-FFF2-40B4-BE49-F238E27FC236}">
              <a16:creationId xmlns:a16="http://schemas.microsoft.com/office/drawing/2014/main" id="{00000000-0008-0000-0000-000035000000}"/>
            </a:ext>
          </a:extLst>
        </xdr:cNvPr>
        <xdr:cNvPicPr>
          <a:picLocks noChangeAspect="1" noChangeArrowheads="1"/>
        </xdr:cNvPicPr>
      </xdr:nvPicPr>
      <xdr:blipFill>
        <a:blip xmlns:r="http://schemas.openxmlformats.org/officeDocument/2006/relationships" r:embed="rId36">
          <a:extLst>
            <a:ext uri="{28A0092B-C50C-407E-A947-70E740481C1C}">
              <a14:useLocalDpi xmlns:a14="http://schemas.microsoft.com/office/drawing/2010/main" val="0"/>
            </a:ext>
          </a:extLst>
        </a:blip>
        <a:srcRect/>
        <a:stretch>
          <a:fillRect/>
        </a:stretch>
      </xdr:blipFill>
      <xdr:spPr bwMode="auto">
        <a:xfrm>
          <a:off x="4930775" y="3195026"/>
          <a:ext cx="3462338" cy="256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190500</xdr:colOff>
      <xdr:row>440</xdr:row>
      <xdr:rowOff>174040</xdr:rowOff>
    </xdr:from>
    <xdr:to>
      <xdr:col>22</xdr:col>
      <xdr:colOff>603687</xdr:colOff>
      <xdr:row>454</xdr:row>
      <xdr:rowOff>41661</xdr:rowOff>
    </xdr:to>
    <xdr:pic>
      <xdr:nvPicPr>
        <xdr:cNvPr id="54" name="Imagen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7"/>
        <a:stretch>
          <a:fillRect/>
        </a:stretch>
      </xdr:blipFill>
      <xdr:spPr>
        <a:xfrm>
          <a:off x="8128000" y="10054640"/>
          <a:ext cx="4947087" cy="2735098"/>
        </a:xfrm>
        <a:prstGeom prst="rect">
          <a:avLst/>
        </a:prstGeom>
      </xdr:spPr>
    </xdr:pic>
    <xdr:clientData/>
  </xdr:twoCellAnchor>
  <xdr:twoCellAnchor editAs="oneCell">
    <xdr:from>
      <xdr:col>13</xdr:col>
      <xdr:colOff>126999</xdr:colOff>
      <xdr:row>444</xdr:row>
      <xdr:rowOff>160187</xdr:rowOff>
    </xdr:from>
    <xdr:to>
      <xdr:col>16</xdr:col>
      <xdr:colOff>723899</xdr:colOff>
      <xdr:row>446</xdr:row>
      <xdr:rowOff>33336</xdr:rowOff>
    </xdr:to>
    <xdr:pic>
      <xdr:nvPicPr>
        <xdr:cNvPr id="55" name="Imagen 54">
          <a:extLst>
            <a:ext uri="{FF2B5EF4-FFF2-40B4-BE49-F238E27FC236}">
              <a16:creationId xmlns:a16="http://schemas.microsoft.com/office/drawing/2014/main" id="{00000000-0008-0000-0000-000037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4660899" y="10866287"/>
          <a:ext cx="3086100" cy="279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29</xdr:col>
      <xdr:colOff>775268</xdr:colOff>
      <xdr:row>423</xdr:row>
      <xdr:rowOff>87951</xdr:rowOff>
    </xdr:from>
    <xdr:to>
      <xdr:col>38</xdr:col>
      <xdr:colOff>663433</xdr:colOff>
      <xdr:row>450</xdr:row>
      <xdr:rowOff>170597</xdr:rowOff>
    </xdr:to>
    <xdr:graphicFrame macro="">
      <xdr:nvGraphicFramePr>
        <xdr:cNvPr id="56" name="Gráfico 55">
          <a:extLst>
            <a:ext uri="{FF2B5EF4-FFF2-40B4-BE49-F238E27FC236}">
              <a16:creationId xmlns:a16="http://schemas.microsoft.com/office/drawing/2014/main" id="{00000000-0008-0000-0000-000038000000}"/>
            </a:ext>
            <a:ext uri="{147F2762-F138-4A5C-976F-8EAC2B608ADB}">
              <a16:predDERef xmlns:a16="http://schemas.microsoft.com/office/drawing/2014/main" pred="{00000000-0008-0000-0000-00003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9"/>
        </a:graphicData>
      </a:graphic>
    </xdr:graphicFrame>
    <xdr:clientData/>
  </xdr:twoCellAnchor>
  <xdr:twoCellAnchor editAs="oneCell">
    <xdr:from>
      <xdr:col>13</xdr:col>
      <xdr:colOff>182562</xdr:colOff>
      <xdr:row>476</xdr:row>
      <xdr:rowOff>71166</xdr:rowOff>
    </xdr:from>
    <xdr:to>
      <xdr:col>17</xdr:col>
      <xdr:colOff>625475</xdr:colOff>
      <xdr:row>477</xdr:row>
      <xdr:rowOff>138115</xdr:rowOff>
    </xdr:to>
    <xdr:pic>
      <xdr:nvPicPr>
        <xdr:cNvPr id="67" name="Imagen 66">
          <a:extLst>
            <a:ext uri="{FF2B5EF4-FFF2-40B4-BE49-F238E27FC236}">
              <a16:creationId xmlns:a16="http://schemas.microsoft.com/office/drawing/2014/main" id="{00000000-0008-0000-0000-000043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bwMode="auto">
        <a:xfrm>
          <a:off x="4716462" y="26995166"/>
          <a:ext cx="3910013" cy="282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898525</xdr:colOff>
      <xdr:row>473</xdr:row>
      <xdr:rowOff>36513</xdr:rowOff>
    </xdr:from>
    <xdr:to>
      <xdr:col>19</xdr:col>
      <xdr:colOff>641350</xdr:colOff>
      <xdr:row>475</xdr:row>
      <xdr:rowOff>15876</xdr:rowOff>
    </xdr:to>
    <xdr:pic>
      <xdr:nvPicPr>
        <xdr:cNvPr id="68" name="Imagen 67">
          <a:extLst>
            <a:ext uri="{FF2B5EF4-FFF2-40B4-BE49-F238E27FC236}">
              <a16:creationId xmlns:a16="http://schemas.microsoft.com/office/drawing/2014/main" id="{00000000-0008-0000-0000-000044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bwMode="auto">
        <a:xfrm>
          <a:off x="5432425" y="26350913"/>
          <a:ext cx="5127625" cy="3857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17</xdr:col>
      <xdr:colOff>190500</xdr:colOff>
      <xdr:row>502</xdr:row>
      <xdr:rowOff>174040</xdr:rowOff>
    </xdr:from>
    <xdr:ext cx="4943998" cy="2910838"/>
    <xdr:pic>
      <xdr:nvPicPr>
        <xdr:cNvPr id="57" name="Imagen 56">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37"/>
        <a:stretch>
          <a:fillRect/>
        </a:stretch>
      </xdr:blipFill>
      <xdr:spPr>
        <a:xfrm>
          <a:off x="15178788" y="92803950"/>
          <a:ext cx="4943998" cy="2910838"/>
        </a:xfrm>
        <a:prstGeom prst="rect">
          <a:avLst/>
        </a:prstGeom>
      </xdr:spPr>
    </xdr:pic>
    <xdr:clientData/>
  </xdr:oneCellAnchor>
  <xdr:oneCellAnchor>
    <xdr:from>
      <xdr:col>13</xdr:col>
      <xdr:colOff>126999</xdr:colOff>
      <xdr:row>506</xdr:row>
      <xdr:rowOff>160187</xdr:rowOff>
    </xdr:from>
    <xdr:ext cx="3079693" cy="307926"/>
    <xdr:pic>
      <xdr:nvPicPr>
        <xdr:cNvPr id="58" name="Imagen 57">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bwMode="auto">
        <a:xfrm>
          <a:off x="11659972" y="93648205"/>
          <a:ext cx="3079693" cy="30792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29</xdr:col>
      <xdr:colOff>101600</xdr:colOff>
      <xdr:row>484</xdr:row>
      <xdr:rowOff>135466</xdr:rowOff>
    </xdr:from>
    <xdr:to>
      <xdr:col>36</xdr:col>
      <xdr:colOff>711199</xdr:colOff>
      <xdr:row>514</xdr:row>
      <xdr:rowOff>135467</xdr:rowOff>
    </xdr:to>
    <xdr:graphicFrame macro="">
      <xdr:nvGraphicFramePr>
        <xdr:cNvPr id="59" name="Gráfico 58">
          <a:extLst>
            <a:ext uri="{FF2B5EF4-FFF2-40B4-BE49-F238E27FC236}">
              <a16:creationId xmlns:a16="http://schemas.microsoft.com/office/drawing/2014/main" id="{00000000-0008-0000-0000-00003B000000}"/>
            </a:ext>
            <a:ext uri="{147F2762-F138-4A5C-976F-8EAC2B608ADB}">
              <a16:predDERef xmlns:a16="http://schemas.microsoft.com/office/drawing/2014/main" pred="{00000000-0008-0000-0000-00003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2"/>
        </a:graphicData>
      </a:graphic>
    </xdr:graphicFrame>
    <xdr:clientData/>
  </xdr:twoCellAnchor>
  <xdr:twoCellAnchor editAs="oneCell">
    <xdr:from>
      <xdr:col>18</xdr:col>
      <xdr:colOff>876300</xdr:colOff>
      <xdr:row>531</xdr:row>
      <xdr:rowOff>38100</xdr:rowOff>
    </xdr:from>
    <xdr:to>
      <xdr:col>22</xdr:col>
      <xdr:colOff>25061</xdr:colOff>
      <xdr:row>535</xdr:row>
      <xdr:rowOff>100008</xdr:rowOff>
    </xdr:to>
    <mc:AlternateContent xmlns:mc="http://schemas.openxmlformats.org/markup-compatibility/2006" xmlns:a14="http://schemas.microsoft.com/office/drawing/2010/main">
      <mc:Choice Requires="a14">
        <xdr:sp macro="" textlink="">
          <xdr:nvSpPr>
            <xdr:cNvPr id="60" name="Rectangle 2">
              <a:extLst>
                <a:ext uri="{FF2B5EF4-FFF2-40B4-BE49-F238E27FC236}">
                  <a16:creationId xmlns:a16="http://schemas.microsoft.com/office/drawing/2014/main" id="{00000000-0008-0000-0000-00003C000000}"/>
                </a:ext>
              </a:extLst>
            </xdr:cNvPr>
            <xdr:cNvSpPr txBox="1">
              <a:spLocks noChangeArrowheads="1"/>
            </xdr:cNvSpPr>
          </xdr:nvSpPr>
          <xdr:spPr bwMode="auto">
            <a:xfrm>
              <a:off x="7976117" y="1886528"/>
              <a:ext cx="2845872" cy="936797"/>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200" i="1" kern="0">
                        <a:solidFill>
                          <a:srgbClr val="000000"/>
                        </a:solidFill>
                        <a:latin typeface="Cambria Math"/>
                      </a:rPr>
                      <m:t> </m:t>
                    </m:r>
                  </m:oMath>
                </m:oMathPara>
              </a14:m>
              <a:endParaRPr lang="es-MX" sz="1200" kern="0">
                <a:solidFill>
                  <a:srgbClr val="000000"/>
                </a:solidFill>
                <a:latin typeface="Tahoma" pitchFamily="34" charset="0"/>
              </a:endParaRPr>
            </a:p>
          </xdr:txBody>
        </xdr:sp>
      </mc:Choice>
      <mc:Fallback xmlns="">
        <xdr:sp macro="" textlink="">
          <xdr:nvSpPr>
            <xdr:cNvPr id="60" name="Rectangle 2">
              <a:extLst>
                <a:ext uri="{FF2B5EF4-FFF2-40B4-BE49-F238E27FC236}">
                  <a16:creationId xmlns:a16="http://schemas.microsoft.com/office/drawing/2014/main" id="{00EF00EE-29F3-4A3C-A905-8F91D40A2877}"/>
                </a:ext>
              </a:extLst>
            </xdr:cNvPr>
            <xdr:cNvSpPr txBox="1">
              <a:spLocks noChangeArrowheads="1"/>
            </xdr:cNvSpPr>
          </xdr:nvSpPr>
          <xdr:spPr bwMode="auto">
            <a:xfrm>
              <a:off x="7976117" y="1886528"/>
              <a:ext cx="2845872" cy="936797"/>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just" fontAlgn="base">
                <a:lnSpc>
                  <a:spcPct val="140000"/>
                </a:lnSpc>
                <a:spcBef>
                  <a:spcPct val="35000"/>
                </a:spcBef>
                <a:spcAft>
                  <a:spcPct val="35000"/>
                </a:spcAft>
                <a:defRPr/>
              </a:pPr>
              <a:r>
                <a:rPr lang="en-US" sz="1200" i="0" kern="0">
                  <a:solidFill>
                    <a:srgbClr val="000000"/>
                  </a:solidFill>
                  <a:latin typeface="Cambria Math"/>
                </a:rPr>
                <a:t> </a:t>
              </a:r>
              <a:endParaRPr lang="es-MX" sz="1200" kern="0">
                <a:solidFill>
                  <a:srgbClr val="000000"/>
                </a:solidFill>
                <a:latin typeface="Tahoma" pitchFamily="34" charset="0"/>
              </a:endParaRPr>
            </a:p>
          </xdr:txBody>
        </xdr:sp>
      </mc:Fallback>
    </mc:AlternateContent>
    <xdr:clientData/>
  </xdr:twoCellAnchor>
  <xdr:twoCellAnchor editAs="oneCell">
    <xdr:from>
      <xdr:col>16</xdr:col>
      <xdr:colOff>670688</xdr:colOff>
      <xdr:row>534</xdr:row>
      <xdr:rowOff>96981</xdr:rowOff>
    </xdr:from>
    <xdr:to>
      <xdr:col>19</xdr:col>
      <xdr:colOff>14795</xdr:colOff>
      <xdr:row>539</xdr:row>
      <xdr:rowOff>43257</xdr:rowOff>
    </xdr:to>
    <xdr:pic>
      <xdr:nvPicPr>
        <xdr:cNvPr id="62" name="Picture 10">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43"/>
        <a:stretch>
          <a:fillRect/>
        </a:stretch>
      </xdr:blipFill>
      <xdr:spPr>
        <a:xfrm>
          <a:off x="5953888" y="2611581"/>
          <a:ext cx="2163507" cy="1000377"/>
        </a:xfrm>
        <a:prstGeom prst="rect">
          <a:avLst/>
        </a:prstGeom>
      </xdr:spPr>
    </xdr:pic>
    <xdr:clientData/>
  </xdr:twoCellAnchor>
  <xdr:twoCellAnchor editAs="oneCell">
    <xdr:from>
      <xdr:col>13</xdr:col>
      <xdr:colOff>525780</xdr:colOff>
      <xdr:row>552</xdr:row>
      <xdr:rowOff>144780</xdr:rowOff>
    </xdr:from>
    <xdr:to>
      <xdr:col>18</xdr:col>
      <xdr:colOff>485140</xdr:colOff>
      <xdr:row>554</xdr:row>
      <xdr:rowOff>5080</xdr:rowOff>
    </xdr:to>
    <xdr:pic>
      <xdr:nvPicPr>
        <xdr:cNvPr id="63" name="Picture 1">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44">
          <a:extLst>
            <a:ext uri="{28A0092B-C50C-407E-A947-70E740481C1C}">
              <a14:useLocalDpi xmlns:a14="http://schemas.microsoft.com/office/drawing/2010/main" val="0"/>
            </a:ext>
          </a:extLst>
        </a:blip>
        <a:srcRect/>
        <a:stretch>
          <a:fillRect/>
        </a:stretch>
      </xdr:blipFill>
      <xdr:spPr bwMode="auto">
        <a:xfrm>
          <a:off x="3180080" y="6342380"/>
          <a:ext cx="4251960" cy="292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321425</xdr:colOff>
      <xdr:row>548</xdr:row>
      <xdr:rowOff>42024</xdr:rowOff>
    </xdr:from>
    <xdr:to>
      <xdr:col>16</xdr:col>
      <xdr:colOff>583045</xdr:colOff>
      <xdr:row>551</xdr:row>
      <xdr:rowOff>86590</xdr:rowOff>
    </xdr:to>
    <xdr:pic>
      <xdr:nvPicPr>
        <xdr:cNvPr id="64" name="Picture 7">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45">
          <a:extLst>
            <a:ext uri="{28A0092B-C50C-407E-A947-70E740481C1C}">
              <a14:useLocalDpi xmlns:a14="http://schemas.microsoft.com/office/drawing/2010/main" val="0"/>
            </a:ext>
          </a:extLst>
        </a:blip>
        <a:srcRect/>
        <a:stretch>
          <a:fillRect/>
        </a:stretch>
      </xdr:blipFill>
      <xdr:spPr bwMode="auto">
        <a:xfrm>
          <a:off x="2975725" y="5363324"/>
          <a:ext cx="2750820" cy="692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4157</xdr:colOff>
      <xdr:row>549</xdr:row>
      <xdr:rowOff>159670</xdr:rowOff>
    </xdr:from>
    <xdr:to>
      <xdr:col>19</xdr:col>
      <xdr:colOff>29557</xdr:colOff>
      <xdr:row>551</xdr:row>
      <xdr:rowOff>23554</xdr:rowOff>
    </xdr:to>
    <xdr:pic>
      <xdr:nvPicPr>
        <xdr:cNvPr id="65" name="Picture 8">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46">
          <a:extLst>
            <a:ext uri="{28A0092B-C50C-407E-A947-70E740481C1C}">
              <a14:useLocalDpi xmlns:a14="http://schemas.microsoft.com/office/drawing/2010/main" val="0"/>
            </a:ext>
          </a:extLst>
        </a:blip>
        <a:srcRect/>
        <a:stretch>
          <a:fillRect/>
        </a:stretch>
      </xdr:blipFill>
      <xdr:spPr bwMode="auto">
        <a:xfrm>
          <a:off x="6163657" y="5696870"/>
          <a:ext cx="1866900" cy="295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635000</xdr:colOff>
      <xdr:row>564</xdr:row>
      <xdr:rowOff>139700</xdr:rowOff>
    </xdr:from>
    <xdr:to>
      <xdr:col>18</xdr:col>
      <xdr:colOff>1000187</xdr:colOff>
      <xdr:row>569</xdr:row>
      <xdr:rowOff>63119</xdr:rowOff>
    </xdr:to>
    <xdr:pic>
      <xdr:nvPicPr>
        <xdr:cNvPr id="61" name="Picture 10">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43"/>
        <a:stretch>
          <a:fillRect/>
        </a:stretch>
      </xdr:blipFill>
      <xdr:spPr>
        <a:xfrm>
          <a:off x="14691488" y="111420101"/>
          <a:ext cx="2163507" cy="1000377"/>
        </a:xfrm>
        <a:prstGeom prst="rect">
          <a:avLst/>
        </a:prstGeom>
      </xdr:spPr>
    </xdr:pic>
    <xdr:clientData/>
  </xdr:twoCellAnchor>
  <xdr:twoCellAnchor>
    <xdr:from>
      <xdr:col>19</xdr:col>
      <xdr:colOff>76200</xdr:colOff>
      <xdr:row>564</xdr:row>
      <xdr:rowOff>139700</xdr:rowOff>
    </xdr:from>
    <xdr:to>
      <xdr:col>29</xdr:col>
      <xdr:colOff>63500</xdr:colOff>
      <xdr:row>568</xdr:row>
      <xdr:rowOff>25400</xdr:rowOff>
    </xdr:to>
    <mc:AlternateContent xmlns:mc="http://schemas.openxmlformats.org/markup-compatibility/2006" xmlns:a14="http://schemas.microsoft.com/office/drawing/2010/main">
      <mc:Choice Requires="a14">
        <xdr:sp macro="" textlink="">
          <xdr:nvSpPr>
            <xdr:cNvPr id="66" name="Rectangle 2">
              <a:extLst>
                <a:ext uri="{FF2B5EF4-FFF2-40B4-BE49-F238E27FC236}">
                  <a16:creationId xmlns:a16="http://schemas.microsoft.com/office/drawing/2014/main" id="{00000000-0008-0000-0000-000042000000}"/>
                </a:ext>
              </a:extLst>
            </xdr:cNvPr>
            <xdr:cNvSpPr txBox="1">
              <a:spLocks noChangeArrowheads="1"/>
            </xdr:cNvSpPr>
          </xdr:nvSpPr>
          <xdr:spPr bwMode="auto">
            <a:xfrm>
              <a:off x="16941800" y="118033800"/>
              <a:ext cx="8458200" cy="749300"/>
            </a:xfrm>
            <a:prstGeom prst="rect">
              <a:avLst/>
            </a:prstGeom>
            <a:noFill/>
            <a:ln w="9525">
              <a:noFill/>
              <a:miter lim="800000"/>
              <a:headEnd/>
              <a:tailEnd/>
            </a:ln>
          </xdr:spPr>
          <xdr:txBody>
            <a:bodyPr vert="horz" wrap="square" lIns="91440" tIns="45720" rIns="91440" bIns="45720" numCol="1" anchor="t"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14:m>
                <m:oMath xmlns:m="http://schemas.openxmlformats.org/officeDocument/2006/math">
                  <m:r>
                    <a:rPr lang="en-US" i="1" kern="0">
                      <a:solidFill>
                        <a:srgbClr val="000000"/>
                      </a:solidFill>
                      <a:latin typeface="Cambria Math"/>
                    </a:rPr>
                    <m:t> </m:t>
                  </m:r>
                  <m:sSub>
                    <m:sSubPr>
                      <m:ctrlPr>
                        <a:rPr lang="en-US" i="1" kern="0">
                          <a:solidFill>
                            <a:srgbClr val="000000"/>
                          </a:solidFill>
                          <a:latin typeface="Cambria Math" panose="02040503050406030204" pitchFamily="18" charset="0"/>
                        </a:rPr>
                      </m:ctrlPr>
                    </m:sSubPr>
                    <m:e>
                      <m:r>
                        <a:rPr lang="en-US" b="0" i="1" kern="0">
                          <a:solidFill>
                            <a:srgbClr val="000000"/>
                          </a:solidFill>
                          <a:latin typeface="Cambria Math"/>
                        </a:rPr>
                        <m:t>𝑐</m:t>
                      </m:r>
                    </m:e>
                    <m:sub>
                      <m:r>
                        <a:rPr lang="en-US" b="0" i="1" kern="0">
                          <a:solidFill>
                            <a:srgbClr val="000000"/>
                          </a:solidFill>
                          <a:latin typeface="Cambria Math"/>
                        </a:rPr>
                        <m:t>𝑐𝑎𝑙𝑙</m:t>
                      </m:r>
                    </m:sub>
                  </m:sSub>
                  <m:r>
                    <a:rPr lang="en-US" i="1" kern="0">
                      <a:solidFill>
                        <a:srgbClr val="000000"/>
                      </a:solidFill>
                      <a:latin typeface="Cambria Math"/>
                    </a:rPr>
                    <m:t>=</m:t>
                  </m:r>
                  <m:sSub>
                    <m:sSubPr>
                      <m:ctrlPr>
                        <a:rPr lang="en-US" i="1" kern="0">
                          <a:solidFill>
                            <a:srgbClr val="000000"/>
                          </a:solidFill>
                          <a:latin typeface="Cambria Math" panose="02040503050406030204" pitchFamily="18" charset="0"/>
                        </a:rPr>
                      </m:ctrlPr>
                    </m:sSubPr>
                    <m:e>
                      <m:r>
                        <a:rPr lang="en-US" i="1" kern="0">
                          <a:solidFill>
                            <a:srgbClr val="000000"/>
                          </a:solidFill>
                          <a:latin typeface="Cambria Math"/>
                        </a:rPr>
                        <m:t>𝑆</m:t>
                      </m:r>
                    </m:e>
                    <m:sub>
                      <m:r>
                        <a:rPr lang="en-US" i="1" kern="0">
                          <a:solidFill>
                            <a:srgbClr val="000000"/>
                          </a:solidFill>
                          <a:latin typeface="Cambria Math"/>
                        </a:rPr>
                        <m:t>0</m:t>
                      </m:r>
                    </m:sub>
                  </m:sSub>
                  <m:sSup>
                    <m:sSupPr>
                      <m:ctrlPr>
                        <a:rPr lang="en-US" i="1" kern="0">
                          <a:solidFill>
                            <a:srgbClr val="000000"/>
                          </a:solidFill>
                          <a:latin typeface="Cambria Math" panose="02040503050406030204" pitchFamily="18" charset="0"/>
                        </a:rPr>
                      </m:ctrlPr>
                    </m:sSupPr>
                    <m:e>
                      <m:r>
                        <a:rPr lang="en-US" i="1" kern="0">
                          <a:solidFill>
                            <a:srgbClr val="000000"/>
                          </a:solidFill>
                          <a:latin typeface="Cambria Math"/>
                        </a:rPr>
                        <m:t>𝑒</m:t>
                      </m:r>
                    </m:e>
                    <m:sup>
                      <m:r>
                        <a:rPr lang="en-US" i="1" kern="0">
                          <a:solidFill>
                            <a:srgbClr val="000000"/>
                          </a:solidFill>
                          <a:latin typeface="Cambria Math"/>
                        </a:rPr>
                        <m:t>−</m:t>
                      </m:r>
                      <m:r>
                        <a:rPr lang="en-US" i="1" kern="0">
                          <a:solidFill>
                            <a:srgbClr val="000000"/>
                          </a:solidFill>
                          <a:latin typeface="Cambria Math"/>
                        </a:rPr>
                        <m:t>𝑞</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𝑇</m:t>
                              </m:r>
                            </m:e>
                            <m:sub>
                              <m:r>
                                <a:rPr lang="en-US" b="0" i="1" kern="0">
                                  <a:solidFill>
                                    <a:srgbClr val="000000"/>
                                  </a:solidFill>
                                  <a:latin typeface="Cambria Math"/>
                                  <a:ea typeface="Cambria Math"/>
                                </a:rPr>
                                <m:t>2</m:t>
                              </m:r>
                            </m:sub>
                          </m:sSub>
                          <m:r>
                            <a:rPr lang="en-US" i="1" kern="0">
                              <a:solidFill>
                                <a:srgbClr val="000000"/>
                              </a:solidFill>
                              <a:latin typeface="Cambria Math"/>
                              <a:ea typeface="Cambria Math"/>
                            </a:rPr>
                            <m:t>−</m:t>
                          </m:r>
                          <m:r>
                            <a:rPr lang="en-US" b="0" i="1" kern="0">
                              <a:solidFill>
                                <a:srgbClr val="000000"/>
                              </a:solidFill>
                              <a:latin typeface="Cambria Math"/>
                              <a:ea typeface="Cambria Math"/>
                            </a:rPr>
                            <m:t>𝑡</m:t>
                          </m:r>
                        </m:e>
                      </m:d>
                    </m:sup>
                  </m:sSup>
                  <m:r>
                    <a:rPr lang="en-US" b="0" i="1" kern="0">
                      <a:solidFill>
                        <a:srgbClr val="000000"/>
                      </a:solidFill>
                      <a:latin typeface="Cambria Math"/>
                      <a:ea typeface="Cambria Math"/>
                    </a:rPr>
                    <m:t>𝑀</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𝑎</m:t>
                          </m:r>
                        </m:e>
                        <m:sub>
                          <m:r>
                            <a:rPr lang="en-US" i="1" kern="0">
                              <a:solidFill>
                                <a:srgbClr val="000000"/>
                              </a:solidFill>
                              <a:latin typeface="Cambria Math"/>
                              <a:ea typeface="Cambria Math"/>
                            </a:rPr>
                            <m:t>1</m:t>
                          </m:r>
                        </m:sub>
                      </m:sSub>
                      <m:r>
                        <a:rPr lang="en-US" b="0" i="1" kern="0">
                          <a:solidFill>
                            <a:srgbClr val="000000"/>
                          </a:solidFill>
                          <a:latin typeface="Cambria Math"/>
                          <a:ea typeface="Cambria Math"/>
                        </a:rPr>
                        <m:t>,</m:t>
                      </m:r>
                      <m:sSub>
                        <m:sSubPr>
                          <m:ctrlPr>
                            <a:rPr lang="en-US"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𝑏</m:t>
                          </m:r>
                        </m:e>
                        <m:sub>
                          <m:r>
                            <a:rPr lang="en-US" i="1" kern="0">
                              <a:solidFill>
                                <a:srgbClr val="000000"/>
                              </a:solidFill>
                              <a:latin typeface="Cambria Math"/>
                              <a:ea typeface="Cambria Math"/>
                            </a:rPr>
                            <m:t>1</m:t>
                          </m:r>
                        </m:sub>
                      </m:sSub>
                      <m:r>
                        <a:rPr lang="en-US" b="0" i="1" kern="0">
                          <a:solidFill>
                            <a:srgbClr val="000000"/>
                          </a:solidFill>
                          <a:latin typeface="Cambria Math"/>
                          <a:ea typeface="Cambria Math"/>
                        </a:rPr>
                        <m:t>;</m:t>
                      </m:r>
                      <m:rad>
                        <m:radPr>
                          <m:degHide m:val="on"/>
                          <m:ctrlPr>
                            <a:rPr lang="en-US" b="0" i="1" kern="0">
                              <a:solidFill>
                                <a:srgbClr val="000000"/>
                              </a:solidFill>
                              <a:latin typeface="Cambria Math" panose="02040503050406030204" pitchFamily="18" charset="0"/>
                              <a:ea typeface="Cambria Math"/>
                            </a:rPr>
                          </m:ctrlPr>
                        </m:radPr>
                        <m:deg/>
                        <m:e>
                          <m:f>
                            <m:fPr>
                              <m:ctrlPr>
                                <a:rPr lang="en-US" b="0" i="1" kern="0">
                                  <a:solidFill>
                                    <a:srgbClr val="000000"/>
                                  </a:solidFill>
                                  <a:latin typeface="Cambria Math" panose="02040503050406030204" pitchFamily="18" charset="0"/>
                                  <a:ea typeface="Cambria Math"/>
                                </a:rPr>
                              </m:ctrlPr>
                            </m:fPr>
                            <m:num>
                              <m:sSub>
                                <m:sSubPr>
                                  <m:ctrlPr>
                                    <a:rPr lang="en-US" b="0"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𝑇</m:t>
                                  </m:r>
                                </m:e>
                                <m:sub>
                                  <m:r>
                                    <a:rPr lang="en-US" b="0" i="1" kern="0">
                                      <a:solidFill>
                                        <a:srgbClr val="000000"/>
                                      </a:solidFill>
                                      <a:latin typeface="Cambria Math"/>
                                      <a:ea typeface="Cambria Math"/>
                                    </a:rPr>
                                    <m:t>1</m:t>
                                  </m:r>
                                </m:sub>
                              </m:sSub>
                            </m:num>
                            <m:den>
                              <m:sSub>
                                <m:sSubPr>
                                  <m:ctrlPr>
                                    <a:rPr lang="en-US" b="0"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𝑇</m:t>
                                  </m:r>
                                </m:e>
                                <m:sub>
                                  <m:r>
                                    <a:rPr lang="en-US" b="0" i="1" kern="0">
                                      <a:solidFill>
                                        <a:srgbClr val="000000"/>
                                      </a:solidFill>
                                      <a:latin typeface="Cambria Math"/>
                                      <a:ea typeface="Cambria Math"/>
                                    </a:rPr>
                                    <m:t>2</m:t>
                                  </m:r>
                                </m:sub>
                              </m:sSub>
                            </m:den>
                          </m:f>
                        </m:e>
                      </m:rad>
                    </m:e>
                  </m:d>
                  <m:r>
                    <a:rPr lang="en-US" i="1" kern="0">
                      <a:solidFill>
                        <a:srgbClr val="000000"/>
                      </a:solidFill>
                      <a:latin typeface="Cambria Math"/>
                    </a:rPr>
                    <m:t>−</m:t>
                  </m:r>
                  <m:sSub>
                    <m:sSubPr>
                      <m:ctrlPr>
                        <a:rPr lang="en-US" i="1" kern="0">
                          <a:solidFill>
                            <a:srgbClr val="000000"/>
                          </a:solidFill>
                          <a:latin typeface="Cambria Math" panose="02040503050406030204" pitchFamily="18" charset="0"/>
                        </a:rPr>
                      </m:ctrlPr>
                    </m:sSubPr>
                    <m:e>
                      <m:r>
                        <a:rPr lang="en-US" b="0" i="1" kern="0">
                          <a:solidFill>
                            <a:srgbClr val="000000"/>
                          </a:solidFill>
                          <a:latin typeface="Cambria Math"/>
                        </a:rPr>
                        <m:t>𝐾</m:t>
                      </m:r>
                    </m:e>
                    <m:sub>
                      <m:r>
                        <a:rPr lang="en-US" b="0" i="1" kern="0">
                          <a:solidFill>
                            <a:srgbClr val="000000"/>
                          </a:solidFill>
                          <a:latin typeface="Cambria Math"/>
                        </a:rPr>
                        <m:t>2</m:t>
                      </m:r>
                    </m:sub>
                  </m:sSub>
                  <m:sSup>
                    <m:sSupPr>
                      <m:ctrlPr>
                        <a:rPr lang="en-US" i="1" kern="0">
                          <a:solidFill>
                            <a:srgbClr val="000000"/>
                          </a:solidFill>
                          <a:latin typeface="Cambria Math" panose="02040503050406030204" pitchFamily="18" charset="0"/>
                        </a:rPr>
                      </m:ctrlPr>
                    </m:sSupPr>
                    <m:e>
                      <m:r>
                        <a:rPr lang="en-US" i="1" kern="0">
                          <a:solidFill>
                            <a:srgbClr val="000000"/>
                          </a:solidFill>
                          <a:latin typeface="Cambria Math"/>
                        </a:rPr>
                        <m:t>𝑒</m:t>
                      </m:r>
                    </m:e>
                    <m:sup>
                      <m:r>
                        <a:rPr lang="en-US" i="1" kern="0">
                          <a:solidFill>
                            <a:srgbClr val="000000"/>
                          </a:solidFill>
                          <a:latin typeface="Cambria Math"/>
                        </a:rPr>
                        <m:t>−</m:t>
                      </m:r>
                      <m:r>
                        <a:rPr lang="en-US" b="0" i="1" kern="0">
                          <a:solidFill>
                            <a:srgbClr val="000000"/>
                          </a:solidFill>
                          <a:latin typeface="Cambria Math"/>
                        </a:rPr>
                        <m:t>𝑟</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𝑇</m:t>
                              </m:r>
                            </m:e>
                            <m:sub>
                              <m:r>
                                <a:rPr lang="en-US" b="0" i="1" kern="0">
                                  <a:solidFill>
                                    <a:srgbClr val="000000"/>
                                  </a:solidFill>
                                  <a:latin typeface="Cambria Math"/>
                                  <a:ea typeface="Cambria Math"/>
                                </a:rPr>
                                <m:t>2</m:t>
                              </m:r>
                            </m:sub>
                          </m:sSub>
                          <m:r>
                            <a:rPr lang="en-US" i="1" kern="0">
                              <a:solidFill>
                                <a:srgbClr val="000000"/>
                              </a:solidFill>
                              <a:latin typeface="Cambria Math"/>
                              <a:ea typeface="Cambria Math"/>
                            </a:rPr>
                            <m:t>−</m:t>
                          </m:r>
                          <m:r>
                            <a:rPr lang="en-US" i="1" kern="0">
                              <a:solidFill>
                                <a:srgbClr val="000000"/>
                              </a:solidFill>
                              <a:latin typeface="Cambria Math"/>
                              <a:ea typeface="Cambria Math"/>
                            </a:rPr>
                            <m:t>𝑡</m:t>
                          </m:r>
                        </m:e>
                      </m:d>
                    </m:sup>
                  </m:sSup>
                  <m:r>
                    <a:rPr lang="en-US" i="1" kern="0">
                      <a:solidFill>
                        <a:srgbClr val="000000"/>
                      </a:solidFill>
                      <a:latin typeface="Cambria Math"/>
                      <a:ea typeface="Cambria Math"/>
                    </a:rPr>
                    <m:t>𝑀</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𝑎</m:t>
                          </m:r>
                        </m:e>
                        <m:sub>
                          <m:r>
                            <a:rPr lang="en-US" b="0" i="1" kern="0">
                              <a:solidFill>
                                <a:srgbClr val="000000"/>
                              </a:solidFill>
                              <a:latin typeface="Cambria Math"/>
                              <a:ea typeface="Cambria Math"/>
                            </a:rPr>
                            <m:t>2</m:t>
                          </m:r>
                        </m:sub>
                      </m:sSub>
                      <m:r>
                        <a:rPr lang="en-US" i="1" kern="0">
                          <a:solidFill>
                            <a:srgbClr val="000000"/>
                          </a:solidFill>
                          <a:latin typeface="Cambria Math"/>
                          <a:ea typeface="Cambria Math"/>
                        </a:rPr>
                        <m:t>,</m:t>
                      </m:r>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𝑏</m:t>
                          </m:r>
                        </m:e>
                        <m:sub>
                          <m:r>
                            <a:rPr lang="en-US" b="0" i="1" kern="0">
                              <a:solidFill>
                                <a:srgbClr val="000000"/>
                              </a:solidFill>
                              <a:latin typeface="Cambria Math"/>
                              <a:ea typeface="Cambria Math"/>
                            </a:rPr>
                            <m:t>2</m:t>
                          </m:r>
                        </m:sub>
                      </m:sSub>
                      <m:r>
                        <a:rPr lang="en-US" i="1" kern="0">
                          <a:solidFill>
                            <a:srgbClr val="000000"/>
                          </a:solidFill>
                          <a:latin typeface="Cambria Math"/>
                          <a:ea typeface="Cambria Math"/>
                        </a:rPr>
                        <m:t>;</m:t>
                      </m:r>
                      <m:rad>
                        <m:radPr>
                          <m:degHide m:val="on"/>
                          <m:ctrlPr>
                            <a:rPr lang="en-US" i="1" kern="0">
                              <a:solidFill>
                                <a:srgbClr val="000000"/>
                              </a:solidFill>
                              <a:latin typeface="Cambria Math" panose="02040503050406030204" pitchFamily="18" charset="0"/>
                              <a:ea typeface="Cambria Math"/>
                            </a:rPr>
                          </m:ctrlPr>
                        </m:radPr>
                        <m:deg/>
                        <m:e>
                          <m:f>
                            <m:fPr>
                              <m:ctrlPr>
                                <a:rPr lang="en-US" i="1" kern="0">
                                  <a:solidFill>
                                    <a:srgbClr val="000000"/>
                                  </a:solidFill>
                                  <a:latin typeface="Cambria Math" panose="02040503050406030204" pitchFamily="18" charset="0"/>
                                  <a:ea typeface="Cambria Math"/>
                                </a:rPr>
                              </m:ctrlPr>
                            </m:fPr>
                            <m:num>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𝑇</m:t>
                                  </m:r>
                                </m:e>
                                <m:sub>
                                  <m:r>
                                    <a:rPr lang="en-US" i="1" kern="0">
                                      <a:solidFill>
                                        <a:srgbClr val="000000"/>
                                      </a:solidFill>
                                      <a:latin typeface="Cambria Math"/>
                                      <a:ea typeface="Cambria Math"/>
                                    </a:rPr>
                                    <m:t>1</m:t>
                                  </m:r>
                                </m:sub>
                              </m:sSub>
                            </m:num>
                            <m:den>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𝑇</m:t>
                                  </m:r>
                                </m:e>
                                <m:sub>
                                  <m:r>
                                    <a:rPr lang="en-US" i="1" kern="0">
                                      <a:solidFill>
                                        <a:srgbClr val="000000"/>
                                      </a:solidFill>
                                      <a:latin typeface="Cambria Math"/>
                                      <a:ea typeface="Cambria Math"/>
                                    </a:rPr>
                                    <m:t>2</m:t>
                                  </m:r>
                                </m:sub>
                              </m:sSub>
                            </m:den>
                          </m:f>
                        </m:e>
                      </m:rad>
                    </m:e>
                  </m:d>
                  <m:r>
                    <a:rPr lang="en-US" b="0" i="1" kern="0">
                      <a:solidFill>
                        <a:srgbClr val="000000"/>
                      </a:solidFill>
                      <a:latin typeface="Cambria Math"/>
                      <a:ea typeface="Cambria Math"/>
                    </a:rPr>
                    <m:t>−</m:t>
                  </m:r>
                  <m:sSub>
                    <m:sSubPr>
                      <m:ctrlPr>
                        <a:rPr lang="en-US" i="1" kern="0">
                          <a:solidFill>
                            <a:srgbClr val="000000"/>
                          </a:solidFill>
                          <a:latin typeface="Cambria Math" panose="02040503050406030204" pitchFamily="18" charset="0"/>
                        </a:rPr>
                      </m:ctrlPr>
                    </m:sSubPr>
                    <m:e>
                      <m:r>
                        <a:rPr lang="en-US" b="0" i="1" kern="0">
                          <a:solidFill>
                            <a:srgbClr val="000000"/>
                          </a:solidFill>
                          <a:latin typeface="Cambria Math"/>
                        </a:rPr>
                        <m:t>𝐾</m:t>
                      </m:r>
                    </m:e>
                    <m:sub>
                      <m:r>
                        <a:rPr lang="en-US" b="0" i="1" kern="0">
                          <a:solidFill>
                            <a:srgbClr val="000000"/>
                          </a:solidFill>
                          <a:latin typeface="Cambria Math"/>
                        </a:rPr>
                        <m:t>1</m:t>
                      </m:r>
                    </m:sub>
                  </m:sSub>
                  <m:sSup>
                    <m:sSupPr>
                      <m:ctrlPr>
                        <a:rPr lang="en-US" i="1" kern="0">
                          <a:solidFill>
                            <a:srgbClr val="000000"/>
                          </a:solidFill>
                          <a:latin typeface="Cambria Math" panose="02040503050406030204" pitchFamily="18" charset="0"/>
                        </a:rPr>
                      </m:ctrlPr>
                    </m:sSupPr>
                    <m:e>
                      <m:r>
                        <a:rPr lang="en-US" i="1" kern="0">
                          <a:solidFill>
                            <a:srgbClr val="000000"/>
                          </a:solidFill>
                          <a:latin typeface="Cambria Math"/>
                        </a:rPr>
                        <m:t>𝑒</m:t>
                      </m:r>
                    </m:e>
                    <m:sup>
                      <m:r>
                        <a:rPr lang="en-US" i="1" kern="0">
                          <a:solidFill>
                            <a:srgbClr val="000000"/>
                          </a:solidFill>
                          <a:latin typeface="Cambria Math"/>
                        </a:rPr>
                        <m:t>−</m:t>
                      </m:r>
                      <m:r>
                        <a:rPr lang="en-US" b="0" i="1" kern="0">
                          <a:solidFill>
                            <a:srgbClr val="000000"/>
                          </a:solidFill>
                          <a:latin typeface="Cambria Math"/>
                        </a:rPr>
                        <m:t>𝑟</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b="0" i="1" kern="0">
                                  <a:solidFill>
                                    <a:srgbClr val="000000"/>
                                  </a:solidFill>
                                  <a:latin typeface="Cambria Math"/>
                                  <a:ea typeface="Cambria Math"/>
                                </a:rPr>
                                <m:t>𝑇</m:t>
                              </m:r>
                            </m:e>
                            <m:sub>
                              <m:r>
                                <a:rPr lang="en-US" b="0" i="1" kern="0">
                                  <a:solidFill>
                                    <a:srgbClr val="000000"/>
                                  </a:solidFill>
                                  <a:latin typeface="Cambria Math"/>
                                  <a:ea typeface="Cambria Math"/>
                                </a:rPr>
                                <m:t>1</m:t>
                              </m:r>
                            </m:sub>
                          </m:sSub>
                          <m:r>
                            <a:rPr lang="en-US" i="1" kern="0">
                              <a:solidFill>
                                <a:srgbClr val="000000"/>
                              </a:solidFill>
                              <a:latin typeface="Cambria Math"/>
                              <a:ea typeface="Cambria Math"/>
                            </a:rPr>
                            <m:t>−</m:t>
                          </m:r>
                          <m:r>
                            <a:rPr lang="en-US" i="1" kern="0">
                              <a:solidFill>
                                <a:srgbClr val="000000"/>
                              </a:solidFill>
                              <a:latin typeface="Cambria Math"/>
                              <a:ea typeface="Cambria Math"/>
                            </a:rPr>
                            <m:t>𝑡</m:t>
                          </m:r>
                        </m:e>
                      </m:d>
                    </m:sup>
                  </m:sSup>
                </m:oMath>
              </a14:m>
              <a:r>
                <a:rPr lang="en-US" kern="0">
                  <a:solidFill>
                    <a:srgbClr val="000000"/>
                  </a:solidFill>
                  <a:ea typeface="Cambria Math"/>
                </a:rPr>
                <a:t> </a:t>
              </a:r>
              <a14:m>
                <m:oMath xmlns:m="http://schemas.openxmlformats.org/officeDocument/2006/math">
                  <m:r>
                    <a:rPr lang="en-US" i="1" kern="0">
                      <a:solidFill>
                        <a:srgbClr val="000000"/>
                      </a:solidFill>
                      <a:latin typeface="Cambria Math"/>
                      <a:ea typeface="Cambria Math"/>
                    </a:rPr>
                    <m:t>𝑁</m:t>
                  </m:r>
                  <m:d>
                    <m:dPr>
                      <m:ctrlPr>
                        <a:rPr lang="en-US" i="1" kern="0">
                          <a:solidFill>
                            <a:srgbClr val="000000"/>
                          </a:solidFill>
                          <a:latin typeface="Cambria Math" panose="02040503050406030204" pitchFamily="18" charset="0"/>
                          <a:ea typeface="Cambria Math"/>
                        </a:rPr>
                      </m:ctrlPr>
                    </m:dPr>
                    <m:e>
                      <m:sSub>
                        <m:sSubPr>
                          <m:ctrlPr>
                            <a:rPr lang="en-US" i="1" kern="0">
                              <a:solidFill>
                                <a:srgbClr val="000000"/>
                              </a:solidFill>
                              <a:latin typeface="Cambria Math" panose="02040503050406030204" pitchFamily="18" charset="0"/>
                              <a:ea typeface="Cambria Math"/>
                            </a:rPr>
                          </m:ctrlPr>
                        </m:sSubPr>
                        <m:e>
                          <m:r>
                            <a:rPr lang="en-US" i="1" kern="0">
                              <a:solidFill>
                                <a:srgbClr val="000000"/>
                              </a:solidFill>
                              <a:latin typeface="Cambria Math"/>
                              <a:ea typeface="Cambria Math"/>
                            </a:rPr>
                            <m:t>𝑎</m:t>
                          </m:r>
                        </m:e>
                        <m:sub>
                          <m:r>
                            <a:rPr lang="en-US" i="1" kern="0">
                              <a:solidFill>
                                <a:srgbClr val="000000"/>
                              </a:solidFill>
                              <a:latin typeface="Cambria Math"/>
                              <a:ea typeface="Cambria Math"/>
                            </a:rPr>
                            <m:t>2</m:t>
                          </m:r>
                        </m:sub>
                      </m:sSub>
                    </m:e>
                  </m:d>
                </m:oMath>
              </a14:m>
              <a:endParaRPr lang="es-MX" kern="0">
                <a:solidFill>
                  <a:srgbClr val="000000"/>
                </a:solidFill>
                <a:latin typeface="Tahoma" pitchFamily="34" charset="0"/>
              </a:endParaRPr>
            </a:p>
          </xdr:txBody>
        </xdr:sp>
      </mc:Choice>
      <mc:Fallback xmlns="">
        <xdr:sp macro="" textlink="">
          <xdr:nvSpPr>
            <xdr:cNvPr id="66" name="Rectangle 2">
              <a:extLst>
                <a:ext uri="{FF2B5EF4-FFF2-40B4-BE49-F238E27FC236}">
                  <a16:creationId xmlns:a16="http://schemas.microsoft.com/office/drawing/2014/main" id="{6A618176-BD75-03F0-E1AA-A3F4B54503E4}"/>
                </a:ext>
              </a:extLst>
            </xdr:cNvPr>
            <xdr:cNvSpPr txBox="1">
              <a:spLocks noChangeArrowheads="1"/>
            </xdr:cNvSpPr>
          </xdr:nvSpPr>
          <xdr:spPr bwMode="auto">
            <a:xfrm>
              <a:off x="16941800" y="118033800"/>
              <a:ext cx="8458200" cy="749300"/>
            </a:xfrm>
            <a:prstGeom prst="rect">
              <a:avLst/>
            </a:prstGeom>
            <a:noFill/>
            <a:ln w="9525">
              <a:noFill/>
              <a:miter lim="800000"/>
              <a:headEnd/>
              <a:tailEnd/>
            </a:ln>
          </xdr:spPr>
          <xdr:txBody>
            <a:bodyPr vert="horz" wrap="square" lIns="91440" tIns="45720" rIns="91440" bIns="45720" numCol="1" anchor="t"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r>
                <a:rPr lang="en-US" i="0" kern="0">
                  <a:solidFill>
                    <a:srgbClr val="000000"/>
                  </a:solidFill>
                  <a:latin typeface="Cambria Math"/>
                </a:rPr>
                <a:t> </a:t>
              </a:r>
              <a:r>
                <a:rPr lang="en-US" b="0" i="0" kern="0">
                  <a:solidFill>
                    <a:srgbClr val="000000"/>
                  </a:solidFill>
                  <a:latin typeface="Cambria Math"/>
                </a:rPr>
                <a:t>𝑐</a:t>
              </a:r>
              <a:r>
                <a:rPr lang="en-US" b="0" i="0" kern="0">
                  <a:solidFill>
                    <a:srgbClr val="000000"/>
                  </a:solidFill>
                  <a:latin typeface="Cambria Math" panose="02040503050406030204" pitchFamily="18" charset="0"/>
                </a:rPr>
                <a:t>_</a:t>
              </a:r>
              <a:r>
                <a:rPr lang="en-US" b="0" i="0" kern="0">
                  <a:solidFill>
                    <a:srgbClr val="000000"/>
                  </a:solidFill>
                  <a:latin typeface="Cambria Math"/>
                </a:rPr>
                <a:t>𝑐𝑎𝑙𝑙</a:t>
              </a:r>
              <a:r>
                <a:rPr lang="en-US" i="0" kern="0">
                  <a:solidFill>
                    <a:srgbClr val="000000"/>
                  </a:solidFill>
                  <a:latin typeface="Cambria Math"/>
                </a:rPr>
                <a:t>=𝑆</a:t>
              </a:r>
              <a:r>
                <a:rPr lang="en-US" i="0" kern="0">
                  <a:solidFill>
                    <a:srgbClr val="000000"/>
                  </a:solidFill>
                  <a:latin typeface="Cambria Math" panose="02040503050406030204" pitchFamily="18" charset="0"/>
                </a:rPr>
                <a:t>_</a:t>
              </a:r>
              <a:r>
                <a:rPr lang="en-US" i="0" kern="0">
                  <a:solidFill>
                    <a:srgbClr val="000000"/>
                  </a:solidFill>
                  <a:latin typeface="Cambria Math"/>
                </a:rPr>
                <a:t>0</a:t>
              </a:r>
              <a:r>
                <a:rPr lang="en-US" i="0" kern="0">
                  <a:solidFill>
                    <a:srgbClr val="000000"/>
                  </a:solidFill>
                  <a:latin typeface="Cambria Math" panose="02040503050406030204" pitchFamily="18" charset="0"/>
                </a:rPr>
                <a:t> </a:t>
              </a:r>
              <a:r>
                <a:rPr lang="en-US" i="0" kern="0">
                  <a:solidFill>
                    <a:srgbClr val="000000"/>
                  </a:solidFill>
                  <a:latin typeface="Cambria Math"/>
                </a:rPr>
                <a:t>𝑒</a:t>
              </a:r>
              <a:r>
                <a:rPr lang="en-US" i="0" kern="0">
                  <a:solidFill>
                    <a:srgbClr val="000000"/>
                  </a:solidFill>
                  <a:latin typeface="Cambria Math" panose="02040503050406030204" pitchFamily="18" charset="0"/>
                </a:rPr>
                <a:t>^(</a:t>
              </a:r>
              <a:r>
                <a:rPr lang="en-US" i="0" kern="0">
                  <a:solidFill>
                    <a:srgbClr val="000000"/>
                  </a:solidFill>
                  <a:latin typeface="Cambria Math"/>
                </a:rPr>
                <a:t>−𝑞</a:t>
              </a:r>
              <a:r>
                <a:rPr lang="en-US" i="0" kern="0">
                  <a:solidFill>
                    <a:srgbClr val="000000"/>
                  </a:solidFill>
                  <a:latin typeface="Cambria Math" panose="02040503050406030204" pitchFamily="18" charset="0"/>
                  <a:ea typeface="Cambria Math"/>
                </a:rPr>
                <a:t>(</a:t>
              </a:r>
              <a:r>
                <a:rPr lang="en-US" b="0" i="0" kern="0">
                  <a:solidFill>
                    <a:srgbClr val="000000"/>
                  </a:solidFill>
                  <a:latin typeface="Cambria Math"/>
                  <a:ea typeface="Cambria Math"/>
                </a:rPr>
                <a:t>𝑇</a:t>
              </a:r>
              <a:r>
                <a:rPr lang="en-US" b="0"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2</a:t>
              </a:r>
              <a:r>
                <a:rPr lang="en-US" i="0" kern="0">
                  <a:solidFill>
                    <a:srgbClr val="000000"/>
                  </a:solidFill>
                  <a:latin typeface="Cambria Math"/>
                  <a:ea typeface="Cambria Math"/>
                </a:rPr>
                <a:t>−</a:t>
              </a:r>
              <a:r>
                <a:rPr lang="en-US" b="0" i="0" kern="0">
                  <a:solidFill>
                    <a:srgbClr val="000000"/>
                  </a:solidFill>
                  <a:latin typeface="Cambria Math"/>
                  <a:ea typeface="Cambria Math"/>
                </a:rPr>
                <a:t>𝑡</a:t>
              </a:r>
              <a:r>
                <a:rPr lang="en-US" b="0" i="0" kern="0">
                  <a:solidFill>
                    <a:srgbClr val="000000"/>
                  </a:solidFill>
                  <a:latin typeface="Cambria Math" panose="02040503050406030204" pitchFamily="18" charset="0"/>
                  <a:ea typeface="Cambria Math"/>
                </a:rPr>
                <a:t>) )</a:t>
              </a:r>
              <a:r>
                <a:rPr lang="en-US" b="0" i="0" kern="0">
                  <a:solidFill>
                    <a:srgbClr val="000000"/>
                  </a:solidFill>
                  <a:latin typeface="Cambria Math"/>
                  <a:ea typeface="Cambria Math"/>
                </a:rPr>
                <a:t> 𝑀</a:t>
              </a:r>
              <a:r>
                <a:rPr lang="en-US" i="0" kern="0">
                  <a:solidFill>
                    <a:srgbClr val="000000"/>
                  </a:solidFill>
                  <a:latin typeface="Cambria Math" panose="02040503050406030204" pitchFamily="18" charset="0"/>
                  <a:ea typeface="Cambria Math"/>
                </a:rPr>
                <a:t>(</a:t>
              </a:r>
              <a:r>
                <a:rPr lang="en-US" i="0" kern="0">
                  <a:solidFill>
                    <a:srgbClr val="000000"/>
                  </a:solidFill>
                  <a:latin typeface="Cambria Math"/>
                  <a:ea typeface="Cambria Math"/>
                </a:rPr>
                <a:t>𝑎</a:t>
              </a:r>
              <a:r>
                <a:rPr lang="en-US" i="0" kern="0">
                  <a:solidFill>
                    <a:srgbClr val="000000"/>
                  </a:solidFill>
                  <a:latin typeface="Cambria Math" panose="02040503050406030204" pitchFamily="18" charset="0"/>
                  <a:ea typeface="Cambria Math"/>
                </a:rPr>
                <a:t>_</a:t>
              </a:r>
              <a:r>
                <a:rPr lang="en-US" i="0" kern="0">
                  <a:solidFill>
                    <a:srgbClr val="000000"/>
                  </a:solidFill>
                  <a:latin typeface="Cambria Math"/>
                  <a:ea typeface="Cambria Math"/>
                </a:rPr>
                <a:t>1</a:t>
              </a:r>
              <a:r>
                <a:rPr lang="en-US" b="0" i="0" kern="0">
                  <a:solidFill>
                    <a:srgbClr val="000000"/>
                  </a:solidFill>
                  <a:latin typeface="Cambria Math"/>
                  <a:ea typeface="Cambria Math"/>
                </a:rPr>
                <a:t>,𝑏</a:t>
              </a:r>
              <a:r>
                <a:rPr lang="en-US" b="0" i="0" kern="0">
                  <a:solidFill>
                    <a:srgbClr val="000000"/>
                  </a:solidFill>
                  <a:latin typeface="Cambria Math" panose="02040503050406030204" pitchFamily="18" charset="0"/>
                  <a:ea typeface="Cambria Math"/>
                </a:rPr>
                <a:t>_</a:t>
              </a:r>
              <a:r>
                <a:rPr lang="en-US" i="0" kern="0">
                  <a:solidFill>
                    <a:srgbClr val="000000"/>
                  </a:solidFill>
                  <a:latin typeface="Cambria Math"/>
                  <a:ea typeface="Cambria Math"/>
                </a:rPr>
                <a:t>1</a:t>
              </a:r>
              <a:r>
                <a:rPr lang="en-US" b="0" i="0" kern="0">
                  <a:solidFill>
                    <a:srgbClr val="000000"/>
                  </a:solidFill>
                  <a:latin typeface="Cambria Math"/>
                  <a:ea typeface="Cambria Math"/>
                </a:rPr>
                <a:t>;</a:t>
              </a:r>
              <a:r>
                <a:rPr lang="en-US" b="0" i="0" kern="0">
                  <a:solidFill>
                    <a:srgbClr val="000000"/>
                  </a:solidFill>
                  <a:latin typeface="Cambria Math" panose="02040503050406030204" pitchFamily="18" charset="0"/>
                  <a:ea typeface="Cambria Math"/>
                </a:rPr>
                <a:t>√(</a:t>
              </a:r>
              <a:r>
                <a:rPr lang="en-US" b="0" i="0" kern="0">
                  <a:solidFill>
                    <a:srgbClr val="000000"/>
                  </a:solidFill>
                  <a:latin typeface="Cambria Math"/>
                  <a:ea typeface="Cambria Math"/>
                </a:rPr>
                <a:t>𝑇</a:t>
              </a:r>
              <a:r>
                <a:rPr lang="en-US" b="0"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1</a:t>
              </a:r>
              <a:r>
                <a:rPr lang="en-US" b="0" i="0" kern="0">
                  <a:solidFill>
                    <a:srgbClr val="000000"/>
                  </a:solidFill>
                  <a:latin typeface="Cambria Math" panose="02040503050406030204" pitchFamily="18" charset="0"/>
                  <a:ea typeface="Cambria Math"/>
                </a:rPr>
                <a:t>/</a:t>
              </a:r>
              <a:r>
                <a:rPr lang="en-US" b="0" i="0" kern="0">
                  <a:solidFill>
                    <a:srgbClr val="000000"/>
                  </a:solidFill>
                  <a:latin typeface="Cambria Math"/>
                  <a:ea typeface="Cambria Math"/>
                </a:rPr>
                <a:t>𝑇</a:t>
              </a:r>
              <a:r>
                <a:rPr lang="en-US" b="0"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2</a:t>
              </a:r>
              <a:r>
                <a:rPr lang="en-US" b="0" i="0" kern="0">
                  <a:solidFill>
                    <a:srgbClr val="000000"/>
                  </a:solidFill>
                  <a:latin typeface="Cambria Math" panose="02040503050406030204" pitchFamily="18" charset="0"/>
                  <a:ea typeface="Cambria Math"/>
                </a:rPr>
                <a:t> ))</a:t>
              </a:r>
              <a:r>
                <a:rPr lang="en-US" i="0" kern="0">
                  <a:solidFill>
                    <a:srgbClr val="000000"/>
                  </a:solidFill>
                  <a:latin typeface="Cambria Math"/>
                </a:rPr>
                <a:t>−</a:t>
              </a:r>
              <a:r>
                <a:rPr lang="en-US" b="0" i="0" kern="0">
                  <a:solidFill>
                    <a:srgbClr val="000000"/>
                  </a:solidFill>
                  <a:latin typeface="Cambria Math"/>
                </a:rPr>
                <a:t>𝐾</a:t>
              </a:r>
              <a:r>
                <a:rPr lang="en-US" b="0" i="0" kern="0">
                  <a:solidFill>
                    <a:srgbClr val="000000"/>
                  </a:solidFill>
                  <a:latin typeface="Cambria Math" panose="02040503050406030204" pitchFamily="18" charset="0"/>
                </a:rPr>
                <a:t>_</a:t>
              </a:r>
              <a:r>
                <a:rPr lang="en-US" b="0" i="0" kern="0">
                  <a:solidFill>
                    <a:srgbClr val="000000"/>
                  </a:solidFill>
                  <a:latin typeface="Cambria Math"/>
                </a:rPr>
                <a:t>2</a:t>
              </a:r>
              <a:r>
                <a:rPr lang="en-US" b="0" i="0" kern="0">
                  <a:solidFill>
                    <a:srgbClr val="000000"/>
                  </a:solidFill>
                  <a:latin typeface="Cambria Math" panose="02040503050406030204" pitchFamily="18" charset="0"/>
                </a:rPr>
                <a:t> </a:t>
              </a:r>
              <a:r>
                <a:rPr lang="en-US" i="0" kern="0">
                  <a:solidFill>
                    <a:srgbClr val="000000"/>
                  </a:solidFill>
                  <a:latin typeface="Cambria Math"/>
                </a:rPr>
                <a:t>𝑒</a:t>
              </a:r>
              <a:r>
                <a:rPr lang="en-US" i="0" kern="0">
                  <a:solidFill>
                    <a:srgbClr val="000000"/>
                  </a:solidFill>
                  <a:latin typeface="Cambria Math" panose="02040503050406030204" pitchFamily="18" charset="0"/>
                </a:rPr>
                <a:t>^(</a:t>
              </a:r>
              <a:r>
                <a:rPr lang="en-US" i="0" kern="0">
                  <a:solidFill>
                    <a:srgbClr val="000000"/>
                  </a:solidFill>
                  <a:latin typeface="Cambria Math"/>
                </a:rPr>
                <a:t>−</a:t>
              </a:r>
              <a:r>
                <a:rPr lang="en-US" b="0" i="0" kern="0">
                  <a:solidFill>
                    <a:srgbClr val="000000"/>
                  </a:solidFill>
                  <a:latin typeface="Cambria Math"/>
                </a:rPr>
                <a:t>𝑟</a:t>
              </a:r>
              <a:r>
                <a:rPr lang="en-US" b="0" i="0" kern="0">
                  <a:solidFill>
                    <a:srgbClr val="000000"/>
                  </a:solidFill>
                  <a:latin typeface="Cambria Math" panose="02040503050406030204" pitchFamily="18" charset="0"/>
                  <a:ea typeface="Cambria Math"/>
                </a:rPr>
                <a:t>(</a:t>
              </a:r>
              <a:r>
                <a:rPr lang="en-US" b="0" i="0" kern="0">
                  <a:solidFill>
                    <a:srgbClr val="000000"/>
                  </a:solidFill>
                  <a:latin typeface="Cambria Math"/>
                  <a:ea typeface="Cambria Math"/>
                </a:rPr>
                <a:t>𝑇</a:t>
              </a:r>
              <a:r>
                <a:rPr lang="en-US" b="0"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2</a:t>
              </a:r>
              <a:r>
                <a:rPr lang="en-US" i="0" kern="0">
                  <a:solidFill>
                    <a:srgbClr val="000000"/>
                  </a:solidFill>
                  <a:latin typeface="Cambria Math"/>
                  <a:ea typeface="Cambria Math"/>
                </a:rPr>
                <a:t>−𝑡</a:t>
              </a:r>
              <a:r>
                <a:rPr lang="en-US" i="0" kern="0">
                  <a:solidFill>
                    <a:srgbClr val="000000"/>
                  </a:solidFill>
                  <a:latin typeface="Cambria Math" panose="02040503050406030204" pitchFamily="18" charset="0"/>
                  <a:ea typeface="Cambria Math"/>
                </a:rPr>
                <a:t>) )</a:t>
              </a:r>
              <a:r>
                <a:rPr lang="en-US" i="0" kern="0">
                  <a:solidFill>
                    <a:srgbClr val="000000"/>
                  </a:solidFill>
                  <a:latin typeface="Cambria Math"/>
                  <a:ea typeface="Cambria Math"/>
                </a:rPr>
                <a:t> 𝑀</a:t>
              </a:r>
              <a:r>
                <a:rPr lang="en-US" i="0" kern="0">
                  <a:solidFill>
                    <a:srgbClr val="000000"/>
                  </a:solidFill>
                  <a:latin typeface="Cambria Math" panose="02040503050406030204" pitchFamily="18" charset="0"/>
                  <a:ea typeface="Cambria Math"/>
                </a:rPr>
                <a:t>(</a:t>
              </a:r>
              <a:r>
                <a:rPr lang="en-US" i="0" kern="0">
                  <a:solidFill>
                    <a:srgbClr val="000000"/>
                  </a:solidFill>
                  <a:latin typeface="Cambria Math"/>
                  <a:ea typeface="Cambria Math"/>
                </a:rPr>
                <a:t>𝑎</a:t>
              </a:r>
              <a:r>
                <a:rPr lang="en-US"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2</a:t>
              </a:r>
              <a:r>
                <a:rPr lang="en-US" i="0" kern="0">
                  <a:solidFill>
                    <a:srgbClr val="000000"/>
                  </a:solidFill>
                  <a:latin typeface="Cambria Math"/>
                  <a:ea typeface="Cambria Math"/>
                </a:rPr>
                <a:t>,𝑏</a:t>
              </a:r>
              <a:r>
                <a:rPr lang="en-US"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2</a:t>
              </a:r>
              <a:r>
                <a:rPr lang="en-US" i="0" kern="0">
                  <a:solidFill>
                    <a:srgbClr val="000000"/>
                  </a:solidFill>
                  <a:latin typeface="Cambria Math"/>
                  <a:ea typeface="Cambria Math"/>
                </a:rPr>
                <a:t>;</a:t>
              </a:r>
              <a:r>
                <a:rPr lang="en-US" i="0" kern="0">
                  <a:solidFill>
                    <a:srgbClr val="000000"/>
                  </a:solidFill>
                  <a:latin typeface="Cambria Math" panose="02040503050406030204" pitchFamily="18" charset="0"/>
                  <a:ea typeface="Cambria Math"/>
                </a:rPr>
                <a:t>√(</a:t>
              </a:r>
              <a:r>
                <a:rPr lang="en-US" i="0" kern="0">
                  <a:solidFill>
                    <a:srgbClr val="000000"/>
                  </a:solidFill>
                  <a:latin typeface="Cambria Math"/>
                  <a:ea typeface="Cambria Math"/>
                </a:rPr>
                <a:t>𝑇</a:t>
              </a:r>
              <a:r>
                <a:rPr lang="en-US" i="0" kern="0">
                  <a:solidFill>
                    <a:srgbClr val="000000"/>
                  </a:solidFill>
                  <a:latin typeface="Cambria Math" panose="02040503050406030204" pitchFamily="18" charset="0"/>
                  <a:ea typeface="Cambria Math"/>
                </a:rPr>
                <a:t>_</a:t>
              </a:r>
              <a:r>
                <a:rPr lang="en-US" i="0" kern="0">
                  <a:solidFill>
                    <a:srgbClr val="000000"/>
                  </a:solidFill>
                  <a:latin typeface="Cambria Math"/>
                  <a:ea typeface="Cambria Math"/>
                </a:rPr>
                <a:t>1</a:t>
              </a:r>
              <a:r>
                <a:rPr lang="en-US" i="0" kern="0">
                  <a:solidFill>
                    <a:srgbClr val="000000"/>
                  </a:solidFill>
                  <a:latin typeface="Cambria Math" panose="02040503050406030204" pitchFamily="18" charset="0"/>
                  <a:ea typeface="Cambria Math"/>
                </a:rPr>
                <a:t>/</a:t>
              </a:r>
              <a:r>
                <a:rPr lang="en-US" i="0" kern="0">
                  <a:solidFill>
                    <a:srgbClr val="000000"/>
                  </a:solidFill>
                  <a:latin typeface="Cambria Math"/>
                  <a:ea typeface="Cambria Math"/>
                </a:rPr>
                <a:t>𝑇</a:t>
              </a:r>
              <a:r>
                <a:rPr lang="en-US" i="0" kern="0">
                  <a:solidFill>
                    <a:srgbClr val="000000"/>
                  </a:solidFill>
                  <a:latin typeface="Cambria Math" panose="02040503050406030204" pitchFamily="18" charset="0"/>
                  <a:ea typeface="Cambria Math"/>
                </a:rPr>
                <a:t>_</a:t>
              </a:r>
              <a:r>
                <a:rPr lang="en-US" i="0" kern="0">
                  <a:solidFill>
                    <a:srgbClr val="000000"/>
                  </a:solidFill>
                  <a:latin typeface="Cambria Math"/>
                  <a:ea typeface="Cambria Math"/>
                </a:rPr>
                <a:t>2</a:t>
              </a:r>
              <a:r>
                <a:rPr lang="en-US" i="0" kern="0">
                  <a:solidFill>
                    <a:srgbClr val="000000"/>
                  </a:solidFill>
                  <a:latin typeface="Cambria Math" panose="02040503050406030204" pitchFamily="18" charset="0"/>
                  <a:ea typeface="Cambria Math"/>
                </a:rPr>
                <a:t> ))</a:t>
              </a:r>
              <a:r>
                <a:rPr lang="en-US" b="0" i="0" kern="0">
                  <a:solidFill>
                    <a:srgbClr val="000000"/>
                  </a:solidFill>
                  <a:latin typeface="Cambria Math"/>
                  <a:ea typeface="Cambria Math"/>
                </a:rPr>
                <a:t>−</a:t>
              </a:r>
              <a:r>
                <a:rPr lang="en-US" b="0" i="0" kern="0">
                  <a:solidFill>
                    <a:srgbClr val="000000"/>
                  </a:solidFill>
                  <a:latin typeface="Cambria Math"/>
                </a:rPr>
                <a:t>𝐾</a:t>
              </a:r>
              <a:r>
                <a:rPr lang="en-US" b="0" i="0" kern="0">
                  <a:solidFill>
                    <a:srgbClr val="000000"/>
                  </a:solidFill>
                  <a:latin typeface="Cambria Math" panose="02040503050406030204" pitchFamily="18" charset="0"/>
                </a:rPr>
                <a:t>_</a:t>
              </a:r>
              <a:r>
                <a:rPr lang="en-US" b="0" i="0" kern="0">
                  <a:solidFill>
                    <a:srgbClr val="000000"/>
                  </a:solidFill>
                  <a:latin typeface="Cambria Math"/>
                </a:rPr>
                <a:t>1</a:t>
              </a:r>
              <a:r>
                <a:rPr lang="en-US" b="0" i="0" kern="0">
                  <a:solidFill>
                    <a:srgbClr val="000000"/>
                  </a:solidFill>
                  <a:latin typeface="Cambria Math" panose="02040503050406030204" pitchFamily="18" charset="0"/>
                </a:rPr>
                <a:t> </a:t>
              </a:r>
              <a:r>
                <a:rPr lang="en-US" i="0" kern="0">
                  <a:solidFill>
                    <a:srgbClr val="000000"/>
                  </a:solidFill>
                  <a:latin typeface="Cambria Math"/>
                </a:rPr>
                <a:t>𝑒</a:t>
              </a:r>
              <a:r>
                <a:rPr lang="en-US" i="0" kern="0">
                  <a:solidFill>
                    <a:srgbClr val="000000"/>
                  </a:solidFill>
                  <a:latin typeface="Cambria Math" panose="02040503050406030204" pitchFamily="18" charset="0"/>
                </a:rPr>
                <a:t>^(</a:t>
              </a:r>
              <a:r>
                <a:rPr lang="en-US" i="0" kern="0">
                  <a:solidFill>
                    <a:srgbClr val="000000"/>
                  </a:solidFill>
                  <a:latin typeface="Cambria Math"/>
                </a:rPr>
                <a:t>−</a:t>
              </a:r>
              <a:r>
                <a:rPr lang="en-US" b="0" i="0" kern="0">
                  <a:solidFill>
                    <a:srgbClr val="000000"/>
                  </a:solidFill>
                  <a:latin typeface="Cambria Math"/>
                </a:rPr>
                <a:t>𝑟</a:t>
              </a:r>
              <a:r>
                <a:rPr lang="en-US" b="0" i="0" kern="0">
                  <a:solidFill>
                    <a:srgbClr val="000000"/>
                  </a:solidFill>
                  <a:latin typeface="Cambria Math" panose="02040503050406030204" pitchFamily="18" charset="0"/>
                  <a:ea typeface="Cambria Math"/>
                </a:rPr>
                <a:t>(</a:t>
              </a:r>
              <a:r>
                <a:rPr lang="en-US" b="0" i="0" kern="0">
                  <a:solidFill>
                    <a:srgbClr val="000000"/>
                  </a:solidFill>
                  <a:latin typeface="Cambria Math"/>
                  <a:ea typeface="Cambria Math"/>
                </a:rPr>
                <a:t>𝑇</a:t>
              </a:r>
              <a:r>
                <a:rPr lang="en-US" b="0" i="0" kern="0">
                  <a:solidFill>
                    <a:srgbClr val="000000"/>
                  </a:solidFill>
                  <a:latin typeface="Cambria Math" panose="02040503050406030204" pitchFamily="18" charset="0"/>
                  <a:ea typeface="Cambria Math"/>
                </a:rPr>
                <a:t>_</a:t>
              </a:r>
              <a:r>
                <a:rPr lang="en-US" b="0" i="0" kern="0">
                  <a:solidFill>
                    <a:srgbClr val="000000"/>
                  </a:solidFill>
                  <a:latin typeface="Cambria Math"/>
                  <a:ea typeface="Cambria Math"/>
                </a:rPr>
                <a:t>1</a:t>
              </a:r>
              <a:r>
                <a:rPr lang="en-US" i="0" kern="0">
                  <a:solidFill>
                    <a:srgbClr val="000000"/>
                  </a:solidFill>
                  <a:latin typeface="Cambria Math"/>
                  <a:ea typeface="Cambria Math"/>
                </a:rPr>
                <a:t>−𝑡</a:t>
              </a:r>
              <a:r>
                <a:rPr lang="en-US" i="0" kern="0">
                  <a:solidFill>
                    <a:srgbClr val="000000"/>
                  </a:solidFill>
                  <a:latin typeface="Cambria Math" panose="02040503050406030204" pitchFamily="18" charset="0"/>
                  <a:ea typeface="Cambria Math"/>
                </a:rPr>
                <a:t>) )</a:t>
              </a:r>
              <a:r>
                <a:rPr lang="en-US" kern="0">
                  <a:solidFill>
                    <a:srgbClr val="000000"/>
                  </a:solidFill>
                  <a:ea typeface="Cambria Math"/>
                </a:rPr>
                <a:t> </a:t>
              </a:r>
              <a:r>
                <a:rPr lang="en-US" i="0" kern="0">
                  <a:solidFill>
                    <a:srgbClr val="000000"/>
                  </a:solidFill>
                  <a:latin typeface="Cambria Math"/>
                  <a:ea typeface="Cambria Math"/>
                </a:rPr>
                <a:t>𝑁</a:t>
              </a:r>
              <a:r>
                <a:rPr lang="en-US" i="0" kern="0">
                  <a:solidFill>
                    <a:srgbClr val="000000"/>
                  </a:solidFill>
                  <a:latin typeface="Cambria Math" panose="02040503050406030204" pitchFamily="18" charset="0"/>
                  <a:ea typeface="Cambria Math"/>
                </a:rPr>
                <a:t>(</a:t>
              </a:r>
              <a:r>
                <a:rPr lang="en-US" i="0" kern="0">
                  <a:solidFill>
                    <a:srgbClr val="000000"/>
                  </a:solidFill>
                  <a:latin typeface="Cambria Math"/>
                  <a:ea typeface="Cambria Math"/>
                </a:rPr>
                <a:t>𝑎</a:t>
              </a:r>
              <a:r>
                <a:rPr lang="en-US" i="0" kern="0">
                  <a:solidFill>
                    <a:srgbClr val="000000"/>
                  </a:solidFill>
                  <a:latin typeface="Cambria Math" panose="02040503050406030204" pitchFamily="18" charset="0"/>
                  <a:ea typeface="Cambria Math"/>
                </a:rPr>
                <a:t>_</a:t>
              </a:r>
              <a:r>
                <a:rPr lang="en-US" i="0" kern="0">
                  <a:solidFill>
                    <a:srgbClr val="000000"/>
                  </a:solidFill>
                  <a:latin typeface="Cambria Math"/>
                  <a:ea typeface="Cambria Math"/>
                </a:rPr>
                <a:t>2</a:t>
              </a:r>
              <a:r>
                <a:rPr lang="en-US" i="0" kern="0">
                  <a:solidFill>
                    <a:srgbClr val="000000"/>
                  </a:solidFill>
                  <a:latin typeface="Cambria Math" panose="02040503050406030204" pitchFamily="18" charset="0"/>
                  <a:ea typeface="Cambria Math"/>
                </a:rPr>
                <a:t> )</a:t>
              </a:r>
              <a:endParaRPr lang="es-MX" kern="0">
                <a:solidFill>
                  <a:srgbClr val="000000"/>
                </a:solidFill>
                <a:latin typeface="Tahoma" pitchFamily="34" charset="0"/>
              </a:endParaRPr>
            </a:p>
          </xdr:txBody>
        </xdr:sp>
      </mc:Fallback>
    </mc:AlternateContent>
    <xdr:clientData/>
  </xdr:twoCellAnchor>
  <xdr:twoCellAnchor>
    <xdr:from>
      <xdr:col>13</xdr:col>
      <xdr:colOff>254000</xdr:colOff>
      <xdr:row>601</xdr:row>
      <xdr:rowOff>162560</xdr:rowOff>
    </xdr:from>
    <xdr:to>
      <xdr:col>24</xdr:col>
      <xdr:colOff>264160</xdr:colOff>
      <xdr:row>608</xdr:row>
      <xdr:rowOff>182880</xdr:rowOff>
    </xdr:to>
    <mc:AlternateContent xmlns:mc="http://schemas.openxmlformats.org/markup-compatibility/2006" xmlns:a14="http://schemas.microsoft.com/office/drawing/2010/main">
      <mc:Choice Requires="a14">
        <xdr:sp macro="" textlink="">
          <xdr:nvSpPr>
            <xdr:cNvPr id="69" name="Rectangle 2">
              <a:extLst>
                <a:ext uri="{FF2B5EF4-FFF2-40B4-BE49-F238E27FC236}">
                  <a16:creationId xmlns:a16="http://schemas.microsoft.com/office/drawing/2014/main" id="{00000000-0008-0000-0000-000045000000}"/>
                </a:ext>
              </a:extLst>
            </xdr:cNvPr>
            <xdr:cNvSpPr txBox="1">
              <a:spLocks noChangeArrowheads="1"/>
            </xdr:cNvSpPr>
          </xdr:nvSpPr>
          <xdr:spPr bwMode="auto">
            <a:xfrm>
              <a:off x="11785600" y="125730000"/>
              <a:ext cx="9662160" cy="146304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14:m>
                <m:oMathPara xmlns:m="http://schemas.openxmlformats.org/officeDocument/2006/math">
                  <m:oMathParaPr>
                    <m:jc m:val="center"/>
                  </m:oMathParaPr>
                  <m:oMath xmlns:m="http://schemas.openxmlformats.org/officeDocument/2006/math">
                    <m:r>
                      <a:rPr lang="en-US" sz="1700" i="1" kern="0">
                        <a:solidFill>
                          <a:srgbClr val="000000"/>
                        </a:solidFill>
                        <a:latin typeface="Cambria Math"/>
                      </a:rPr>
                      <m:t> </m:t>
                    </m:r>
                    <m:sSub>
                      <m:sSubPr>
                        <m:ctrlPr>
                          <a:rPr lang="en-US" sz="1700" i="1" kern="0">
                            <a:solidFill>
                              <a:srgbClr val="000000"/>
                            </a:solidFill>
                            <a:latin typeface="Cambria Math" panose="02040503050406030204" pitchFamily="18" charset="0"/>
                          </a:rPr>
                        </m:ctrlPr>
                      </m:sSubPr>
                      <m:e>
                        <m:r>
                          <a:rPr lang="en-US" sz="1700" b="0" i="1" kern="0">
                            <a:solidFill>
                              <a:srgbClr val="000000"/>
                            </a:solidFill>
                            <a:latin typeface="Cambria Math"/>
                          </a:rPr>
                          <m:t>𝑐</m:t>
                        </m:r>
                      </m:e>
                      <m:sub>
                        <m:r>
                          <a:rPr lang="en-US" sz="1700" b="0" i="1" kern="0">
                            <a:solidFill>
                              <a:srgbClr val="000000"/>
                            </a:solidFill>
                            <a:latin typeface="Cambria Math"/>
                          </a:rPr>
                          <m:t>𝑝𝑢𝑡</m:t>
                        </m:r>
                      </m:sub>
                    </m:sSub>
                    <m:r>
                      <a:rPr lang="en-US" sz="1700" i="1" kern="0">
                        <a:solidFill>
                          <a:srgbClr val="000000"/>
                        </a:solidFill>
                        <a:latin typeface="Cambria Math"/>
                      </a:rPr>
                      <m:t>=</m:t>
                    </m:r>
                    <m:sSub>
                      <m:sSubPr>
                        <m:ctrlPr>
                          <a:rPr lang="en-US" sz="1700" i="1" kern="0">
                            <a:solidFill>
                              <a:srgbClr val="000000"/>
                            </a:solidFill>
                            <a:latin typeface="Cambria Math" panose="02040503050406030204" pitchFamily="18" charset="0"/>
                          </a:rPr>
                        </m:ctrlPr>
                      </m:sSubPr>
                      <m:e>
                        <m:r>
                          <a:rPr lang="en-US" sz="1700" i="1" kern="0">
                            <a:solidFill>
                              <a:srgbClr val="000000"/>
                            </a:solidFill>
                            <a:latin typeface="Cambria Math"/>
                          </a:rPr>
                          <m:t>𝐾</m:t>
                        </m:r>
                      </m:e>
                      <m:sub>
                        <m:r>
                          <a:rPr lang="en-US" sz="1700" b="0" i="1" kern="0">
                            <a:solidFill>
                              <a:srgbClr val="000000"/>
                            </a:solidFill>
                            <a:latin typeface="Cambria Math"/>
                          </a:rPr>
                          <m:t>2</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i="1" kern="0">
                            <a:solidFill>
                              <a:srgbClr val="000000"/>
                            </a:solidFill>
                            <a:latin typeface="Cambria Math"/>
                          </a:rPr>
                          <m:t>𝑟</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
                              <a:rPr lang="en-US" sz="1700" i="1" kern="0">
                                <a:solidFill>
                                  <a:srgbClr val="000000"/>
                                </a:solidFill>
                                <a:latin typeface="Cambria Math"/>
                                <a:ea typeface="Cambria Math"/>
                              </a:rPr>
                              <m:t>𝑡</m:t>
                            </m:r>
                          </m:e>
                        </m:d>
                      </m:sup>
                    </m:sSup>
                    <m:r>
                      <a:rPr lang="en-US" sz="1700" i="1" kern="0">
                        <a:solidFill>
                          <a:srgbClr val="000000"/>
                        </a:solidFill>
                        <a:latin typeface="Cambria Math"/>
                        <a:ea typeface="Cambria Math"/>
                      </a:rPr>
                      <m:t>𝑀</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m:t>
                            </m:r>
                            <m:r>
                              <a:rPr lang="en-US" sz="1700" i="1" kern="0">
                                <a:solidFill>
                                  <a:srgbClr val="000000"/>
                                </a:solidFill>
                                <a:latin typeface="Cambria Math"/>
                                <a:ea typeface="Cambria Math"/>
                              </a:rPr>
                              <m:t>𝑎</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m:t>
                            </m:r>
                            <m:r>
                              <a:rPr lang="en-US" sz="1700" i="1" kern="0">
                                <a:solidFill>
                                  <a:srgbClr val="000000"/>
                                </a:solidFill>
                                <a:latin typeface="Cambria Math"/>
                                <a:ea typeface="Cambria Math"/>
                              </a:rPr>
                              <m:t>𝑏</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ad>
                          <m:radPr>
                            <m:degHide m:val="on"/>
                            <m:ctrlPr>
                              <a:rPr lang="en-US" sz="1700" i="1" kern="0">
                                <a:solidFill>
                                  <a:srgbClr val="000000"/>
                                </a:solidFill>
                                <a:latin typeface="Cambria Math" panose="02040503050406030204" pitchFamily="18" charset="0"/>
                                <a:ea typeface="Cambria Math"/>
                              </a:rPr>
                            </m:ctrlPr>
                          </m:radPr>
                          <m:deg/>
                          <m:e>
                            <m:f>
                              <m:fPr>
                                <m:ctrlPr>
                                  <a:rPr lang="en-US" sz="1700" i="1" kern="0">
                                    <a:solidFill>
                                      <a:srgbClr val="000000"/>
                                    </a:solidFill>
                                    <a:latin typeface="Cambria Math" panose="02040503050406030204" pitchFamily="18" charset="0"/>
                                    <a:ea typeface="Cambria Math"/>
                                  </a:rPr>
                                </m:ctrlPr>
                              </m:fPr>
                              <m:num>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𝑇</m:t>
                                    </m:r>
                                  </m:e>
                                  <m:sub>
                                    <m:r>
                                      <a:rPr lang="en-US" sz="1700" i="1" kern="0">
                                        <a:solidFill>
                                          <a:srgbClr val="000000"/>
                                        </a:solidFill>
                                        <a:latin typeface="Cambria Math"/>
                                        <a:ea typeface="Cambria Math"/>
                                      </a:rPr>
                                      <m:t>1</m:t>
                                    </m:r>
                                  </m:sub>
                                </m:sSub>
                              </m:num>
                              <m:den>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𝑇</m:t>
                                    </m:r>
                                  </m:e>
                                  <m:sub>
                                    <m:r>
                                      <a:rPr lang="en-US" sz="1700" i="1" kern="0">
                                        <a:solidFill>
                                          <a:srgbClr val="000000"/>
                                        </a:solidFill>
                                        <a:latin typeface="Cambria Math"/>
                                        <a:ea typeface="Cambria Math"/>
                                      </a:rPr>
                                      <m:t>2</m:t>
                                    </m:r>
                                  </m:sub>
                                </m:sSub>
                              </m:den>
                            </m:f>
                          </m:e>
                        </m:rad>
                      </m:e>
                    </m:d>
                    <m:r>
                      <a:rPr lang="en-US" sz="1700" b="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rPr>
                        </m:ctrlPr>
                      </m:sSubPr>
                      <m:e>
                        <m:r>
                          <a:rPr lang="en-US" sz="1700" i="1" kern="0">
                            <a:solidFill>
                              <a:srgbClr val="000000"/>
                            </a:solidFill>
                            <a:latin typeface="Cambria Math"/>
                          </a:rPr>
                          <m:t>𝑆</m:t>
                        </m:r>
                      </m:e>
                      <m:sub>
                        <m:r>
                          <a:rPr lang="en-US" sz="1700" i="1" kern="0">
                            <a:solidFill>
                              <a:srgbClr val="000000"/>
                            </a:solidFill>
                            <a:latin typeface="Cambria Math"/>
                          </a:rPr>
                          <m:t>0</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i="1" kern="0">
                            <a:solidFill>
                              <a:srgbClr val="000000"/>
                            </a:solidFill>
                            <a:latin typeface="Cambria Math"/>
                          </a:rPr>
                          <m:t>𝑞</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
                              <a:rPr lang="en-US" sz="1700" b="0" i="1" kern="0">
                                <a:solidFill>
                                  <a:srgbClr val="000000"/>
                                </a:solidFill>
                                <a:latin typeface="Cambria Math"/>
                                <a:ea typeface="Cambria Math"/>
                              </a:rPr>
                              <m:t>𝑡</m:t>
                            </m:r>
                          </m:e>
                        </m:d>
                      </m:sup>
                    </m:sSup>
                    <m:r>
                      <a:rPr lang="en-US" sz="1700" b="0" i="1" kern="0">
                        <a:solidFill>
                          <a:srgbClr val="000000"/>
                        </a:solidFill>
                        <a:latin typeface="Cambria Math"/>
                        <a:ea typeface="Cambria Math"/>
                      </a:rPr>
                      <m:t>𝑀</m:t>
                    </m:r>
                    <m:d>
                      <m:dPr>
                        <m:ctrlPr>
                          <a:rPr lang="en-US" sz="1700" i="1" kern="0">
                            <a:solidFill>
                              <a:srgbClr val="000000"/>
                            </a:solidFill>
                            <a:latin typeface="Cambria Math" panose="02040503050406030204" pitchFamily="18" charset="0"/>
                            <a:ea typeface="Cambria Math"/>
                          </a:rPr>
                        </m:ctrlPr>
                      </m:dPr>
                      <m:e>
                        <m:r>
                          <a:rPr lang="en-US" sz="1700" b="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𝑎</m:t>
                            </m:r>
                          </m:e>
                          <m:sub>
                            <m:r>
                              <a:rPr lang="en-US" sz="1700" i="1" kern="0">
                                <a:solidFill>
                                  <a:srgbClr val="000000"/>
                                </a:solidFill>
                                <a:latin typeface="Cambria Math"/>
                                <a:ea typeface="Cambria Math"/>
                              </a:rPr>
                              <m:t>1</m:t>
                            </m:r>
                          </m:sub>
                        </m:sSub>
                        <m:r>
                          <a:rPr lang="en-US" sz="1700" b="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m:t>
                            </m:r>
                            <m:r>
                              <a:rPr lang="en-US" sz="1700" b="0" i="1" kern="0">
                                <a:solidFill>
                                  <a:srgbClr val="000000"/>
                                </a:solidFill>
                                <a:latin typeface="Cambria Math"/>
                                <a:ea typeface="Cambria Math"/>
                              </a:rPr>
                              <m:t>𝑏</m:t>
                            </m:r>
                          </m:e>
                          <m:sub>
                            <m:r>
                              <a:rPr lang="en-US" sz="1700" i="1" kern="0">
                                <a:solidFill>
                                  <a:srgbClr val="000000"/>
                                </a:solidFill>
                                <a:latin typeface="Cambria Math"/>
                                <a:ea typeface="Cambria Math"/>
                              </a:rPr>
                              <m:t>1</m:t>
                            </m:r>
                          </m:sub>
                        </m:sSub>
                        <m:r>
                          <a:rPr lang="en-US" sz="1700" b="0" i="1" kern="0">
                            <a:solidFill>
                              <a:srgbClr val="000000"/>
                            </a:solidFill>
                            <a:latin typeface="Cambria Math"/>
                            <a:ea typeface="Cambria Math"/>
                          </a:rPr>
                          <m:t>;</m:t>
                        </m:r>
                        <m:rad>
                          <m:radPr>
                            <m:degHide m:val="on"/>
                            <m:ctrlPr>
                              <a:rPr lang="en-US" sz="1700" b="0" i="1" kern="0">
                                <a:solidFill>
                                  <a:srgbClr val="000000"/>
                                </a:solidFill>
                                <a:latin typeface="Cambria Math" panose="02040503050406030204" pitchFamily="18" charset="0"/>
                                <a:ea typeface="Cambria Math"/>
                              </a:rPr>
                            </m:ctrlPr>
                          </m:radPr>
                          <m:deg/>
                          <m:e>
                            <m:f>
                              <m:fPr>
                                <m:ctrlPr>
                                  <a:rPr lang="en-US" sz="1700" b="0" i="1" kern="0">
                                    <a:solidFill>
                                      <a:srgbClr val="000000"/>
                                    </a:solidFill>
                                    <a:latin typeface="Cambria Math" panose="02040503050406030204" pitchFamily="18" charset="0"/>
                                    <a:ea typeface="Cambria Math"/>
                                  </a:rPr>
                                </m:ctrlPr>
                              </m:fPr>
                              <m:num>
                                <m:sSub>
                                  <m:sSubPr>
                                    <m:ctrlPr>
                                      <a:rPr lang="en-US" sz="1700" b="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1</m:t>
                                    </m:r>
                                  </m:sub>
                                </m:sSub>
                              </m:num>
                              <m:den>
                                <m:sSub>
                                  <m:sSubPr>
                                    <m:ctrlPr>
                                      <a:rPr lang="en-US" sz="1700" b="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den>
                            </m:f>
                          </m:e>
                        </m:rad>
                      </m:e>
                    </m:d>
                    <m:r>
                      <a:rPr lang="en-US" sz="1700" i="1" kern="0">
                        <a:solidFill>
                          <a:srgbClr val="000000"/>
                        </a:solidFill>
                        <a:latin typeface="Cambria Math"/>
                      </a:rPr>
                      <m:t>−</m:t>
                    </m:r>
                    <m:sSub>
                      <m:sSubPr>
                        <m:ctrlPr>
                          <a:rPr lang="en-US" sz="1700" i="1" kern="0">
                            <a:solidFill>
                              <a:srgbClr val="000000"/>
                            </a:solidFill>
                            <a:latin typeface="Cambria Math" panose="02040503050406030204" pitchFamily="18" charset="0"/>
                          </a:rPr>
                        </m:ctrlPr>
                      </m:sSubPr>
                      <m:e>
                        <m:r>
                          <a:rPr lang="en-US" sz="1700" b="0" i="1" kern="0">
                            <a:solidFill>
                              <a:srgbClr val="000000"/>
                            </a:solidFill>
                            <a:latin typeface="Cambria Math"/>
                          </a:rPr>
                          <m:t>𝐾</m:t>
                        </m:r>
                      </m:e>
                      <m:sub>
                        <m:r>
                          <a:rPr lang="en-US" sz="1700" b="0" i="1" kern="0">
                            <a:solidFill>
                              <a:srgbClr val="000000"/>
                            </a:solidFill>
                            <a:latin typeface="Cambria Math"/>
                          </a:rPr>
                          <m:t>1</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b="0" i="1" kern="0">
                            <a:solidFill>
                              <a:srgbClr val="000000"/>
                            </a:solidFill>
                            <a:latin typeface="Cambria Math"/>
                          </a:rPr>
                          <m:t>𝑟</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1</m:t>
                                </m:r>
                              </m:sub>
                            </m:sSub>
                            <m:r>
                              <a:rPr lang="en-US" sz="1700" i="1" kern="0">
                                <a:solidFill>
                                  <a:srgbClr val="000000"/>
                                </a:solidFill>
                                <a:latin typeface="Cambria Math"/>
                                <a:ea typeface="Cambria Math"/>
                              </a:rPr>
                              <m:t>−</m:t>
                            </m:r>
                            <m:r>
                              <a:rPr lang="en-US" sz="1700" i="1" kern="0">
                                <a:solidFill>
                                  <a:srgbClr val="000000"/>
                                </a:solidFill>
                                <a:latin typeface="Cambria Math"/>
                                <a:ea typeface="Cambria Math"/>
                              </a:rPr>
                              <m:t>𝑡</m:t>
                            </m:r>
                          </m:e>
                        </m:d>
                      </m:sup>
                    </m:sSup>
                    <m:r>
                      <a:rPr lang="en-US" sz="1700" b="0" i="1" kern="0">
                        <a:solidFill>
                          <a:srgbClr val="000000"/>
                        </a:solidFill>
                        <a:latin typeface="Cambria Math"/>
                        <a:ea typeface="Cambria Math"/>
                      </a:rPr>
                      <m:t>𝑁</m:t>
                    </m:r>
                    <m:d>
                      <m:dPr>
                        <m:ctrlPr>
                          <a:rPr lang="en-US" sz="1700" i="1" kern="0">
                            <a:solidFill>
                              <a:srgbClr val="000000"/>
                            </a:solidFill>
                            <a:latin typeface="Cambria Math" panose="02040503050406030204" pitchFamily="18" charset="0"/>
                            <a:ea typeface="Cambria Math"/>
                          </a:rPr>
                        </m:ctrlPr>
                      </m:dPr>
                      <m:e>
                        <m:r>
                          <a:rPr lang="en-US" sz="1700" b="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𝑎</m:t>
                            </m:r>
                          </m:e>
                          <m:sub>
                            <m:r>
                              <a:rPr lang="en-US" sz="1700" b="0" i="1" kern="0">
                                <a:solidFill>
                                  <a:srgbClr val="000000"/>
                                </a:solidFill>
                                <a:latin typeface="Cambria Math"/>
                                <a:ea typeface="Cambria Math"/>
                              </a:rPr>
                              <m:t>2</m:t>
                            </m:r>
                          </m:sub>
                        </m:sSub>
                      </m:e>
                    </m:d>
                  </m:oMath>
                </m:oMathPara>
              </a14:m>
              <a:endParaRPr lang="es-MX" sz="1700" kern="0">
                <a:solidFill>
                  <a:srgbClr val="000000"/>
                </a:solidFill>
                <a:latin typeface="Tahoma" pitchFamily="34" charset="0"/>
              </a:endParaRPr>
            </a:p>
          </xdr:txBody>
        </xdr:sp>
      </mc:Choice>
      <mc:Fallback xmlns="">
        <xdr:sp macro="" textlink="">
          <xdr:nvSpPr>
            <xdr:cNvPr id="69" name="Rectangle 2">
              <a:extLst>
                <a:ext uri="{FF2B5EF4-FFF2-40B4-BE49-F238E27FC236}">
                  <a16:creationId xmlns:a16="http://schemas.microsoft.com/office/drawing/2014/main" id="{BAE88053-A400-5247-0C1A-0A7A334623E0}"/>
                </a:ext>
              </a:extLst>
            </xdr:cNvPr>
            <xdr:cNvSpPr txBox="1">
              <a:spLocks noChangeArrowheads="1"/>
            </xdr:cNvSpPr>
          </xdr:nvSpPr>
          <xdr:spPr bwMode="auto">
            <a:xfrm>
              <a:off x="11785600" y="125730000"/>
              <a:ext cx="9662160" cy="1463040"/>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r>
                <a:rPr lang="en-US" sz="1700" i="0" kern="0">
                  <a:solidFill>
                    <a:srgbClr val="000000"/>
                  </a:solidFill>
                  <a:latin typeface="Cambria Math"/>
                </a:rPr>
                <a:t> </a:t>
              </a:r>
              <a:r>
                <a:rPr lang="en-US" sz="1700" b="0" i="0" kern="0">
                  <a:solidFill>
                    <a:srgbClr val="000000"/>
                  </a:solidFill>
                  <a:latin typeface="Cambria Math"/>
                </a:rPr>
                <a:t>𝑐</a:t>
              </a:r>
              <a:r>
                <a:rPr lang="en-US" sz="1700" b="0" i="0" kern="0">
                  <a:solidFill>
                    <a:srgbClr val="000000"/>
                  </a:solidFill>
                  <a:latin typeface="Cambria Math" panose="02040503050406030204" pitchFamily="18" charset="0"/>
                </a:rPr>
                <a:t>_</a:t>
              </a:r>
              <a:r>
                <a:rPr lang="en-US" sz="1700" b="0" i="0" kern="0">
                  <a:solidFill>
                    <a:srgbClr val="000000"/>
                  </a:solidFill>
                  <a:latin typeface="Cambria Math"/>
                </a:rPr>
                <a:t>𝑝𝑢𝑡</a:t>
              </a:r>
              <a:r>
                <a:rPr lang="en-US" sz="1700" i="0" kern="0">
                  <a:solidFill>
                    <a:srgbClr val="000000"/>
                  </a:solidFill>
                  <a:latin typeface="Cambria Math"/>
                </a:rPr>
                <a:t>=𝐾</a:t>
              </a:r>
              <a:r>
                <a:rPr lang="en-US" sz="1700" i="0" kern="0">
                  <a:solidFill>
                    <a:srgbClr val="000000"/>
                  </a:solidFill>
                  <a:latin typeface="Cambria Math" panose="02040503050406030204" pitchFamily="18" charset="0"/>
                </a:rPr>
                <a:t>_</a:t>
              </a:r>
              <a:r>
                <a:rPr lang="en-US" sz="1700" b="0" i="0" kern="0">
                  <a:solidFill>
                    <a:srgbClr val="000000"/>
                  </a:solidFill>
                  <a:latin typeface="Cambria Math"/>
                </a:rPr>
                <a:t>2</a:t>
              </a:r>
              <a:r>
                <a:rPr lang="en-US" sz="1700" b="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−𝑟</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𝑇</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−𝑡</a:t>
              </a:r>
              <a:r>
                <a:rPr lang="en-US" sz="1700" i="0" kern="0">
                  <a:solidFill>
                    <a:srgbClr val="000000"/>
                  </a:solidFill>
                  <a:latin typeface="Cambria Math" panose="02040503050406030204" pitchFamily="18" charset="0"/>
                  <a:ea typeface="Cambria Math"/>
                </a:rPr>
                <a:t>) )</a:t>
              </a:r>
              <a:r>
                <a:rPr lang="en-US" sz="1700" i="0" kern="0">
                  <a:solidFill>
                    <a:srgbClr val="000000"/>
                  </a:solidFill>
                  <a:latin typeface="Cambria Math"/>
                  <a:ea typeface="Cambria Math"/>
                </a:rPr>
                <a:t> 𝑀</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a:t>
              </a:r>
              <a:r>
                <a:rPr lang="en-US" sz="1700" i="0" kern="0">
                  <a:solidFill>
                    <a:srgbClr val="000000"/>
                  </a:solidFill>
                  <a:latin typeface="Cambria Math"/>
                  <a:ea typeface="Cambria Math"/>
                </a:rPr>
                <a:t>𝑏</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𝑇</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𝑇</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2</a:t>
              </a:r>
              <a:r>
                <a:rPr lang="en-US" sz="1700" i="0" kern="0">
                  <a:solidFill>
                    <a:srgbClr val="000000"/>
                  </a:solidFill>
                  <a:latin typeface="Cambria Math" panose="02040503050406030204" pitchFamily="18" charset="0"/>
                  <a:ea typeface="Cambria Math"/>
                </a:rPr>
                <a:t> ))</a:t>
              </a:r>
              <a:r>
                <a:rPr lang="en-US" sz="1700" b="0" i="0" kern="0">
                  <a:solidFill>
                    <a:srgbClr val="000000"/>
                  </a:solidFill>
                  <a:latin typeface="Cambria Math"/>
                  <a:ea typeface="Cambria Math"/>
                </a:rPr>
                <a:t>−</a:t>
              </a:r>
              <a:r>
                <a:rPr lang="en-US" sz="1700" i="0" kern="0">
                  <a:solidFill>
                    <a:srgbClr val="000000"/>
                  </a:solidFill>
                  <a:latin typeface="Cambria Math"/>
                </a:rPr>
                <a:t>𝑆</a:t>
              </a:r>
              <a:r>
                <a:rPr lang="en-US" sz="1700" i="0" kern="0">
                  <a:solidFill>
                    <a:srgbClr val="000000"/>
                  </a:solidFill>
                  <a:latin typeface="Cambria Math" panose="02040503050406030204" pitchFamily="18" charset="0"/>
                </a:rPr>
                <a:t>_</a:t>
              </a:r>
              <a:r>
                <a:rPr lang="en-US" sz="1700" i="0" kern="0">
                  <a:solidFill>
                    <a:srgbClr val="000000"/>
                  </a:solidFill>
                  <a:latin typeface="Cambria Math"/>
                </a:rPr>
                <a:t>0</a:t>
              </a:r>
              <a:r>
                <a:rPr lang="en-US" sz="170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−𝑞</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b="0" i="0" kern="0">
                  <a:solidFill>
                    <a:srgbClr val="000000"/>
                  </a:solidFill>
                  <a:latin typeface="Cambria Math"/>
                  <a:ea typeface="Cambria Math"/>
                </a:rPr>
                <a:t>𝑡</a:t>
              </a:r>
              <a:r>
                <a:rPr lang="en-US" sz="1700" b="0" i="0" kern="0">
                  <a:solidFill>
                    <a:srgbClr val="000000"/>
                  </a:solidFill>
                  <a:latin typeface="Cambria Math" panose="02040503050406030204" pitchFamily="18" charset="0"/>
                  <a:ea typeface="Cambria Math"/>
                </a:rPr>
                <a:t>) )</a:t>
              </a:r>
              <a:r>
                <a:rPr lang="en-US" sz="1700" b="0" i="0" kern="0">
                  <a:solidFill>
                    <a:srgbClr val="000000"/>
                  </a:solidFill>
                  <a:latin typeface="Cambria Math"/>
                  <a:ea typeface="Cambria Math"/>
                </a:rPr>
                <a:t> 𝑀</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b="0" i="0" kern="0">
                  <a:solidFill>
                    <a:srgbClr val="000000"/>
                  </a:solidFill>
                  <a:latin typeface="Cambria Math"/>
                  <a:ea typeface="Cambria Math"/>
                </a:rPr>
                <a:t>,</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−𝑏</a:t>
              </a:r>
              <a:r>
                <a:rPr lang="en-US" sz="1700" b="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b="0" i="0" kern="0">
                  <a:solidFill>
                    <a:srgbClr val="000000"/>
                  </a:solidFill>
                  <a:latin typeface="Cambria Math"/>
                  <a:ea typeface="Cambria Math"/>
                </a:rPr>
                <a:t>;</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1</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b="0" i="0" kern="0">
                  <a:solidFill>
                    <a:srgbClr val="000000"/>
                  </a:solidFill>
                  <a:latin typeface="Cambria Math" panose="02040503050406030204" pitchFamily="18" charset="0"/>
                  <a:ea typeface="Cambria Math"/>
                </a:rPr>
                <a:t> ))</a:t>
              </a:r>
              <a:r>
                <a:rPr lang="en-US" sz="1700" i="0" kern="0">
                  <a:solidFill>
                    <a:srgbClr val="000000"/>
                  </a:solidFill>
                  <a:latin typeface="Cambria Math"/>
                </a:rPr>
                <a:t>−</a:t>
              </a:r>
              <a:r>
                <a:rPr lang="en-US" sz="1700" b="0" i="0" kern="0">
                  <a:solidFill>
                    <a:srgbClr val="000000"/>
                  </a:solidFill>
                  <a:latin typeface="Cambria Math"/>
                </a:rPr>
                <a:t>𝐾</a:t>
              </a:r>
              <a:r>
                <a:rPr lang="en-US" sz="1700" b="0" i="0" kern="0">
                  <a:solidFill>
                    <a:srgbClr val="000000"/>
                  </a:solidFill>
                  <a:latin typeface="Cambria Math" panose="02040503050406030204" pitchFamily="18" charset="0"/>
                </a:rPr>
                <a:t>_</a:t>
              </a:r>
              <a:r>
                <a:rPr lang="en-US" sz="1700" b="0" i="0" kern="0">
                  <a:solidFill>
                    <a:srgbClr val="000000"/>
                  </a:solidFill>
                  <a:latin typeface="Cambria Math"/>
                </a:rPr>
                <a:t>1</a:t>
              </a:r>
              <a:r>
                <a:rPr lang="en-US" sz="1700" b="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a:t>
              </a:r>
              <a:r>
                <a:rPr lang="en-US" sz="1700" b="0" i="0" kern="0">
                  <a:solidFill>
                    <a:srgbClr val="000000"/>
                  </a:solidFill>
                  <a:latin typeface="Cambria Math"/>
                </a:rPr>
                <a:t>𝑟</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1</a:t>
              </a:r>
              <a:r>
                <a:rPr lang="en-US" sz="1700" i="0" kern="0">
                  <a:solidFill>
                    <a:srgbClr val="000000"/>
                  </a:solidFill>
                  <a:latin typeface="Cambria Math"/>
                  <a:ea typeface="Cambria Math"/>
                </a:rPr>
                <a:t>−𝑡</a:t>
              </a:r>
              <a:r>
                <a:rPr lang="en-US" sz="1700" i="0" kern="0">
                  <a:solidFill>
                    <a:srgbClr val="000000"/>
                  </a:solidFill>
                  <a:latin typeface="Cambria Math" panose="02040503050406030204" pitchFamily="18" charset="0"/>
                  <a:ea typeface="Cambria Math"/>
                </a:rPr>
                <a:t>) )</a:t>
              </a:r>
              <a:r>
                <a:rPr lang="en-US" sz="1700" b="0" i="0" kern="0">
                  <a:solidFill>
                    <a:srgbClr val="000000"/>
                  </a:solidFill>
                  <a:latin typeface="Cambria Math"/>
                  <a:ea typeface="Cambria Math"/>
                </a:rPr>
                <a:t> 𝑁</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b="0" i="0" kern="0">
                  <a:solidFill>
                    <a:srgbClr val="000000"/>
                  </a:solidFill>
                  <a:latin typeface="Cambria Math" panose="02040503050406030204" pitchFamily="18" charset="0"/>
                  <a:ea typeface="Cambria Math"/>
                </a:rPr>
                <a:t> )</a:t>
              </a:r>
              <a:endParaRPr lang="es-MX" sz="1700" kern="0">
                <a:solidFill>
                  <a:srgbClr val="000000"/>
                </a:solidFill>
                <a:latin typeface="Tahoma" pitchFamily="34" charset="0"/>
              </a:endParaRPr>
            </a:p>
          </xdr:txBody>
        </xdr:sp>
      </mc:Fallback>
    </mc:AlternateContent>
    <xdr:clientData/>
  </xdr:twoCellAnchor>
  <xdr:oneCellAnchor>
    <xdr:from>
      <xdr:col>16</xdr:col>
      <xdr:colOff>635000</xdr:colOff>
      <xdr:row>594</xdr:row>
      <xdr:rowOff>139700</xdr:rowOff>
    </xdr:from>
    <xdr:ext cx="2177434" cy="993642"/>
    <xdr:pic>
      <xdr:nvPicPr>
        <xdr:cNvPr id="70" name="Picture 10">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3"/>
        <a:stretch>
          <a:fillRect/>
        </a:stretch>
      </xdr:blipFill>
      <xdr:spPr>
        <a:xfrm>
          <a:off x="14719157" y="116451722"/>
          <a:ext cx="2177434" cy="993642"/>
        </a:xfrm>
        <a:prstGeom prst="rect">
          <a:avLst/>
        </a:prstGeom>
      </xdr:spPr>
    </xdr:pic>
    <xdr:clientData/>
  </xdr:oneCellAnchor>
  <xdr:oneCellAnchor>
    <xdr:from>
      <xdr:col>16</xdr:col>
      <xdr:colOff>929640</xdr:colOff>
      <xdr:row>625</xdr:row>
      <xdr:rowOff>129540</xdr:rowOff>
    </xdr:from>
    <xdr:ext cx="2177434" cy="993642"/>
    <xdr:pic>
      <xdr:nvPicPr>
        <xdr:cNvPr id="71" name="Picture 1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43"/>
        <a:stretch>
          <a:fillRect/>
        </a:stretch>
      </xdr:blipFill>
      <xdr:spPr>
        <a:xfrm>
          <a:off x="14950440" y="130817620"/>
          <a:ext cx="2177434" cy="993642"/>
        </a:xfrm>
        <a:prstGeom prst="rect">
          <a:avLst/>
        </a:prstGeom>
      </xdr:spPr>
    </xdr:pic>
    <xdr:clientData/>
  </xdr:oneCellAnchor>
  <xdr:twoCellAnchor>
    <xdr:from>
      <xdr:col>14</xdr:col>
      <xdr:colOff>0</xdr:colOff>
      <xdr:row>634</xdr:row>
      <xdr:rowOff>0</xdr:rowOff>
    </xdr:from>
    <xdr:to>
      <xdr:col>24</xdr:col>
      <xdr:colOff>10174</xdr:colOff>
      <xdr:row>638</xdr:row>
      <xdr:rowOff>118887</xdr:rowOff>
    </xdr:to>
    <mc:AlternateContent xmlns:mc="http://schemas.openxmlformats.org/markup-compatibility/2006" xmlns:a14="http://schemas.microsoft.com/office/drawing/2010/main">
      <mc:Choice Requires="a14">
        <xdr:sp macro="" textlink="">
          <xdr:nvSpPr>
            <xdr:cNvPr id="72" name="Rectangle 2">
              <a:extLst>
                <a:ext uri="{FF2B5EF4-FFF2-40B4-BE49-F238E27FC236}">
                  <a16:creationId xmlns:a16="http://schemas.microsoft.com/office/drawing/2014/main" id="{00000000-0008-0000-0000-000048000000}"/>
                </a:ext>
              </a:extLst>
            </xdr:cNvPr>
            <xdr:cNvSpPr txBox="1">
              <a:spLocks noChangeArrowheads="1"/>
            </xdr:cNvSpPr>
          </xdr:nvSpPr>
          <xdr:spPr bwMode="auto">
            <a:xfrm>
              <a:off x="12423913" y="132146261"/>
              <a:ext cx="8856000" cy="936104"/>
            </a:xfrm>
            <a:prstGeom prst="rect">
              <a:avLst/>
            </a:prstGeom>
            <a:noFill/>
            <a:ln w="9525">
              <a:noFill/>
              <a:miter lim="800000"/>
              <a:headEnd/>
              <a:tailEnd/>
            </a:ln>
          </xdr:spPr>
          <xdr:txBody>
            <a:bodyPr vert="horz" wrap="square" lIns="91440" tIns="45720" rIns="91440" bIns="45720" numCol="1" anchor="t"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14:m>
                <m:oMath xmlns:m="http://schemas.openxmlformats.org/officeDocument/2006/math">
                  <m:r>
                    <a:rPr lang="en-US" sz="1700" i="1" kern="0">
                      <a:solidFill>
                        <a:srgbClr val="000000"/>
                      </a:solidFill>
                      <a:latin typeface="Cambria Math"/>
                    </a:rPr>
                    <m:t> </m:t>
                  </m:r>
                  <m:sSub>
                    <m:sSubPr>
                      <m:ctrlPr>
                        <a:rPr lang="en-US" sz="1700" i="1" kern="0">
                          <a:solidFill>
                            <a:srgbClr val="000000"/>
                          </a:solidFill>
                          <a:latin typeface="Cambria Math" panose="02040503050406030204" pitchFamily="18" charset="0"/>
                        </a:rPr>
                      </m:ctrlPr>
                    </m:sSubPr>
                    <m:e>
                      <m:r>
                        <a:rPr lang="en-US" sz="1700" b="0" i="1" kern="0">
                          <a:solidFill>
                            <a:srgbClr val="000000"/>
                          </a:solidFill>
                          <a:latin typeface="Cambria Math"/>
                        </a:rPr>
                        <m:t>𝑝</m:t>
                      </m:r>
                    </m:e>
                    <m:sub>
                      <m:r>
                        <a:rPr lang="en-US" sz="1700" b="0" i="1" kern="0">
                          <a:solidFill>
                            <a:srgbClr val="000000"/>
                          </a:solidFill>
                          <a:latin typeface="Cambria Math"/>
                        </a:rPr>
                        <m:t>𝑝𝑢𝑡</m:t>
                      </m:r>
                    </m:sub>
                  </m:sSub>
                  <m:r>
                    <a:rPr lang="en-US" sz="1700" i="1" kern="0">
                      <a:solidFill>
                        <a:srgbClr val="000000"/>
                      </a:solidFill>
                      <a:latin typeface="Cambria Math"/>
                    </a:rPr>
                    <m:t>=</m:t>
                  </m:r>
                  <m:sSub>
                    <m:sSubPr>
                      <m:ctrlPr>
                        <a:rPr lang="en-US" sz="1700" i="1" kern="0">
                          <a:solidFill>
                            <a:srgbClr val="000000"/>
                          </a:solidFill>
                          <a:latin typeface="Cambria Math" panose="02040503050406030204" pitchFamily="18" charset="0"/>
                        </a:rPr>
                      </m:ctrlPr>
                    </m:sSubPr>
                    <m:e>
                      <m:r>
                        <a:rPr lang="en-US" sz="1700" i="1" kern="0">
                          <a:solidFill>
                            <a:srgbClr val="000000"/>
                          </a:solidFill>
                          <a:latin typeface="Cambria Math"/>
                        </a:rPr>
                        <m:t>𝑆</m:t>
                      </m:r>
                    </m:e>
                    <m:sub>
                      <m:r>
                        <a:rPr lang="en-US" sz="1700" i="1" kern="0">
                          <a:solidFill>
                            <a:srgbClr val="000000"/>
                          </a:solidFill>
                          <a:latin typeface="Cambria Math"/>
                        </a:rPr>
                        <m:t>0</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i="1" kern="0">
                          <a:solidFill>
                            <a:srgbClr val="000000"/>
                          </a:solidFill>
                          <a:latin typeface="Cambria Math"/>
                        </a:rPr>
                        <m:t>𝑞</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
                            <a:rPr lang="en-US" sz="1700" b="0" i="1" kern="0">
                              <a:solidFill>
                                <a:srgbClr val="000000"/>
                              </a:solidFill>
                              <a:latin typeface="Cambria Math"/>
                              <a:ea typeface="Cambria Math"/>
                            </a:rPr>
                            <m:t>𝑡</m:t>
                          </m:r>
                        </m:e>
                      </m:d>
                    </m:sup>
                  </m:sSup>
                  <m:r>
                    <a:rPr lang="en-US" sz="1700" b="0" i="1" kern="0">
                      <a:solidFill>
                        <a:srgbClr val="000000"/>
                      </a:solidFill>
                      <a:latin typeface="Cambria Math"/>
                      <a:ea typeface="Cambria Math"/>
                    </a:rPr>
                    <m:t>𝑀</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𝑎</m:t>
                          </m:r>
                        </m:e>
                        <m:sub>
                          <m:r>
                            <a:rPr lang="en-US" sz="1700" i="1" kern="0">
                              <a:solidFill>
                                <a:srgbClr val="000000"/>
                              </a:solidFill>
                              <a:latin typeface="Cambria Math"/>
                              <a:ea typeface="Cambria Math"/>
                            </a:rPr>
                            <m:t>1</m:t>
                          </m:r>
                        </m:sub>
                      </m:sSub>
                      <m:r>
                        <a:rPr lang="en-US" sz="1700" b="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𝑏</m:t>
                          </m:r>
                        </m:e>
                        <m:sub>
                          <m:r>
                            <a:rPr lang="en-US" sz="1700" i="1" kern="0">
                              <a:solidFill>
                                <a:srgbClr val="000000"/>
                              </a:solidFill>
                              <a:latin typeface="Cambria Math"/>
                              <a:ea typeface="Cambria Math"/>
                            </a:rPr>
                            <m:t>1</m:t>
                          </m:r>
                        </m:sub>
                      </m:sSub>
                      <m:r>
                        <a:rPr lang="en-US" sz="1700" b="0" i="1" kern="0">
                          <a:solidFill>
                            <a:srgbClr val="000000"/>
                          </a:solidFill>
                          <a:latin typeface="Cambria Math"/>
                          <a:ea typeface="Cambria Math"/>
                        </a:rPr>
                        <m:t>;−</m:t>
                      </m:r>
                      <m:rad>
                        <m:radPr>
                          <m:degHide m:val="on"/>
                          <m:ctrlPr>
                            <a:rPr lang="en-US" sz="1700" b="0" i="1" kern="0">
                              <a:solidFill>
                                <a:srgbClr val="000000"/>
                              </a:solidFill>
                              <a:latin typeface="Cambria Math" panose="02040503050406030204" pitchFamily="18" charset="0"/>
                              <a:ea typeface="Cambria Math"/>
                            </a:rPr>
                          </m:ctrlPr>
                        </m:radPr>
                        <m:deg/>
                        <m:e>
                          <m:f>
                            <m:fPr>
                              <m:ctrlPr>
                                <a:rPr lang="en-US" sz="1700" b="0" i="1" kern="0">
                                  <a:solidFill>
                                    <a:srgbClr val="000000"/>
                                  </a:solidFill>
                                  <a:latin typeface="Cambria Math" panose="02040503050406030204" pitchFamily="18" charset="0"/>
                                  <a:ea typeface="Cambria Math"/>
                                </a:rPr>
                              </m:ctrlPr>
                            </m:fPr>
                            <m:num>
                              <m:sSub>
                                <m:sSubPr>
                                  <m:ctrlPr>
                                    <a:rPr lang="en-US" sz="1700" b="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1</m:t>
                                  </m:r>
                                </m:sub>
                              </m:sSub>
                            </m:num>
                            <m:den>
                              <m:sSub>
                                <m:sSubPr>
                                  <m:ctrlPr>
                                    <a:rPr lang="en-US" sz="1700" b="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den>
                          </m:f>
                        </m:e>
                      </m:rad>
                    </m:e>
                  </m:d>
                  <m:r>
                    <a:rPr lang="en-US" sz="1700" i="1" kern="0">
                      <a:solidFill>
                        <a:srgbClr val="000000"/>
                      </a:solidFill>
                      <a:latin typeface="Cambria Math"/>
                    </a:rPr>
                    <m:t>−</m:t>
                  </m:r>
                  <m:sSub>
                    <m:sSubPr>
                      <m:ctrlPr>
                        <a:rPr lang="en-US" sz="1700" i="1" kern="0">
                          <a:solidFill>
                            <a:srgbClr val="000000"/>
                          </a:solidFill>
                          <a:latin typeface="Cambria Math" panose="02040503050406030204" pitchFamily="18" charset="0"/>
                        </a:rPr>
                      </m:ctrlPr>
                    </m:sSubPr>
                    <m:e>
                      <m:r>
                        <a:rPr lang="en-US" sz="1700" b="0" i="1" kern="0">
                          <a:solidFill>
                            <a:srgbClr val="000000"/>
                          </a:solidFill>
                          <a:latin typeface="Cambria Math"/>
                        </a:rPr>
                        <m:t>𝐾</m:t>
                      </m:r>
                    </m:e>
                    <m:sub>
                      <m:r>
                        <a:rPr lang="en-US" sz="1700" b="0" i="1" kern="0">
                          <a:solidFill>
                            <a:srgbClr val="000000"/>
                          </a:solidFill>
                          <a:latin typeface="Cambria Math"/>
                        </a:rPr>
                        <m:t>2</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b="0" i="1" kern="0">
                          <a:solidFill>
                            <a:srgbClr val="000000"/>
                          </a:solidFill>
                          <a:latin typeface="Cambria Math"/>
                        </a:rPr>
                        <m:t>𝑟</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
                            <a:rPr lang="en-US" sz="1700" i="1" kern="0">
                              <a:solidFill>
                                <a:srgbClr val="000000"/>
                              </a:solidFill>
                              <a:latin typeface="Cambria Math"/>
                              <a:ea typeface="Cambria Math"/>
                            </a:rPr>
                            <m:t>𝑡</m:t>
                          </m:r>
                        </m:e>
                      </m:d>
                    </m:sup>
                  </m:sSup>
                  <m:r>
                    <a:rPr lang="en-US" sz="1700" i="1" kern="0">
                      <a:solidFill>
                        <a:srgbClr val="000000"/>
                      </a:solidFill>
                      <a:latin typeface="Cambria Math"/>
                      <a:ea typeface="Cambria Math"/>
                    </a:rPr>
                    <m:t>𝑀</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𝑎</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m:t>
                          </m:r>
                          <m:r>
                            <a:rPr lang="en-US" sz="1700" i="1" kern="0">
                              <a:solidFill>
                                <a:srgbClr val="000000"/>
                              </a:solidFill>
                              <a:latin typeface="Cambria Math"/>
                              <a:ea typeface="Cambria Math"/>
                            </a:rPr>
                            <m:t>𝑏</m:t>
                          </m:r>
                        </m:e>
                        <m:sub>
                          <m:r>
                            <a:rPr lang="en-US" sz="1700" b="0" i="1" kern="0">
                              <a:solidFill>
                                <a:srgbClr val="000000"/>
                              </a:solidFill>
                              <a:latin typeface="Cambria Math"/>
                              <a:ea typeface="Cambria Math"/>
                            </a:rPr>
                            <m:t>2</m:t>
                          </m:r>
                        </m:sub>
                      </m:sSub>
                      <m:r>
                        <a:rPr lang="en-US" sz="1700" i="1" kern="0">
                          <a:solidFill>
                            <a:srgbClr val="000000"/>
                          </a:solidFill>
                          <a:latin typeface="Cambria Math"/>
                          <a:ea typeface="Cambria Math"/>
                        </a:rPr>
                        <m:t>;</m:t>
                      </m:r>
                      <m:r>
                        <a:rPr lang="en-US" sz="1700" b="0" i="1" kern="0">
                          <a:solidFill>
                            <a:srgbClr val="000000"/>
                          </a:solidFill>
                          <a:latin typeface="Cambria Math"/>
                          <a:ea typeface="Cambria Math"/>
                        </a:rPr>
                        <m:t>−</m:t>
                      </m:r>
                      <m:rad>
                        <m:radPr>
                          <m:degHide m:val="on"/>
                          <m:ctrlPr>
                            <a:rPr lang="en-US" sz="1700" i="1" kern="0">
                              <a:solidFill>
                                <a:srgbClr val="000000"/>
                              </a:solidFill>
                              <a:latin typeface="Cambria Math" panose="02040503050406030204" pitchFamily="18" charset="0"/>
                              <a:ea typeface="Cambria Math"/>
                            </a:rPr>
                          </m:ctrlPr>
                        </m:radPr>
                        <m:deg/>
                        <m:e>
                          <m:f>
                            <m:fPr>
                              <m:ctrlPr>
                                <a:rPr lang="en-US" sz="1700" i="1" kern="0">
                                  <a:solidFill>
                                    <a:srgbClr val="000000"/>
                                  </a:solidFill>
                                  <a:latin typeface="Cambria Math" panose="02040503050406030204" pitchFamily="18" charset="0"/>
                                  <a:ea typeface="Cambria Math"/>
                                </a:rPr>
                              </m:ctrlPr>
                            </m:fPr>
                            <m:num>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𝑇</m:t>
                                  </m:r>
                                </m:e>
                                <m:sub>
                                  <m:r>
                                    <a:rPr lang="en-US" sz="1700" i="1" kern="0">
                                      <a:solidFill>
                                        <a:srgbClr val="000000"/>
                                      </a:solidFill>
                                      <a:latin typeface="Cambria Math"/>
                                      <a:ea typeface="Cambria Math"/>
                                    </a:rPr>
                                    <m:t>1</m:t>
                                  </m:r>
                                </m:sub>
                              </m:sSub>
                            </m:num>
                            <m:den>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𝑇</m:t>
                                  </m:r>
                                </m:e>
                                <m:sub>
                                  <m:r>
                                    <a:rPr lang="en-US" sz="1700" i="1" kern="0">
                                      <a:solidFill>
                                        <a:srgbClr val="000000"/>
                                      </a:solidFill>
                                      <a:latin typeface="Cambria Math"/>
                                      <a:ea typeface="Cambria Math"/>
                                    </a:rPr>
                                    <m:t>2</m:t>
                                  </m:r>
                                </m:sub>
                              </m:sSub>
                            </m:den>
                          </m:f>
                        </m:e>
                      </m:rad>
                    </m:e>
                  </m:d>
                  <m:r>
                    <a:rPr lang="es-MX" sz="1700" b="0" i="1" kern="0">
                      <a:solidFill>
                        <a:srgbClr val="000000"/>
                      </a:solidFill>
                      <a:latin typeface="Cambria Math" panose="02040503050406030204" pitchFamily="18" charset="0"/>
                      <a:ea typeface="Cambria Math"/>
                    </a:rPr>
                    <m:t>+</m:t>
                  </m:r>
                  <m:sSub>
                    <m:sSubPr>
                      <m:ctrlPr>
                        <a:rPr lang="en-US" sz="1700" i="1" kern="0">
                          <a:solidFill>
                            <a:srgbClr val="000000"/>
                          </a:solidFill>
                          <a:latin typeface="Cambria Math" panose="02040503050406030204" pitchFamily="18" charset="0"/>
                        </a:rPr>
                      </m:ctrlPr>
                    </m:sSubPr>
                    <m:e>
                      <m:r>
                        <a:rPr lang="en-US" sz="1700" b="0" i="1" kern="0">
                          <a:solidFill>
                            <a:srgbClr val="000000"/>
                          </a:solidFill>
                          <a:latin typeface="Cambria Math"/>
                        </a:rPr>
                        <m:t>𝐾</m:t>
                      </m:r>
                    </m:e>
                    <m:sub>
                      <m:r>
                        <a:rPr lang="en-US" sz="1700" b="0" i="1" kern="0">
                          <a:solidFill>
                            <a:srgbClr val="000000"/>
                          </a:solidFill>
                          <a:latin typeface="Cambria Math"/>
                        </a:rPr>
                        <m:t>1</m:t>
                      </m:r>
                    </m:sub>
                  </m:sSub>
                  <m:sSup>
                    <m:sSupPr>
                      <m:ctrlPr>
                        <a:rPr lang="en-US" sz="1700" i="1" kern="0">
                          <a:solidFill>
                            <a:srgbClr val="000000"/>
                          </a:solidFill>
                          <a:latin typeface="Cambria Math" panose="02040503050406030204" pitchFamily="18" charset="0"/>
                        </a:rPr>
                      </m:ctrlPr>
                    </m:sSupPr>
                    <m:e>
                      <m:r>
                        <a:rPr lang="en-US" sz="1700" i="1" kern="0">
                          <a:solidFill>
                            <a:srgbClr val="000000"/>
                          </a:solidFill>
                          <a:latin typeface="Cambria Math"/>
                        </a:rPr>
                        <m:t>𝑒</m:t>
                      </m:r>
                    </m:e>
                    <m:sup>
                      <m:r>
                        <a:rPr lang="en-US" sz="1700" i="1" kern="0">
                          <a:solidFill>
                            <a:srgbClr val="000000"/>
                          </a:solidFill>
                          <a:latin typeface="Cambria Math"/>
                        </a:rPr>
                        <m:t>−</m:t>
                      </m:r>
                      <m:r>
                        <a:rPr lang="en-US" sz="1700" b="0" i="1" kern="0">
                          <a:solidFill>
                            <a:srgbClr val="000000"/>
                          </a:solidFill>
                          <a:latin typeface="Cambria Math"/>
                        </a:rPr>
                        <m:t>𝑟</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b="0" i="1" kern="0">
                                  <a:solidFill>
                                    <a:srgbClr val="000000"/>
                                  </a:solidFill>
                                  <a:latin typeface="Cambria Math"/>
                                  <a:ea typeface="Cambria Math"/>
                                </a:rPr>
                                <m:t>𝑇</m:t>
                              </m:r>
                            </m:e>
                            <m:sub>
                              <m:r>
                                <a:rPr lang="en-US" sz="1700" b="0" i="1" kern="0">
                                  <a:solidFill>
                                    <a:srgbClr val="000000"/>
                                  </a:solidFill>
                                  <a:latin typeface="Cambria Math"/>
                                  <a:ea typeface="Cambria Math"/>
                                </a:rPr>
                                <m:t>1</m:t>
                              </m:r>
                            </m:sub>
                          </m:sSub>
                          <m:r>
                            <a:rPr lang="en-US" sz="1700" i="1" kern="0">
                              <a:solidFill>
                                <a:srgbClr val="000000"/>
                              </a:solidFill>
                              <a:latin typeface="Cambria Math"/>
                              <a:ea typeface="Cambria Math"/>
                            </a:rPr>
                            <m:t>−</m:t>
                          </m:r>
                          <m:r>
                            <a:rPr lang="en-US" sz="1700" i="1" kern="0">
                              <a:solidFill>
                                <a:srgbClr val="000000"/>
                              </a:solidFill>
                              <a:latin typeface="Cambria Math"/>
                              <a:ea typeface="Cambria Math"/>
                            </a:rPr>
                            <m:t>𝑡</m:t>
                          </m:r>
                        </m:e>
                      </m:d>
                    </m:sup>
                  </m:sSup>
                </m:oMath>
              </a14:m>
              <a:r>
                <a:rPr lang="en-US" sz="1700" kern="0">
                  <a:solidFill>
                    <a:srgbClr val="000000"/>
                  </a:solidFill>
                  <a:ea typeface="Cambria Math"/>
                </a:rPr>
                <a:t> </a:t>
              </a:r>
              <a14:m>
                <m:oMath xmlns:m="http://schemas.openxmlformats.org/officeDocument/2006/math">
                  <m:r>
                    <a:rPr lang="en-US" sz="1700" i="1" kern="0">
                      <a:solidFill>
                        <a:srgbClr val="000000"/>
                      </a:solidFill>
                      <a:latin typeface="Cambria Math"/>
                      <a:ea typeface="Cambria Math"/>
                    </a:rPr>
                    <m:t>𝑁</m:t>
                  </m:r>
                  <m:d>
                    <m:dPr>
                      <m:ctrlPr>
                        <a:rPr lang="en-US" sz="1700" i="1" kern="0">
                          <a:solidFill>
                            <a:srgbClr val="000000"/>
                          </a:solidFill>
                          <a:latin typeface="Cambria Math" panose="02040503050406030204" pitchFamily="18" charset="0"/>
                          <a:ea typeface="Cambria Math"/>
                        </a:rPr>
                      </m:ctrlPr>
                    </m:dPr>
                    <m:e>
                      <m:sSub>
                        <m:sSubPr>
                          <m:ctrlPr>
                            <a:rPr lang="en-US" sz="1700" i="1" kern="0">
                              <a:solidFill>
                                <a:srgbClr val="000000"/>
                              </a:solidFill>
                              <a:latin typeface="Cambria Math" panose="02040503050406030204" pitchFamily="18" charset="0"/>
                              <a:ea typeface="Cambria Math"/>
                            </a:rPr>
                          </m:ctrlPr>
                        </m:sSubPr>
                        <m:e>
                          <m:r>
                            <a:rPr lang="en-US" sz="1700" i="1" kern="0">
                              <a:solidFill>
                                <a:srgbClr val="000000"/>
                              </a:solidFill>
                              <a:latin typeface="Cambria Math"/>
                              <a:ea typeface="Cambria Math"/>
                            </a:rPr>
                            <m:t>𝑎</m:t>
                          </m:r>
                        </m:e>
                        <m:sub>
                          <m:r>
                            <a:rPr lang="en-US" sz="1700" i="1" kern="0">
                              <a:solidFill>
                                <a:srgbClr val="000000"/>
                              </a:solidFill>
                              <a:latin typeface="Cambria Math"/>
                              <a:ea typeface="Cambria Math"/>
                            </a:rPr>
                            <m:t>2</m:t>
                          </m:r>
                        </m:sub>
                      </m:sSub>
                    </m:e>
                  </m:d>
                </m:oMath>
              </a14:m>
              <a:endParaRPr lang="es-MX" sz="1700" kern="0">
                <a:solidFill>
                  <a:srgbClr val="000000"/>
                </a:solidFill>
                <a:latin typeface="Tahoma" pitchFamily="34" charset="0"/>
              </a:endParaRPr>
            </a:p>
          </xdr:txBody>
        </xdr:sp>
      </mc:Choice>
      <mc:Fallback xmlns="">
        <xdr:sp macro="" textlink="">
          <xdr:nvSpPr>
            <xdr:cNvPr id="72" name="Rectangle 2">
              <a:extLst>
                <a:ext uri="{FF2B5EF4-FFF2-40B4-BE49-F238E27FC236}">
                  <a16:creationId xmlns:a16="http://schemas.microsoft.com/office/drawing/2014/main" id="{583B81BD-D330-8E55-4E8E-752BDA07BE4E}"/>
                </a:ext>
              </a:extLst>
            </xdr:cNvPr>
            <xdr:cNvSpPr txBox="1">
              <a:spLocks noChangeArrowheads="1"/>
            </xdr:cNvSpPr>
          </xdr:nvSpPr>
          <xdr:spPr bwMode="auto">
            <a:xfrm>
              <a:off x="12423913" y="132146261"/>
              <a:ext cx="8856000" cy="936104"/>
            </a:xfrm>
            <a:prstGeom prst="rect">
              <a:avLst/>
            </a:prstGeom>
            <a:noFill/>
            <a:ln w="9525">
              <a:noFill/>
              <a:miter lim="800000"/>
              <a:headEnd/>
              <a:tailEnd/>
            </a:ln>
          </xdr:spPr>
          <xdr:txBody>
            <a:bodyPr vert="horz" wrap="square" lIns="91440" tIns="45720" rIns="91440" bIns="45720" numCol="1" anchor="t"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fontAlgn="base">
                <a:lnSpc>
                  <a:spcPct val="140000"/>
                </a:lnSpc>
                <a:spcBef>
                  <a:spcPct val="35000"/>
                </a:spcBef>
                <a:spcAft>
                  <a:spcPct val="35000"/>
                </a:spcAft>
                <a:defRPr/>
              </a:pPr>
              <a:r>
                <a:rPr lang="en-US" sz="1700" i="0" kern="0">
                  <a:solidFill>
                    <a:srgbClr val="000000"/>
                  </a:solidFill>
                  <a:latin typeface="Cambria Math"/>
                </a:rPr>
                <a:t> </a:t>
              </a:r>
              <a:r>
                <a:rPr lang="en-US" sz="1700" b="0" i="0" kern="0">
                  <a:solidFill>
                    <a:srgbClr val="000000"/>
                  </a:solidFill>
                  <a:latin typeface="Cambria Math"/>
                </a:rPr>
                <a:t>𝑝</a:t>
              </a:r>
              <a:r>
                <a:rPr lang="en-US" sz="1700" b="0" i="0" kern="0">
                  <a:solidFill>
                    <a:srgbClr val="000000"/>
                  </a:solidFill>
                  <a:latin typeface="Cambria Math" panose="02040503050406030204" pitchFamily="18" charset="0"/>
                </a:rPr>
                <a:t>_</a:t>
              </a:r>
              <a:r>
                <a:rPr lang="en-US" sz="1700" b="0" i="0" kern="0">
                  <a:solidFill>
                    <a:srgbClr val="000000"/>
                  </a:solidFill>
                  <a:latin typeface="Cambria Math"/>
                </a:rPr>
                <a:t>𝑝𝑢𝑡</a:t>
              </a:r>
              <a:r>
                <a:rPr lang="en-US" sz="1700" i="0" kern="0">
                  <a:solidFill>
                    <a:srgbClr val="000000"/>
                  </a:solidFill>
                  <a:latin typeface="Cambria Math"/>
                </a:rPr>
                <a:t>=𝑆</a:t>
              </a:r>
              <a:r>
                <a:rPr lang="en-US" sz="1700" i="0" kern="0">
                  <a:solidFill>
                    <a:srgbClr val="000000"/>
                  </a:solidFill>
                  <a:latin typeface="Cambria Math" panose="02040503050406030204" pitchFamily="18" charset="0"/>
                </a:rPr>
                <a:t>_</a:t>
              </a:r>
              <a:r>
                <a:rPr lang="en-US" sz="1700" i="0" kern="0">
                  <a:solidFill>
                    <a:srgbClr val="000000"/>
                  </a:solidFill>
                  <a:latin typeface="Cambria Math"/>
                </a:rPr>
                <a:t>0</a:t>
              </a:r>
              <a:r>
                <a:rPr lang="en-US" sz="170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−𝑞</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b="0" i="0" kern="0">
                  <a:solidFill>
                    <a:srgbClr val="000000"/>
                  </a:solidFill>
                  <a:latin typeface="Cambria Math"/>
                  <a:ea typeface="Cambria Math"/>
                </a:rPr>
                <a:t>𝑡</a:t>
              </a:r>
              <a:r>
                <a:rPr lang="en-US" sz="1700" b="0" i="0" kern="0">
                  <a:solidFill>
                    <a:srgbClr val="000000"/>
                  </a:solidFill>
                  <a:latin typeface="Cambria Math" panose="02040503050406030204" pitchFamily="18" charset="0"/>
                  <a:ea typeface="Cambria Math"/>
                </a:rPr>
                <a:t>) )</a:t>
              </a:r>
              <a:r>
                <a:rPr lang="en-US" sz="1700" b="0" i="0" kern="0">
                  <a:solidFill>
                    <a:srgbClr val="000000"/>
                  </a:solidFill>
                  <a:latin typeface="Cambria Math"/>
                  <a:ea typeface="Cambria Math"/>
                </a:rPr>
                <a:t> 𝑀</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b="0" i="0" kern="0">
                  <a:solidFill>
                    <a:srgbClr val="000000"/>
                  </a:solidFill>
                  <a:latin typeface="Cambria Math"/>
                  <a:ea typeface="Cambria Math"/>
                </a:rPr>
                <a:t>,−𝑏</a:t>
              </a:r>
              <a:r>
                <a:rPr lang="en-US" sz="1700" b="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b="0" i="0" kern="0">
                  <a:solidFill>
                    <a:srgbClr val="000000"/>
                  </a:solidFill>
                  <a:latin typeface="Cambria Math"/>
                  <a:ea typeface="Cambria Math"/>
                </a:rPr>
                <a:t>;−</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1</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b="0" i="0" kern="0">
                  <a:solidFill>
                    <a:srgbClr val="000000"/>
                  </a:solidFill>
                  <a:latin typeface="Cambria Math" panose="02040503050406030204" pitchFamily="18" charset="0"/>
                  <a:ea typeface="Cambria Math"/>
                </a:rPr>
                <a:t> ))</a:t>
              </a:r>
              <a:r>
                <a:rPr lang="en-US" sz="1700" i="0" kern="0">
                  <a:solidFill>
                    <a:srgbClr val="000000"/>
                  </a:solidFill>
                  <a:latin typeface="Cambria Math"/>
                </a:rPr>
                <a:t>−</a:t>
              </a:r>
              <a:r>
                <a:rPr lang="en-US" sz="1700" b="0" i="0" kern="0">
                  <a:solidFill>
                    <a:srgbClr val="000000"/>
                  </a:solidFill>
                  <a:latin typeface="Cambria Math"/>
                </a:rPr>
                <a:t>𝐾</a:t>
              </a:r>
              <a:r>
                <a:rPr lang="en-US" sz="1700" b="0" i="0" kern="0">
                  <a:solidFill>
                    <a:srgbClr val="000000"/>
                  </a:solidFill>
                  <a:latin typeface="Cambria Math" panose="02040503050406030204" pitchFamily="18" charset="0"/>
                </a:rPr>
                <a:t>_</a:t>
              </a:r>
              <a:r>
                <a:rPr lang="en-US" sz="1700" b="0" i="0" kern="0">
                  <a:solidFill>
                    <a:srgbClr val="000000"/>
                  </a:solidFill>
                  <a:latin typeface="Cambria Math"/>
                </a:rPr>
                <a:t>2</a:t>
              </a:r>
              <a:r>
                <a:rPr lang="en-US" sz="1700" b="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a:t>
              </a:r>
              <a:r>
                <a:rPr lang="en-US" sz="1700" b="0" i="0" kern="0">
                  <a:solidFill>
                    <a:srgbClr val="000000"/>
                  </a:solidFill>
                  <a:latin typeface="Cambria Math"/>
                </a:rPr>
                <a:t>𝑟</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−𝑡</a:t>
              </a:r>
              <a:r>
                <a:rPr lang="en-US" sz="1700" i="0" kern="0">
                  <a:solidFill>
                    <a:srgbClr val="000000"/>
                  </a:solidFill>
                  <a:latin typeface="Cambria Math" panose="02040503050406030204" pitchFamily="18" charset="0"/>
                  <a:ea typeface="Cambria Math"/>
                </a:rPr>
                <a:t>) )</a:t>
              </a:r>
              <a:r>
                <a:rPr lang="en-US" sz="1700" i="0" kern="0">
                  <a:solidFill>
                    <a:srgbClr val="000000"/>
                  </a:solidFill>
                  <a:latin typeface="Cambria Math"/>
                  <a:ea typeface="Cambria Math"/>
                </a:rPr>
                <a:t> 𝑀</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a:t>
              </a:r>
              <a:r>
                <a:rPr lang="en-US" sz="1700" i="0" kern="0">
                  <a:solidFill>
                    <a:srgbClr val="000000"/>
                  </a:solidFill>
                  <a:latin typeface="Cambria Math"/>
                  <a:ea typeface="Cambria Math"/>
                </a:rPr>
                <a:t>𝑏</a:t>
              </a:r>
              <a:r>
                <a:rPr lang="en-US" sz="170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2</a:t>
              </a:r>
              <a:r>
                <a:rPr lang="en-US" sz="1700" i="0" kern="0">
                  <a:solidFill>
                    <a:srgbClr val="000000"/>
                  </a:solidFill>
                  <a:latin typeface="Cambria Math"/>
                  <a:ea typeface="Cambria Math"/>
                </a:rPr>
                <a:t>;</a:t>
              </a:r>
              <a:r>
                <a:rPr lang="en-US" sz="1700" b="0" i="0" kern="0">
                  <a:solidFill>
                    <a:srgbClr val="000000"/>
                  </a:solidFill>
                  <a:latin typeface="Cambria Math"/>
                  <a:ea typeface="Cambria Math"/>
                </a:rPr>
                <a:t>−</a:t>
              </a:r>
              <a:r>
                <a:rPr lang="en-US" sz="1700" b="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𝑇</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1</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𝑇</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2</a:t>
              </a:r>
              <a:r>
                <a:rPr lang="en-US" sz="1700" i="0" kern="0">
                  <a:solidFill>
                    <a:srgbClr val="000000"/>
                  </a:solidFill>
                  <a:latin typeface="Cambria Math" panose="02040503050406030204" pitchFamily="18" charset="0"/>
                  <a:ea typeface="Cambria Math"/>
                </a:rPr>
                <a:t> ))</a:t>
              </a:r>
              <a:r>
                <a:rPr lang="es-MX"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rPr>
                <a:t>𝐾</a:t>
              </a:r>
              <a:r>
                <a:rPr lang="en-US" sz="1700" b="0" i="0" kern="0">
                  <a:solidFill>
                    <a:srgbClr val="000000"/>
                  </a:solidFill>
                  <a:latin typeface="Cambria Math" panose="02040503050406030204" pitchFamily="18" charset="0"/>
                </a:rPr>
                <a:t>_</a:t>
              </a:r>
              <a:r>
                <a:rPr lang="en-US" sz="1700" b="0" i="0" kern="0">
                  <a:solidFill>
                    <a:srgbClr val="000000"/>
                  </a:solidFill>
                  <a:latin typeface="Cambria Math"/>
                </a:rPr>
                <a:t>1</a:t>
              </a:r>
              <a:r>
                <a:rPr lang="en-US" sz="1700" b="0" i="0" kern="0">
                  <a:solidFill>
                    <a:srgbClr val="000000"/>
                  </a:solidFill>
                  <a:latin typeface="Cambria Math" panose="02040503050406030204" pitchFamily="18" charset="0"/>
                </a:rPr>
                <a:t> </a:t>
              </a:r>
              <a:r>
                <a:rPr lang="en-US" sz="1700" i="0" kern="0">
                  <a:solidFill>
                    <a:srgbClr val="000000"/>
                  </a:solidFill>
                  <a:latin typeface="Cambria Math"/>
                </a:rPr>
                <a:t>𝑒</a:t>
              </a:r>
              <a:r>
                <a:rPr lang="en-US" sz="1700" i="0" kern="0">
                  <a:solidFill>
                    <a:srgbClr val="000000"/>
                  </a:solidFill>
                  <a:latin typeface="Cambria Math" panose="02040503050406030204" pitchFamily="18" charset="0"/>
                </a:rPr>
                <a:t>^(</a:t>
              </a:r>
              <a:r>
                <a:rPr lang="en-US" sz="1700" i="0" kern="0">
                  <a:solidFill>
                    <a:srgbClr val="000000"/>
                  </a:solidFill>
                  <a:latin typeface="Cambria Math"/>
                </a:rPr>
                <a:t>−</a:t>
              </a:r>
              <a:r>
                <a:rPr lang="en-US" sz="1700" b="0" i="0" kern="0">
                  <a:solidFill>
                    <a:srgbClr val="000000"/>
                  </a:solidFill>
                  <a:latin typeface="Cambria Math"/>
                </a:rPr>
                <a:t>𝑟</a:t>
              </a:r>
              <a:r>
                <a:rPr lang="en-US" sz="1700" b="0" i="0" kern="0">
                  <a:solidFill>
                    <a:srgbClr val="000000"/>
                  </a:solidFill>
                  <a:latin typeface="Cambria Math" panose="02040503050406030204" pitchFamily="18" charset="0"/>
                  <a:ea typeface="Cambria Math"/>
                </a:rPr>
                <a:t>(</a:t>
              </a:r>
              <a:r>
                <a:rPr lang="en-US" sz="1700" b="0" i="0" kern="0">
                  <a:solidFill>
                    <a:srgbClr val="000000"/>
                  </a:solidFill>
                  <a:latin typeface="Cambria Math"/>
                  <a:ea typeface="Cambria Math"/>
                </a:rPr>
                <a:t>𝑇</a:t>
              </a:r>
              <a:r>
                <a:rPr lang="en-US" sz="1700" b="0" i="0" kern="0">
                  <a:solidFill>
                    <a:srgbClr val="000000"/>
                  </a:solidFill>
                  <a:latin typeface="Cambria Math" panose="02040503050406030204" pitchFamily="18" charset="0"/>
                  <a:ea typeface="Cambria Math"/>
                </a:rPr>
                <a:t>_</a:t>
              </a:r>
              <a:r>
                <a:rPr lang="en-US" sz="1700" b="0" i="0" kern="0">
                  <a:solidFill>
                    <a:srgbClr val="000000"/>
                  </a:solidFill>
                  <a:latin typeface="Cambria Math"/>
                  <a:ea typeface="Cambria Math"/>
                </a:rPr>
                <a:t>1</a:t>
              </a:r>
              <a:r>
                <a:rPr lang="en-US" sz="1700" i="0" kern="0">
                  <a:solidFill>
                    <a:srgbClr val="000000"/>
                  </a:solidFill>
                  <a:latin typeface="Cambria Math"/>
                  <a:ea typeface="Cambria Math"/>
                </a:rPr>
                <a:t>−𝑡</a:t>
              </a:r>
              <a:r>
                <a:rPr lang="en-US" sz="1700" i="0" kern="0">
                  <a:solidFill>
                    <a:srgbClr val="000000"/>
                  </a:solidFill>
                  <a:latin typeface="Cambria Math" panose="02040503050406030204" pitchFamily="18" charset="0"/>
                  <a:ea typeface="Cambria Math"/>
                </a:rPr>
                <a:t>) )</a:t>
              </a:r>
              <a:r>
                <a:rPr lang="en-US" sz="1700" kern="0">
                  <a:solidFill>
                    <a:srgbClr val="000000"/>
                  </a:solidFill>
                  <a:ea typeface="Cambria Math"/>
                </a:rPr>
                <a:t> </a:t>
              </a:r>
              <a:r>
                <a:rPr lang="en-US" sz="1700" i="0" kern="0">
                  <a:solidFill>
                    <a:srgbClr val="000000"/>
                  </a:solidFill>
                  <a:latin typeface="Cambria Math"/>
                  <a:ea typeface="Cambria Math"/>
                </a:rPr>
                <a:t>𝑁</a:t>
              </a:r>
              <a:r>
                <a:rPr lang="en-US" sz="1700" i="0" kern="0">
                  <a:solidFill>
                    <a:srgbClr val="000000"/>
                  </a:solidFill>
                  <a:latin typeface="Cambria Math" panose="02040503050406030204" pitchFamily="18" charset="0"/>
                  <a:ea typeface="Cambria Math"/>
                </a:rPr>
                <a:t>(</a:t>
              </a:r>
              <a:r>
                <a:rPr lang="en-US" sz="1700" i="0" kern="0">
                  <a:solidFill>
                    <a:srgbClr val="000000"/>
                  </a:solidFill>
                  <a:latin typeface="Cambria Math"/>
                  <a:ea typeface="Cambria Math"/>
                </a:rPr>
                <a:t>𝑎</a:t>
              </a:r>
              <a:r>
                <a:rPr lang="en-US" sz="1700" i="0" kern="0">
                  <a:solidFill>
                    <a:srgbClr val="000000"/>
                  </a:solidFill>
                  <a:latin typeface="Cambria Math" panose="02040503050406030204" pitchFamily="18" charset="0"/>
                  <a:ea typeface="Cambria Math"/>
                </a:rPr>
                <a:t>_</a:t>
              </a:r>
              <a:r>
                <a:rPr lang="en-US" sz="1700" i="0" kern="0">
                  <a:solidFill>
                    <a:srgbClr val="000000"/>
                  </a:solidFill>
                  <a:latin typeface="Cambria Math"/>
                  <a:ea typeface="Cambria Math"/>
                </a:rPr>
                <a:t>2</a:t>
              </a:r>
              <a:r>
                <a:rPr lang="en-US" sz="1700" i="0" kern="0">
                  <a:solidFill>
                    <a:srgbClr val="000000"/>
                  </a:solidFill>
                  <a:latin typeface="Cambria Math" panose="02040503050406030204" pitchFamily="18" charset="0"/>
                  <a:ea typeface="Cambria Math"/>
                </a:rPr>
                <a:t> )</a:t>
              </a:r>
              <a:endParaRPr lang="es-MX" sz="1700" kern="0">
                <a:solidFill>
                  <a:srgbClr val="000000"/>
                </a:solidFill>
                <a:latin typeface="Tahoma" pitchFamily="34" charset="0"/>
              </a:endParaRPr>
            </a:p>
          </xdr:txBody>
        </xdr:sp>
      </mc:Fallback>
    </mc:AlternateContent>
    <xdr:clientData/>
  </xdr:twoCellAnchor>
  <xdr:twoCellAnchor>
    <xdr:from>
      <xdr:col>11</xdr:col>
      <xdr:colOff>7937</xdr:colOff>
      <xdr:row>670</xdr:row>
      <xdr:rowOff>60325</xdr:rowOff>
    </xdr:from>
    <xdr:to>
      <xdr:col>17</xdr:col>
      <xdr:colOff>764561</xdr:colOff>
      <xdr:row>673</xdr:row>
      <xdr:rowOff>166613</xdr:rowOff>
    </xdr:to>
    <mc:AlternateContent xmlns:mc="http://schemas.openxmlformats.org/markup-compatibility/2006" xmlns:a14="http://schemas.microsoft.com/office/drawing/2010/main">
      <mc:Choice Requires="a14">
        <xdr:sp macro="" textlink="">
          <xdr:nvSpPr>
            <xdr:cNvPr id="73" name="Rectangle 2">
              <a:extLst>
                <a:ext uri="{FF2B5EF4-FFF2-40B4-BE49-F238E27FC236}">
                  <a16:creationId xmlns:a16="http://schemas.microsoft.com/office/drawing/2014/main" id="{00000000-0008-0000-0000-000049000000}"/>
                </a:ext>
              </a:extLst>
            </xdr:cNvPr>
            <xdr:cNvSpPr txBox="1">
              <a:spLocks noChangeArrowheads="1"/>
            </xdr:cNvSpPr>
          </xdr:nvSpPr>
          <xdr:spPr bwMode="auto">
            <a:xfrm>
              <a:off x="884237" y="4721225"/>
              <a:ext cx="7220924" cy="67778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sSub>
                      <m:sSubPr>
                        <m:ctrlPr>
                          <a:rPr lang="en-US" sz="1100" i="1" kern="0">
                            <a:solidFill>
                              <a:srgbClr val="000000"/>
                            </a:solidFill>
                            <a:latin typeface="Cambria Math" panose="02040503050406030204" pitchFamily="18" charset="0"/>
                          </a:rPr>
                        </m:ctrlPr>
                      </m:sSubPr>
                      <m:e>
                        <m:r>
                          <a:rPr lang="en-US" sz="1100" b="0" i="1" kern="0">
                            <a:solidFill>
                              <a:srgbClr val="000000"/>
                            </a:solidFill>
                            <a:latin typeface="Cambria Math"/>
                          </a:rPr>
                          <m:t>𝑐</m:t>
                        </m:r>
                      </m:e>
                      <m:sub>
                        <m:r>
                          <a:rPr lang="en-US" sz="1100" b="0" i="1" kern="0">
                            <a:solidFill>
                              <a:srgbClr val="000000"/>
                            </a:solidFill>
                            <a:latin typeface="Cambria Math"/>
                          </a:rPr>
                          <m:t>𝑈</m:t>
                        </m:r>
                        <m:r>
                          <a:rPr lang="en-US" sz="1100" b="0" i="1" kern="0">
                            <a:solidFill>
                              <a:srgbClr val="000000"/>
                            </a:solidFill>
                            <a:latin typeface="Cambria Math"/>
                            <a:ea typeface="Cambria Math"/>
                          </a:rPr>
                          <m:t>×</m:t>
                        </m:r>
                        <m:r>
                          <a:rPr lang="en-US" sz="1100" b="0" i="1" kern="0">
                            <a:solidFill>
                              <a:srgbClr val="000000"/>
                            </a:solidFill>
                            <a:latin typeface="Cambria Math"/>
                            <a:ea typeface="Cambria Math"/>
                          </a:rPr>
                          <m:t>𝑉</m:t>
                        </m:r>
                      </m:sub>
                    </m:sSub>
                    <m:d>
                      <m:dPr>
                        <m:ctrlPr>
                          <a:rPr lang="en-US" sz="1100" i="1" kern="0">
                            <a:solidFill>
                              <a:srgbClr val="000000"/>
                            </a:solidFill>
                            <a:latin typeface="Cambria Math" panose="02040503050406030204" pitchFamily="18" charset="0"/>
                          </a:rPr>
                        </m:ctrlPr>
                      </m:dPr>
                      <m:e>
                        <m:sSub>
                          <m:sSubPr>
                            <m:ctrlPr>
                              <a:rPr lang="en-US" sz="1100" i="1" kern="0">
                                <a:solidFill>
                                  <a:srgbClr val="000000"/>
                                </a:solidFill>
                                <a:latin typeface="Cambria Math" panose="02040503050406030204" pitchFamily="18" charset="0"/>
                              </a:rPr>
                            </m:ctrlPr>
                          </m:sSubPr>
                          <m:e>
                            <m:r>
                              <a:rPr lang="en-US" sz="1100" b="0" i="1" kern="0">
                                <a:solidFill>
                                  <a:srgbClr val="000000"/>
                                </a:solidFill>
                                <a:latin typeface="Cambria Math"/>
                              </a:rPr>
                              <m:t>𝑡</m:t>
                            </m:r>
                          </m:e>
                          <m:sub>
                            <m:r>
                              <a:rPr lang="en-US" sz="1100" b="0" i="1" kern="0">
                                <a:solidFill>
                                  <a:srgbClr val="000000"/>
                                </a:solidFill>
                                <a:latin typeface="Cambria Math"/>
                              </a:rPr>
                              <m:t>0</m:t>
                            </m:r>
                          </m:sub>
                        </m:sSub>
                      </m:e>
                    </m:d>
                    <m:r>
                      <a:rPr lang="en-US" sz="1100" i="1" kern="0">
                        <a:solidFill>
                          <a:srgbClr val="000000"/>
                        </a:solidFill>
                        <a:latin typeface="Cambria Math"/>
                      </a:rPr>
                      <m:t>=</m:t>
                    </m:r>
                    <m:sSub>
                      <m:sSubPr>
                        <m:ctrlPr>
                          <a:rPr lang="en-US" sz="1100" i="1" kern="0">
                            <a:solidFill>
                              <a:srgbClr val="000000"/>
                            </a:solidFill>
                            <a:latin typeface="Cambria Math" panose="02040503050406030204" pitchFamily="18" charset="0"/>
                          </a:rPr>
                        </m:ctrlPr>
                      </m:sSubPr>
                      <m:e>
                        <m:r>
                          <a:rPr lang="en-US" sz="1100" b="0" i="1" kern="0">
                            <a:solidFill>
                              <a:srgbClr val="000000"/>
                            </a:solidFill>
                            <a:latin typeface="Cambria Math"/>
                          </a:rPr>
                          <m:t>𝑉</m:t>
                        </m:r>
                      </m:e>
                      <m:sub>
                        <m:r>
                          <a:rPr lang="en-US" sz="1100" i="1" kern="0">
                            <a:solidFill>
                              <a:srgbClr val="000000"/>
                            </a:solidFill>
                            <a:latin typeface="Cambria Math"/>
                          </a:rPr>
                          <m:t>0</m:t>
                        </m:r>
                      </m:sub>
                    </m:sSub>
                    <m:sSup>
                      <m:sSupPr>
                        <m:ctrlPr>
                          <a:rPr lang="en-US" sz="1100" i="1" kern="0">
                            <a:solidFill>
                              <a:srgbClr val="000000"/>
                            </a:solidFill>
                            <a:latin typeface="Cambria Math" panose="02040503050406030204" pitchFamily="18" charset="0"/>
                          </a:rPr>
                        </m:ctrlPr>
                      </m:sSupPr>
                      <m:e>
                        <m:r>
                          <a:rPr lang="en-US" sz="1100" i="1" kern="0">
                            <a:solidFill>
                              <a:srgbClr val="000000"/>
                            </a:solidFill>
                            <a:latin typeface="Cambria Math"/>
                          </a:rPr>
                          <m:t>𝑒</m:t>
                        </m:r>
                      </m:e>
                      <m:sup>
                        <m:r>
                          <a:rPr lang="en-US" sz="1100" i="1" kern="0">
                            <a:solidFill>
                              <a:srgbClr val="000000"/>
                            </a:solidFill>
                            <a:latin typeface="Cambria Math"/>
                          </a:rPr>
                          <m:t>−</m:t>
                        </m:r>
                        <m:r>
                          <a:rPr lang="en-US" sz="1100" i="1" kern="0">
                            <a:solidFill>
                              <a:srgbClr val="000000"/>
                            </a:solidFill>
                            <a:latin typeface="Cambria Math"/>
                          </a:rPr>
                          <m:t>𝑞𝑉</m:t>
                        </m:r>
                        <m:d>
                          <m:dPr>
                            <m:ctrlPr>
                              <a:rPr lang="en-US" sz="1100" i="1" kern="0">
                                <a:solidFill>
                                  <a:srgbClr val="000000"/>
                                </a:solidFill>
                                <a:latin typeface="Cambria Math" panose="02040503050406030204" pitchFamily="18" charset="0"/>
                                <a:ea typeface="Cambria Math"/>
                              </a:rPr>
                            </m:ctrlPr>
                          </m:dPr>
                          <m:e>
                            <m:r>
                              <a:rPr lang="en-US" sz="1100" b="0" i="1" kern="0">
                                <a:solidFill>
                                  <a:srgbClr val="000000"/>
                                </a:solidFill>
                                <a:latin typeface="Cambria Math"/>
                                <a:ea typeface="Cambria Math"/>
                              </a:rPr>
                              <m:t>𝑇</m:t>
                            </m:r>
                            <m:r>
                              <a:rPr lang="en-US" sz="1100" i="1" kern="0">
                                <a:solidFill>
                                  <a:srgbClr val="000000"/>
                                </a:solidFill>
                                <a:latin typeface="Cambria Math"/>
                                <a:ea typeface="Cambria Math"/>
                              </a:rPr>
                              <m:t>−</m:t>
                            </m:r>
                            <m:r>
                              <a:rPr lang="en-US" sz="1100" b="0" i="1" kern="0">
                                <a:solidFill>
                                  <a:srgbClr val="000000"/>
                                </a:solidFill>
                                <a:latin typeface="Cambria Math"/>
                                <a:ea typeface="Cambria Math"/>
                              </a:rPr>
                              <m:t>𝑡</m:t>
                            </m:r>
                          </m:e>
                        </m:d>
                      </m:sup>
                    </m:sSup>
                    <m:r>
                      <a:rPr lang="en-US" sz="1100" i="1" kern="0">
                        <a:solidFill>
                          <a:srgbClr val="000000"/>
                        </a:solidFill>
                        <a:latin typeface="Cambria Math"/>
                        <a:ea typeface="Cambria Math"/>
                      </a:rPr>
                      <m:t>𝑁</m:t>
                    </m:r>
                    <m:d>
                      <m:dPr>
                        <m:ctrlPr>
                          <a:rPr lang="en-US" sz="1100" i="1" kern="0">
                            <a:solidFill>
                              <a:srgbClr val="000000"/>
                            </a:solidFill>
                            <a:latin typeface="Cambria Math" panose="02040503050406030204" pitchFamily="18" charset="0"/>
                            <a:ea typeface="Cambria Math"/>
                          </a:rPr>
                        </m:ctrlPr>
                      </m:dPr>
                      <m:e>
                        <m:sSub>
                          <m:sSubPr>
                            <m:ctrlPr>
                              <a:rPr lang="en-US" sz="1100" i="1" kern="0">
                                <a:solidFill>
                                  <a:srgbClr val="000000"/>
                                </a:solidFill>
                                <a:latin typeface="Cambria Math" panose="02040503050406030204" pitchFamily="18" charset="0"/>
                                <a:ea typeface="Cambria Math"/>
                              </a:rPr>
                            </m:ctrlPr>
                          </m:sSubPr>
                          <m:e>
                            <m:r>
                              <a:rPr lang="en-US" sz="1100" b="0" i="1" kern="0">
                                <a:solidFill>
                                  <a:srgbClr val="000000"/>
                                </a:solidFill>
                                <a:latin typeface="Cambria Math"/>
                                <a:ea typeface="Cambria Math"/>
                              </a:rPr>
                              <m:t>𝑑</m:t>
                            </m:r>
                          </m:e>
                          <m:sub>
                            <m:r>
                              <a:rPr lang="en-US" sz="1100" i="1" kern="0">
                                <a:solidFill>
                                  <a:srgbClr val="000000"/>
                                </a:solidFill>
                                <a:latin typeface="Cambria Math"/>
                                <a:ea typeface="Cambria Math"/>
                              </a:rPr>
                              <m:t>1</m:t>
                            </m:r>
                          </m:sub>
                        </m:sSub>
                      </m:e>
                    </m:d>
                    <m:r>
                      <a:rPr lang="en-US" sz="1100" i="1" kern="0">
                        <a:solidFill>
                          <a:srgbClr val="000000"/>
                        </a:solidFill>
                        <a:latin typeface="Cambria Math"/>
                      </a:rPr>
                      <m:t>−</m:t>
                    </m:r>
                    <m:sSub>
                      <m:sSubPr>
                        <m:ctrlPr>
                          <a:rPr lang="en-US" sz="1100" i="1" kern="0">
                            <a:solidFill>
                              <a:srgbClr val="000000"/>
                            </a:solidFill>
                            <a:latin typeface="Cambria Math" panose="02040503050406030204" pitchFamily="18" charset="0"/>
                          </a:rPr>
                        </m:ctrlPr>
                      </m:sSubPr>
                      <m:e>
                        <m:r>
                          <a:rPr lang="en-US" sz="1100" b="0" i="1" kern="0">
                            <a:solidFill>
                              <a:srgbClr val="000000"/>
                            </a:solidFill>
                            <a:latin typeface="Cambria Math"/>
                          </a:rPr>
                          <m:t>𝑈</m:t>
                        </m:r>
                      </m:e>
                      <m:sub>
                        <m:r>
                          <a:rPr lang="en-US" sz="1100" b="0" i="1" kern="0">
                            <a:solidFill>
                              <a:srgbClr val="000000"/>
                            </a:solidFill>
                            <a:latin typeface="Cambria Math"/>
                          </a:rPr>
                          <m:t>0</m:t>
                        </m:r>
                      </m:sub>
                    </m:sSub>
                    <m:sSup>
                      <m:sSupPr>
                        <m:ctrlPr>
                          <a:rPr lang="en-US" sz="1100" i="1" kern="0">
                            <a:solidFill>
                              <a:srgbClr val="000000"/>
                            </a:solidFill>
                            <a:latin typeface="Cambria Math" panose="02040503050406030204" pitchFamily="18" charset="0"/>
                          </a:rPr>
                        </m:ctrlPr>
                      </m:sSupPr>
                      <m:e>
                        <m:r>
                          <a:rPr lang="en-US" sz="1100" i="1" kern="0">
                            <a:solidFill>
                              <a:srgbClr val="000000"/>
                            </a:solidFill>
                            <a:latin typeface="Cambria Math"/>
                          </a:rPr>
                          <m:t>𝑒</m:t>
                        </m:r>
                      </m:e>
                      <m:sup>
                        <m:r>
                          <a:rPr lang="en-US" sz="1100" i="1" kern="0">
                            <a:solidFill>
                              <a:srgbClr val="000000"/>
                            </a:solidFill>
                            <a:latin typeface="Cambria Math"/>
                          </a:rPr>
                          <m:t>−</m:t>
                        </m:r>
                        <m:r>
                          <a:rPr lang="en-US" sz="1100" b="0" i="1" kern="0">
                            <a:solidFill>
                              <a:srgbClr val="000000"/>
                            </a:solidFill>
                            <a:latin typeface="Cambria Math"/>
                          </a:rPr>
                          <m:t>𝑞</m:t>
                        </m:r>
                        <m:r>
                          <a:rPr lang="en-US" sz="1100" b="0" i="1" kern="0" baseline="-25000">
                            <a:solidFill>
                              <a:srgbClr val="000000"/>
                            </a:solidFill>
                            <a:latin typeface="Cambria Math"/>
                          </a:rPr>
                          <m:t>𝑈</m:t>
                        </m:r>
                        <m:d>
                          <m:dPr>
                            <m:ctrlPr>
                              <a:rPr lang="en-US" sz="1100" i="1" kern="0">
                                <a:solidFill>
                                  <a:srgbClr val="000000"/>
                                </a:solidFill>
                                <a:latin typeface="Cambria Math" panose="02040503050406030204" pitchFamily="18" charset="0"/>
                                <a:ea typeface="Cambria Math"/>
                              </a:rPr>
                            </m:ctrlPr>
                          </m:dPr>
                          <m:e>
                            <m:r>
                              <a:rPr lang="en-US" sz="1100" b="0" i="1" kern="0">
                                <a:solidFill>
                                  <a:srgbClr val="000000"/>
                                </a:solidFill>
                                <a:latin typeface="Cambria Math"/>
                                <a:ea typeface="Cambria Math"/>
                              </a:rPr>
                              <m:t>𝑇</m:t>
                            </m:r>
                            <m:r>
                              <a:rPr lang="en-US" sz="1100" i="1" kern="0">
                                <a:solidFill>
                                  <a:srgbClr val="000000"/>
                                </a:solidFill>
                                <a:latin typeface="Cambria Math"/>
                                <a:ea typeface="Cambria Math"/>
                              </a:rPr>
                              <m:t>−</m:t>
                            </m:r>
                            <m:r>
                              <a:rPr lang="en-US" sz="1100" i="1" kern="0">
                                <a:solidFill>
                                  <a:srgbClr val="000000"/>
                                </a:solidFill>
                                <a:latin typeface="Cambria Math"/>
                                <a:ea typeface="Cambria Math"/>
                              </a:rPr>
                              <m:t>𝑡</m:t>
                            </m:r>
                          </m:e>
                        </m:d>
                      </m:sup>
                    </m:sSup>
                    <m:r>
                      <a:rPr lang="en-US" sz="1100" i="1" kern="0">
                        <a:solidFill>
                          <a:srgbClr val="000000"/>
                        </a:solidFill>
                        <a:latin typeface="Cambria Math"/>
                        <a:ea typeface="Cambria Math"/>
                      </a:rPr>
                      <m:t>𝑁</m:t>
                    </m:r>
                    <m:d>
                      <m:dPr>
                        <m:ctrlPr>
                          <a:rPr lang="en-US" sz="1100" i="1" kern="0">
                            <a:solidFill>
                              <a:srgbClr val="000000"/>
                            </a:solidFill>
                            <a:latin typeface="Cambria Math" panose="02040503050406030204" pitchFamily="18" charset="0"/>
                            <a:ea typeface="Cambria Math"/>
                          </a:rPr>
                        </m:ctrlPr>
                      </m:dPr>
                      <m:e>
                        <m:sSub>
                          <m:sSubPr>
                            <m:ctrlPr>
                              <a:rPr lang="en-US" sz="1100" i="1" kern="0">
                                <a:solidFill>
                                  <a:srgbClr val="000000"/>
                                </a:solidFill>
                                <a:latin typeface="Cambria Math" panose="02040503050406030204" pitchFamily="18" charset="0"/>
                                <a:ea typeface="Cambria Math"/>
                              </a:rPr>
                            </m:ctrlPr>
                          </m:sSubPr>
                          <m:e>
                            <m:r>
                              <a:rPr lang="en-US" sz="1100" b="0" i="1" kern="0">
                                <a:solidFill>
                                  <a:srgbClr val="000000"/>
                                </a:solidFill>
                                <a:latin typeface="Cambria Math"/>
                                <a:ea typeface="Cambria Math"/>
                              </a:rPr>
                              <m:t>𝑑</m:t>
                            </m:r>
                          </m:e>
                          <m:sub>
                            <m:r>
                              <a:rPr lang="en-US" sz="1100" b="0" i="1" kern="0">
                                <a:solidFill>
                                  <a:srgbClr val="000000"/>
                                </a:solidFill>
                                <a:latin typeface="Cambria Math"/>
                                <a:ea typeface="Cambria Math"/>
                              </a:rPr>
                              <m:t>2</m:t>
                            </m:r>
                          </m:sub>
                        </m:sSub>
                      </m:e>
                    </m:d>
                  </m:oMath>
                </m:oMathPara>
              </a14:m>
              <a:endParaRPr lang="es-MX" sz="1100" kern="0">
                <a:solidFill>
                  <a:srgbClr val="000000"/>
                </a:solidFill>
                <a:latin typeface="Tahoma" pitchFamily="34" charset="0"/>
              </a:endParaRPr>
            </a:p>
          </xdr:txBody>
        </xdr:sp>
      </mc:Choice>
      <mc:Fallback xmlns="">
        <xdr:sp macro="" textlink="">
          <xdr:nvSpPr>
            <xdr:cNvPr id="73" name="Rectangle 2">
              <a:extLst>
                <a:ext uri="{FF2B5EF4-FFF2-40B4-BE49-F238E27FC236}">
                  <a16:creationId xmlns:a16="http://schemas.microsoft.com/office/drawing/2014/main" id="{A3544C82-84DD-1F40-9418-665D704A3CF0}"/>
                </a:ext>
              </a:extLst>
            </xdr:cNvPr>
            <xdr:cNvSpPr txBox="1">
              <a:spLocks noChangeArrowheads="1"/>
            </xdr:cNvSpPr>
          </xdr:nvSpPr>
          <xdr:spPr bwMode="auto">
            <a:xfrm>
              <a:off x="884237" y="4721225"/>
              <a:ext cx="7220924" cy="677788"/>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100" b="0" i="0" kern="0">
                  <a:solidFill>
                    <a:srgbClr val="000000"/>
                  </a:solidFill>
                  <a:latin typeface="Cambria Math"/>
                </a:rPr>
                <a:t>𝑐</a:t>
              </a:r>
              <a:r>
                <a:rPr lang="en-US" sz="1100" b="0" i="0" kern="0">
                  <a:solidFill>
                    <a:srgbClr val="000000"/>
                  </a:solidFill>
                  <a:latin typeface="Cambria Math" panose="02040503050406030204" pitchFamily="18" charset="0"/>
                </a:rPr>
                <a:t>_(</a:t>
              </a:r>
              <a:r>
                <a:rPr lang="en-US" sz="1100" b="0" i="0" kern="0">
                  <a:solidFill>
                    <a:srgbClr val="000000"/>
                  </a:solidFill>
                  <a:latin typeface="Cambria Math"/>
                </a:rPr>
                <a:t>𝑈</a:t>
              </a:r>
              <a:r>
                <a:rPr lang="en-US" sz="1100" b="0" i="0" kern="0">
                  <a:solidFill>
                    <a:srgbClr val="000000"/>
                  </a:solidFill>
                  <a:latin typeface="Cambria Math"/>
                  <a:ea typeface="Cambria Math"/>
                </a:rPr>
                <a:t>×𝑉</a:t>
              </a:r>
              <a:r>
                <a:rPr lang="en-US" sz="1100" b="0" i="0" kern="0">
                  <a:solidFill>
                    <a:srgbClr val="000000"/>
                  </a:solidFill>
                  <a:latin typeface="Cambria Math" panose="02040503050406030204" pitchFamily="18" charset="0"/>
                  <a:ea typeface="Cambria Math"/>
                </a:rPr>
                <a:t>) </a:t>
              </a:r>
              <a:r>
                <a:rPr lang="en-US" sz="1100" i="0" kern="0">
                  <a:solidFill>
                    <a:srgbClr val="000000"/>
                  </a:solidFill>
                  <a:latin typeface="Cambria Math" panose="02040503050406030204" pitchFamily="18" charset="0"/>
                </a:rPr>
                <a:t>(</a:t>
              </a:r>
              <a:r>
                <a:rPr lang="en-US" sz="1100" b="0" i="0" kern="0">
                  <a:solidFill>
                    <a:srgbClr val="000000"/>
                  </a:solidFill>
                  <a:latin typeface="Cambria Math"/>
                </a:rPr>
                <a:t>𝑡</a:t>
              </a:r>
              <a:r>
                <a:rPr lang="en-US" sz="1100" b="0" i="0" kern="0">
                  <a:solidFill>
                    <a:srgbClr val="000000"/>
                  </a:solidFill>
                  <a:latin typeface="Cambria Math" panose="02040503050406030204" pitchFamily="18" charset="0"/>
                </a:rPr>
                <a:t>_</a:t>
              </a:r>
              <a:r>
                <a:rPr lang="en-US" sz="1100" b="0" i="0" kern="0">
                  <a:solidFill>
                    <a:srgbClr val="000000"/>
                  </a:solidFill>
                  <a:latin typeface="Cambria Math"/>
                </a:rPr>
                <a:t>0</a:t>
              </a:r>
              <a:r>
                <a:rPr lang="en-US" sz="1100" b="0" i="0" kern="0">
                  <a:solidFill>
                    <a:srgbClr val="000000"/>
                  </a:solidFill>
                  <a:latin typeface="Cambria Math" panose="02040503050406030204" pitchFamily="18" charset="0"/>
                </a:rPr>
                <a:t> )</a:t>
              </a:r>
              <a:r>
                <a:rPr lang="en-US" sz="1100" i="0" kern="0">
                  <a:solidFill>
                    <a:srgbClr val="000000"/>
                  </a:solidFill>
                  <a:latin typeface="Cambria Math"/>
                </a:rPr>
                <a:t>=</a:t>
              </a:r>
              <a:r>
                <a:rPr lang="en-US" sz="1100" b="0" i="0" kern="0">
                  <a:solidFill>
                    <a:srgbClr val="000000"/>
                  </a:solidFill>
                  <a:latin typeface="Cambria Math"/>
                </a:rPr>
                <a:t>𝑉</a:t>
              </a:r>
              <a:r>
                <a:rPr lang="en-US" sz="1100" b="0" i="0" kern="0">
                  <a:solidFill>
                    <a:srgbClr val="000000"/>
                  </a:solidFill>
                  <a:latin typeface="Cambria Math" panose="02040503050406030204" pitchFamily="18" charset="0"/>
                </a:rPr>
                <a:t>_</a:t>
              </a:r>
              <a:r>
                <a:rPr lang="en-US" sz="1100" i="0" kern="0">
                  <a:solidFill>
                    <a:srgbClr val="000000"/>
                  </a:solidFill>
                  <a:latin typeface="Cambria Math"/>
                </a:rPr>
                <a:t>0</a:t>
              </a:r>
              <a:r>
                <a:rPr lang="en-US" sz="1100" i="0" kern="0">
                  <a:solidFill>
                    <a:srgbClr val="000000"/>
                  </a:solidFill>
                  <a:latin typeface="Cambria Math" panose="02040503050406030204" pitchFamily="18" charset="0"/>
                </a:rPr>
                <a:t> </a:t>
              </a:r>
              <a:r>
                <a:rPr lang="en-US" sz="1100" i="0" kern="0">
                  <a:solidFill>
                    <a:srgbClr val="000000"/>
                  </a:solidFill>
                  <a:latin typeface="Cambria Math"/>
                </a:rPr>
                <a:t>𝑒</a:t>
              </a:r>
              <a:r>
                <a:rPr lang="en-US" sz="1100" i="0" kern="0">
                  <a:solidFill>
                    <a:srgbClr val="000000"/>
                  </a:solidFill>
                  <a:latin typeface="Cambria Math" panose="02040503050406030204" pitchFamily="18" charset="0"/>
                </a:rPr>
                <a:t>^(</a:t>
              </a:r>
              <a:r>
                <a:rPr lang="en-US" sz="1100" i="0" kern="0">
                  <a:solidFill>
                    <a:srgbClr val="000000"/>
                  </a:solidFill>
                  <a:latin typeface="Cambria Math"/>
                </a:rPr>
                <a:t>−𝑞𝑉</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r>
                <a:rPr lang="en-US" sz="1100" i="0" kern="0">
                  <a:solidFill>
                    <a:srgbClr val="000000"/>
                  </a:solidFill>
                  <a:latin typeface="Cambria Math"/>
                  <a:ea typeface="Cambria Math"/>
                </a:rPr>
                <a:t>−</a:t>
              </a:r>
              <a:r>
                <a:rPr lang="en-US" sz="1100" b="0" i="0" kern="0">
                  <a:solidFill>
                    <a:srgbClr val="000000"/>
                  </a:solidFill>
                  <a:latin typeface="Cambria Math"/>
                  <a:ea typeface="Cambria Math"/>
                </a:rPr>
                <a:t>𝑡</a:t>
              </a:r>
              <a:r>
                <a:rPr lang="en-US" sz="1100" b="0" i="0" kern="0">
                  <a:solidFill>
                    <a:srgbClr val="000000"/>
                  </a:solidFill>
                  <a:latin typeface="Cambria Math" panose="02040503050406030204" pitchFamily="18" charset="0"/>
                  <a:ea typeface="Cambria Math"/>
                </a:rPr>
                <a:t>) )</a:t>
              </a:r>
              <a:r>
                <a:rPr lang="en-US" sz="1100" b="0" i="0" kern="0">
                  <a:solidFill>
                    <a:srgbClr val="000000"/>
                  </a:solidFill>
                  <a:latin typeface="Cambria Math"/>
                  <a:ea typeface="Cambria Math"/>
                </a:rPr>
                <a:t> </a:t>
              </a:r>
              <a:r>
                <a:rPr lang="en-US" sz="1100" i="0" kern="0">
                  <a:solidFill>
                    <a:srgbClr val="000000"/>
                  </a:solidFill>
                  <a:latin typeface="Cambria Math"/>
                  <a:ea typeface="Cambria Math"/>
                </a:rPr>
                <a:t>𝑁</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𝑑</a:t>
              </a:r>
              <a:r>
                <a:rPr lang="en-US" sz="1100" b="0" i="0" kern="0">
                  <a:solidFill>
                    <a:srgbClr val="000000"/>
                  </a:solidFill>
                  <a:latin typeface="Cambria Math" panose="02040503050406030204" pitchFamily="18" charset="0"/>
                  <a:ea typeface="Cambria Math"/>
                </a:rPr>
                <a:t>_</a:t>
              </a:r>
              <a:r>
                <a:rPr lang="en-US" sz="1100" i="0" kern="0">
                  <a:solidFill>
                    <a:srgbClr val="000000"/>
                  </a:solidFill>
                  <a:latin typeface="Cambria Math"/>
                  <a:ea typeface="Cambria Math"/>
                </a:rPr>
                <a:t>1</a:t>
              </a:r>
              <a:r>
                <a:rPr lang="en-US" sz="1100" i="0" kern="0">
                  <a:solidFill>
                    <a:srgbClr val="000000"/>
                  </a:solidFill>
                  <a:latin typeface="Cambria Math" panose="02040503050406030204" pitchFamily="18" charset="0"/>
                  <a:ea typeface="Cambria Math"/>
                </a:rPr>
                <a:t> )</a:t>
              </a:r>
              <a:r>
                <a:rPr lang="en-US" sz="1100" i="0" kern="0">
                  <a:solidFill>
                    <a:srgbClr val="000000"/>
                  </a:solidFill>
                  <a:latin typeface="Cambria Math"/>
                </a:rPr>
                <a:t>−</a:t>
              </a:r>
              <a:r>
                <a:rPr lang="en-US" sz="1100" b="0" i="0" kern="0">
                  <a:solidFill>
                    <a:srgbClr val="000000"/>
                  </a:solidFill>
                  <a:latin typeface="Cambria Math"/>
                </a:rPr>
                <a:t>𝑈</a:t>
              </a:r>
              <a:r>
                <a:rPr lang="en-US" sz="1100" b="0" i="0" kern="0">
                  <a:solidFill>
                    <a:srgbClr val="000000"/>
                  </a:solidFill>
                  <a:latin typeface="Cambria Math" panose="02040503050406030204" pitchFamily="18" charset="0"/>
                </a:rPr>
                <a:t>_</a:t>
              </a:r>
              <a:r>
                <a:rPr lang="en-US" sz="1100" b="0" i="0" kern="0">
                  <a:solidFill>
                    <a:srgbClr val="000000"/>
                  </a:solidFill>
                  <a:latin typeface="Cambria Math"/>
                </a:rPr>
                <a:t>0</a:t>
              </a:r>
              <a:r>
                <a:rPr lang="en-US" sz="1100" b="0" i="0" kern="0">
                  <a:solidFill>
                    <a:srgbClr val="000000"/>
                  </a:solidFill>
                  <a:latin typeface="Cambria Math" panose="02040503050406030204" pitchFamily="18" charset="0"/>
                </a:rPr>
                <a:t> </a:t>
              </a:r>
              <a:r>
                <a:rPr lang="en-US" sz="1100" i="0" kern="0">
                  <a:solidFill>
                    <a:srgbClr val="000000"/>
                  </a:solidFill>
                  <a:latin typeface="Cambria Math"/>
                </a:rPr>
                <a:t>𝑒</a:t>
              </a:r>
              <a:r>
                <a:rPr lang="en-US" sz="1100" i="0" kern="0">
                  <a:solidFill>
                    <a:srgbClr val="000000"/>
                  </a:solidFill>
                  <a:latin typeface="Cambria Math" panose="02040503050406030204" pitchFamily="18" charset="0"/>
                </a:rPr>
                <a:t>^(</a:t>
              </a:r>
              <a:r>
                <a:rPr lang="en-US" sz="1100" i="0" kern="0">
                  <a:solidFill>
                    <a:srgbClr val="000000"/>
                  </a:solidFill>
                  <a:latin typeface="Cambria Math"/>
                </a:rPr>
                <a:t>−</a:t>
              </a:r>
              <a:r>
                <a:rPr lang="en-US" sz="1100" b="0" i="0" kern="0">
                  <a:solidFill>
                    <a:srgbClr val="000000"/>
                  </a:solidFill>
                  <a:latin typeface="Cambria Math"/>
                </a:rPr>
                <a:t>𝑞</a:t>
              </a:r>
              <a:r>
                <a:rPr lang="en-US" sz="1100" b="0" i="0" kern="0" baseline="-25000">
                  <a:solidFill>
                    <a:srgbClr val="000000"/>
                  </a:solidFill>
                  <a:latin typeface="Cambria Math"/>
                </a:rPr>
                <a:t>𝑈</a:t>
              </a:r>
              <a:r>
                <a:rPr lang="en-US" sz="1100" b="0" i="0" kern="0" baseline="-2500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𝑇</a:t>
              </a:r>
              <a:r>
                <a:rPr lang="en-US" sz="1100" i="0" kern="0">
                  <a:solidFill>
                    <a:srgbClr val="000000"/>
                  </a:solidFill>
                  <a:latin typeface="Cambria Math"/>
                  <a:ea typeface="Cambria Math"/>
                </a:rPr>
                <a:t>−𝑡</a:t>
              </a:r>
              <a:r>
                <a:rPr lang="en-US" sz="1100" i="0" kern="0">
                  <a:solidFill>
                    <a:srgbClr val="000000"/>
                  </a:solidFill>
                  <a:latin typeface="Cambria Math" panose="02040503050406030204" pitchFamily="18" charset="0"/>
                  <a:ea typeface="Cambria Math"/>
                </a:rPr>
                <a:t>) )</a:t>
              </a:r>
              <a:r>
                <a:rPr lang="en-US" sz="1100" i="0" kern="0">
                  <a:solidFill>
                    <a:srgbClr val="000000"/>
                  </a:solidFill>
                  <a:latin typeface="Cambria Math"/>
                  <a:ea typeface="Cambria Math"/>
                </a:rPr>
                <a:t> 𝑁</a:t>
              </a:r>
              <a:r>
                <a:rPr lang="en-US" sz="1100" i="0" kern="0">
                  <a:solidFill>
                    <a:srgbClr val="000000"/>
                  </a:solidFill>
                  <a:latin typeface="Cambria Math" panose="02040503050406030204" pitchFamily="18" charset="0"/>
                  <a:ea typeface="Cambria Math"/>
                </a:rPr>
                <a:t>(</a:t>
              </a:r>
              <a:r>
                <a:rPr lang="en-US" sz="1100" b="0" i="0" kern="0">
                  <a:solidFill>
                    <a:srgbClr val="000000"/>
                  </a:solidFill>
                  <a:latin typeface="Cambria Math"/>
                  <a:ea typeface="Cambria Math"/>
                </a:rPr>
                <a:t>𝑑</a:t>
              </a:r>
              <a:r>
                <a:rPr lang="en-US" sz="1100" b="0" i="0" kern="0">
                  <a:solidFill>
                    <a:srgbClr val="000000"/>
                  </a:solidFill>
                  <a:latin typeface="Cambria Math" panose="02040503050406030204" pitchFamily="18" charset="0"/>
                  <a:ea typeface="Cambria Math"/>
                </a:rPr>
                <a:t>_</a:t>
              </a:r>
              <a:r>
                <a:rPr lang="en-US" sz="1100" b="0" i="0" kern="0">
                  <a:solidFill>
                    <a:srgbClr val="000000"/>
                  </a:solidFill>
                  <a:latin typeface="Cambria Math"/>
                  <a:ea typeface="Cambria Math"/>
                </a:rPr>
                <a:t>2</a:t>
              </a:r>
              <a:r>
                <a:rPr lang="en-US" sz="1100" b="0" i="0" kern="0">
                  <a:solidFill>
                    <a:srgbClr val="000000"/>
                  </a:solidFill>
                  <a:latin typeface="Cambria Math" panose="02040503050406030204" pitchFamily="18" charset="0"/>
                  <a:ea typeface="Cambria Math"/>
                </a:rPr>
                <a:t> )</a:t>
              </a:r>
              <a:endParaRPr lang="es-MX" sz="1100" kern="0">
                <a:solidFill>
                  <a:srgbClr val="000000"/>
                </a:solidFill>
                <a:latin typeface="Tahoma" pitchFamily="34" charset="0"/>
              </a:endParaRPr>
            </a:p>
          </xdr:txBody>
        </xdr:sp>
      </mc:Fallback>
    </mc:AlternateContent>
    <xdr:clientData/>
  </xdr:twoCellAnchor>
  <xdr:twoCellAnchor>
    <xdr:from>
      <xdr:col>13</xdr:col>
      <xdr:colOff>706438</xdr:colOff>
      <xdr:row>658</xdr:row>
      <xdr:rowOff>165100</xdr:rowOff>
    </xdr:from>
    <xdr:to>
      <xdr:col>17</xdr:col>
      <xdr:colOff>176696</xdr:colOff>
      <xdr:row>665</xdr:row>
      <xdr:rowOff>68436</xdr:rowOff>
    </xdr:to>
    <mc:AlternateContent xmlns:mc="http://schemas.openxmlformats.org/markup-compatibility/2006" xmlns:a14="http://schemas.microsoft.com/office/drawing/2010/main">
      <mc:Choice Requires="a14">
        <xdr:sp macro="" textlink="">
          <xdr:nvSpPr>
            <xdr:cNvPr id="74" name="Rectangle 2">
              <a:extLst>
                <a:ext uri="{FF2B5EF4-FFF2-40B4-BE49-F238E27FC236}">
                  <a16:creationId xmlns:a16="http://schemas.microsoft.com/office/drawing/2014/main" id="{00000000-0008-0000-0000-00004A000000}"/>
                </a:ext>
              </a:extLst>
            </xdr:cNvPr>
            <xdr:cNvSpPr txBox="1">
              <a:spLocks noChangeArrowheads="1"/>
            </xdr:cNvSpPr>
          </xdr:nvSpPr>
          <xdr:spPr bwMode="auto">
            <a:xfrm>
              <a:off x="12302090" y="137325100"/>
              <a:ext cx="2948954" cy="1604032"/>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14:m>
                <m:oMathPara xmlns:m="http://schemas.openxmlformats.org/officeDocument/2006/math">
                  <m:oMathParaPr>
                    <m:jc m:val="left"/>
                  </m:oMathParaPr>
                  <m:oMath xmlns:m="http://schemas.openxmlformats.org/officeDocument/2006/math">
                    <m:r>
                      <a:rPr lang="en-US" sz="1050" i="1" kern="0">
                        <a:solidFill>
                          <a:srgbClr val="000000"/>
                        </a:solidFill>
                        <a:latin typeface="Cambria Math"/>
                      </a:rPr>
                      <m:t> </m:t>
                    </m:r>
                    <m:sSub>
                      <m:sSubPr>
                        <m:ctrlPr>
                          <a:rPr lang="en-US" sz="1050" i="1" kern="0">
                            <a:solidFill>
                              <a:srgbClr val="000000"/>
                            </a:solidFill>
                            <a:latin typeface="Cambria Math" panose="02040503050406030204" pitchFamily="18" charset="0"/>
                          </a:rPr>
                        </m:ctrlPr>
                      </m:sSubPr>
                      <m:e>
                        <m:r>
                          <a:rPr lang="en-US" sz="1050" b="0" i="1" kern="0">
                            <a:solidFill>
                              <a:srgbClr val="000000"/>
                            </a:solidFill>
                            <a:latin typeface="Cambria Math"/>
                          </a:rPr>
                          <m:t>𝑑</m:t>
                        </m:r>
                      </m:e>
                      <m:sub>
                        <m:r>
                          <a:rPr lang="en-US" sz="1050" b="0" i="1" kern="0">
                            <a:solidFill>
                              <a:srgbClr val="000000"/>
                            </a:solidFill>
                            <a:latin typeface="Cambria Math"/>
                          </a:rPr>
                          <m:t>1</m:t>
                        </m:r>
                      </m:sub>
                    </m:sSub>
                    <m:r>
                      <a:rPr lang="en-US" sz="1050" i="1" kern="0">
                        <a:solidFill>
                          <a:srgbClr val="000000"/>
                        </a:solidFill>
                        <a:latin typeface="Cambria Math"/>
                        <a:ea typeface="Cambria Math"/>
                      </a:rPr>
                      <m:t>=</m:t>
                    </m:r>
                    <m:f>
                      <m:fPr>
                        <m:ctrlPr>
                          <a:rPr lang="en-US" sz="1050" i="1" kern="0">
                            <a:solidFill>
                              <a:srgbClr val="000000"/>
                            </a:solidFill>
                            <a:latin typeface="Cambria Math" panose="02040503050406030204" pitchFamily="18" charset="0"/>
                            <a:ea typeface="Cambria Math"/>
                          </a:rPr>
                        </m:ctrlPr>
                      </m:fPr>
                      <m:num>
                        <m:r>
                          <a:rPr lang="en-US" sz="1050" b="0" i="1" kern="0">
                            <a:solidFill>
                              <a:srgbClr val="000000"/>
                            </a:solidFill>
                            <a:latin typeface="Cambria Math"/>
                            <a:ea typeface="Cambria Math"/>
                          </a:rPr>
                          <m:t>𝑙𝑛</m:t>
                        </m:r>
                        <m:d>
                          <m:dPr>
                            <m:ctrlPr>
                              <a:rPr lang="en-US" sz="1050" b="0" i="1" kern="0">
                                <a:solidFill>
                                  <a:srgbClr val="000000"/>
                                </a:solidFill>
                                <a:latin typeface="Cambria Math" panose="02040503050406030204" pitchFamily="18" charset="0"/>
                                <a:ea typeface="Cambria Math"/>
                              </a:rPr>
                            </m:ctrlPr>
                          </m:dPr>
                          <m:e>
                            <m:f>
                              <m:fPr>
                                <m:ctrlPr>
                                  <a:rPr lang="en-US" sz="1050" b="0" i="1" kern="0">
                                    <a:solidFill>
                                      <a:srgbClr val="000000"/>
                                    </a:solidFill>
                                    <a:latin typeface="Cambria Math" panose="02040503050406030204" pitchFamily="18" charset="0"/>
                                    <a:ea typeface="Cambria Math"/>
                                  </a:rPr>
                                </m:ctrlPr>
                              </m:fPr>
                              <m:num>
                                <m:sSub>
                                  <m:sSubPr>
                                    <m:ctrlPr>
                                      <a:rPr lang="en-US" sz="1050" b="0" i="1" kern="0">
                                        <a:solidFill>
                                          <a:srgbClr val="000000"/>
                                        </a:solidFill>
                                        <a:latin typeface="Cambria Math" panose="02040503050406030204" pitchFamily="18" charset="0"/>
                                        <a:ea typeface="Cambria Math"/>
                                      </a:rPr>
                                    </m:ctrlPr>
                                  </m:sSubPr>
                                  <m:e>
                                    <m:r>
                                      <a:rPr lang="en-US" sz="1050" b="0" i="1" kern="0">
                                        <a:solidFill>
                                          <a:srgbClr val="000000"/>
                                        </a:solidFill>
                                        <a:latin typeface="Cambria Math"/>
                                        <a:ea typeface="Cambria Math"/>
                                      </a:rPr>
                                      <m:t>𝑉</m:t>
                                    </m:r>
                                  </m:e>
                                  <m:sub>
                                    <m:r>
                                      <a:rPr lang="en-US" sz="1050" b="0" i="1" kern="0">
                                        <a:solidFill>
                                          <a:srgbClr val="000000"/>
                                        </a:solidFill>
                                        <a:latin typeface="Cambria Math"/>
                                        <a:ea typeface="Cambria Math"/>
                                      </a:rPr>
                                      <m:t>0</m:t>
                                    </m:r>
                                  </m:sub>
                                </m:sSub>
                              </m:num>
                              <m:den>
                                <m:sSub>
                                  <m:sSubPr>
                                    <m:ctrlPr>
                                      <a:rPr lang="en-US" sz="1050" i="1" kern="0">
                                        <a:solidFill>
                                          <a:srgbClr val="000000"/>
                                        </a:solidFill>
                                        <a:latin typeface="Cambria Math" panose="02040503050406030204" pitchFamily="18" charset="0"/>
                                        <a:ea typeface="Cambria Math"/>
                                      </a:rPr>
                                    </m:ctrlPr>
                                  </m:sSubPr>
                                  <m:e>
                                    <m:r>
                                      <a:rPr lang="en-US" sz="1050" b="0" i="1" kern="0">
                                        <a:solidFill>
                                          <a:srgbClr val="000000"/>
                                        </a:solidFill>
                                        <a:latin typeface="Cambria Math"/>
                                        <a:ea typeface="Cambria Math"/>
                                      </a:rPr>
                                      <m:t>𝑈</m:t>
                                    </m:r>
                                  </m:e>
                                  <m:sub>
                                    <m:r>
                                      <a:rPr lang="en-US" sz="1050" b="0" i="1" kern="0">
                                        <a:solidFill>
                                          <a:srgbClr val="000000"/>
                                        </a:solidFill>
                                        <a:latin typeface="Cambria Math"/>
                                        <a:ea typeface="Cambria Math"/>
                                      </a:rPr>
                                      <m:t>0</m:t>
                                    </m:r>
                                  </m:sub>
                                </m:sSub>
                              </m:den>
                            </m:f>
                          </m:e>
                        </m:d>
                        <m:r>
                          <a:rPr lang="en-US" sz="1050" b="0" i="1" kern="0">
                            <a:solidFill>
                              <a:srgbClr val="000000"/>
                            </a:solidFill>
                            <a:latin typeface="Cambria Math"/>
                            <a:ea typeface="Cambria Math"/>
                          </a:rPr>
                          <m:t>+</m:t>
                        </m:r>
                        <m:d>
                          <m:dPr>
                            <m:ctrlPr>
                              <a:rPr lang="en-US" sz="1050" b="0" i="1" kern="0">
                                <a:solidFill>
                                  <a:srgbClr val="000000"/>
                                </a:solidFill>
                                <a:latin typeface="Cambria Math" panose="02040503050406030204" pitchFamily="18" charset="0"/>
                                <a:ea typeface="Cambria Math"/>
                              </a:rPr>
                            </m:ctrlPr>
                          </m:dPr>
                          <m:e>
                            <m:r>
                              <a:rPr lang="en-US" sz="1050" b="0" i="1" kern="0">
                                <a:solidFill>
                                  <a:srgbClr val="000000"/>
                                </a:solidFill>
                                <a:latin typeface="Cambria Math"/>
                                <a:ea typeface="Cambria Math"/>
                              </a:rPr>
                              <m:t>𝑞</m:t>
                            </m:r>
                            <m:r>
                              <a:rPr lang="en-US" sz="1050" b="0" i="1" kern="0" baseline="-25000">
                                <a:solidFill>
                                  <a:srgbClr val="000000"/>
                                </a:solidFill>
                                <a:latin typeface="Cambria Math"/>
                                <a:ea typeface="Cambria Math"/>
                              </a:rPr>
                              <m:t>𝑈</m:t>
                            </m:r>
                            <m:r>
                              <a:rPr lang="en-US" sz="1050" b="0" i="1" kern="0">
                                <a:solidFill>
                                  <a:srgbClr val="000000"/>
                                </a:solidFill>
                                <a:latin typeface="Cambria Math"/>
                                <a:ea typeface="Cambria Math"/>
                              </a:rPr>
                              <m:t>−</m:t>
                            </m:r>
                            <m:r>
                              <a:rPr lang="en-US" sz="1050" b="0" i="1" kern="0">
                                <a:solidFill>
                                  <a:srgbClr val="000000"/>
                                </a:solidFill>
                                <a:latin typeface="Cambria Math"/>
                                <a:ea typeface="Cambria Math"/>
                              </a:rPr>
                              <m:t>𝑞𝑉</m:t>
                            </m:r>
                            <m:r>
                              <a:rPr lang="en-US" sz="1050" b="0" i="1" kern="0">
                                <a:solidFill>
                                  <a:srgbClr val="000000"/>
                                </a:solidFill>
                                <a:latin typeface="Cambria Math"/>
                                <a:ea typeface="Cambria Math"/>
                              </a:rPr>
                              <m:t>+</m:t>
                            </m:r>
                            <m:f>
                              <m:fPr>
                                <m:ctrlPr>
                                  <a:rPr lang="en-US" sz="1050" b="0" i="1" kern="0">
                                    <a:solidFill>
                                      <a:srgbClr val="000000"/>
                                    </a:solidFill>
                                    <a:latin typeface="Cambria Math" panose="02040503050406030204" pitchFamily="18" charset="0"/>
                                    <a:ea typeface="Cambria Math"/>
                                  </a:rPr>
                                </m:ctrlPr>
                              </m:fPr>
                              <m:num>
                                <m:sSup>
                                  <m:sSupPr>
                                    <m:ctrlPr>
                                      <a:rPr lang="en-US" sz="1050" i="1" kern="0">
                                        <a:solidFill>
                                          <a:srgbClr val="000000"/>
                                        </a:solidFill>
                                        <a:latin typeface="Cambria Math" panose="02040503050406030204" pitchFamily="18" charset="0"/>
                                        <a:ea typeface="Cambria Math"/>
                                      </a:rPr>
                                    </m:ctrlPr>
                                  </m:sSupPr>
                                  <m:e>
                                    <m:acc>
                                      <m:accPr>
                                        <m:chr m:val="̂"/>
                                        <m:ctrlPr>
                                          <a:rPr lang="en-US" sz="1050" i="1" kern="0">
                                            <a:solidFill>
                                              <a:srgbClr val="000000"/>
                                            </a:solidFill>
                                            <a:latin typeface="Cambria Math" panose="02040503050406030204" pitchFamily="18" charset="0"/>
                                            <a:ea typeface="Cambria Math"/>
                                          </a:rPr>
                                        </m:ctrlPr>
                                      </m:accPr>
                                      <m:e>
                                        <m:r>
                                          <a:rPr lang="en-US" sz="1050" i="1" kern="0">
                                            <a:solidFill>
                                              <a:srgbClr val="000000"/>
                                            </a:solidFill>
                                            <a:latin typeface="Cambria Math"/>
                                            <a:ea typeface="Cambria Math"/>
                                          </a:rPr>
                                          <m:t>𝜎</m:t>
                                        </m:r>
                                      </m:e>
                                    </m:acc>
                                  </m:e>
                                  <m:sup>
                                    <m:r>
                                      <a:rPr lang="en-US" sz="1050" i="1" kern="0">
                                        <a:solidFill>
                                          <a:srgbClr val="000000"/>
                                        </a:solidFill>
                                        <a:latin typeface="Cambria Math"/>
                                        <a:ea typeface="Cambria Math"/>
                                      </a:rPr>
                                      <m:t>2</m:t>
                                    </m:r>
                                  </m:sup>
                                </m:sSup>
                              </m:num>
                              <m:den>
                                <m:r>
                                  <a:rPr lang="en-US" sz="1050" b="0" i="1" kern="0">
                                    <a:solidFill>
                                      <a:srgbClr val="000000"/>
                                    </a:solidFill>
                                    <a:latin typeface="Cambria Math"/>
                                    <a:ea typeface="Cambria Math"/>
                                  </a:rPr>
                                  <m:t>2</m:t>
                                </m:r>
                              </m:den>
                            </m:f>
                          </m:e>
                        </m:d>
                        <m:d>
                          <m:dPr>
                            <m:ctrlPr>
                              <a:rPr lang="en-US" sz="1050" b="0" i="1" kern="0">
                                <a:solidFill>
                                  <a:srgbClr val="000000"/>
                                </a:solidFill>
                                <a:latin typeface="Cambria Math" panose="02040503050406030204" pitchFamily="18" charset="0"/>
                                <a:ea typeface="Cambria Math"/>
                              </a:rPr>
                            </m:ctrlPr>
                          </m:dPr>
                          <m:e>
                            <m:r>
                              <a:rPr lang="en-US" sz="1050" b="0" i="1" kern="0">
                                <a:solidFill>
                                  <a:srgbClr val="000000"/>
                                </a:solidFill>
                                <a:latin typeface="Cambria Math"/>
                                <a:ea typeface="Cambria Math"/>
                              </a:rPr>
                              <m:t>𝑇</m:t>
                            </m:r>
                            <m:r>
                              <a:rPr lang="en-US" sz="1050" b="0" i="1" kern="0">
                                <a:solidFill>
                                  <a:srgbClr val="000000"/>
                                </a:solidFill>
                                <a:latin typeface="Cambria Math"/>
                                <a:ea typeface="Cambria Math"/>
                              </a:rPr>
                              <m:t>−</m:t>
                            </m:r>
                            <m:r>
                              <a:rPr lang="en-US" sz="1050" b="0" i="1" kern="0">
                                <a:solidFill>
                                  <a:srgbClr val="000000"/>
                                </a:solidFill>
                                <a:latin typeface="Cambria Math"/>
                                <a:ea typeface="Cambria Math"/>
                              </a:rPr>
                              <m:t>𝑡</m:t>
                            </m:r>
                          </m:e>
                        </m:d>
                      </m:num>
                      <m:den>
                        <m:acc>
                          <m:accPr>
                            <m:chr m:val="̂"/>
                            <m:ctrlPr>
                              <a:rPr lang="en-US" sz="1050" b="0" i="1" kern="0">
                                <a:solidFill>
                                  <a:srgbClr val="000000"/>
                                </a:solidFill>
                                <a:latin typeface="Cambria Math" panose="02040503050406030204" pitchFamily="18" charset="0"/>
                                <a:ea typeface="Cambria Math"/>
                              </a:rPr>
                            </m:ctrlPr>
                          </m:accPr>
                          <m:e>
                            <m:r>
                              <a:rPr lang="en-US" sz="1050" i="1" kern="0">
                                <a:solidFill>
                                  <a:srgbClr val="000000"/>
                                </a:solidFill>
                                <a:latin typeface="Cambria Math"/>
                                <a:ea typeface="Cambria Math"/>
                              </a:rPr>
                              <m:t>𝜎</m:t>
                            </m:r>
                          </m:e>
                        </m:acc>
                        <m:rad>
                          <m:radPr>
                            <m:degHide m:val="on"/>
                            <m:ctrlPr>
                              <a:rPr lang="en-US" sz="1050" i="1" kern="0">
                                <a:solidFill>
                                  <a:srgbClr val="000000"/>
                                </a:solidFill>
                                <a:latin typeface="Cambria Math" panose="02040503050406030204" pitchFamily="18" charset="0"/>
                                <a:ea typeface="Cambria Math"/>
                              </a:rPr>
                            </m:ctrlPr>
                          </m:radPr>
                          <m:deg/>
                          <m:e>
                            <m:r>
                              <a:rPr lang="en-US" sz="1050" b="0" i="1" kern="0">
                                <a:solidFill>
                                  <a:srgbClr val="000000"/>
                                </a:solidFill>
                                <a:latin typeface="Cambria Math"/>
                                <a:ea typeface="Cambria Math"/>
                              </a:rPr>
                              <m:t>𝑇</m:t>
                            </m:r>
                            <m:r>
                              <a:rPr lang="en-US" sz="1050" b="0" i="1" kern="0">
                                <a:solidFill>
                                  <a:srgbClr val="000000"/>
                                </a:solidFill>
                                <a:latin typeface="Cambria Math"/>
                                <a:ea typeface="Cambria Math"/>
                              </a:rPr>
                              <m:t>−</m:t>
                            </m:r>
                            <m:r>
                              <a:rPr lang="en-US" sz="1050" b="0" i="1" kern="0">
                                <a:solidFill>
                                  <a:srgbClr val="000000"/>
                                </a:solidFill>
                                <a:latin typeface="Cambria Math"/>
                                <a:ea typeface="Cambria Math"/>
                              </a:rPr>
                              <m:t>𝑡</m:t>
                            </m:r>
                          </m:e>
                        </m:rad>
                      </m:den>
                    </m:f>
                  </m:oMath>
                </m:oMathPara>
              </a14:m>
              <a:endParaRPr lang="es-MX" sz="1050" kern="0">
                <a:solidFill>
                  <a:srgbClr val="000000"/>
                </a:solidFill>
                <a:latin typeface="Tahoma" pitchFamily="34" charset="0"/>
              </a:endParaRPr>
            </a:p>
          </xdr:txBody>
        </xdr:sp>
      </mc:Choice>
      <mc:Fallback xmlns="">
        <xdr:sp macro="" textlink="">
          <xdr:nvSpPr>
            <xdr:cNvPr id="74" name="Rectangle 2">
              <a:extLst>
                <a:ext uri="{FF2B5EF4-FFF2-40B4-BE49-F238E27FC236}">
                  <a16:creationId xmlns:a16="http://schemas.microsoft.com/office/drawing/2014/main" id="{96D95F10-2B98-1A41-B74D-F0A6745DCC64}"/>
                </a:ext>
              </a:extLst>
            </xdr:cNvPr>
            <xdr:cNvSpPr txBox="1">
              <a:spLocks noChangeArrowheads="1"/>
            </xdr:cNvSpPr>
          </xdr:nvSpPr>
          <xdr:spPr bwMode="auto">
            <a:xfrm>
              <a:off x="12302090" y="137325100"/>
              <a:ext cx="2948954" cy="1604032"/>
            </a:xfrm>
            <a:prstGeom prst="rect">
              <a:avLst/>
            </a:prstGeom>
            <a:noFill/>
            <a:ln w="9525">
              <a:noFill/>
              <a:miter lim="800000"/>
              <a:headEnd/>
              <a:tailEnd/>
            </a:ln>
          </xdr:spPr>
          <xdr:txBody>
            <a:bodyPr vert="horz" wrap="square" lIns="91440" tIns="45720" rIns="91440" bIns="45720" numCol="1" anchor="ctr" anchorCtr="0" compatLnSpc="1">
              <a:prstTxWarp prst="textNoShape">
                <a:avLst/>
              </a:prstTxWarp>
            </a:bodyPr>
            <a:lstStyle>
              <a:defPPr>
                <a:defRPr lang="es-MX"/>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just" fontAlgn="base">
                <a:lnSpc>
                  <a:spcPct val="140000"/>
                </a:lnSpc>
                <a:spcBef>
                  <a:spcPct val="35000"/>
                </a:spcBef>
                <a:spcAft>
                  <a:spcPct val="35000"/>
                </a:spcAft>
                <a:defRPr/>
              </a:pPr>
              <a:r>
                <a:rPr lang="en-US" sz="1050" i="0" kern="0">
                  <a:solidFill>
                    <a:srgbClr val="000000"/>
                  </a:solidFill>
                  <a:latin typeface="Cambria Math"/>
                </a:rPr>
                <a:t> </a:t>
              </a:r>
              <a:r>
                <a:rPr lang="en-US" sz="1050" b="0" i="0" kern="0">
                  <a:solidFill>
                    <a:srgbClr val="000000"/>
                  </a:solidFill>
                  <a:latin typeface="Cambria Math"/>
                </a:rPr>
                <a:t>𝑑</a:t>
              </a:r>
              <a:r>
                <a:rPr lang="en-US" sz="1050" b="0" i="0" kern="0">
                  <a:solidFill>
                    <a:srgbClr val="000000"/>
                  </a:solidFill>
                  <a:latin typeface="Cambria Math" panose="02040503050406030204" pitchFamily="18" charset="0"/>
                </a:rPr>
                <a:t>_</a:t>
              </a:r>
              <a:r>
                <a:rPr lang="en-US" sz="1050" b="0" i="0" kern="0">
                  <a:solidFill>
                    <a:srgbClr val="000000"/>
                  </a:solidFill>
                  <a:latin typeface="Cambria Math"/>
                </a:rPr>
                <a:t>1</a:t>
              </a:r>
              <a:r>
                <a:rPr lang="en-US" sz="1050" i="0" kern="0">
                  <a:solidFill>
                    <a:srgbClr val="000000"/>
                  </a:solidFill>
                  <a:latin typeface="Cambria Math"/>
                  <a:ea typeface="Cambria Math"/>
                </a:rPr>
                <a:t>=</a:t>
              </a:r>
              <a:r>
                <a:rPr lang="en-US" sz="105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𝑙𝑛</a:t>
              </a:r>
              <a:r>
                <a:rPr lang="en-US" sz="1050" b="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𝑉</a:t>
              </a:r>
              <a:r>
                <a:rPr lang="en-US" sz="1050" b="0" i="0" kern="0">
                  <a:solidFill>
                    <a:srgbClr val="000000"/>
                  </a:solidFill>
                  <a:latin typeface="Cambria Math" panose="02040503050406030204" pitchFamily="18" charset="0"/>
                  <a:ea typeface="Cambria Math"/>
                </a:rPr>
                <a:t>_</a:t>
              </a:r>
              <a:r>
                <a:rPr lang="en-US" sz="1050" b="0" i="0" kern="0">
                  <a:solidFill>
                    <a:srgbClr val="000000"/>
                  </a:solidFill>
                  <a:latin typeface="Cambria Math"/>
                  <a:ea typeface="Cambria Math"/>
                </a:rPr>
                <a:t>0</a:t>
              </a:r>
              <a:r>
                <a:rPr lang="en-US" sz="1050" b="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𝑈</a:t>
              </a:r>
              <a:r>
                <a:rPr lang="en-US" sz="1050" b="0" i="0" kern="0">
                  <a:solidFill>
                    <a:srgbClr val="000000"/>
                  </a:solidFill>
                  <a:latin typeface="Cambria Math" panose="02040503050406030204" pitchFamily="18" charset="0"/>
                  <a:ea typeface="Cambria Math"/>
                </a:rPr>
                <a:t>_</a:t>
              </a:r>
              <a:r>
                <a:rPr lang="en-US" sz="1050" b="0" i="0" kern="0">
                  <a:solidFill>
                    <a:srgbClr val="000000"/>
                  </a:solidFill>
                  <a:latin typeface="Cambria Math"/>
                  <a:ea typeface="Cambria Math"/>
                </a:rPr>
                <a:t>0</a:t>
              </a:r>
              <a:r>
                <a:rPr lang="en-US" sz="1050" b="0" i="0" kern="0">
                  <a:solidFill>
                    <a:srgbClr val="000000"/>
                  </a:solidFill>
                  <a:latin typeface="Cambria Math" panose="02040503050406030204" pitchFamily="18" charset="0"/>
                  <a:ea typeface="Cambria Math"/>
                </a:rPr>
                <a:t> )</a:t>
              </a:r>
              <a:r>
                <a:rPr lang="en-US" sz="1050" b="0" i="0" kern="0">
                  <a:solidFill>
                    <a:srgbClr val="000000"/>
                  </a:solidFill>
                  <a:latin typeface="Cambria Math"/>
                  <a:ea typeface="Cambria Math"/>
                </a:rPr>
                <a:t>+</a:t>
              </a:r>
              <a:r>
                <a:rPr lang="en-US" sz="1050" b="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𝑞</a:t>
              </a:r>
              <a:r>
                <a:rPr lang="en-US" sz="1050" b="0" i="0" kern="0" baseline="-25000">
                  <a:solidFill>
                    <a:srgbClr val="000000"/>
                  </a:solidFill>
                  <a:latin typeface="Cambria Math"/>
                  <a:ea typeface="Cambria Math"/>
                </a:rPr>
                <a:t>𝑈</a:t>
              </a:r>
              <a:r>
                <a:rPr lang="en-US" sz="1050" b="0" i="0" kern="0">
                  <a:solidFill>
                    <a:srgbClr val="000000"/>
                  </a:solidFill>
                  <a:latin typeface="Cambria Math"/>
                  <a:ea typeface="Cambria Math"/>
                </a:rPr>
                <a:t>−𝑞𝑉+</a:t>
              </a:r>
              <a:r>
                <a:rPr lang="en-US" sz="1050" i="0" kern="0">
                  <a:solidFill>
                    <a:srgbClr val="000000"/>
                  </a:solidFill>
                  <a:latin typeface="Cambria Math"/>
                  <a:ea typeface="Cambria Math"/>
                </a:rPr>
                <a:t>𝜎</a:t>
              </a:r>
              <a:r>
                <a:rPr lang="en-US" sz="1050" i="0" kern="0">
                  <a:solidFill>
                    <a:srgbClr val="000000"/>
                  </a:solidFill>
                  <a:latin typeface="Cambria Math" panose="02040503050406030204" pitchFamily="18" charset="0"/>
                  <a:ea typeface="Cambria Math"/>
                </a:rPr>
                <a:t> ̂^</a:t>
              </a:r>
              <a:r>
                <a:rPr lang="en-US" sz="1050" i="0" kern="0">
                  <a:solidFill>
                    <a:srgbClr val="000000"/>
                  </a:solidFill>
                  <a:latin typeface="Cambria Math"/>
                  <a:ea typeface="Cambria Math"/>
                </a:rPr>
                <a:t>2</a:t>
              </a:r>
              <a:r>
                <a:rPr lang="en-US" sz="1050" b="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2</a:t>
              </a:r>
              <a:r>
                <a:rPr lang="en-US" sz="1050" b="0" i="0" kern="0">
                  <a:solidFill>
                    <a:srgbClr val="000000"/>
                  </a:solidFill>
                  <a:latin typeface="Cambria Math" panose="02040503050406030204" pitchFamily="18" charset="0"/>
                  <a:ea typeface="Cambria Math"/>
                </a:rPr>
                <a:t>)(</a:t>
              </a:r>
              <a:r>
                <a:rPr lang="en-US" sz="1050" b="0" i="0" kern="0">
                  <a:solidFill>
                    <a:srgbClr val="000000"/>
                  </a:solidFill>
                  <a:latin typeface="Cambria Math"/>
                  <a:ea typeface="Cambria Math"/>
                </a:rPr>
                <a:t>𝑇−𝑡</a:t>
              </a:r>
              <a:r>
                <a:rPr lang="en-US" sz="1050" b="0" i="0" kern="0">
                  <a:solidFill>
                    <a:srgbClr val="000000"/>
                  </a:solidFill>
                  <a:latin typeface="Cambria Math" panose="02040503050406030204" pitchFamily="18" charset="0"/>
                  <a:ea typeface="Cambria Math"/>
                </a:rPr>
                <a:t>))/(</a:t>
              </a:r>
              <a:r>
                <a:rPr lang="en-US" sz="1050" i="0" kern="0">
                  <a:solidFill>
                    <a:srgbClr val="000000"/>
                  </a:solidFill>
                  <a:latin typeface="Cambria Math"/>
                  <a:ea typeface="Cambria Math"/>
                </a:rPr>
                <a:t>𝜎</a:t>
              </a:r>
              <a:r>
                <a:rPr lang="en-US" sz="1050" b="0" i="0" kern="0">
                  <a:solidFill>
                    <a:srgbClr val="000000"/>
                  </a:solidFill>
                  <a:latin typeface="Cambria Math" panose="02040503050406030204" pitchFamily="18" charset="0"/>
                  <a:ea typeface="Cambria Math"/>
                </a:rPr>
                <a:t> ̂√(</a:t>
              </a:r>
              <a:r>
                <a:rPr lang="en-US" sz="1050" b="0" i="0" kern="0">
                  <a:solidFill>
                    <a:srgbClr val="000000"/>
                  </a:solidFill>
                  <a:latin typeface="Cambria Math"/>
                  <a:ea typeface="Cambria Math"/>
                </a:rPr>
                <a:t>𝑇−𝑡</a:t>
              </a:r>
              <a:r>
                <a:rPr lang="en-US" sz="1050" b="0" i="0" kern="0">
                  <a:solidFill>
                    <a:srgbClr val="000000"/>
                  </a:solidFill>
                  <a:latin typeface="Cambria Math" panose="02040503050406030204" pitchFamily="18" charset="0"/>
                  <a:ea typeface="Cambria Math"/>
                </a:rPr>
                <a:t>))</a:t>
              </a:r>
              <a:endParaRPr lang="es-MX" sz="1050" kern="0">
                <a:solidFill>
                  <a:srgbClr val="000000"/>
                </a:solidFill>
                <a:latin typeface="Tahoma" pitchFamily="34" charset="0"/>
              </a:endParaRPr>
            </a:p>
          </xdr:txBody>
        </xdr:sp>
      </mc:Fallback>
    </mc:AlternateContent>
    <xdr:clientData/>
  </xdr:twoCellAnchor>
  <xdr:twoCellAnchor editAs="oneCell">
    <xdr:from>
      <xdr:col>11</xdr:col>
      <xdr:colOff>0</xdr:colOff>
      <xdr:row>738</xdr:row>
      <xdr:rowOff>0</xdr:rowOff>
    </xdr:from>
    <xdr:to>
      <xdr:col>12</xdr:col>
      <xdr:colOff>952934</xdr:colOff>
      <xdr:row>740</xdr:row>
      <xdr:rowOff>187333</xdr:rowOff>
    </xdr:to>
    <xdr:pic>
      <xdr:nvPicPr>
        <xdr:cNvPr id="78" name="Imagen 77">
          <a:extLst>
            <a:ext uri="{FF2B5EF4-FFF2-40B4-BE49-F238E27FC236}">
              <a16:creationId xmlns:a16="http://schemas.microsoft.com/office/drawing/2014/main" id="{00000000-0008-0000-0000-00004E000000}"/>
            </a:ext>
          </a:extLst>
        </xdr:cNvPr>
        <xdr:cNvPicPr>
          <a:picLocks noChangeAspect="1" noChangeArrowheads="1"/>
        </xdr:cNvPicPr>
      </xdr:nvPicPr>
      <xdr:blipFill>
        <a:blip xmlns:r="http://schemas.openxmlformats.org/officeDocument/2006/relationships" r:embed="rId47">
          <a:extLst>
            <a:ext uri="{28A0092B-C50C-407E-A947-70E740481C1C}">
              <a14:useLocalDpi xmlns:a14="http://schemas.microsoft.com/office/drawing/2010/main" val="0"/>
            </a:ext>
          </a:extLst>
        </a:blip>
        <a:srcRect/>
        <a:stretch>
          <a:fillRect/>
        </a:stretch>
      </xdr:blipFill>
      <xdr:spPr bwMode="auto">
        <a:xfrm>
          <a:off x="12433300" y="154800300"/>
          <a:ext cx="1778434" cy="5683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742</xdr:row>
      <xdr:rowOff>50800</xdr:rowOff>
    </xdr:from>
    <xdr:to>
      <xdr:col>12</xdr:col>
      <xdr:colOff>762722</xdr:colOff>
      <xdr:row>743</xdr:row>
      <xdr:rowOff>90168</xdr:rowOff>
    </xdr:to>
    <xdr:pic>
      <xdr:nvPicPr>
        <xdr:cNvPr id="79" name="Imagen 78">
          <a:extLst>
            <a:ext uri="{FF2B5EF4-FFF2-40B4-BE49-F238E27FC236}">
              <a16:creationId xmlns:a16="http://schemas.microsoft.com/office/drawing/2014/main" id="{00000000-0008-0000-0000-00004F000000}"/>
            </a:ext>
          </a:extLst>
        </xdr:cNvPr>
        <xdr:cNvPicPr>
          <a:picLocks noChangeAspect="1" noChangeArrowheads="1"/>
        </xdr:cNvPicPr>
      </xdr:nvPicPr>
      <xdr:blipFill>
        <a:blip xmlns:r="http://schemas.openxmlformats.org/officeDocument/2006/relationships" r:embed="rId48">
          <a:extLst>
            <a:ext uri="{28A0092B-C50C-407E-A947-70E740481C1C}">
              <a14:useLocalDpi xmlns:a14="http://schemas.microsoft.com/office/drawing/2010/main" val="0"/>
            </a:ext>
          </a:extLst>
        </a:blip>
        <a:srcRect/>
        <a:stretch>
          <a:fillRect/>
        </a:stretch>
      </xdr:blipFill>
      <xdr:spPr bwMode="auto">
        <a:xfrm>
          <a:off x="12357100" y="155714700"/>
          <a:ext cx="1575522" cy="2298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750</xdr:row>
      <xdr:rowOff>177800</xdr:rowOff>
    </xdr:from>
    <xdr:to>
      <xdr:col>15</xdr:col>
      <xdr:colOff>240435</xdr:colOff>
      <xdr:row>752</xdr:row>
      <xdr:rowOff>137820</xdr:rowOff>
    </xdr:to>
    <xdr:pic>
      <xdr:nvPicPr>
        <xdr:cNvPr id="80" name="Imagen 79">
          <a:extLst>
            <a:ext uri="{FF2B5EF4-FFF2-40B4-BE49-F238E27FC236}">
              <a16:creationId xmlns:a16="http://schemas.microsoft.com/office/drawing/2014/main" id="{00000000-0008-0000-0000-000050000000}"/>
            </a:ext>
          </a:extLst>
        </xdr:cNvPr>
        <xdr:cNvPicPr>
          <a:picLocks noChangeAspect="1" noChangeArrowheads="1"/>
        </xdr:cNvPicPr>
      </xdr:nvPicPr>
      <xdr:blipFill>
        <a:blip xmlns:r="http://schemas.openxmlformats.org/officeDocument/2006/relationships" r:embed="rId49">
          <a:extLst>
            <a:ext uri="{28A0092B-C50C-407E-A947-70E740481C1C}">
              <a14:useLocalDpi xmlns:a14="http://schemas.microsoft.com/office/drawing/2010/main" val="0"/>
            </a:ext>
          </a:extLst>
        </a:blip>
        <a:srcRect/>
        <a:stretch>
          <a:fillRect/>
        </a:stretch>
      </xdr:blipFill>
      <xdr:spPr bwMode="auto">
        <a:xfrm>
          <a:off x="12395200" y="157556200"/>
          <a:ext cx="4367935" cy="3410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760</xdr:row>
      <xdr:rowOff>12700</xdr:rowOff>
    </xdr:from>
    <xdr:to>
      <xdr:col>13</xdr:col>
      <xdr:colOff>618632</xdr:colOff>
      <xdr:row>765</xdr:row>
      <xdr:rowOff>80023</xdr:rowOff>
    </xdr:to>
    <xdr:pic>
      <xdr:nvPicPr>
        <xdr:cNvPr id="82" name="Imagen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50"/>
        <a:stretch>
          <a:fillRect/>
        </a:stretch>
      </xdr:blipFill>
      <xdr:spPr>
        <a:xfrm>
          <a:off x="12331700" y="159588200"/>
          <a:ext cx="3069732" cy="1045222"/>
        </a:xfrm>
        <a:prstGeom prst="rect">
          <a:avLst/>
        </a:prstGeom>
      </xdr:spPr>
    </xdr:pic>
    <xdr:clientData/>
  </xdr:twoCellAnchor>
  <xdr:twoCellAnchor editAs="oneCell">
    <xdr:from>
      <xdr:col>11</xdr:col>
      <xdr:colOff>0</xdr:colOff>
      <xdr:row>761</xdr:row>
      <xdr:rowOff>139700</xdr:rowOff>
    </xdr:from>
    <xdr:to>
      <xdr:col>15</xdr:col>
      <xdr:colOff>572366</xdr:colOff>
      <xdr:row>767</xdr:row>
      <xdr:rowOff>195810</xdr:rowOff>
    </xdr:to>
    <xdr:pic>
      <xdr:nvPicPr>
        <xdr:cNvPr id="83" name="Imagen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51"/>
        <a:stretch>
          <a:fillRect/>
        </a:stretch>
      </xdr:blipFill>
      <xdr:spPr>
        <a:xfrm>
          <a:off x="14986000" y="159918400"/>
          <a:ext cx="4712566" cy="1237207"/>
        </a:xfrm>
        <a:prstGeom prst="rect">
          <a:avLst/>
        </a:prstGeom>
      </xdr:spPr>
    </xdr:pic>
    <xdr:clientData/>
  </xdr:twoCellAnchor>
  <xdr:twoCellAnchor editAs="oneCell">
    <xdr:from>
      <xdr:col>11</xdr:col>
      <xdr:colOff>0</xdr:colOff>
      <xdr:row>764</xdr:row>
      <xdr:rowOff>88900</xdr:rowOff>
    </xdr:from>
    <xdr:to>
      <xdr:col>12</xdr:col>
      <xdr:colOff>1510707</xdr:colOff>
      <xdr:row>770</xdr:row>
      <xdr:rowOff>80368</xdr:rowOff>
    </xdr:to>
    <xdr:pic>
      <xdr:nvPicPr>
        <xdr:cNvPr id="84" name="Imagen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52"/>
        <a:stretch>
          <a:fillRect/>
        </a:stretch>
      </xdr:blipFill>
      <xdr:spPr>
        <a:xfrm>
          <a:off x="12420600" y="160502600"/>
          <a:ext cx="2336207" cy="1165176"/>
        </a:xfrm>
        <a:prstGeom prst="rect">
          <a:avLst/>
        </a:prstGeom>
      </xdr:spPr>
    </xdr:pic>
    <xdr:clientData/>
  </xdr:twoCellAnchor>
  <xdr:twoCellAnchor editAs="oneCell">
    <xdr:from>
      <xdr:col>11</xdr:col>
      <xdr:colOff>0</xdr:colOff>
      <xdr:row>764</xdr:row>
      <xdr:rowOff>88900</xdr:rowOff>
    </xdr:from>
    <xdr:to>
      <xdr:col>12</xdr:col>
      <xdr:colOff>1590390</xdr:colOff>
      <xdr:row>771</xdr:row>
      <xdr:rowOff>16510</xdr:rowOff>
    </xdr:to>
    <xdr:pic>
      <xdr:nvPicPr>
        <xdr:cNvPr id="85" name="Imagen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53"/>
        <a:stretch>
          <a:fillRect/>
        </a:stretch>
      </xdr:blipFill>
      <xdr:spPr>
        <a:xfrm>
          <a:off x="15049500" y="160502600"/>
          <a:ext cx="2415890" cy="1311911"/>
        </a:xfrm>
        <a:prstGeom prst="rect">
          <a:avLst/>
        </a:prstGeom>
      </xdr:spPr>
    </xdr:pic>
    <xdr:clientData/>
  </xdr:twoCellAnchor>
  <xdr:twoCellAnchor editAs="oneCell">
    <xdr:from>
      <xdr:col>11</xdr:col>
      <xdr:colOff>0</xdr:colOff>
      <xdr:row>774</xdr:row>
      <xdr:rowOff>177800</xdr:rowOff>
    </xdr:from>
    <xdr:to>
      <xdr:col>14</xdr:col>
      <xdr:colOff>496887</xdr:colOff>
      <xdr:row>776</xdr:row>
      <xdr:rowOff>128299</xdr:rowOff>
    </xdr:to>
    <xdr:pic>
      <xdr:nvPicPr>
        <xdr:cNvPr id="86" name="Imagen 85">
          <a:extLst>
            <a:ext uri="{FF2B5EF4-FFF2-40B4-BE49-F238E27FC236}">
              <a16:creationId xmlns:a16="http://schemas.microsoft.com/office/drawing/2014/main" id="{00000000-0008-0000-0000-000056000000}"/>
            </a:ext>
          </a:extLst>
        </xdr:cNvPr>
        <xdr:cNvPicPr>
          <a:picLocks noChangeAspect="1" noChangeArrowheads="1"/>
        </xdr:cNvPicPr>
      </xdr:nvPicPr>
      <xdr:blipFill>
        <a:blip xmlns:r="http://schemas.openxmlformats.org/officeDocument/2006/relationships" r:embed="rId54">
          <a:extLst>
            <a:ext uri="{28A0092B-C50C-407E-A947-70E740481C1C}">
              <a14:useLocalDpi xmlns:a14="http://schemas.microsoft.com/office/drawing/2010/main" val="0"/>
            </a:ext>
          </a:extLst>
        </a:blip>
        <a:srcRect/>
        <a:stretch>
          <a:fillRect/>
        </a:stretch>
      </xdr:blipFill>
      <xdr:spPr bwMode="auto">
        <a:xfrm>
          <a:off x="12357100" y="162725100"/>
          <a:ext cx="3773487" cy="331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776</xdr:row>
      <xdr:rowOff>177800</xdr:rowOff>
    </xdr:from>
    <xdr:to>
      <xdr:col>15</xdr:col>
      <xdr:colOff>145617</xdr:colOff>
      <xdr:row>778</xdr:row>
      <xdr:rowOff>137966</xdr:rowOff>
    </xdr:to>
    <xdr:pic>
      <xdr:nvPicPr>
        <xdr:cNvPr id="87" name="Imagen 86">
          <a:extLst>
            <a:ext uri="{FF2B5EF4-FFF2-40B4-BE49-F238E27FC236}">
              <a16:creationId xmlns:a16="http://schemas.microsoft.com/office/drawing/2014/main" id="{00000000-0008-0000-0000-000057000000}"/>
            </a:ext>
          </a:extLst>
        </xdr:cNvPr>
        <xdr:cNvPicPr>
          <a:picLocks noChangeAspect="1" noChangeArrowheads="1"/>
        </xdr:cNvPicPr>
      </xdr:nvPicPr>
      <xdr:blipFill>
        <a:blip xmlns:r="http://schemas.openxmlformats.org/officeDocument/2006/relationships" r:embed="rId55">
          <a:extLst>
            <a:ext uri="{28A0092B-C50C-407E-A947-70E740481C1C}">
              <a14:useLocalDpi xmlns:a14="http://schemas.microsoft.com/office/drawing/2010/main" val="0"/>
            </a:ext>
          </a:extLst>
        </a:blip>
        <a:srcRect/>
        <a:stretch>
          <a:fillRect/>
        </a:stretch>
      </xdr:blipFill>
      <xdr:spPr bwMode="auto">
        <a:xfrm>
          <a:off x="12319000" y="163156900"/>
          <a:ext cx="4260417" cy="3411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38</xdr:col>
      <xdr:colOff>792054</xdr:colOff>
      <xdr:row>549</xdr:row>
      <xdr:rowOff>140767</xdr:rowOff>
    </xdr:from>
    <xdr:to>
      <xdr:col>44</xdr:col>
      <xdr:colOff>419779</xdr:colOff>
      <xdr:row>562</xdr:row>
      <xdr:rowOff>111295</xdr:rowOff>
    </xdr:to>
    <xdr:graphicFrame macro="">
      <xdr:nvGraphicFramePr>
        <xdr:cNvPr id="90" name="Gráfico 89">
          <a:extLst>
            <a:ext uri="{FF2B5EF4-FFF2-40B4-BE49-F238E27FC236}">
              <a16:creationId xmlns:a16="http://schemas.microsoft.com/office/drawing/2014/main" id="{BCA060D9-7EB6-B513-57E0-966E6C707852}"/>
            </a:ext>
            <a:ext uri="{147F2762-F138-4A5C-976F-8EAC2B608ADB}">
              <a16:predDERef xmlns:a16="http://schemas.microsoft.com/office/drawing/2014/main" pred="{00000000-0008-0000-0000-00005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46</xdr:col>
      <xdr:colOff>6788</xdr:colOff>
      <xdr:row>549</xdr:row>
      <xdr:rowOff>43819</xdr:rowOff>
    </xdr:from>
    <xdr:to>
      <xdr:col>51</xdr:col>
      <xdr:colOff>458559</xdr:colOff>
      <xdr:row>562</xdr:row>
      <xdr:rowOff>14347</xdr:rowOff>
    </xdr:to>
    <xdr:graphicFrame macro="">
      <xdr:nvGraphicFramePr>
        <xdr:cNvPr id="91" name="Gráfico 90">
          <a:extLst>
            <a:ext uri="{FF2B5EF4-FFF2-40B4-BE49-F238E27FC236}">
              <a16:creationId xmlns:a16="http://schemas.microsoft.com/office/drawing/2014/main" id="{7666267F-05A5-476F-A7E4-9A8CC75528B3}"/>
            </a:ext>
            <a:ext uri="{147F2762-F138-4A5C-976F-8EAC2B608ADB}">
              <a16:predDERef xmlns:a16="http://schemas.microsoft.com/office/drawing/2014/main" pred="{BCA060D9-7EB6-B513-57E0-966E6C707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38</xdr:col>
      <xdr:colOff>795867</xdr:colOff>
      <xdr:row>563</xdr:row>
      <xdr:rowOff>169334</xdr:rowOff>
    </xdr:from>
    <xdr:to>
      <xdr:col>44</xdr:col>
      <xdr:colOff>423334</xdr:colOff>
      <xdr:row>577</xdr:row>
      <xdr:rowOff>67734</xdr:rowOff>
    </xdr:to>
    <xdr:graphicFrame macro="">
      <xdr:nvGraphicFramePr>
        <xdr:cNvPr id="93" name="Gráfico 92">
          <a:extLst>
            <a:ext uri="{FF2B5EF4-FFF2-40B4-BE49-F238E27FC236}">
              <a16:creationId xmlns:a16="http://schemas.microsoft.com/office/drawing/2014/main" id="{31961141-141C-19B5-BFB2-A7BC5E67925D}"/>
            </a:ext>
            <a:ext uri="{147F2762-F138-4A5C-976F-8EAC2B608ADB}">
              <a16:predDERef xmlns:a16="http://schemas.microsoft.com/office/drawing/2014/main" pred="{7666267F-05A5-476F-A7E4-9A8CC75528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46</xdr:col>
      <xdr:colOff>33865</xdr:colOff>
      <xdr:row>563</xdr:row>
      <xdr:rowOff>84666</xdr:rowOff>
    </xdr:from>
    <xdr:to>
      <xdr:col>51</xdr:col>
      <xdr:colOff>609599</xdr:colOff>
      <xdr:row>576</xdr:row>
      <xdr:rowOff>169332</xdr:rowOff>
    </xdr:to>
    <xdr:graphicFrame macro="">
      <xdr:nvGraphicFramePr>
        <xdr:cNvPr id="94" name="Gráfico 93">
          <a:extLst>
            <a:ext uri="{FF2B5EF4-FFF2-40B4-BE49-F238E27FC236}">
              <a16:creationId xmlns:a16="http://schemas.microsoft.com/office/drawing/2014/main" id="{032E4D33-140F-3164-77C0-E67DE962EDF3}"/>
            </a:ext>
            <a:ext uri="{147F2762-F138-4A5C-976F-8EAC2B608ADB}">
              <a16:predDERef xmlns:a16="http://schemas.microsoft.com/office/drawing/2014/main" pred="{31961141-141C-19B5-BFB2-A7BC5E679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32</xdr:col>
      <xdr:colOff>518141</xdr:colOff>
      <xdr:row>283</xdr:row>
      <xdr:rowOff>88146</xdr:rowOff>
    </xdr:from>
    <xdr:to>
      <xdr:col>38</xdr:col>
      <xdr:colOff>782674</xdr:colOff>
      <xdr:row>306</xdr:row>
      <xdr:rowOff>162441</xdr:rowOff>
    </xdr:to>
    <xdr:graphicFrame macro="">
      <xdr:nvGraphicFramePr>
        <xdr:cNvPr id="81" name="Gráfico 80">
          <a:extLst>
            <a:ext uri="{FF2B5EF4-FFF2-40B4-BE49-F238E27FC236}">
              <a16:creationId xmlns:a16="http://schemas.microsoft.com/office/drawing/2014/main" id="{B2A8EF70-C1B0-B77B-E676-3BF92555865D}"/>
            </a:ext>
            <a:ext uri="{147F2762-F138-4A5C-976F-8EAC2B608ADB}">
              <a16:predDERef xmlns:a16="http://schemas.microsoft.com/office/drawing/2014/main" pred="{032E4D33-140F-3164-77C0-E67DE962ED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25</xdr:col>
      <xdr:colOff>280581</xdr:colOff>
      <xdr:row>284</xdr:row>
      <xdr:rowOff>1771</xdr:rowOff>
    </xdr:from>
    <xdr:to>
      <xdr:col>32</xdr:col>
      <xdr:colOff>118139</xdr:colOff>
      <xdr:row>306</xdr:row>
      <xdr:rowOff>132906</xdr:rowOff>
    </xdr:to>
    <xdr:graphicFrame macro="">
      <xdr:nvGraphicFramePr>
        <xdr:cNvPr id="88" name="Gráfico 87">
          <a:extLst>
            <a:ext uri="{FF2B5EF4-FFF2-40B4-BE49-F238E27FC236}">
              <a16:creationId xmlns:a16="http://schemas.microsoft.com/office/drawing/2014/main" id="{873D494F-0913-9DE6-5F4F-C7940E97FE5B}"/>
            </a:ext>
            <a:ext uri="{147F2762-F138-4A5C-976F-8EAC2B608ADB}">
              <a16:predDERef xmlns:a16="http://schemas.microsoft.com/office/drawing/2014/main" pred="{B2A8EF70-C1B0-B77B-E676-3BF9255586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949613</xdr:colOff>
      <xdr:row>12</xdr:row>
      <xdr:rowOff>1154</xdr:rowOff>
    </xdr:from>
    <xdr:to>
      <xdr:col>13</xdr:col>
      <xdr:colOff>14432</xdr:colOff>
      <xdr:row>17</xdr:row>
      <xdr:rowOff>53737</xdr:rowOff>
    </xdr:to>
    <xdr:pic>
      <xdr:nvPicPr>
        <xdr:cNvPr id="22" name="Imagen 21" descr="Bull Put Spread: Complete Beginner's Guide | TradingBlock">
          <a:extLst>
            <a:ext uri="{FF2B5EF4-FFF2-40B4-BE49-F238E27FC236}">
              <a16:creationId xmlns:a16="http://schemas.microsoft.com/office/drawing/2014/main" id="{CF82129F-5400-B07F-261F-5BBC5C5F6F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07568" y="3060699"/>
          <a:ext cx="2542887" cy="16833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2309</xdr:colOff>
      <xdr:row>2</xdr:row>
      <xdr:rowOff>259772</xdr:rowOff>
    </xdr:from>
    <xdr:to>
      <xdr:col>13</xdr:col>
      <xdr:colOff>5289</xdr:colOff>
      <xdr:row>8</xdr:row>
      <xdr:rowOff>101023</xdr:rowOff>
    </xdr:to>
    <xdr:pic>
      <xdr:nvPicPr>
        <xdr:cNvPr id="23" name="dimg_QcTmae6GO4XIkPIPoc-COQ_28" descr="Bull Call Spread: Complete Beginner's ...">
          <a:extLst>
            <a:ext uri="{FF2B5EF4-FFF2-40B4-BE49-F238E27FC236}">
              <a16:creationId xmlns:a16="http://schemas.microsoft.com/office/drawing/2014/main" id="{F943B27E-8DBA-8C6A-0C7A-8B154CA0787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970491" y="663863"/>
          <a:ext cx="2470821" cy="16307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983388</xdr:colOff>
      <xdr:row>30</xdr:row>
      <xdr:rowOff>15699</xdr:rowOff>
    </xdr:from>
    <xdr:to>
      <xdr:col>13</xdr:col>
      <xdr:colOff>848</xdr:colOff>
      <xdr:row>34</xdr:row>
      <xdr:rowOff>186545</xdr:rowOff>
    </xdr:to>
    <xdr:pic>
      <xdr:nvPicPr>
        <xdr:cNvPr id="24" name="Imagen 23" descr="Bear Call Spread: Complete Beginner's Guide | TradingBlock">
          <a:extLst>
            <a:ext uri="{FF2B5EF4-FFF2-40B4-BE49-F238E27FC236}">
              <a16:creationId xmlns:a16="http://schemas.microsoft.com/office/drawing/2014/main" id="{A513981A-2250-F125-C0E6-45471C657C8B}"/>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941343" y="8155244"/>
          <a:ext cx="2494679" cy="1628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10</xdr:col>
      <xdr:colOff>0</xdr:colOff>
      <xdr:row>22</xdr:row>
      <xdr:rowOff>0</xdr:rowOff>
    </xdr:from>
    <xdr:to>
      <xdr:col>13</xdr:col>
      <xdr:colOff>0</xdr:colOff>
      <xdr:row>26</xdr:row>
      <xdr:rowOff>110901</xdr:rowOff>
    </xdr:to>
    <xdr:pic>
      <xdr:nvPicPr>
        <xdr:cNvPr id="25" name="Imagen 24" descr="Bear Put Spread: Complete Beginner's Guide | TradingBlock">
          <a:extLst>
            <a:ext uri="{FF2B5EF4-FFF2-40B4-BE49-F238E27FC236}">
              <a16:creationId xmlns:a16="http://schemas.microsoft.com/office/drawing/2014/main" id="{6020B559-459B-F416-B738-5BA4C0BFF04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944412" y="5715000"/>
          <a:ext cx="2465294" cy="16050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48</xdr:row>
      <xdr:rowOff>0</xdr:rowOff>
    </xdr:from>
    <xdr:to>
      <xdr:col>14</xdr:col>
      <xdr:colOff>25399</xdr:colOff>
      <xdr:row>52</xdr:row>
      <xdr:rowOff>58828</xdr:rowOff>
    </xdr:to>
    <xdr:pic>
      <xdr:nvPicPr>
        <xdr:cNvPr id="26" name="Imagen 25">
          <a:extLst>
            <a:ext uri="{FF2B5EF4-FFF2-40B4-BE49-F238E27FC236}">
              <a16:creationId xmlns:a16="http://schemas.microsoft.com/office/drawing/2014/main" id="{8539F83B-3890-75EA-F870-D7E583F46DF5}"/>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1798300" y="13601700"/>
          <a:ext cx="2501899" cy="16463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xdr:colOff>
      <xdr:row>57</xdr:row>
      <xdr:rowOff>1</xdr:rowOff>
    </xdr:from>
    <xdr:to>
      <xdr:col>14</xdr:col>
      <xdr:colOff>33867</xdr:colOff>
      <xdr:row>62</xdr:row>
      <xdr:rowOff>186858</xdr:rowOff>
    </xdr:to>
    <xdr:pic>
      <xdr:nvPicPr>
        <xdr:cNvPr id="27" name="dimg_6cXmaa37EKStqtsP3fXYsQw_10" descr="Calendar Spread Options Strategy ...">
          <a:extLst>
            <a:ext uri="{FF2B5EF4-FFF2-40B4-BE49-F238E27FC236}">
              <a16:creationId xmlns:a16="http://schemas.microsoft.com/office/drawing/2014/main" id="{073A74D0-0BE7-5D20-89D5-611CD5B8BE77}"/>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1819468" y="16340668"/>
          <a:ext cx="2523066" cy="1676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0</xdr:rowOff>
    </xdr:from>
    <xdr:to>
      <xdr:col>7</xdr:col>
      <xdr:colOff>635000</xdr:colOff>
      <xdr:row>67</xdr:row>
      <xdr:rowOff>279400</xdr:rowOff>
    </xdr:to>
    <xdr:sp macro="" textlink="">
      <xdr:nvSpPr>
        <xdr:cNvPr id="4104" name="AutoShape 8">
          <a:extLst>
            <a:ext uri="{FF2B5EF4-FFF2-40B4-BE49-F238E27FC236}">
              <a16:creationId xmlns:a16="http://schemas.microsoft.com/office/drawing/2014/main" id="{82B81F13-A536-AD44-C4CC-E0F773F4281E}"/>
            </a:ext>
          </a:extLst>
        </xdr:cNvPr>
        <xdr:cNvSpPr>
          <a:spLocks noChangeAspect="1" noChangeArrowheads="1"/>
        </xdr:cNvSpPr>
      </xdr:nvSpPr>
      <xdr:spPr bwMode="auto">
        <a:xfrm>
          <a:off x="8318500" y="18618200"/>
          <a:ext cx="635000" cy="495300"/>
        </a:xfrm>
        <a:prstGeom prst="rect">
          <a:avLst/>
        </a:prstGeom>
        <a:noFill/>
        <a:ln>
          <a:noFill/>
        </a:ln>
        <a:effectLst/>
        <a:extLst>
          <a:ext uri="{909E8E84-426E-40DD-AFC4-6F175D3DCCD1}">
            <a14:hiddenFill xmlns:a14="http://schemas.microsoft.com/office/drawing/2010/main">
              <a:solidFill>
                <a:srgbClr xmlns:mc="http://schemas.openxmlformats.org/markup-compatibility/2006" val="C6C6C6" mc:Ignorable="a14" a14:legacySpreadsheetColorIndex="64"/>
              </a:solidFill>
            </a14:hiddenFill>
          </a:ext>
          <a:ext uri="{91240B29-F687-4F45-9708-019B960494DF}">
            <a14:hiddenLine xmlns:a14="http://schemas.microsoft.com/office/drawing/2010/main" w="1">
              <a:solidFill>
                <a:srgbClr xmlns:mc="http://schemas.openxmlformats.org/markup-compatibility/2006" val="000000" mc:Ignorable="a14" a14:legacySpreadsheetColorIndex="65"/>
              </a:solidFill>
              <a:miter lim="800000"/>
              <a:headEnd/>
              <a:tailEnd type="none" w="med" len="me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editAs="oneCell">
    <xdr:from>
      <xdr:col>6</xdr:col>
      <xdr:colOff>1270000</xdr:colOff>
      <xdr:row>74</xdr:row>
      <xdr:rowOff>237066</xdr:rowOff>
    </xdr:from>
    <xdr:to>
      <xdr:col>9</xdr:col>
      <xdr:colOff>778933</xdr:colOff>
      <xdr:row>81</xdr:row>
      <xdr:rowOff>810</xdr:rowOff>
    </xdr:to>
    <xdr:pic>
      <xdr:nvPicPr>
        <xdr:cNvPr id="28" name="dimg_RMbmaeWrGdSwqtsPlp2FqAs_15" descr="Short Straddle Options Strategy ...">
          <a:extLst>
            <a:ext uri="{FF2B5EF4-FFF2-40B4-BE49-F238E27FC236}">
              <a16:creationId xmlns:a16="http://schemas.microsoft.com/office/drawing/2014/main" id="{92507568-9C69-5E5C-9D36-4904E7B185B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8297333" y="20895733"/>
          <a:ext cx="2472267" cy="16412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66</xdr:row>
      <xdr:rowOff>1</xdr:rowOff>
    </xdr:from>
    <xdr:to>
      <xdr:col>9</xdr:col>
      <xdr:colOff>846666</xdr:colOff>
      <xdr:row>72</xdr:row>
      <xdr:rowOff>122777</xdr:rowOff>
    </xdr:to>
    <xdr:pic>
      <xdr:nvPicPr>
        <xdr:cNvPr id="29" name="dimg_isbmafCaK6C1qtsP3YvmqQc_11" descr="Long Straddle Options Strategy ...">
          <a:extLst>
            <a:ext uri="{FF2B5EF4-FFF2-40B4-BE49-F238E27FC236}">
              <a16:creationId xmlns:a16="http://schemas.microsoft.com/office/drawing/2014/main" id="{5E08899D-F0F6-8FB1-D188-7ED236D7744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8331200" y="18711334"/>
          <a:ext cx="2506133" cy="16637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1270000</xdr:colOff>
      <xdr:row>82</xdr:row>
      <xdr:rowOff>186266</xdr:rowOff>
    </xdr:from>
    <xdr:to>
      <xdr:col>9</xdr:col>
      <xdr:colOff>829733</xdr:colOff>
      <xdr:row>89</xdr:row>
      <xdr:rowOff>21565</xdr:rowOff>
    </xdr:to>
    <xdr:pic>
      <xdr:nvPicPr>
        <xdr:cNvPr id="30" name="dimg_0cbmaYnWLPOrqtsPruvIqQI_24" descr="Long Strangle Options Strategy ...">
          <a:extLst>
            <a:ext uri="{FF2B5EF4-FFF2-40B4-BE49-F238E27FC236}">
              <a16:creationId xmlns:a16="http://schemas.microsoft.com/office/drawing/2014/main" id="{2A4C6BDE-707C-3912-236C-DBA324506DF5}"/>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8297333" y="22927733"/>
          <a:ext cx="2523067" cy="16810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1253065</xdr:colOff>
      <xdr:row>91</xdr:row>
      <xdr:rowOff>186267</xdr:rowOff>
    </xdr:from>
    <xdr:to>
      <xdr:col>10</xdr:col>
      <xdr:colOff>9269</xdr:colOff>
      <xdr:row>97</xdr:row>
      <xdr:rowOff>84667</xdr:rowOff>
    </xdr:to>
    <xdr:pic>
      <xdr:nvPicPr>
        <xdr:cNvPr id="31" name="dimg_8MbmaYfbOvW5qtsPmcLP8A4_13" descr="Short Strangle Options Strategy ...">
          <a:extLst>
            <a:ext uri="{FF2B5EF4-FFF2-40B4-BE49-F238E27FC236}">
              <a16:creationId xmlns:a16="http://schemas.microsoft.com/office/drawing/2014/main" id="{FEC1A899-5B39-7E8F-2FC3-BE0534154CEE}"/>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8280398" y="25179867"/>
          <a:ext cx="2718604" cy="17949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795494</xdr:colOff>
      <xdr:row>101</xdr:row>
      <xdr:rowOff>237253</xdr:rowOff>
    </xdr:from>
    <xdr:to>
      <xdr:col>14</xdr:col>
      <xdr:colOff>579085</xdr:colOff>
      <xdr:row>116</xdr:row>
      <xdr:rowOff>1058</xdr:rowOff>
    </xdr:to>
    <xdr:pic>
      <xdr:nvPicPr>
        <xdr:cNvPr id="32" name="Imagen 31">
          <a:extLst>
            <a:ext uri="{FF2B5EF4-FFF2-40B4-BE49-F238E27FC236}">
              <a16:creationId xmlns:a16="http://schemas.microsoft.com/office/drawing/2014/main" id="{AAD44309-48BA-C2D2-C415-50A6A1F98272}"/>
            </a:ext>
          </a:extLst>
        </xdr:cNvPr>
        <xdr:cNvPicPr>
          <a:picLocks noChangeAspect="1"/>
        </xdr:cNvPicPr>
      </xdr:nvPicPr>
      <xdr:blipFill rotWithShape="1">
        <a:blip xmlns:r="http://schemas.openxmlformats.org/officeDocument/2006/relationships" r:embed="rId11"/>
        <a:srcRect l="10425" t="18706" r="10556" b="16003"/>
        <a:stretch/>
      </xdr:blipFill>
      <xdr:spPr>
        <a:xfrm>
          <a:off x="9141208" y="28009780"/>
          <a:ext cx="5728866" cy="3014506"/>
        </a:xfrm>
        <a:prstGeom prst="rect">
          <a:avLst/>
        </a:prstGeom>
      </xdr:spPr>
    </xdr:pic>
    <xdr:clientData/>
  </xdr:twoCellAnchor>
  <xdr:twoCellAnchor editAs="oneCell">
    <xdr:from>
      <xdr:col>9</xdr:col>
      <xdr:colOff>970303</xdr:colOff>
      <xdr:row>38</xdr:row>
      <xdr:rowOff>19235</xdr:rowOff>
    </xdr:from>
    <xdr:to>
      <xdr:col>14</xdr:col>
      <xdr:colOff>32845</xdr:colOff>
      <xdr:row>42</xdr:row>
      <xdr:rowOff>531220</xdr:rowOff>
    </xdr:to>
    <xdr:pic>
      <xdr:nvPicPr>
        <xdr:cNvPr id="33" name="Imagen 32">
          <a:extLst>
            <a:ext uri="{FF2B5EF4-FFF2-40B4-BE49-F238E27FC236}">
              <a16:creationId xmlns:a16="http://schemas.microsoft.com/office/drawing/2014/main" id="{E0B34DBC-8C8A-8FE7-3548-52B7475EB158}"/>
            </a:ext>
          </a:extLst>
        </xdr:cNvPr>
        <xdr:cNvPicPr>
          <a:picLocks noChangeAspect="1"/>
        </xdr:cNvPicPr>
      </xdr:nvPicPr>
      <xdr:blipFill rotWithShape="1">
        <a:blip xmlns:r="http://schemas.openxmlformats.org/officeDocument/2006/relationships" r:embed="rId12"/>
        <a:srcRect l="27775" t="26799" r="30335" b="33331"/>
        <a:stretch/>
      </xdr:blipFill>
      <xdr:spPr>
        <a:xfrm>
          <a:off x="10922286" y="10562425"/>
          <a:ext cx="3354266" cy="19790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152400</xdr:colOff>
      <xdr:row>17</xdr:row>
      <xdr:rowOff>0</xdr:rowOff>
    </xdr:from>
    <xdr:to>
      <xdr:col>8</xdr:col>
      <xdr:colOff>407535</xdr:colOff>
      <xdr:row>18</xdr:row>
      <xdr:rowOff>37060</xdr:rowOff>
    </xdr:to>
    <xdr:pic>
      <xdr:nvPicPr>
        <xdr:cNvPr id="2" name="Picture 6">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444240" y="3637280"/>
          <a:ext cx="3546975" cy="2402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132080</xdr:colOff>
      <xdr:row>12</xdr:row>
      <xdr:rowOff>111760</xdr:rowOff>
    </xdr:from>
    <xdr:to>
      <xdr:col>8</xdr:col>
      <xdr:colOff>84046</xdr:colOff>
      <xdr:row>16</xdr:row>
      <xdr:rowOff>41409</xdr:rowOff>
    </xdr:to>
    <xdr:pic>
      <xdr:nvPicPr>
        <xdr:cNvPr id="3" name="Picture 8">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423920" y="2733040"/>
          <a:ext cx="3243806" cy="742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91440</xdr:colOff>
      <xdr:row>11</xdr:row>
      <xdr:rowOff>0</xdr:rowOff>
    </xdr:from>
    <xdr:to>
      <xdr:col>6</xdr:col>
      <xdr:colOff>482282</xdr:colOff>
      <xdr:row>12</xdr:row>
      <xdr:rowOff>68321</xdr:rowOff>
    </xdr:to>
    <xdr:pic>
      <xdr:nvPicPr>
        <xdr:cNvPr id="4" name="Picture 9">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383280" y="2418080"/>
          <a:ext cx="2036762" cy="2715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812185</xdr:colOff>
      <xdr:row>8</xdr:row>
      <xdr:rowOff>21303</xdr:rowOff>
    </xdr:from>
    <xdr:to>
      <xdr:col>22</xdr:col>
      <xdr:colOff>819354</xdr:colOff>
      <xdr:row>30</xdr:row>
      <xdr:rowOff>20483</xdr:rowOff>
    </xdr:to>
    <xdr:graphicFrame macro="">
      <xdr:nvGraphicFramePr>
        <xdr:cNvPr id="5" name="Gráfico 4">
          <a:extLst>
            <a:ext uri="{FF2B5EF4-FFF2-40B4-BE49-F238E27FC236}">
              <a16:creationId xmlns:a16="http://schemas.microsoft.com/office/drawing/2014/main" id="{00000000-0008-0000-0300-000005000000}"/>
            </a:ext>
            <a:ext uri="{147F2762-F138-4A5C-976F-8EAC2B608ADB}">
              <a16:predDERef xmlns:a16="http://schemas.microsoft.com/office/drawing/2014/main" pred="{00000000-0008-0000-03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797018</xdr:colOff>
      <xdr:row>41</xdr:row>
      <xdr:rowOff>103151</xdr:rowOff>
    </xdr:from>
    <xdr:to>
      <xdr:col>6</xdr:col>
      <xdr:colOff>723560</xdr:colOff>
      <xdr:row>43</xdr:row>
      <xdr:rowOff>29292</xdr:rowOff>
    </xdr:to>
    <xdr:pic>
      <xdr:nvPicPr>
        <xdr:cNvPr id="5" name="Picture 14">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73418" y="8304176"/>
          <a:ext cx="3279342" cy="3261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38054</xdr:colOff>
      <xdr:row>43</xdr:row>
      <xdr:rowOff>73382</xdr:rowOff>
    </xdr:from>
    <xdr:to>
      <xdr:col>7</xdr:col>
      <xdr:colOff>212044</xdr:colOff>
      <xdr:row>46</xdr:row>
      <xdr:rowOff>21760</xdr:rowOff>
    </xdr:to>
    <xdr:pic>
      <xdr:nvPicPr>
        <xdr:cNvPr id="6" name="Picture 15">
          <a:extLst>
            <a:ext uri="{FF2B5EF4-FFF2-40B4-BE49-F238E27FC236}">
              <a16:creationId xmlns:a16="http://schemas.microsoft.com/office/drawing/2014/main" id="{00000000-0008-0000-0400-000006000000}"/>
            </a:ext>
            <a:ext uri="{147F2762-F138-4A5C-976F-8EAC2B608ADB}">
              <a16:predDERef xmlns:a16="http://schemas.microsoft.com/office/drawing/2014/main" pred="{00000000-0008-0000-04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552654" y="8674457"/>
          <a:ext cx="3526790" cy="548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38485</xdr:colOff>
      <xdr:row>17</xdr:row>
      <xdr:rowOff>38485</xdr:rowOff>
    </xdr:from>
    <xdr:to>
      <xdr:col>13</xdr:col>
      <xdr:colOff>655012</xdr:colOff>
      <xdr:row>26</xdr:row>
      <xdr:rowOff>24906</xdr:rowOff>
    </xdr:to>
    <xdr:pic>
      <xdr:nvPicPr>
        <xdr:cNvPr id="7" name="Picture 19">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12420985" y="67221485"/>
          <a:ext cx="6395027" cy="18063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5</xdr:col>
      <xdr:colOff>1</xdr:colOff>
      <xdr:row>22</xdr:row>
      <xdr:rowOff>0</xdr:rowOff>
    </xdr:from>
    <xdr:to>
      <xdr:col>10</xdr:col>
      <xdr:colOff>14271</xdr:colOff>
      <xdr:row>47</xdr:row>
      <xdr:rowOff>132687</xdr:rowOff>
    </xdr:to>
    <xdr:graphicFrame macro="">
      <xdr:nvGraphicFramePr>
        <xdr:cNvPr id="2" name="Chart">
          <a:extLst>
            <a:ext uri="{FF2B5EF4-FFF2-40B4-BE49-F238E27FC236}">
              <a16:creationId xmlns:a16="http://schemas.microsoft.com/office/drawing/2014/main" id="{DD926E6C-162D-4648-8F93-C6248C677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152400</xdr:colOff>
      <xdr:row>0</xdr:row>
      <xdr:rowOff>19050</xdr:rowOff>
    </xdr:from>
    <xdr:to>
      <xdr:col>6</xdr:col>
      <xdr:colOff>590550</xdr:colOff>
      <xdr:row>4</xdr:row>
      <xdr:rowOff>152400</xdr:rowOff>
    </xdr:to>
    <xdr:pic>
      <xdr:nvPicPr>
        <xdr:cNvPr id="2" name="Picture 1">
          <a:extLst>
            <a:ext uri="{FF2B5EF4-FFF2-40B4-BE49-F238E27FC236}">
              <a16:creationId xmlns:a16="http://schemas.microsoft.com/office/drawing/2014/main" id="{2123164E-4CBF-39B5-8DB2-10CDDF92F383}"/>
            </a:ext>
          </a:extLst>
        </xdr:cNvPr>
        <xdr:cNvPicPr>
          <a:picLocks noChangeAspect="1"/>
        </xdr:cNvPicPr>
      </xdr:nvPicPr>
      <xdr:blipFill>
        <a:blip xmlns:r="http://schemas.openxmlformats.org/officeDocument/2006/relationships" r:embed="rId1"/>
        <a:stretch>
          <a:fillRect/>
        </a:stretch>
      </xdr:blipFill>
      <xdr:spPr>
        <a:xfrm>
          <a:off x="152400" y="19050"/>
          <a:ext cx="4572000" cy="933450"/>
        </a:xfrm>
        <a:prstGeom prst="rect">
          <a:avLst/>
        </a:prstGeom>
      </xdr:spPr>
    </xdr:pic>
    <xdr:clientData/>
  </xdr:twoCellAnchor>
  <xdr:twoCellAnchor>
    <xdr:from>
      <xdr:col>7</xdr:col>
      <xdr:colOff>523875</xdr:colOff>
      <xdr:row>7</xdr:row>
      <xdr:rowOff>19050</xdr:rowOff>
    </xdr:from>
    <xdr:to>
      <xdr:col>25</xdr:col>
      <xdr:colOff>485775</xdr:colOff>
      <xdr:row>40</xdr:row>
      <xdr:rowOff>47625</xdr:rowOff>
    </xdr:to>
    <xdr:graphicFrame macro="">
      <xdr:nvGraphicFramePr>
        <xdr:cNvPr id="3" name="Chart 2">
          <a:extLst>
            <a:ext uri="{FF2B5EF4-FFF2-40B4-BE49-F238E27FC236}">
              <a16:creationId xmlns:a16="http://schemas.microsoft.com/office/drawing/2014/main" id="{E18E797D-494D-9FFC-3E1F-7D2A3354A6D7}"/>
            </a:ext>
            <a:ext uri="{147F2762-F138-4A5C-976F-8EAC2B608ADB}">
              <a16:predDERef xmlns:a16="http://schemas.microsoft.com/office/drawing/2014/main" pred="{2123164E-4CBF-39B5-8DB2-10CDDF92F3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542925</xdr:colOff>
      <xdr:row>1</xdr:row>
      <xdr:rowOff>171450</xdr:rowOff>
    </xdr:from>
    <xdr:to>
      <xdr:col>14</xdr:col>
      <xdr:colOff>314325</xdr:colOff>
      <xdr:row>15</xdr:row>
      <xdr:rowOff>66675</xdr:rowOff>
    </xdr:to>
    <xdr:graphicFrame macro="">
      <xdr:nvGraphicFramePr>
        <xdr:cNvPr id="2" name="Gráfico 1" descr="Tipo de gráfico: Dispersión. Campo: Campo5 aparece muy determinado por el campo: Campo1.&#10;&#10;Descripción generada automáticamente">
          <a:extLst>
            <a:ext uri="{FF2B5EF4-FFF2-40B4-BE49-F238E27FC236}">
              <a16:creationId xmlns:a16="http://schemas.microsoft.com/office/drawing/2014/main" id="{4676B5EF-73E6-285A-7478-FF04B8BB1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295275</xdr:colOff>
      <xdr:row>0</xdr:row>
      <xdr:rowOff>161925</xdr:rowOff>
    </xdr:from>
    <xdr:to>
      <xdr:col>7</xdr:col>
      <xdr:colOff>66675</xdr:colOff>
      <xdr:row>3</xdr:row>
      <xdr:rowOff>123825</xdr:rowOff>
    </xdr:to>
    <xdr:pic>
      <xdr:nvPicPr>
        <xdr:cNvPr id="2" name="Picture 1">
          <a:extLst>
            <a:ext uri="{FF2B5EF4-FFF2-40B4-BE49-F238E27FC236}">
              <a16:creationId xmlns:a16="http://schemas.microsoft.com/office/drawing/2014/main" id="{A09CF032-5C56-2D74-ADB7-9F57E7B0CE59}"/>
            </a:ext>
          </a:extLst>
        </xdr:cNvPr>
        <xdr:cNvPicPr>
          <a:picLocks noChangeAspect="1"/>
        </xdr:cNvPicPr>
      </xdr:nvPicPr>
      <xdr:blipFill>
        <a:blip xmlns:r="http://schemas.openxmlformats.org/officeDocument/2006/relationships" r:embed="rId1"/>
        <a:stretch>
          <a:fillRect/>
        </a:stretch>
      </xdr:blipFill>
      <xdr:spPr>
        <a:xfrm>
          <a:off x="295275" y="161925"/>
          <a:ext cx="4572000" cy="561975"/>
        </a:xfrm>
        <a:prstGeom prst="rect">
          <a:avLst/>
        </a:prstGeom>
      </xdr:spPr>
    </xdr:pic>
    <xdr:clientData/>
  </xdr:twoCellAnchor>
  <xdr:twoCellAnchor>
    <xdr:from>
      <xdr:col>9</xdr:col>
      <xdr:colOff>228600</xdr:colOff>
      <xdr:row>7</xdr:row>
      <xdr:rowOff>28575</xdr:rowOff>
    </xdr:from>
    <xdr:to>
      <xdr:col>19</xdr:col>
      <xdr:colOff>333375</xdr:colOff>
      <xdr:row>24</xdr:row>
      <xdr:rowOff>142875</xdr:rowOff>
    </xdr:to>
    <xdr:graphicFrame macro="">
      <xdr:nvGraphicFramePr>
        <xdr:cNvPr id="4" name="Chart 3">
          <a:extLst>
            <a:ext uri="{FF2B5EF4-FFF2-40B4-BE49-F238E27FC236}">
              <a16:creationId xmlns:a16="http://schemas.microsoft.com/office/drawing/2014/main" id="{FDC513DF-79D4-AF2F-2213-48713B6F6270}"/>
            </a:ext>
            <a:ext uri="{147F2762-F138-4A5C-976F-8EAC2B608ADB}">
              <a16:predDERef xmlns:a16="http://schemas.microsoft.com/office/drawing/2014/main" pred="{A09CF032-5C56-2D74-ADB7-9F57E7B0CE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219075</xdr:colOff>
      <xdr:row>25</xdr:row>
      <xdr:rowOff>114300</xdr:rowOff>
    </xdr:from>
    <xdr:to>
      <xdr:col>19</xdr:col>
      <xdr:colOff>314325</xdr:colOff>
      <xdr:row>44</xdr:row>
      <xdr:rowOff>114300</xdr:rowOff>
    </xdr:to>
    <xdr:graphicFrame macro="">
      <xdr:nvGraphicFramePr>
        <xdr:cNvPr id="5" name="Chart 4">
          <a:extLst>
            <a:ext uri="{FF2B5EF4-FFF2-40B4-BE49-F238E27FC236}">
              <a16:creationId xmlns:a16="http://schemas.microsoft.com/office/drawing/2014/main" id="{6AB590A9-0242-48EA-157C-2949E0EE7D08}"/>
            </a:ext>
            <a:ext uri="{147F2762-F138-4A5C-976F-8EAC2B608ADB}">
              <a16:predDERef xmlns:a16="http://schemas.microsoft.com/office/drawing/2014/main" pred="{FDC513DF-79D4-AF2F-2213-48713B6F62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714375</xdr:colOff>
      <xdr:row>7</xdr:row>
      <xdr:rowOff>0</xdr:rowOff>
    </xdr:to>
    <xdr:pic>
      <xdr:nvPicPr>
        <xdr:cNvPr id="2" name="Picture 1">
          <a:extLst>
            <a:ext uri="{FF2B5EF4-FFF2-40B4-BE49-F238E27FC236}">
              <a16:creationId xmlns:a16="http://schemas.microsoft.com/office/drawing/2014/main" id="{1159FB76-BB96-1E31-5D77-AB38369EEF76}"/>
            </a:ext>
          </a:extLst>
        </xdr:cNvPr>
        <xdr:cNvPicPr>
          <a:picLocks noChangeAspect="1"/>
        </xdr:cNvPicPr>
      </xdr:nvPicPr>
      <xdr:blipFill>
        <a:blip xmlns:r="http://schemas.openxmlformats.org/officeDocument/2006/relationships" r:embed="rId1"/>
        <a:stretch>
          <a:fillRect/>
        </a:stretch>
      </xdr:blipFill>
      <xdr:spPr>
        <a:xfrm>
          <a:off x="0" y="0"/>
          <a:ext cx="4572000" cy="1400175"/>
        </a:xfrm>
        <a:prstGeom prst="rect">
          <a:avLst/>
        </a:prstGeom>
      </xdr:spPr>
    </xdr:pic>
    <xdr:clientData/>
  </xdr:twoCellAnchor>
  <xdr:twoCellAnchor>
    <xdr:from>
      <xdr:col>4</xdr:col>
      <xdr:colOff>19050</xdr:colOff>
      <xdr:row>23</xdr:row>
      <xdr:rowOff>38100</xdr:rowOff>
    </xdr:from>
    <xdr:to>
      <xdr:col>11</xdr:col>
      <xdr:colOff>571500</xdr:colOff>
      <xdr:row>38</xdr:row>
      <xdr:rowOff>114300</xdr:rowOff>
    </xdr:to>
    <xdr:graphicFrame macro="">
      <xdr:nvGraphicFramePr>
        <xdr:cNvPr id="3" name="Chart 2">
          <a:extLst>
            <a:ext uri="{FF2B5EF4-FFF2-40B4-BE49-F238E27FC236}">
              <a16:creationId xmlns:a16="http://schemas.microsoft.com/office/drawing/2014/main" id="{E89FB844-CD38-8DD7-B2D7-141668C19F3E}"/>
            </a:ext>
            <a:ext uri="{147F2762-F138-4A5C-976F-8EAC2B608ADB}">
              <a16:predDERef xmlns:a16="http://schemas.microsoft.com/office/drawing/2014/main" pred="{1159FB76-BB96-1E31-5D77-AB38369EEF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247650</xdr:colOff>
      <xdr:row>3</xdr:row>
      <xdr:rowOff>123825</xdr:rowOff>
    </xdr:to>
    <xdr:pic>
      <xdr:nvPicPr>
        <xdr:cNvPr id="2" name="Picture 1">
          <a:extLst>
            <a:ext uri="{FF2B5EF4-FFF2-40B4-BE49-F238E27FC236}">
              <a16:creationId xmlns:a16="http://schemas.microsoft.com/office/drawing/2014/main" id="{145D6E32-2436-822D-5649-D884302EDAA5}"/>
            </a:ext>
          </a:extLst>
        </xdr:cNvPr>
        <xdr:cNvPicPr>
          <a:picLocks noChangeAspect="1"/>
        </xdr:cNvPicPr>
      </xdr:nvPicPr>
      <xdr:blipFill>
        <a:blip xmlns:r="http://schemas.openxmlformats.org/officeDocument/2006/relationships" r:embed="rId1"/>
        <a:stretch>
          <a:fillRect/>
        </a:stretch>
      </xdr:blipFill>
      <xdr:spPr>
        <a:xfrm>
          <a:off x="0" y="0"/>
          <a:ext cx="5105400" cy="723900"/>
        </a:xfrm>
        <a:prstGeom prst="rect">
          <a:avLst/>
        </a:prstGeom>
      </xdr:spPr>
    </xdr:pic>
    <xdr:clientData/>
  </xdr:twoCellAnchor>
  <xdr:twoCellAnchor>
    <xdr:from>
      <xdr:col>7</xdr:col>
      <xdr:colOff>276225</xdr:colOff>
      <xdr:row>21</xdr:row>
      <xdr:rowOff>123825</xdr:rowOff>
    </xdr:from>
    <xdr:to>
      <xdr:col>14</xdr:col>
      <xdr:colOff>47625</xdr:colOff>
      <xdr:row>35</xdr:row>
      <xdr:rowOff>66675</xdr:rowOff>
    </xdr:to>
    <xdr:graphicFrame macro="">
      <xdr:nvGraphicFramePr>
        <xdr:cNvPr id="3" name="Chart 2">
          <a:extLst>
            <a:ext uri="{FF2B5EF4-FFF2-40B4-BE49-F238E27FC236}">
              <a16:creationId xmlns:a16="http://schemas.microsoft.com/office/drawing/2014/main" id="{B35263C8-E448-A9EB-6533-548191624AF0}"/>
            </a:ext>
            <a:ext uri="{147F2762-F138-4A5C-976F-8EAC2B608ADB}">
              <a16:predDERef xmlns:a16="http://schemas.microsoft.com/office/drawing/2014/main" pred="{145D6E32-2436-822D-5649-D884302EDA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657225</xdr:colOff>
      <xdr:row>4</xdr:row>
      <xdr:rowOff>38100</xdr:rowOff>
    </xdr:from>
    <xdr:to>
      <xdr:col>11</xdr:col>
      <xdr:colOff>428625</xdr:colOff>
      <xdr:row>17</xdr:row>
      <xdr:rowOff>180975</xdr:rowOff>
    </xdr:to>
    <xdr:graphicFrame macro="">
      <xdr:nvGraphicFramePr>
        <xdr:cNvPr id="4" name="Chart 3">
          <a:extLst>
            <a:ext uri="{FF2B5EF4-FFF2-40B4-BE49-F238E27FC236}">
              <a16:creationId xmlns:a16="http://schemas.microsoft.com/office/drawing/2014/main" id="{E082A335-712D-965A-946E-5DBAAB676E14}"/>
            </a:ext>
            <a:ext uri="{147F2762-F138-4A5C-976F-8EAC2B608ADB}">
              <a16:predDERef xmlns:a16="http://schemas.microsoft.com/office/drawing/2014/main" pred="{B35263C8-E448-A9EB-6533-548191624A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628650</xdr:colOff>
      <xdr:row>4</xdr:row>
      <xdr:rowOff>133350</xdr:rowOff>
    </xdr:to>
    <xdr:pic>
      <xdr:nvPicPr>
        <xdr:cNvPr id="2" name="Picture 1">
          <a:extLst>
            <a:ext uri="{FF2B5EF4-FFF2-40B4-BE49-F238E27FC236}">
              <a16:creationId xmlns:a16="http://schemas.microsoft.com/office/drawing/2014/main" id="{E98A8B1D-5E98-C167-E2E0-B53A651D0949}"/>
            </a:ext>
          </a:extLst>
        </xdr:cNvPr>
        <xdr:cNvPicPr>
          <a:picLocks noChangeAspect="1"/>
        </xdr:cNvPicPr>
      </xdr:nvPicPr>
      <xdr:blipFill>
        <a:blip xmlns:r="http://schemas.openxmlformats.org/officeDocument/2006/relationships" r:embed="rId1"/>
        <a:stretch>
          <a:fillRect/>
        </a:stretch>
      </xdr:blipFill>
      <xdr:spPr>
        <a:xfrm>
          <a:off x="0" y="0"/>
          <a:ext cx="4572000" cy="93345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6</xdr:col>
      <xdr:colOff>466725</xdr:colOff>
      <xdr:row>4</xdr:row>
      <xdr:rowOff>95250</xdr:rowOff>
    </xdr:to>
    <xdr:pic>
      <xdr:nvPicPr>
        <xdr:cNvPr id="2" name="Picture 1">
          <a:extLst>
            <a:ext uri="{FF2B5EF4-FFF2-40B4-BE49-F238E27FC236}">
              <a16:creationId xmlns:a16="http://schemas.microsoft.com/office/drawing/2014/main" id="{4BB5D694-B833-7A0F-12BA-7D90D0475385}"/>
            </a:ext>
          </a:extLst>
        </xdr:cNvPr>
        <xdr:cNvPicPr>
          <a:picLocks noChangeAspect="1"/>
        </xdr:cNvPicPr>
      </xdr:nvPicPr>
      <xdr:blipFill>
        <a:blip xmlns:r="http://schemas.openxmlformats.org/officeDocument/2006/relationships" r:embed="rId1"/>
        <a:stretch>
          <a:fillRect/>
        </a:stretch>
      </xdr:blipFill>
      <xdr:spPr>
        <a:xfrm>
          <a:off x="0" y="0"/>
          <a:ext cx="6134100" cy="89535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ABC9BF4-8788-42AC-82CB-4A96B3C36F26}" name="Table1" displayName="Table1" ref="B7:E148" totalsRowShown="0">
  <autoFilter ref="B7:E148" xr:uid="{BABC9BF4-8788-42AC-82CB-4A96B3C36F26}"/>
  <tableColumns count="4">
    <tableColumn id="1" xr3:uid="{C40E8246-BEE5-4458-AAD9-54067197747D}" name="St "/>
    <tableColumn id="2" xr3:uid="{F0FD50DE-F1BE-40F1-9E17-2BD173425E68}" name="LC">
      <calculatedColumnFormula>MAX(B8-$J$3,0)-3</calculatedColumnFormula>
    </tableColumn>
    <tableColumn id="3" xr3:uid="{B8E7D7E3-7AD1-458D-ACE0-B0806CC379CD}" name="LP">
      <calculatedColumnFormula>MAX($J$3-B8,0)-4</calculatedColumnFormula>
    </tableColumn>
    <tableColumn id="4" xr3:uid="{F60C51FF-486E-404C-8073-B00D44351A7C}" name="Pay Off ">
      <calculatedColumnFormula>C8+D8</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EBF73F-02E9-4001-B3E5-16E94B28BDD9}" name="Table4" displayName="Table4" ref="I2:J3" totalsRowShown="0" headerRowDxfId="20" headerRowBorderDxfId="19" tableBorderDxfId="18" totalsRowBorderDxfId="17">
  <autoFilter ref="I2:J3" xr:uid="{4EEBF73F-02E9-4001-B3E5-16E94B28BDD9}"/>
  <tableColumns count="2">
    <tableColumn id="1" xr3:uid="{96747425-534B-4990-8655-A373D1E0229D}" name="Strike" dataDxfId="16"/>
    <tableColumn id="2" xr3:uid="{D3AD1A63-4545-43D5-94CE-605496CF3D03}" name="Value"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5E3B99-0569-4A08-9B01-AFC9D6C57233}" name="Table2" displayName="Table2" ref="B6:H57" totalsRowShown="0">
  <autoFilter ref="B6:H57" xr:uid="{C75E3B99-0569-4A08-9B01-AFC9D6C57233}"/>
  <tableColumns count="7">
    <tableColumn id="1" xr3:uid="{B221CC70-41A8-4D74-B87E-C80D485A7A0E}" name="St"/>
    <tableColumn id="2" xr3:uid="{9B001589-E6CC-4285-B22A-B23DEE29187E}" name="L_A" dataDxfId="14">
      <calculatedColumnFormula>MAX($K$3-B7,0)-$L$3</calculatedColumnFormula>
    </tableColumn>
    <tableColumn id="3" xr3:uid="{7297E119-2173-40AA-B060-E84A132B796F}" name="L_B">
      <calculatedColumnFormula>MAX($K$4-B7,0)-$L$4</calculatedColumnFormula>
    </tableColumn>
    <tableColumn id="4" xr3:uid="{BEFA764B-7C02-4446-A536-6E0840845DAE}" name="S_A">
      <calculatedColumnFormula>-C7</calculatedColumnFormula>
    </tableColumn>
    <tableColumn id="5" xr3:uid="{377006BD-1E47-459D-AD53-87B6FF5CC456}" name="S_B">
      <calculatedColumnFormula>-D7</calculatedColumnFormula>
    </tableColumn>
    <tableColumn id="8" xr3:uid="{3A8D1AD8-23C4-4778-B992-BE832AAAE674}" name="Bear" dataDxfId="13">
      <calculatedColumnFormula>Table2[[#This Row],[L_A]]+Table2[[#This Row],[S_B]]</calculatedColumnFormula>
    </tableColumn>
    <tableColumn id="9" xr3:uid="{17FF8602-45A1-469D-A836-66758CD47D12}" name="Bull" dataDxfId="12">
      <calculatedColumnFormula>Table2[[#This Row],[L_B]]+Table2[[#This Row],[S_A]]</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EA08B2-D827-4848-8A94-D0B071BABDEE}" name="Table3" displayName="Table3" ref="J2:L4" totalsRowShown="0">
  <autoFilter ref="J2:L4" xr:uid="{30EA08B2-D827-4848-8A94-D0B071BABDEE}"/>
  <tableColumns count="3">
    <tableColumn id="1" xr3:uid="{CE9C20A6-EB21-4EAA-B99D-12C3F26F6A7F}" name="Put"/>
    <tableColumn id="2" xr3:uid="{756259EE-23C8-4F18-91B6-4F9EE97112E5}" name="K"/>
    <tableColumn id="3" xr3:uid="{85D9B399-6E97-4EBD-ADAE-F00338B787B9}" name="p"/>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9E42827-7DA5-4C14-A560-CC363DC919E8}" name="Table5" displayName="Table5" ref="I2:M3" totalsRowShown="0">
  <autoFilter ref="I2:M3" xr:uid="{59E42827-7DA5-4C14-A560-CC363DC919E8}"/>
  <tableColumns count="5">
    <tableColumn id="1" xr3:uid="{751B47A0-62D6-4201-A5B4-03C5237D8693}" name="Option "/>
    <tableColumn id="2" xr3:uid="{EB8B18FD-4232-4094-B966-CF49B7985AC1}" name="K (Oz)"/>
    <tableColumn id="3" xr3:uid="{1B03E6E5-4941-4057-874C-ED45D96CE86A}" name="T (meses)"/>
    <tableColumn id="4" xr3:uid="{314AAEF9-0AD5-4456-B66C-7393095B6FBB}" name="Barrera"/>
    <tableColumn id="5" xr3:uid="{85733A9A-3EBE-4DA4-995A-72EB62648934}" name="Spot "/>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CB48FF-DC79-4811-B548-65D53F6BEDFD}" name="Table6" displayName="Table6" ref="I5:J6" totalsRowShown="0">
  <autoFilter ref="I5:J6" xr:uid="{6CCB48FF-DC79-4811-B548-65D53F6BEDFD}"/>
  <tableColumns count="2">
    <tableColumn id="1" xr3:uid="{E2706B41-4890-4900-B93B-4B632696593D}" name="Subyacente "/>
    <tableColumn id="2" xr3:uid="{A92924A4-F371-469D-95A3-F0AEEF5DDEBC}" name="Volatilidad"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C4B1EB-CA47-487F-A5DB-43BB14C3C79B}" name="Table7" displayName="Table7" ref="I8:I9" totalsRowShown="0">
  <autoFilter ref="I8:I9" xr:uid="{2AC4B1EB-CA47-487F-A5DB-43BB14C3C79B}"/>
  <tableColumns count="1">
    <tableColumn id="1" xr3:uid="{65366339-3156-4275-9148-A94930437E07}" name="Tasa Libre R." dataDxfId="10"/>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BE7E6E2-E7C3-4592-ACDF-BCBB7208AA31}" name="Table8" displayName="Table8" ref="B10:C61" totalsRowShown="0">
  <autoFilter ref="B10:C61" xr:uid="{0BE7E6E2-E7C3-4592-ACDF-BCBB7208AA31}"/>
  <tableColumns count="2">
    <tableColumn id="1" xr3:uid="{615A8EDF-6C05-4AD2-BA20-087EE236F6E0}" name="Ft"/>
    <tableColumn id="2" xr3:uid="{091883B5-CB6D-47DA-A2FB-210928B3545E}" name="C_DAO">
      <calculatedColumnFormula array="1">IF(B11&lt;Table5[Barrera],0,MAX(B11-Table5[K (Oz)],0))</calculatedColumnFormula>
    </tableColumn>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D14237-4DC5-4E33-BAD2-AFCD99049515}" name="Table9" displayName="Table9" ref="E11:I12" totalsRowShown="0">
  <autoFilter ref="E11:I12" xr:uid="{D6D14237-4DC5-4E33-BAD2-AFCD99049515}"/>
  <tableColumns count="5">
    <tableColumn id="1" xr3:uid="{5CC33F20-4571-4AAE-8F78-822310C08687}" name="A"/>
    <tableColumn id="2" xr3:uid="{7904432A-6047-4503-A5B7-7E6E47C445D4}" name="d1">
      <calculatedColumnFormula array="1">(LN(Table5[[Spot ]]/Table5[K (Oz)])+0.5*Table6[Volatilidad]^2*(Table5[T (meses)]/12))/(Table6[Volatilidad]*SQRT((Table5[T (meses)]/12)))</calculatedColumnFormula>
    </tableColumn>
    <tableColumn id="3" xr3:uid="{D2554725-D6C8-4087-8D87-4283A6F40309}" name="d2">
      <calculatedColumnFormula array="1">F12-Table6[Volatilidad]*SQRT(Table5[T (meses)]/12)</calculatedColumnFormula>
    </tableColumn>
    <tableColumn id="4" xr3:uid="{C4B6F9C6-1B46-4298-8AD4-201D0894E631}" name="E[Ft]">
      <calculatedColumnFormula array="1">Table5[[Spot ]]*_xlfn.NORM.S.DIST(F12,TRUE)-Table5[K (Oz)]*_xlfn.NORM.S.DIST(G12,TRUE)</calculatedColumnFormula>
    </tableColumn>
    <tableColumn id="5" xr3:uid="{426A09AF-164B-46DA-989A-2CC842311F52}" name="Price">
      <calculatedColumnFormula array="1">EXP(-Table7[Tasa Libre R.]*(Table5[T (meses)]/12))*H12</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2D57014-B99A-4A6D-AA0E-2B68AE927661}" name="Table10" displayName="Table10" ref="E15:F16" totalsRowShown="0">
  <autoFilter ref="E15:F16" xr:uid="{A2D57014-B99A-4A6D-AA0E-2B68AE927661}"/>
  <tableColumns count="2">
    <tableColumn id="1" xr3:uid="{43031722-7D7A-4876-AF90-5AF7C21CC097}" name="C_DAO" dataDxfId="9"/>
    <tableColumn id="2" xr3:uid="{5DF1A013-452C-4E6E-B5F9-9FEA47BA4136}" name="Ejemplo " dataDxfId="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29EF4145-FA84-4FE8-81B9-5D79F2D87787}" name="Table11" displayName="Table11" ref="E19:F20" totalsRowShown="0">
  <autoFilter ref="E19:F20" xr:uid="{29EF4145-FA84-4FE8-81B9-5D79F2D87787}"/>
  <tableColumns count="2">
    <tableColumn id="1" xr3:uid="{CD46D338-2E2C-4FD1-8A62-25938505DDBA}" name="B"/>
    <tableColumn id="2" xr3:uid="{CCFF9D14-5354-4BCE-BD76-D995EE60BAFF}" name="Ejemplo"/>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176186-052F-4F05-8327-7F9F27ECF8C0}" name="Table12" displayName="Table12" ref="B6:D16" totalsRowShown="0">
  <autoFilter ref="B6:D16" xr:uid="{33176186-052F-4F05-8327-7F9F27ECF8C0}"/>
  <tableColumns count="3">
    <tableColumn id="1" xr3:uid="{B16F64BC-3034-4422-8438-DA60F50A8C3D}" name="t"/>
    <tableColumn id="2" xr3:uid="{FF790F87-C0DE-4579-8B5A-05F538F7E6F1}" name="callable"/>
    <tableColumn id="3" xr3:uid="{F1387F5D-9B10-4991-8C2E-7B246BC2F33E}" name="K"/>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698A4F8-CD5A-4B61-BFA0-F8B41C035F5B}" name="Table13" displayName="Table13" ref="B20:F129" totalsRowShown="0">
  <autoFilter ref="B20:F129" xr:uid="{0698A4F8-CD5A-4B61-BFA0-F8B41C035F5B}"/>
  <tableColumns count="5">
    <tableColumn id="1" xr3:uid="{03CFE256-34A7-4268-AEFF-C3DFD7CF61CD}" name="St"/>
    <tableColumn id="2" xr3:uid="{8AD65EE9-0C72-4DB8-B2D6-806F867F6381}" name="C_34">
      <calculatedColumnFormula>MAX(B21-$D$9,0)</calculatedColumnFormula>
    </tableColumn>
    <tableColumn id="3" xr3:uid="{6818554C-8F4B-4646-AE92-CEF529A6763A}" name="C_56">
      <calculatedColumnFormula>MAX(B21-$D$11,0)</calculatedColumnFormula>
    </tableColumn>
    <tableColumn id="4" xr3:uid="{8EAD79AF-CA1C-4353-A7D2-D789EA2E2660}" name="C_78">
      <calculatedColumnFormula>MAX(B21-$D$13,0)</calculatedColumnFormula>
    </tableColumn>
    <tableColumn id="5" xr3:uid="{BE38040B-A2E7-4D1D-8106-F5610C346BE9}" name="C_910">
      <calculatedColumnFormula>MAX(B21-$D$15,0)</calculatedColumnFormula>
    </tableColumn>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225B416-2E95-4895-912B-05409B7A3CE4}" name="Table14" displayName="Table14" ref="B7:I8" totalsRowShown="0">
  <autoFilter ref="B7:I8" xr:uid="{8225B416-2E95-4895-912B-05409B7A3CE4}"/>
  <tableColumns count="8">
    <tableColumn id="1" xr3:uid="{6041BBF8-7E47-4011-92C8-09E6FF1CAE90}" name="Call "/>
    <tableColumn id="2" xr3:uid="{2FB3F43E-927E-4E85-AC19-DFE18F8D72AC}" name="T">
      <calculatedColumnFormula>10/12</calculatedColumnFormula>
    </tableColumn>
    <tableColumn id="3" xr3:uid="{0506318F-249B-4FD3-BF9B-380DCF1C3169}" name="K"/>
    <tableColumn id="4" xr3:uid="{57555AE0-8C86-4782-A15F-86D2F596E1C9}" name="d1">
      <calculatedColumnFormula>(LN(B27/D8)+(C14+C16^2*0.5)*C8)/(C16*SQRT(C8))</calculatedColumnFormula>
    </tableColumn>
    <tableColumn id="5" xr3:uid="{B32545A5-95AD-4BAF-A360-CBD79E50C99E}" name="d2">
      <calculatedColumnFormula>E8-C16*SQRT(C8)</calculatedColumnFormula>
    </tableColumn>
    <tableColumn id="6" xr3:uid="{8033C9B7-4696-4F2D-9FE2-1ED02509F358}" name="N(d1)">
      <calculatedColumnFormula>_xlfn.NORM.S.DIST(E8,TRUE)</calculatedColumnFormula>
    </tableColumn>
    <tableColumn id="7" xr3:uid="{340B987E-782A-45C9-8CF4-2FEDAC533C5A}" name="N(d2)">
      <calculatedColumnFormula>_xlfn.NORM.S.DIST(F8,TRUE)</calculatedColumnFormula>
    </tableColumn>
    <tableColumn id="8" xr3:uid="{D08AA1EC-44B3-491D-816A-EF6967A780C6}" name="E[x]">
      <calculatedColumnFormula>B27*G8-D8*EXP(-C14*(C8))*H8</calculatedColumnFormula>
    </tableColumn>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6AD29CF-9753-4F3D-92FE-3B4CF2E449A0}" name="Table15" displayName="Table15" ref="B10:E11" totalsRowShown="0">
  <autoFilter ref="B10:E11" xr:uid="{E6AD29CF-9753-4F3D-92FE-3B4CF2E449A0}"/>
  <tableColumns count="4">
    <tableColumn id="1" xr3:uid="{5271DB4F-1FB9-433E-92A0-F010E48E9B78}" name="Bono"/>
    <tableColumn id="2" xr3:uid="{CA6C5A45-630C-42F3-B9E1-A00F01CD608A}" name="T"/>
    <tableColumn id="3" xr3:uid="{4A213135-6245-416B-8C84-D5D5CAD185D0}" name="Nominal "/>
    <tableColumn id="4" xr3:uid="{17F27A24-618C-4E3F-AE26-83F5F6FF8D69}" name="B0"/>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15DDA2D-8CC2-4145-90F1-7207564D9FB0}" name="Table16" displayName="Table16" ref="B13:C14" totalsRowShown="0">
  <autoFilter ref="B13:C14" xr:uid="{215DDA2D-8CC2-4145-90F1-7207564D9FB0}"/>
  <tableColumns count="2">
    <tableColumn id="1" xr3:uid="{618183AA-DD96-4D0F-B864-388A55C134F3}" name="Column1"/>
    <tableColumn id="2" xr3:uid="{26CF2E79-00E5-41A6-A5B0-935D3EB89DEC}" name="Column2" dataDxfId="7"/>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86B3087-580A-4B88-92F1-92B2F62CB449}" name="Table17" displayName="Table17" ref="B15:D16" totalsRowShown="0">
  <autoFilter ref="B15:D16" xr:uid="{986B3087-580A-4B88-92F1-92B2F62CB449}"/>
  <tableColumns count="3">
    <tableColumn id="1" xr3:uid="{F4F57993-B7DD-49C5-940B-5A758102CF14}" name="Forward"/>
    <tableColumn id="2" xr3:uid="{CE91A11E-6DB7-486F-BF43-771B3A7ABF83}" name="Volatilidad " dataDxfId="6"/>
    <tableColumn id="3" xr3:uid="{24F7AE43-B09B-4682-BF30-B0B7D8F45E78}" name="Cupon" dataDxfId="5"/>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D809B719-A94F-4D61-B01A-D96ECC6819BF}" name="Table18" displayName="Table18" ref="B18:C19" totalsRowShown="0">
  <autoFilter ref="B18:C19" xr:uid="{D809B719-A94F-4D61-B01A-D96ECC6819BF}"/>
  <tableColumns count="2">
    <tableColumn id="1" xr3:uid="{3EC731AC-C1B3-4E62-AB88-FED0C52FD476}" name="Tasa 3m"/>
    <tableColumn id="2" xr3:uid="{61C5DF38-CB0D-4143-9BBF-D5038E170411}" name="9%" dataDxfId="4"/>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53D2714-BE22-4051-8486-4E0DDEB837A7}" name="Table19" displayName="Table19" ref="B21:D23" totalsRowShown="0">
  <autoFilter ref="B21:D23" xr:uid="{E53D2714-BE22-4051-8486-4E0DDEB837A7}"/>
  <tableColumns count="3">
    <tableColumn id="1" xr3:uid="{D52A4AF6-9127-4A91-B282-B2AE7AADD0F9}" name="Cupon"/>
    <tableColumn id="2" xr3:uid="{CFF1DA1A-9954-4731-B639-4CE3DB9000BC}" name="T">
      <calculatedColumnFormula>9/12</calculatedColumnFormula>
    </tableColumn>
    <tableColumn id="3" xr3:uid="{A658C61E-4036-44D7-AC52-BFF10E66D990}" name="VP">
      <calculatedColumnFormula>B22*EXP(-C22*C18)</calculatedColumnFormula>
    </tableColumn>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56D7377-CE69-417B-931E-6C6D6189137D}" name="Table20" displayName="Table20" ref="B26:B27" totalsRowShown="0">
  <autoFilter ref="B26:B27" xr:uid="{B56D7377-CE69-417B-931E-6C6D6189137D}"/>
  <tableColumns count="1">
    <tableColumn id="1" xr3:uid="{ECC7ECDA-A09A-4CDF-96AA-F4E2B7826270}" name="B0*">
      <calculatedColumnFormula>E11-D22-D23</calculatedColumnFormula>
    </tableColumn>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046A930-658A-412B-B7F3-E39D518A150C}" name="Table21" displayName="Table21" ref="B6:G7" totalsRowShown="0">
  <autoFilter ref="B6:G7" xr:uid="{3046A930-658A-412B-B7F3-E39D518A150C}"/>
  <tableColumns count="6">
    <tableColumn id="1" xr3:uid="{A354DD8D-0C8A-43A6-B68C-27E25080D684}" name="Nocional"/>
    <tableColumn id="2" xr3:uid="{753E1C07-3F7A-403E-8BF8-42C05351D982}" name="K" dataDxfId="3"/>
    <tableColumn id="3" xr3:uid="{E260492F-D377-411A-B175-26E5C20DEAEA}" name="TLR" dataDxfId="2"/>
    <tableColumn id="4" xr3:uid="{83522472-1913-4C63-BE57-8565926C36D9}" name="Volatilidad" dataDxfId="1"/>
    <tableColumn id="5" xr3:uid="{0FFDDE12-AEB7-4171-A507-693B16EE0281}" name="T1"/>
    <tableColumn id="6" xr3:uid="{17B8D217-8BE4-497A-88CA-A2BB3178DFED}" name="T2">
      <calculatedColumnFormula>15/12</calculatedColumnFormula>
    </tableColumn>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788B403-644F-497C-82F6-C7638B546B98}" name="Table22" displayName="Table22" ref="B9:F10" totalsRowShown="0">
  <autoFilter ref="B9:F10" xr:uid="{5788B403-644F-497C-82F6-C7638B546B98}"/>
  <tableColumns count="5">
    <tableColumn id="1" xr3:uid="{8F9F7D09-99CC-455D-B77B-08F072DE09DF}" name="Call sobre tasa">
      <calculatedColumnFormula>D7*E10-C7*F10</calculatedColumnFormula>
    </tableColumn>
    <tableColumn id="2" xr3:uid="{CCE65C6B-B3BD-4DB3-80E9-F5D42458362D}" name="d1">
      <calculatedColumnFormula>(LN(D7/C7)+(0.5*E7^2*F7))/(E7*SQRT(F7))</calculatedColumnFormula>
    </tableColumn>
    <tableColumn id="3" xr3:uid="{94280161-EF9C-4C82-B745-BE3987E3D749}" name="d2">
      <calculatedColumnFormula>C10-E7*SQRT(F7)</calculatedColumnFormula>
    </tableColumn>
    <tableColumn id="4" xr3:uid="{DB7571EB-F0DC-4B51-9F55-99007E7C5A7F}" name="N(d1)">
      <calculatedColumnFormula>_xlfn.NORM.S.DIST(C10,TRUE)</calculatedColumnFormula>
    </tableColumn>
    <tableColumn id="5" xr3:uid="{01F2F403-655D-41C7-99CF-1804FFD1A609}" name="N(d2)">
      <calculatedColumnFormula>_xlfn.NORM.S.DIST(D10,TRUE)</calculatedColumnFormula>
    </tableColumn>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13A8F12-53C0-4ECD-9B8F-73DC42DF6BC2}" name="Table23" displayName="Table23" ref="B12:B13" totalsRowShown="0">
  <autoFilter ref="B12:B13" xr:uid="{613A8F12-53C0-4ECD-9B8F-73DC42DF6BC2}"/>
  <tableColumns count="1">
    <tableColumn id="1" xr3:uid="{DEE5D771-1D6C-4B84-A052-42B87D96A688}" name="Descuento trimestral ">
      <calculatedColumnFormula>(1+D7/4)^(-5)</calculatedColumnFormula>
    </tableColumn>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EDF26AC-0794-4D84-8395-E3627E3B27AE}" name="Table24" displayName="Table24" ref="B15:C16" totalsRowShown="0">
  <autoFilter ref="B15:C16" xr:uid="{6EDF26AC-0794-4D84-8395-E3627E3B27AE}"/>
  <tableColumns count="2">
    <tableColumn id="1" xr3:uid="{691362DF-F918-4C27-B3F7-8EDA1280CF31}" name="Precio">
      <calculatedColumnFormula>B7*0.25*B13*B10</calculatedColumnFormula>
    </tableColumn>
    <tableColumn id="2" xr3:uid="{186C42F3-846F-44B2-B51F-91B270B206BC}" name="Denominació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C6C6C6"/>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2" Type="http://schemas.openxmlformats.org/officeDocument/2006/relationships/table" Target="../tables/table5.xml"/><Relationship Id="rId1" Type="http://schemas.openxmlformats.org/officeDocument/2006/relationships/drawing" Target="../drawings/drawing9.xml"/><Relationship Id="rId6" Type="http://schemas.openxmlformats.org/officeDocument/2006/relationships/table" Target="../tables/table9.xml"/><Relationship Id="rId5" Type="http://schemas.openxmlformats.org/officeDocument/2006/relationships/table" Target="../tables/table8.xml"/><Relationship Id="rId4" Type="http://schemas.openxmlformats.org/officeDocument/2006/relationships/table" Target="../tables/table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0.xml"/><Relationship Id="rId3" Type="http://schemas.openxmlformats.org/officeDocument/2006/relationships/table" Target="../tables/table15.xml"/><Relationship Id="rId7" Type="http://schemas.openxmlformats.org/officeDocument/2006/relationships/table" Target="../tables/table19.xml"/><Relationship Id="rId2" Type="http://schemas.openxmlformats.org/officeDocument/2006/relationships/table" Target="../tables/table14.xml"/><Relationship Id="rId1" Type="http://schemas.openxmlformats.org/officeDocument/2006/relationships/drawing" Target="../drawings/drawing11.xml"/><Relationship Id="rId6" Type="http://schemas.openxmlformats.org/officeDocument/2006/relationships/table" Target="../tables/table18.xml"/><Relationship Id="rId5" Type="http://schemas.openxmlformats.org/officeDocument/2006/relationships/table" Target="../tables/table17.xml"/><Relationship Id="rId4"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2.xml"/><Relationship Id="rId5" Type="http://schemas.openxmlformats.org/officeDocument/2006/relationships/table" Target="../tables/table24.xml"/><Relationship Id="rId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B9351-760C-E145-BFC7-A50C1F8D3A40}">
  <dimension ref="A1:AK673"/>
  <sheetViews>
    <sheetView showGridLines="0" topLeftCell="R1" zoomScale="71" zoomScaleNormal="135" workbookViewId="0">
      <selection activeCell="K10" sqref="K10"/>
    </sheetView>
  </sheetViews>
  <sheetFormatPr defaultColWidth="10.83203125" defaultRowHeight="16"/>
  <cols>
    <col min="1" max="1" width="10.83203125" style="374"/>
    <col min="2" max="2" width="10.83203125" style="373"/>
    <col min="3" max="10" width="10.83203125" style="374"/>
    <col min="11" max="12" width="10.83203125" style="1"/>
    <col min="13" max="13" width="21.58203125" style="1" customWidth="1"/>
    <col min="14" max="15" width="10.83203125" style="1"/>
    <col min="16" max="16" width="11" style="1" bestFit="1" customWidth="1"/>
    <col min="17" max="17" width="12.83203125" style="1" customWidth="1"/>
    <col min="18" max="18" width="10.83203125" style="1"/>
    <col min="19" max="20" width="13.33203125" style="1" bestFit="1" customWidth="1"/>
    <col min="21" max="22" width="11" style="1" bestFit="1" customWidth="1"/>
    <col min="23" max="16384" width="10.83203125" style="1"/>
  </cols>
  <sheetData>
    <row r="1" spans="1:21">
      <c r="A1" s="372" t="s">
        <v>0</v>
      </c>
      <c r="B1" s="373" t="s">
        <v>1</v>
      </c>
      <c r="C1" s="374" t="s">
        <v>2</v>
      </c>
      <c r="D1" s="374" t="s">
        <v>3</v>
      </c>
      <c r="E1" s="374" t="s">
        <v>4</v>
      </c>
      <c r="F1" s="374" t="s">
        <v>5</v>
      </c>
      <c r="G1" s="374" t="s">
        <v>6</v>
      </c>
      <c r="H1" s="374" t="s">
        <v>7</v>
      </c>
      <c r="I1" s="374" t="s">
        <v>8</v>
      </c>
      <c r="J1" s="374" t="s">
        <v>9</v>
      </c>
      <c r="L1" s="1" t="s">
        <v>10</v>
      </c>
      <c r="M1" s="1" t="s">
        <v>11</v>
      </c>
      <c r="N1" s="1" t="s">
        <v>12</v>
      </c>
      <c r="O1" s="1" t="s">
        <v>13</v>
      </c>
      <c r="P1" s="1" t="s">
        <v>14</v>
      </c>
      <c r="Q1" s="122">
        <v>32.31</v>
      </c>
      <c r="R1" s="1" t="s">
        <v>15</v>
      </c>
      <c r="S1" s="122">
        <v>38.631203155818518</v>
      </c>
      <c r="T1" s="1" t="s">
        <v>16</v>
      </c>
      <c r="U1" s="123">
        <v>4.7975548999999999E-2</v>
      </c>
    </row>
    <row r="2" spans="1:21">
      <c r="A2" s="374" t="s">
        <v>17</v>
      </c>
      <c r="B2" s="373">
        <v>32.31</v>
      </c>
      <c r="C2" s="374">
        <v>32.65</v>
      </c>
      <c r="D2" s="374">
        <v>32.75</v>
      </c>
      <c r="E2" s="374">
        <v>32.24</v>
      </c>
      <c r="F2" s="374" t="s">
        <v>18</v>
      </c>
      <c r="G2" s="375">
        <v>-1.9699999999999999E-2</v>
      </c>
      <c r="H2" s="376">
        <f>(B2/B3 -1)*(1/250)</f>
        <v>-7.8883495145630982E-5</v>
      </c>
      <c r="I2" s="376">
        <f>(B2/B22 -1)*(20/250)</f>
        <v>-7.9397825480903173E-3</v>
      </c>
      <c r="J2" s="374">
        <f>(B2/B252 -1)</f>
        <v>-0.17639561560030581</v>
      </c>
    </row>
    <row r="3" spans="1:21">
      <c r="A3" s="374" t="s">
        <v>19</v>
      </c>
      <c r="B3" s="373">
        <v>32.96</v>
      </c>
      <c r="C3" s="374">
        <v>33.25</v>
      </c>
      <c r="D3" s="374">
        <v>33.32</v>
      </c>
      <c r="E3" s="374">
        <v>32.75</v>
      </c>
      <c r="F3" s="374" t="s">
        <v>20</v>
      </c>
      <c r="G3" s="375">
        <v>-1.26E-2</v>
      </c>
      <c r="H3" s="376">
        <f t="shared" ref="H3:H66" si="0">(B3/B4 -1)*(1/250)</f>
        <v>-5.0329538645895959E-5</v>
      </c>
      <c r="I3" s="376">
        <f t="shared" ref="I3:I66" si="1">(B3/B23 -1)*(20/250)</f>
        <v>-6.366936609885512E-3</v>
      </c>
      <c r="J3" s="374">
        <f t="shared" ref="J3:J65" si="2">(B3/B253 -1)</f>
        <v>-0.1378498561339262</v>
      </c>
    </row>
    <row r="4" spans="1:21">
      <c r="A4" s="374" t="s">
        <v>21</v>
      </c>
      <c r="B4" s="373">
        <v>33.380000000000003</v>
      </c>
      <c r="C4" s="374">
        <v>33.14</v>
      </c>
      <c r="D4" s="374">
        <v>33.58</v>
      </c>
      <c r="E4" s="374">
        <v>33.14</v>
      </c>
      <c r="F4" s="374" t="s">
        <v>22</v>
      </c>
      <c r="G4" s="375">
        <v>0</v>
      </c>
      <c r="H4" s="376">
        <f t="shared" si="0"/>
        <v>0</v>
      </c>
      <c r="I4" s="376">
        <f t="shared" si="1"/>
        <v>-5.4910714285714328E-3</v>
      </c>
      <c r="J4" s="374">
        <f t="shared" si="2"/>
        <v>-0.12204103103629671</v>
      </c>
    </row>
    <row r="5" spans="1:21">
      <c r="A5" s="374" t="s">
        <v>23</v>
      </c>
      <c r="B5" s="373">
        <v>33.380000000000003</v>
      </c>
      <c r="C5" s="374">
        <v>33.5</v>
      </c>
      <c r="D5" s="374">
        <v>33.64</v>
      </c>
      <c r="E5" s="374">
        <v>33.119999999999997</v>
      </c>
      <c r="F5" s="374" t="s">
        <v>24</v>
      </c>
      <c r="G5" s="375">
        <v>2.8000000000000001E-2</v>
      </c>
      <c r="H5" s="376">
        <f t="shared" si="0"/>
        <v>1.1210348013551031E-4</v>
      </c>
      <c r="I5" s="376">
        <f t="shared" si="1"/>
        <v>-5.5118549511854907E-3</v>
      </c>
      <c r="J5" s="374">
        <f t="shared" si="2"/>
        <v>-0.12434417628541439</v>
      </c>
    </row>
    <row r="6" spans="1:21">
      <c r="A6" s="374" t="s">
        <v>25</v>
      </c>
      <c r="B6" s="373">
        <v>32.47</v>
      </c>
      <c r="C6" s="374">
        <v>32.950000000000003</v>
      </c>
      <c r="D6" s="374">
        <v>33.19</v>
      </c>
      <c r="E6" s="374">
        <v>32.32</v>
      </c>
      <c r="F6" s="374" t="s">
        <v>26</v>
      </c>
      <c r="G6" s="375">
        <v>-3.1300000000000001E-2</v>
      </c>
      <c r="H6" s="376">
        <f t="shared" si="0"/>
        <v>-1.2529832935560893E-4</v>
      </c>
      <c r="I6" s="376">
        <f t="shared" si="1"/>
        <v>-6.2673857507805769E-3</v>
      </c>
      <c r="J6" s="374">
        <f t="shared" si="2"/>
        <v>-0.16033100594776317</v>
      </c>
    </row>
    <row r="7" spans="1:21">
      <c r="A7" s="374" t="s">
        <v>27</v>
      </c>
      <c r="B7" s="373">
        <v>33.520000000000003</v>
      </c>
      <c r="C7" s="374">
        <v>34.1</v>
      </c>
      <c r="D7" s="374">
        <v>34.130000000000003</v>
      </c>
      <c r="E7" s="374">
        <v>33.25</v>
      </c>
      <c r="F7" s="374" t="s">
        <v>28</v>
      </c>
      <c r="G7" s="375">
        <v>-1.67E-2</v>
      </c>
      <c r="H7" s="376">
        <f t="shared" si="0"/>
        <v>-6.6881783514227252E-5</v>
      </c>
      <c r="I7" s="376">
        <f t="shared" si="1"/>
        <v>-3.9478162223482551E-3</v>
      </c>
      <c r="J7" s="374">
        <f t="shared" si="2"/>
        <v>-0.14029238266222099</v>
      </c>
    </row>
    <row r="8" spans="1:21">
      <c r="A8" s="374" t="s">
        <v>29</v>
      </c>
      <c r="B8" s="373">
        <v>34.090000000000003</v>
      </c>
      <c r="C8" s="374">
        <v>33.9</v>
      </c>
      <c r="D8" s="374">
        <v>34.54</v>
      </c>
      <c r="E8" s="374">
        <v>33.78</v>
      </c>
      <c r="F8" s="374" t="s">
        <v>30</v>
      </c>
      <c r="G8" s="375">
        <v>-3.2000000000000002E-3</v>
      </c>
      <c r="H8" s="376">
        <f t="shared" si="0"/>
        <v>-1.2865497076023136E-5</v>
      </c>
      <c r="I8" s="376">
        <f t="shared" si="1"/>
        <v>-3.3932584269662858E-3</v>
      </c>
      <c r="J8" s="374">
        <f t="shared" si="2"/>
        <v>-0.13892397069967166</v>
      </c>
    </row>
    <row r="9" spans="1:21">
      <c r="A9" s="374" t="s">
        <v>31</v>
      </c>
      <c r="B9" s="373">
        <v>34.200000000000003</v>
      </c>
      <c r="C9" s="374">
        <v>34</v>
      </c>
      <c r="D9" s="374">
        <v>34.46</v>
      </c>
      <c r="E9" s="374">
        <v>33.76</v>
      </c>
      <c r="F9" s="374" t="s">
        <v>32</v>
      </c>
      <c r="G9" s="375">
        <v>9.4000000000000004E-3</v>
      </c>
      <c r="H9" s="376">
        <f t="shared" si="0"/>
        <v>3.7780401416765307E-5</v>
      </c>
      <c r="I9" s="376">
        <f t="shared" si="1"/>
        <v>-5.0410958904109557E-3</v>
      </c>
      <c r="J9" s="374">
        <f t="shared" si="2"/>
        <v>-0.12172573189522329</v>
      </c>
    </row>
    <row r="10" spans="1:21">
      <c r="A10" s="374" t="s">
        <v>33</v>
      </c>
      <c r="B10" s="373">
        <v>33.880000000000003</v>
      </c>
      <c r="C10" s="374">
        <v>34.82</v>
      </c>
      <c r="D10" s="374">
        <v>34.83</v>
      </c>
      <c r="E10" s="374">
        <v>33.49</v>
      </c>
      <c r="F10" s="374" t="s">
        <v>34</v>
      </c>
      <c r="G10" s="375">
        <v>-3.1199999999999999E-2</v>
      </c>
      <c r="H10" s="376">
        <f t="shared" si="0"/>
        <v>-1.2467829568201295E-4</v>
      </c>
      <c r="I10" s="376">
        <f t="shared" si="1"/>
        <v>-4.248183342649519E-3</v>
      </c>
      <c r="J10" s="374">
        <f t="shared" si="2"/>
        <v>-0.13483146067415719</v>
      </c>
    </row>
    <row r="11" spans="1:21">
      <c r="A11" s="374" t="s">
        <v>35</v>
      </c>
      <c r="B11" s="373">
        <v>34.97</v>
      </c>
      <c r="C11" s="374">
        <v>34.78</v>
      </c>
      <c r="D11" s="374">
        <v>35.229999999999997</v>
      </c>
      <c r="E11" s="374">
        <v>34.520000000000003</v>
      </c>
      <c r="F11" s="374" t="s">
        <v>36</v>
      </c>
      <c r="G11" s="375">
        <v>-2.9399999999999999E-2</v>
      </c>
      <c r="H11" s="376">
        <f t="shared" si="0"/>
        <v>-1.1767971135165168E-4</v>
      </c>
      <c r="I11" s="376">
        <f t="shared" si="1"/>
        <v>-2.8673835125448124E-3</v>
      </c>
      <c r="J11" s="374">
        <f t="shared" si="2"/>
        <v>-7.5845665961945197E-2</v>
      </c>
    </row>
    <row r="12" spans="1:21">
      <c r="A12" s="374" t="s">
        <v>37</v>
      </c>
      <c r="B12" s="373">
        <v>36.03</v>
      </c>
      <c r="C12" s="374">
        <v>36.26</v>
      </c>
      <c r="D12" s="374">
        <v>36.380000000000003</v>
      </c>
      <c r="E12" s="374">
        <v>35.92</v>
      </c>
      <c r="F12" s="374" t="s">
        <v>38</v>
      </c>
      <c r="G12" s="375">
        <v>-7.1999999999999998E-3</v>
      </c>
      <c r="H12" s="376">
        <f t="shared" si="0"/>
        <v>-2.8658032515844312E-5</v>
      </c>
      <c r="I12" s="376">
        <f t="shared" si="1"/>
        <v>-4.6357615894040196E-4</v>
      </c>
      <c r="J12" s="374">
        <f t="shared" si="2"/>
        <v>-3.9712153518123738E-2</v>
      </c>
    </row>
    <row r="13" spans="1:21">
      <c r="A13" s="374" t="s">
        <v>39</v>
      </c>
      <c r="B13" s="373">
        <v>36.29</v>
      </c>
      <c r="C13" s="374">
        <v>36</v>
      </c>
      <c r="D13" s="374">
        <v>36.369999999999997</v>
      </c>
      <c r="E13" s="374">
        <v>35.96</v>
      </c>
      <c r="F13" s="374" t="s">
        <v>40</v>
      </c>
      <c r="G13" s="375">
        <v>9.7000000000000003E-3</v>
      </c>
      <c r="H13" s="376">
        <f t="shared" si="0"/>
        <v>3.8953811908736922E-5</v>
      </c>
      <c r="I13" s="376">
        <f t="shared" si="1"/>
        <v>4.4113592500671928E-5</v>
      </c>
      <c r="J13" s="374">
        <f t="shared" si="2"/>
        <v>-6.7574511819116223E-2</v>
      </c>
    </row>
    <row r="14" spans="1:21">
      <c r="A14" s="374" t="s">
        <v>41</v>
      </c>
      <c r="B14" s="373">
        <v>35.94</v>
      </c>
      <c r="C14" s="374">
        <v>36.270000000000003</v>
      </c>
      <c r="D14" s="374">
        <v>36.270000000000003</v>
      </c>
      <c r="E14" s="374">
        <v>35.82</v>
      </c>
      <c r="F14" s="374" t="s">
        <v>42</v>
      </c>
      <c r="G14" s="375">
        <v>-8.0000000000000002E-3</v>
      </c>
      <c r="H14" s="376">
        <f t="shared" si="0"/>
        <v>-3.2017664918575496E-5</v>
      </c>
      <c r="I14" s="376">
        <f t="shared" si="1"/>
        <v>-7.2787427626138876E-4</v>
      </c>
      <c r="J14" s="374">
        <f t="shared" si="2"/>
        <v>-4.3385680063880772E-2</v>
      </c>
    </row>
    <row r="15" spans="1:21">
      <c r="A15" s="374" t="s">
        <v>43</v>
      </c>
      <c r="B15" s="373">
        <v>36.229999999999997</v>
      </c>
      <c r="C15" s="374">
        <v>36.11</v>
      </c>
      <c r="D15" s="374">
        <v>36.520000000000003</v>
      </c>
      <c r="E15" s="374">
        <v>36.090000000000003</v>
      </c>
      <c r="F15" s="374" t="s">
        <v>44</v>
      </c>
      <c r="G15" s="375">
        <v>7.4999999999999997E-3</v>
      </c>
      <c r="H15" s="376">
        <f t="shared" si="0"/>
        <v>3.0033370411567618E-5</v>
      </c>
      <c r="I15" s="376">
        <f t="shared" si="1"/>
        <v>-8.8227185001388267E-5</v>
      </c>
      <c r="J15" s="374">
        <f t="shared" si="2"/>
        <v>-4.1280762106377433E-2</v>
      </c>
    </row>
    <row r="16" spans="1:21">
      <c r="A16" s="374" t="s">
        <v>45</v>
      </c>
      <c r="B16" s="373">
        <v>35.96</v>
      </c>
      <c r="C16" s="374">
        <v>36.83</v>
      </c>
      <c r="D16" s="374">
        <v>36.86</v>
      </c>
      <c r="E16" s="374">
        <v>35.96</v>
      </c>
      <c r="F16" s="374" t="s">
        <v>46</v>
      </c>
      <c r="G16" s="375">
        <v>-2.3099999999999999E-2</v>
      </c>
      <c r="H16" s="376">
        <f t="shared" si="0"/>
        <v>-9.2366204835642835E-5</v>
      </c>
      <c r="I16" s="376">
        <f t="shared" si="1"/>
        <v>-2.5417339795368843E-3</v>
      </c>
      <c r="J16" s="374">
        <f t="shared" si="2"/>
        <v>-8.00716295727808E-2</v>
      </c>
    </row>
    <row r="17" spans="1:10">
      <c r="A17" s="374" t="s">
        <v>47</v>
      </c>
      <c r="B17" s="373">
        <v>36.81</v>
      </c>
      <c r="C17" s="374">
        <v>35.83</v>
      </c>
      <c r="D17" s="374">
        <v>37.020000000000003</v>
      </c>
      <c r="E17" s="374">
        <v>35.82</v>
      </c>
      <c r="F17" s="374" t="s">
        <v>48</v>
      </c>
      <c r="G17" s="375">
        <v>2.3400000000000001E-2</v>
      </c>
      <c r="H17" s="376">
        <f t="shared" si="0"/>
        <v>9.3411175979984048E-5</v>
      </c>
      <c r="I17" s="376">
        <f t="shared" si="1"/>
        <v>-6.6810344827585412E-4</v>
      </c>
      <c r="J17" s="374">
        <f t="shared" si="2"/>
        <v>-4.6620046620046596E-2</v>
      </c>
    </row>
    <row r="18" spans="1:10">
      <c r="A18" s="374" t="s">
        <v>49</v>
      </c>
      <c r="B18" s="373">
        <v>35.97</v>
      </c>
      <c r="C18" s="374">
        <v>36.020000000000003</v>
      </c>
      <c r="D18" s="374">
        <v>36.340000000000003</v>
      </c>
      <c r="E18" s="374">
        <v>35.590000000000003</v>
      </c>
      <c r="F18" s="374" t="s">
        <v>50</v>
      </c>
      <c r="G18" s="375">
        <v>-6.6E-3</v>
      </c>
      <c r="H18" s="376">
        <f t="shared" si="0"/>
        <v>-2.651201325600683E-5</v>
      </c>
      <c r="I18" s="376">
        <f t="shared" si="1"/>
        <v>-3.5900159320233628E-3</v>
      </c>
      <c r="J18" s="374">
        <f t="shared" si="2"/>
        <v>-4.5382165605095559E-2</v>
      </c>
    </row>
    <row r="19" spans="1:10">
      <c r="A19" s="374" t="s">
        <v>51</v>
      </c>
      <c r="B19" s="373">
        <v>36.21</v>
      </c>
      <c r="C19" s="374">
        <v>35.6</v>
      </c>
      <c r="D19" s="374">
        <v>36.479999999999997</v>
      </c>
      <c r="E19" s="374">
        <v>35.6</v>
      </c>
      <c r="F19" s="374" t="s">
        <v>52</v>
      </c>
      <c r="G19" s="375">
        <v>1.26E-2</v>
      </c>
      <c r="H19" s="376">
        <f t="shared" si="0"/>
        <v>5.0335570469798975E-5</v>
      </c>
      <c r="I19" s="376">
        <f t="shared" si="1"/>
        <v>2.4376731301938294E-4</v>
      </c>
      <c r="J19" s="374">
        <f t="shared" si="2"/>
        <v>-2.108678021086785E-2</v>
      </c>
    </row>
    <row r="20" spans="1:10">
      <c r="A20" s="374" t="s">
        <v>53</v>
      </c>
      <c r="B20" s="373">
        <v>35.76</v>
      </c>
      <c r="C20" s="374">
        <v>35.51</v>
      </c>
      <c r="D20" s="374">
        <v>36.1</v>
      </c>
      <c r="E20" s="374">
        <v>35.51</v>
      </c>
      <c r="F20" s="374" t="s">
        <v>54</v>
      </c>
      <c r="G20" s="375">
        <v>5.5999999999999999E-3</v>
      </c>
      <c r="H20" s="376">
        <f t="shared" si="0"/>
        <v>2.2497187851517885E-5</v>
      </c>
      <c r="I20" s="376">
        <f t="shared" si="1"/>
        <v>2.6936026936025926E-4</v>
      </c>
      <c r="J20" s="374">
        <f t="shared" si="2"/>
        <v>-2.1078565562551388E-2</v>
      </c>
    </row>
    <row r="21" spans="1:10">
      <c r="A21" s="374" t="s">
        <v>55</v>
      </c>
      <c r="B21" s="373">
        <v>35.56</v>
      </c>
      <c r="C21" s="374">
        <v>35.74</v>
      </c>
      <c r="D21" s="374">
        <v>36.090000000000003</v>
      </c>
      <c r="E21" s="374">
        <v>35.56</v>
      </c>
      <c r="F21" s="374" t="s">
        <v>56</v>
      </c>
      <c r="G21" s="375">
        <v>-8.6E-3</v>
      </c>
      <c r="H21" s="376">
        <f t="shared" si="0"/>
        <v>-3.4569277948145681E-5</v>
      </c>
      <c r="I21" s="376">
        <f t="shared" si="1"/>
        <v>-1.2184990307394018E-3</v>
      </c>
      <c r="J21" s="374">
        <f t="shared" si="2"/>
        <v>-3.7097210939615377E-2</v>
      </c>
    </row>
    <row r="22" spans="1:10">
      <c r="A22" s="374" t="s">
        <v>57</v>
      </c>
      <c r="B22" s="373">
        <v>35.869999999999997</v>
      </c>
      <c r="C22" s="374">
        <v>35.78</v>
      </c>
      <c r="D22" s="374">
        <v>36.020000000000003</v>
      </c>
      <c r="E22" s="374">
        <v>35.58</v>
      </c>
      <c r="F22" s="374" t="s">
        <v>58</v>
      </c>
      <c r="G22" s="375">
        <v>1.6999999999999999E-3</v>
      </c>
      <c r="H22" s="376">
        <f t="shared" si="0"/>
        <v>6.7020385367211338E-6</v>
      </c>
      <c r="I22" s="376">
        <f t="shared" si="1"/>
        <v>-3.4977339376166404E-3</v>
      </c>
      <c r="J22" s="374">
        <f t="shared" si="2"/>
        <v>-5.555555555555558E-2</v>
      </c>
    </row>
    <row r="23" spans="1:10">
      <c r="A23" s="374" t="s">
        <v>59</v>
      </c>
      <c r="B23" s="373">
        <v>35.81</v>
      </c>
      <c r="C23" s="374">
        <v>35.69</v>
      </c>
      <c r="D23" s="374">
        <v>36.119999999999997</v>
      </c>
      <c r="E23" s="374">
        <v>35.44</v>
      </c>
      <c r="F23" s="374" t="s">
        <v>60</v>
      </c>
      <c r="G23" s="375">
        <v>-8.0000000000000004E-4</v>
      </c>
      <c r="H23" s="376">
        <f t="shared" si="0"/>
        <v>-3.3482142857144126E-6</v>
      </c>
      <c r="I23" s="376">
        <f t="shared" si="1"/>
        <v>-4.6898002103049402E-3</v>
      </c>
      <c r="J23" s="374">
        <f t="shared" si="2"/>
        <v>-5.9117183394640005E-2</v>
      </c>
    </row>
    <row r="24" spans="1:10">
      <c r="A24" s="374" t="s">
        <v>61</v>
      </c>
      <c r="B24" s="373">
        <v>35.840000000000003</v>
      </c>
      <c r="C24" s="374">
        <v>35.799999999999997</v>
      </c>
      <c r="D24" s="374">
        <v>36.119999999999997</v>
      </c>
      <c r="E24" s="374">
        <v>35.71</v>
      </c>
      <c r="F24" s="374" t="s">
        <v>62</v>
      </c>
      <c r="G24" s="375">
        <v>-2.9999999999999997E-4</v>
      </c>
      <c r="H24" s="376">
        <f t="shared" si="0"/>
        <v>-1.1157601115758808E-6</v>
      </c>
      <c r="I24" s="376">
        <f t="shared" si="1"/>
        <v>-5.255474452554738E-3</v>
      </c>
      <c r="J24" s="374">
        <f t="shared" si="2"/>
        <v>-5.9070622210553925E-2</v>
      </c>
    </row>
    <row r="25" spans="1:10">
      <c r="A25" s="374" t="s">
        <v>63</v>
      </c>
      <c r="B25" s="373">
        <v>35.85</v>
      </c>
      <c r="C25" s="374">
        <v>35.299999999999997</v>
      </c>
      <c r="D25" s="374">
        <v>35.94</v>
      </c>
      <c r="E25" s="374">
        <v>35.299999999999997</v>
      </c>
      <c r="F25" s="374" t="s">
        <v>64</v>
      </c>
      <c r="G25" s="375">
        <v>1.7600000000000001E-2</v>
      </c>
      <c r="H25" s="376">
        <f t="shared" si="0"/>
        <v>7.0394550099347697E-5</v>
      </c>
      <c r="I25" s="376">
        <f t="shared" si="1"/>
        <v>-4.6452968996321606E-3</v>
      </c>
      <c r="J25" s="374">
        <f t="shared" si="2"/>
        <v>-5.3340374966992288E-2</v>
      </c>
    </row>
    <row r="26" spans="1:10">
      <c r="A26" s="374" t="s">
        <v>65</v>
      </c>
      <c r="B26" s="373">
        <v>35.229999999999997</v>
      </c>
      <c r="C26" s="374">
        <v>35.24</v>
      </c>
      <c r="D26" s="374">
        <v>35.6</v>
      </c>
      <c r="E26" s="374">
        <v>35.21</v>
      </c>
      <c r="F26" s="374" t="s">
        <v>66</v>
      </c>
      <c r="G26" s="375">
        <v>-8.9999999999999998E-4</v>
      </c>
      <c r="H26" s="376">
        <f t="shared" si="0"/>
        <v>-3.4032898468518982E-6</v>
      </c>
      <c r="I26" s="376">
        <f t="shared" si="1"/>
        <v>-6.3355985363303712E-3</v>
      </c>
      <c r="J26" s="374">
        <f t="shared" si="2"/>
        <v>-2.9476584022038566E-2</v>
      </c>
    </row>
    <row r="27" spans="1:10">
      <c r="A27" s="374" t="s">
        <v>67</v>
      </c>
      <c r="B27" s="373">
        <v>35.26</v>
      </c>
      <c r="C27" s="374">
        <v>35.369999999999997</v>
      </c>
      <c r="D27" s="374">
        <v>35.43</v>
      </c>
      <c r="E27" s="374">
        <v>34.83</v>
      </c>
      <c r="F27" s="374" t="s">
        <v>68</v>
      </c>
      <c r="G27" s="375">
        <v>-9.5999999999999992E-3</v>
      </c>
      <c r="H27" s="376">
        <f t="shared" si="0"/>
        <v>-3.820224719101173E-5</v>
      </c>
      <c r="I27" s="376">
        <f t="shared" si="1"/>
        <v>-6.9601242879337114E-3</v>
      </c>
      <c r="J27" s="374">
        <f t="shared" si="2"/>
        <v>-2.7578599007170412E-2</v>
      </c>
    </row>
    <row r="28" spans="1:10">
      <c r="A28" s="374" t="s">
        <v>69</v>
      </c>
      <c r="B28" s="373">
        <v>35.6</v>
      </c>
      <c r="C28" s="374">
        <v>36.29</v>
      </c>
      <c r="D28" s="374">
        <v>36.29</v>
      </c>
      <c r="E28" s="374">
        <v>35.409999999999997</v>
      </c>
      <c r="F28" s="374" t="s">
        <v>70</v>
      </c>
      <c r="G28" s="375">
        <v>-2.47E-2</v>
      </c>
      <c r="H28" s="376">
        <f t="shared" si="0"/>
        <v>-9.8630136986301408E-5</v>
      </c>
      <c r="I28" s="376">
        <f t="shared" si="1"/>
        <v>-6.274915868495992E-3</v>
      </c>
      <c r="J28" s="374">
        <f t="shared" si="2"/>
        <v>-3.4445348521833341E-2</v>
      </c>
    </row>
    <row r="29" spans="1:10">
      <c r="A29" s="374" t="s">
        <v>71</v>
      </c>
      <c r="B29" s="373">
        <v>36.5</v>
      </c>
      <c r="C29" s="374">
        <v>36.06</v>
      </c>
      <c r="D29" s="374">
        <v>36.9</v>
      </c>
      <c r="E29" s="374">
        <v>35.840000000000003</v>
      </c>
      <c r="F29" s="374" t="s">
        <v>72</v>
      </c>
      <c r="G29" s="375">
        <v>2.01E-2</v>
      </c>
      <c r="H29" s="376">
        <f t="shared" si="0"/>
        <v>8.0491894913359724E-5</v>
      </c>
      <c r="I29" s="376">
        <f t="shared" si="1"/>
        <v>-4.4892681665373683E-3</v>
      </c>
      <c r="J29" s="374">
        <f t="shared" si="2"/>
        <v>-4.3644298963446682E-3</v>
      </c>
    </row>
    <row r="30" spans="1:10">
      <c r="A30" s="374" t="s">
        <v>73</v>
      </c>
      <c r="B30" s="373">
        <v>35.78</v>
      </c>
      <c r="C30" s="374">
        <v>36.31</v>
      </c>
      <c r="D30" s="374">
        <v>36.4</v>
      </c>
      <c r="E30" s="374">
        <v>35.72</v>
      </c>
      <c r="F30" s="374" t="s">
        <v>74</v>
      </c>
      <c r="G30" s="375">
        <v>-1.35E-2</v>
      </c>
      <c r="H30" s="376">
        <f t="shared" si="0"/>
        <v>-5.4039150813344427E-5</v>
      </c>
      <c r="I30" s="376">
        <f t="shared" si="1"/>
        <v>-6.5674704976911172E-3</v>
      </c>
      <c r="J30" s="374">
        <f t="shared" si="2"/>
        <v>-4.357123763699533E-2</v>
      </c>
    </row>
    <row r="31" spans="1:10">
      <c r="A31" s="374" t="s">
        <v>75</v>
      </c>
      <c r="B31" s="373">
        <v>36.270000000000003</v>
      </c>
      <c r="C31" s="374">
        <v>36.04</v>
      </c>
      <c r="D31" s="374">
        <v>36.46</v>
      </c>
      <c r="E31" s="374">
        <v>35.93</v>
      </c>
      <c r="F31" s="374" t="s">
        <v>76</v>
      </c>
      <c r="G31" s="375">
        <v>8.0000000000000004E-4</v>
      </c>
      <c r="H31" s="376">
        <f t="shared" si="0"/>
        <v>3.3112582781456012E-6</v>
      </c>
      <c r="I31" s="376">
        <f t="shared" si="1"/>
        <v>-6.3179278821736953E-3</v>
      </c>
      <c r="J31" s="374">
        <f t="shared" si="2"/>
        <v>-1.7871649065800077E-2</v>
      </c>
    </row>
    <row r="32" spans="1:10">
      <c r="A32" s="374" t="s">
        <v>77</v>
      </c>
      <c r="B32" s="373">
        <v>36.24</v>
      </c>
      <c r="C32" s="374">
        <v>36.42</v>
      </c>
      <c r="D32" s="374">
        <v>36.46</v>
      </c>
      <c r="E32" s="374">
        <v>36.04</v>
      </c>
      <c r="F32" s="374" t="s">
        <v>78</v>
      </c>
      <c r="G32" s="375">
        <v>-8.0000000000000004E-4</v>
      </c>
      <c r="H32" s="376">
        <f t="shared" si="0"/>
        <v>-3.308519437551727E-6</v>
      </c>
      <c r="I32" s="376">
        <f t="shared" si="1"/>
        <v>-8.3794466403161929E-3</v>
      </c>
      <c r="J32" s="374">
        <f t="shared" si="2"/>
        <v>-3.2051282051281937E-2</v>
      </c>
    </row>
    <row r="33" spans="1:21">
      <c r="A33" s="374" t="s">
        <v>79</v>
      </c>
      <c r="B33" s="373">
        <v>36.270000000000003</v>
      </c>
      <c r="C33" s="374">
        <v>36.56</v>
      </c>
      <c r="D33" s="374">
        <v>36.700000000000003</v>
      </c>
      <c r="E33" s="374">
        <v>36.25</v>
      </c>
      <c r="F33" s="374" t="s">
        <v>80</v>
      </c>
      <c r="G33" s="375">
        <v>0</v>
      </c>
      <c r="H33" s="376">
        <f t="shared" si="0"/>
        <v>0</v>
      </c>
      <c r="I33" s="376">
        <f t="shared" si="1"/>
        <v>-7.3146292585170337E-3</v>
      </c>
      <c r="J33" s="374">
        <f t="shared" si="2"/>
        <v>-3.4345047923322714E-2</v>
      </c>
    </row>
    <row r="34" spans="1:21">
      <c r="A34" s="374" t="s">
        <v>81</v>
      </c>
      <c r="B34" s="373">
        <v>36.270000000000003</v>
      </c>
      <c r="C34" s="374">
        <v>36.1</v>
      </c>
      <c r="D34" s="374">
        <v>36.549999999999997</v>
      </c>
      <c r="E34" s="374">
        <v>35.94</v>
      </c>
      <c r="F34" s="374" t="s">
        <v>82</v>
      </c>
      <c r="G34" s="375">
        <v>0</v>
      </c>
      <c r="H34" s="376">
        <f t="shared" si="0"/>
        <v>0</v>
      </c>
      <c r="I34" s="376">
        <f t="shared" si="1"/>
        <v>-6.8012108980827438E-3</v>
      </c>
      <c r="J34" s="374">
        <f t="shared" si="2"/>
        <v>-5.0523560209424057E-2</v>
      </c>
    </row>
    <row r="35" spans="1:21">
      <c r="A35" s="374" t="s">
        <v>83</v>
      </c>
      <c r="B35" s="373">
        <v>36.270000000000003</v>
      </c>
      <c r="C35" s="374">
        <v>37.090000000000003</v>
      </c>
      <c r="D35" s="374">
        <v>37.1</v>
      </c>
      <c r="E35" s="374">
        <v>36.21</v>
      </c>
      <c r="F35" s="374" t="s">
        <v>84</v>
      </c>
      <c r="G35" s="375">
        <v>-2.3400000000000001E-2</v>
      </c>
      <c r="H35" s="376">
        <f t="shared" si="0"/>
        <v>-9.3699515347334114E-5</v>
      </c>
      <c r="I35" s="376">
        <f t="shared" si="1"/>
        <v>-6.9854051333668819E-3</v>
      </c>
      <c r="J35" s="374">
        <f t="shared" si="2"/>
        <v>-4.3007915567282229E-2</v>
      </c>
      <c r="L35" s="1" t="s">
        <v>85</v>
      </c>
      <c r="R35" s="1" t="s">
        <v>86</v>
      </c>
    </row>
    <row r="36" spans="1:21">
      <c r="A36" s="374" t="s">
        <v>87</v>
      </c>
      <c r="B36" s="373">
        <v>37.14</v>
      </c>
      <c r="C36" s="374">
        <v>37</v>
      </c>
      <c r="D36" s="374">
        <v>37.46</v>
      </c>
      <c r="E36" s="374">
        <v>36.93</v>
      </c>
      <c r="F36" s="374" t="s">
        <v>88</v>
      </c>
      <c r="G36" s="375">
        <v>5.0000000000000001E-4</v>
      </c>
      <c r="H36" s="376">
        <f t="shared" si="0"/>
        <v>2.1551724137935935E-6</v>
      </c>
      <c r="I36" s="376">
        <f t="shared" si="1"/>
        <v>-5.4404015056461752E-3</v>
      </c>
      <c r="J36" s="374">
        <f t="shared" si="2"/>
        <v>-1.0127931769722931E-2</v>
      </c>
    </row>
    <row r="37" spans="1:21">
      <c r="A37" s="374" t="s">
        <v>89</v>
      </c>
      <c r="B37" s="373">
        <v>37.119999999999997</v>
      </c>
      <c r="C37" s="374">
        <v>37.549999999999997</v>
      </c>
      <c r="D37" s="374">
        <v>37.57</v>
      </c>
      <c r="E37" s="374">
        <v>37.1</v>
      </c>
      <c r="F37" s="374" t="s">
        <v>90</v>
      </c>
      <c r="G37" s="375">
        <v>-1.43E-2</v>
      </c>
      <c r="H37" s="376">
        <f t="shared" si="0"/>
        <v>-5.7355284121083372E-5</v>
      </c>
      <c r="I37" s="376">
        <f t="shared" si="1"/>
        <v>-5.7600000000000056E-3</v>
      </c>
      <c r="J37" s="374">
        <f t="shared" si="2"/>
        <v>-1.4861995753715607E-2</v>
      </c>
    </row>
    <row r="38" spans="1:21">
      <c r="A38" s="374" t="s">
        <v>91</v>
      </c>
      <c r="B38" s="373">
        <v>37.659999999999997</v>
      </c>
      <c r="C38" s="374">
        <v>37.520000000000003</v>
      </c>
      <c r="D38" s="374">
        <v>37.81</v>
      </c>
      <c r="E38" s="374">
        <v>36.979999999999997</v>
      </c>
      <c r="F38" s="374" t="s">
        <v>92</v>
      </c>
      <c r="G38" s="375">
        <v>4.3200000000000002E-2</v>
      </c>
      <c r="H38" s="376">
        <f t="shared" si="0"/>
        <v>1.7285318559556728E-4</v>
      </c>
      <c r="I38" s="376">
        <f t="shared" si="1"/>
        <v>-4.7364476642518215E-3</v>
      </c>
      <c r="J38" s="374">
        <f t="shared" si="2"/>
        <v>1.0632642211589882E-3</v>
      </c>
    </row>
    <row r="39" spans="1:21">
      <c r="A39" s="374" t="s">
        <v>93</v>
      </c>
      <c r="B39" s="373">
        <v>36.1</v>
      </c>
      <c r="C39" s="374">
        <v>35.64</v>
      </c>
      <c r="D39" s="374">
        <v>36.270000000000003</v>
      </c>
      <c r="E39" s="374">
        <v>35.619999999999997</v>
      </c>
      <c r="F39" s="374" t="s">
        <v>94</v>
      </c>
      <c r="G39" s="375">
        <v>1.29E-2</v>
      </c>
      <c r="H39" s="376">
        <f t="shared" si="0"/>
        <v>5.1627384960718283E-5</v>
      </c>
      <c r="I39" s="376">
        <f t="shared" si="1"/>
        <v>-8.2484472049689384E-3</v>
      </c>
      <c r="J39" s="374">
        <f t="shared" si="2"/>
        <v>-3.2430983650495904E-2</v>
      </c>
    </row>
    <row r="40" spans="1:21">
      <c r="A40" s="374" t="s">
        <v>95</v>
      </c>
      <c r="B40" s="373">
        <v>35.64</v>
      </c>
      <c r="C40" s="374">
        <v>36.07</v>
      </c>
      <c r="D40" s="374">
        <v>36.18</v>
      </c>
      <c r="E40" s="374">
        <v>35.479999999999997</v>
      </c>
      <c r="F40" s="374" t="s">
        <v>96</v>
      </c>
      <c r="G40" s="375">
        <v>-1.2999999999999999E-2</v>
      </c>
      <c r="H40" s="376">
        <f t="shared" si="0"/>
        <v>-5.2063140404320141E-5</v>
      </c>
      <c r="I40" s="376">
        <f t="shared" si="1"/>
        <v>-9.6173784250802186E-3</v>
      </c>
      <c r="J40" s="374">
        <f t="shared" si="2"/>
        <v>-3.6756756756756714E-2</v>
      </c>
    </row>
    <row r="41" spans="1:21">
      <c r="A41" s="374" t="s">
        <v>97</v>
      </c>
      <c r="B41" s="373">
        <v>36.11</v>
      </c>
      <c r="C41" s="374">
        <v>36.44</v>
      </c>
      <c r="D41" s="374">
        <v>36.56</v>
      </c>
      <c r="E41" s="374">
        <v>36.01</v>
      </c>
      <c r="F41" s="374" t="s">
        <v>98</v>
      </c>
      <c r="G41" s="375">
        <v>-3.73E-2</v>
      </c>
      <c r="H41" s="376">
        <f t="shared" si="0"/>
        <v>-1.4929352172753907E-4</v>
      </c>
      <c r="I41" s="376">
        <f t="shared" si="1"/>
        <v>-9.5070766227427946E-3</v>
      </c>
      <c r="J41" s="374">
        <f t="shared" si="2"/>
        <v>-2.1674342996477858E-2</v>
      </c>
    </row>
    <row r="42" spans="1:21">
      <c r="A42" s="374" t="s">
        <v>99</v>
      </c>
      <c r="B42" s="373">
        <v>37.51</v>
      </c>
      <c r="C42" s="374">
        <v>37.96</v>
      </c>
      <c r="D42" s="374">
        <v>38.01</v>
      </c>
      <c r="E42" s="374">
        <v>37.43</v>
      </c>
      <c r="F42" s="374" t="s">
        <v>100</v>
      </c>
      <c r="G42" s="375">
        <v>-1.3899999999999999E-2</v>
      </c>
      <c r="H42" s="376">
        <f t="shared" si="0"/>
        <v>-5.573080967402744E-5</v>
      </c>
      <c r="I42" s="376">
        <f t="shared" si="1"/>
        <v>-6.5589818893783663E-3</v>
      </c>
      <c r="J42" s="374">
        <f t="shared" si="2"/>
        <v>1.077876583131232E-2</v>
      </c>
    </row>
    <row r="43" spans="1:21">
      <c r="A43" s="374" t="s">
        <v>101</v>
      </c>
      <c r="B43" s="373">
        <v>38.04</v>
      </c>
      <c r="C43" s="374">
        <v>38.35</v>
      </c>
      <c r="D43" s="374">
        <v>38.36</v>
      </c>
      <c r="E43" s="374">
        <v>37.75</v>
      </c>
      <c r="F43" s="374" t="s">
        <v>102</v>
      </c>
      <c r="G43" s="375">
        <v>-8.3000000000000001E-3</v>
      </c>
      <c r="H43" s="376">
        <f t="shared" si="0"/>
        <v>-3.3368091762252307E-5</v>
      </c>
      <c r="I43" s="376">
        <f t="shared" si="1"/>
        <v>-5.8840720896249452E-3</v>
      </c>
      <c r="J43" s="374">
        <f t="shared" si="2"/>
        <v>2.7830316130775579E-2</v>
      </c>
    </row>
    <row r="44" spans="1:21">
      <c r="A44" s="374" t="s">
        <v>103</v>
      </c>
      <c r="B44" s="373">
        <v>38.36</v>
      </c>
      <c r="C44" s="374">
        <v>37.96</v>
      </c>
      <c r="D44" s="374">
        <v>38.630000000000003</v>
      </c>
      <c r="E44" s="374">
        <v>37.9</v>
      </c>
      <c r="F44" s="374" t="s">
        <v>104</v>
      </c>
      <c r="G44" s="375">
        <v>7.9000000000000008E-3</v>
      </c>
      <c r="H44" s="376">
        <f t="shared" si="0"/>
        <v>3.1529164477141158E-5</v>
      </c>
      <c r="I44" s="376">
        <f t="shared" si="1"/>
        <v>-4.6550454210655531E-3</v>
      </c>
      <c r="J44" s="374">
        <f t="shared" si="2"/>
        <v>5.0383351588170866E-2</v>
      </c>
    </row>
    <row r="45" spans="1:21" ht="16.5" thickBot="1">
      <c r="A45" s="374" t="s">
        <v>105</v>
      </c>
      <c r="B45" s="373">
        <v>38.06</v>
      </c>
      <c r="C45" s="374">
        <v>38.08</v>
      </c>
      <c r="D45" s="374">
        <v>38.22</v>
      </c>
      <c r="E45" s="374">
        <v>37.57</v>
      </c>
      <c r="F45" s="374" t="s">
        <v>106</v>
      </c>
      <c r="G45" s="375">
        <v>-5.1999999999999998E-3</v>
      </c>
      <c r="H45" s="376">
        <f t="shared" si="0"/>
        <v>-2.0909566126502633E-5</v>
      </c>
      <c r="I45" s="376">
        <f t="shared" si="1"/>
        <v>-5.827040194884274E-3</v>
      </c>
      <c r="J45" s="374">
        <f t="shared" si="2"/>
        <v>4.3311403508772051E-2</v>
      </c>
    </row>
    <row r="46" spans="1:21">
      <c r="A46" s="374" t="s">
        <v>107</v>
      </c>
      <c r="B46" s="373">
        <v>38.26</v>
      </c>
      <c r="C46" s="374">
        <v>38.619999999999997</v>
      </c>
      <c r="D46" s="374">
        <v>38.74</v>
      </c>
      <c r="E46" s="374">
        <v>38</v>
      </c>
      <c r="F46" s="374" t="s">
        <v>108</v>
      </c>
      <c r="G46" s="375">
        <v>-9.2999999999999992E-3</v>
      </c>
      <c r="H46" s="376">
        <f t="shared" si="0"/>
        <v>-3.7286380113930486E-5</v>
      </c>
      <c r="I46" s="376">
        <f t="shared" si="1"/>
        <v>-5.1821070642874556E-3</v>
      </c>
      <c r="J46" s="374">
        <f t="shared" si="2"/>
        <v>4.6498905908096244E-2</v>
      </c>
      <c r="L46" s="155" t="s">
        <v>109</v>
      </c>
      <c r="M46" s="265">
        <v>34.97</v>
      </c>
      <c r="P46" s="272" t="s">
        <v>110</v>
      </c>
      <c r="Q46" s="273">
        <f>(M46-M48)*M54 -M47*EXP(-M49*M51)*M55</f>
        <v>6.9449890249027249</v>
      </c>
      <c r="S46" s="276" t="s">
        <v>111</v>
      </c>
      <c r="T46" s="277"/>
    </row>
    <row r="47" spans="1:21" ht="16.5" thickBot="1">
      <c r="A47" s="374" t="s">
        <v>112</v>
      </c>
      <c r="B47" s="373">
        <v>38.619999999999997</v>
      </c>
      <c r="C47" s="374">
        <v>38.75</v>
      </c>
      <c r="D47" s="374">
        <v>39.32</v>
      </c>
      <c r="E47" s="374">
        <v>38.51</v>
      </c>
      <c r="F47" s="374" t="s">
        <v>113</v>
      </c>
      <c r="G47" s="375">
        <v>-2.9999999999999997E-4</v>
      </c>
      <c r="H47" s="376">
        <f t="shared" si="0"/>
        <v>-1.0354646647687815E-6</v>
      </c>
      <c r="I47" s="376">
        <f t="shared" si="1"/>
        <v>-3.6570298986903895E-3</v>
      </c>
      <c r="J47" s="374">
        <f t="shared" si="2"/>
        <v>7.6365663322184973E-2</v>
      </c>
      <c r="L47" s="266" t="s">
        <v>114</v>
      </c>
      <c r="M47" s="267">
        <v>30</v>
      </c>
      <c r="P47" s="274" t="s">
        <v>115</v>
      </c>
      <c r="Q47" s="275">
        <f>M47*EXP(-M49*M51)*M57 - (M46-M48)*M56</f>
        <v>5.9093279980346983E-7</v>
      </c>
      <c r="S47" s="278" t="s">
        <v>116</v>
      </c>
      <c r="T47" s="279">
        <f>M54 -1</f>
        <v>-1.7530700984202952E-6</v>
      </c>
      <c r="U47" s="1" t="s">
        <v>117</v>
      </c>
    </row>
    <row r="48" spans="1:21">
      <c r="A48" s="374" t="s">
        <v>118</v>
      </c>
      <c r="B48" s="373">
        <v>38.630000000000003</v>
      </c>
      <c r="C48" s="374">
        <v>38.520000000000003</v>
      </c>
      <c r="D48" s="374">
        <v>38.700000000000003</v>
      </c>
      <c r="E48" s="374">
        <v>37.9</v>
      </c>
      <c r="F48" s="374" t="s">
        <v>119</v>
      </c>
      <c r="G48" s="375">
        <v>-1E-3</v>
      </c>
      <c r="H48" s="376">
        <f t="shared" si="0"/>
        <v>-4.1375743470388748E-6</v>
      </c>
      <c r="I48" s="376">
        <f t="shared" si="1"/>
        <v>-2.4297188755020116E-3</v>
      </c>
      <c r="J48" s="374">
        <f t="shared" si="2"/>
        <v>7.6644370122630923E-2</v>
      </c>
      <c r="L48" s="266" t="s">
        <v>120</v>
      </c>
      <c r="M48" s="268">
        <v>0</v>
      </c>
      <c r="S48" s="278" t="s">
        <v>121</v>
      </c>
      <c r="T48" s="279">
        <f>M54/(M46*M50*SQRT(M51))</f>
        <v>0.5960513186815698</v>
      </c>
      <c r="U48" s="1" t="s">
        <v>122</v>
      </c>
    </row>
    <row r="49" spans="1:25">
      <c r="A49" s="374" t="s">
        <v>123</v>
      </c>
      <c r="B49" s="373">
        <v>38.67</v>
      </c>
      <c r="C49" s="374">
        <v>38.93</v>
      </c>
      <c r="D49" s="374">
        <v>39.21</v>
      </c>
      <c r="E49" s="374">
        <v>38.520000000000003</v>
      </c>
      <c r="F49" s="374" t="s">
        <v>124</v>
      </c>
      <c r="G49" s="375">
        <v>-8.0000000000000002E-3</v>
      </c>
      <c r="H49" s="376">
        <f t="shared" si="0"/>
        <v>-3.181118522319082E-5</v>
      </c>
      <c r="I49" s="376">
        <f t="shared" si="1"/>
        <v>2.4080980287693168E-3</v>
      </c>
      <c r="J49" s="374">
        <f t="shared" si="2"/>
        <v>8.2586786114221766E-2</v>
      </c>
      <c r="L49" s="266" t="s">
        <v>125</v>
      </c>
      <c r="M49" s="269">
        <v>6.8099999999999994E-2</v>
      </c>
      <c r="S49" s="278" t="s">
        <v>126</v>
      </c>
      <c r="T49" s="279">
        <f xml:space="preserve"> -(M46*M54*M50)/(2*SQRT(M51)) - (M49*M47*EXP(-M49*M51)*M57)</f>
        <v>-0.83885521880139147</v>
      </c>
      <c r="U49" s="1" t="s">
        <v>127</v>
      </c>
    </row>
    <row r="50" spans="1:25">
      <c r="A50" s="374" t="s">
        <v>128</v>
      </c>
      <c r="B50" s="373">
        <v>38.979999999999997</v>
      </c>
      <c r="C50" s="374">
        <v>39.26</v>
      </c>
      <c r="D50" s="374">
        <v>39.549999999999997</v>
      </c>
      <c r="E50" s="374">
        <v>38.950000000000003</v>
      </c>
      <c r="F50" s="374" t="s">
        <v>129</v>
      </c>
      <c r="G50" s="375">
        <v>-1.0200000000000001E-2</v>
      </c>
      <c r="H50" s="376">
        <f t="shared" si="0"/>
        <v>-4.062976130015272E-5</v>
      </c>
      <c r="I50" s="376">
        <f t="shared" si="1"/>
        <v>2.9141185854825837E-3</v>
      </c>
      <c r="J50" s="374">
        <f t="shared" si="2"/>
        <v>9.4943820224719033E-2</v>
      </c>
      <c r="L50" s="266" t="s">
        <v>130</v>
      </c>
      <c r="M50" s="57">
        <f>U1</f>
        <v>4.7975548999999999E-2</v>
      </c>
      <c r="S50" s="278" t="s">
        <v>131</v>
      </c>
      <c r="T50" s="279">
        <f>-M47*M51*EXP(-M49*M51)*M57</f>
        <v>-6.1895794141765222E-5</v>
      </c>
      <c r="U50" s="1" t="s">
        <v>132</v>
      </c>
    </row>
    <row r="51" spans="1:25" ht="16.5" thickBot="1">
      <c r="A51" s="374" t="s">
        <v>133</v>
      </c>
      <c r="B51" s="373">
        <v>39.380000000000003</v>
      </c>
      <c r="C51" s="374">
        <v>40.479999999999997</v>
      </c>
      <c r="D51" s="374">
        <v>40.65</v>
      </c>
      <c r="E51" s="374">
        <v>39.380000000000003</v>
      </c>
      <c r="F51" s="374" t="s">
        <v>134</v>
      </c>
      <c r="G51" s="375">
        <v>-2.7199999999999998E-2</v>
      </c>
      <c r="H51" s="376">
        <f t="shared" si="0"/>
        <v>-1.0869565217391264E-4</v>
      </c>
      <c r="I51" s="376">
        <f t="shared" si="1"/>
        <v>4.4611260053619437E-3</v>
      </c>
      <c r="J51" s="374">
        <f t="shared" si="2"/>
        <v>8.4251101321585864E-2</v>
      </c>
      <c r="L51" s="266" t="s">
        <v>135</v>
      </c>
      <c r="M51" s="268">
        <v>1</v>
      </c>
      <c r="S51" s="280" t="s">
        <v>136</v>
      </c>
      <c r="T51" s="281">
        <f>M46*M54*SQRT(M51)</f>
        <v>34.969938695138659</v>
      </c>
      <c r="U51" s="1" t="s">
        <v>137</v>
      </c>
    </row>
    <row r="52" spans="1:25">
      <c r="A52" s="374" t="s">
        <v>138</v>
      </c>
      <c r="B52" s="373">
        <v>40.479999999999997</v>
      </c>
      <c r="C52" s="374">
        <v>39.9</v>
      </c>
      <c r="D52" s="374">
        <v>40.54</v>
      </c>
      <c r="E52" s="374">
        <v>39.81</v>
      </c>
      <c r="F52" s="374" t="s">
        <v>139</v>
      </c>
      <c r="G52" s="375">
        <v>1.4E-2</v>
      </c>
      <c r="H52" s="376">
        <f t="shared" si="0"/>
        <v>5.611222444889741E-5</v>
      </c>
      <c r="I52" s="376">
        <f t="shared" si="1"/>
        <v>7.2178831133853909E-3</v>
      </c>
      <c r="J52" s="374">
        <f t="shared" si="2"/>
        <v>0.10813030385984113</v>
      </c>
      <c r="L52" s="266" t="s">
        <v>140</v>
      </c>
      <c r="M52" s="267">
        <f xml:space="preserve"> (LN((M46 -M48) /M47 ) + (M49 + ((M50^2) /2))*( M51) ) /  (M50*M51)</f>
        <v>4.6386961838426224</v>
      </c>
    </row>
    <row r="53" spans="1:25">
      <c r="A53" s="374" t="s">
        <v>141</v>
      </c>
      <c r="B53" s="373">
        <v>39.92</v>
      </c>
      <c r="C53" s="374">
        <v>39.6</v>
      </c>
      <c r="D53" s="374">
        <v>39.92</v>
      </c>
      <c r="E53" s="374">
        <v>39.380000000000003</v>
      </c>
      <c r="F53" s="374" t="s">
        <v>142</v>
      </c>
      <c r="G53" s="375">
        <v>7.1000000000000004E-3</v>
      </c>
      <c r="H53" s="376">
        <f t="shared" si="0"/>
        <v>2.8254288597376666E-5</v>
      </c>
      <c r="I53" s="376">
        <f t="shared" si="1"/>
        <v>6.4303112313937663E-3</v>
      </c>
      <c r="J53" s="374">
        <f t="shared" si="2"/>
        <v>9.0114691425450699E-2</v>
      </c>
      <c r="L53" s="266" t="s">
        <v>143</v>
      </c>
      <c r="M53" s="267">
        <f>M52-M50*M51</f>
        <v>4.5907206348426222</v>
      </c>
    </row>
    <row r="54" spans="1:25">
      <c r="A54" s="374" t="s">
        <v>144</v>
      </c>
      <c r="B54" s="373">
        <v>39.64</v>
      </c>
      <c r="C54" s="374">
        <v>39.57</v>
      </c>
      <c r="D54" s="374">
        <v>39.94</v>
      </c>
      <c r="E54" s="374">
        <v>39.5</v>
      </c>
      <c r="F54" s="374" t="s">
        <v>145</v>
      </c>
      <c r="G54" s="375">
        <v>-2.5000000000000001E-3</v>
      </c>
      <c r="H54" s="376">
        <f t="shared" si="0"/>
        <v>-1.006542526421761E-5</v>
      </c>
      <c r="I54" s="376">
        <f t="shared" si="1"/>
        <v>6.4087193460490438E-3</v>
      </c>
      <c r="J54" s="374">
        <f t="shared" si="2"/>
        <v>0.1017231795441913</v>
      </c>
      <c r="L54" s="266" t="s">
        <v>146</v>
      </c>
      <c r="M54" s="268">
        <f>_xlfn.NORM.S.DIST(M52,TRUE)</f>
        <v>0.99999824692990158</v>
      </c>
    </row>
    <row r="55" spans="1:25">
      <c r="A55" s="374" t="s">
        <v>147</v>
      </c>
      <c r="B55" s="373">
        <v>39.74</v>
      </c>
      <c r="C55" s="374">
        <v>39.74</v>
      </c>
      <c r="D55" s="374">
        <v>39.799999999999997</v>
      </c>
      <c r="E55" s="374">
        <v>39.57</v>
      </c>
      <c r="F55" s="374" t="s">
        <v>148</v>
      </c>
      <c r="G55" s="375">
        <v>-2.8E-3</v>
      </c>
      <c r="H55" s="376">
        <f t="shared" si="0"/>
        <v>-1.1041405269761384E-5</v>
      </c>
      <c r="I55" s="376">
        <f t="shared" si="1"/>
        <v>6.6739367502726315E-3</v>
      </c>
      <c r="J55" s="374">
        <f t="shared" si="2"/>
        <v>9.5973524544953337E-2</v>
      </c>
      <c r="L55" s="266" t="s">
        <v>149</v>
      </c>
      <c r="M55" s="268">
        <f>_xlfn.NORM.S.DIST(M53,TRUE)</f>
        <v>0.9999977914087923</v>
      </c>
    </row>
    <row r="56" spans="1:25">
      <c r="A56" s="374" t="s">
        <v>150</v>
      </c>
      <c r="B56" s="373">
        <v>39.85</v>
      </c>
      <c r="C56" s="374">
        <v>40.1</v>
      </c>
      <c r="D56" s="374">
        <v>40.11</v>
      </c>
      <c r="E56" s="374">
        <v>39.58</v>
      </c>
      <c r="F56" s="374" t="s">
        <v>151</v>
      </c>
      <c r="G56" s="375">
        <v>-3.8E-3</v>
      </c>
      <c r="H56" s="376">
        <f t="shared" si="0"/>
        <v>-1.499999999999968E-5</v>
      </c>
      <c r="I56" s="376">
        <f t="shared" si="1"/>
        <v>8.2613510520487318E-3</v>
      </c>
      <c r="J56" s="374">
        <f t="shared" si="2"/>
        <v>9.6286107290233902E-2</v>
      </c>
      <c r="L56" s="266" t="s">
        <v>152</v>
      </c>
      <c r="M56" s="268">
        <f>_xlfn.NORM.S.DIST(-M52,TRUE)</f>
        <v>1.7530700984261295E-6</v>
      </c>
    </row>
    <row r="57" spans="1:25" ht="16.5" thickBot="1">
      <c r="A57" s="374" t="s">
        <v>153</v>
      </c>
      <c r="B57" s="373">
        <v>40</v>
      </c>
      <c r="C57" s="374">
        <v>40</v>
      </c>
      <c r="D57" s="374">
        <v>40.33</v>
      </c>
      <c r="E57" s="374">
        <v>39.72</v>
      </c>
      <c r="F57" s="374" t="s">
        <v>154</v>
      </c>
      <c r="G57" s="375">
        <v>-6.9999999999999999E-4</v>
      </c>
      <c r="H57" s="376">
        <f t="shared" si="0"/>
        <v>-2.9977516862356168E-6</v>
      </c>
      <c r="I57" s="376">
        <f t="shared" si="1"/>
        <v>9.4354387926215821E-3</v>
      </c>
      <c r="J57" s="374">
        <f t="shared" si="2"/>
        <v>0.10834026045996104</v>
      </c>
      <c r="L57" s="54" t="s">
        <v>155</v>
      </c>
      <c r="M57" s="270">
        <f>_xlfn.NORM.S.DIST(-M53,TRUE)</f>
        <v>2.2085912077478283E-6</v>
      </c>
    </row>
    <row r="58" spans="1:25">
      <c r="A58" s="374" t="s">
        <v>156</v>
      </c>
      <c r="B58" s="373">
        <v>40.03</v>
      </c>
      <c r="C58" s="374">
        <v>40</v>
      </c>
      <c r="D58" s="374">
        <v>40.11</v>
      </c>
      <c r="E58" s="374">
        <v>39.799999999999997</v>
      </c>
      <c r="F58" s="374" t="s">
        <v>157</v>
      </c>
      <c r="G58" s="375">
        <v>-5.4999999999999997E-3</v>
      </c>
      <c r="H58" s="376">
        <f t="shared" si="0"/>
        <v>-2.1863354037266802E-5</v>
      </c>
      <c r="I58" s="376">
        <f t="shared" si="1"/>
        <v>1.0463276836158197E-2</v>
      </c>
      <c r="J58" s="374">
        <f t="shared" si="2"/>
        <v>0.1378624218305855</v>
      </c>
    </row>
    <row r="59" spans="1:25">
      <c r="A59" s="374" t="s">
        <v>158</v>
      </c>
      <c r="B59" s="373">
        <v>40.25</v>
      </c>
      <c r="C59" s="374">
        <v>40.270000000000003</v>
      </c>
      <c r="D59" s="374">
        <v>40.520000000000003</v>
      </c>
      <c r="E59" s="374">
        <v>39.89</v>
      </c>
      <c r="F59" s="374" t="s">
        <v>159</v>
      </c>
      <c r="G59" s="375">
        <v>-6.4000000000000003E-3</v>
      </c>
      <c r="H59" s="376">
        <f t="shared" si="0"/>
        <v>-2.5672673413971837E-5</v>
      </c>
      <c r="I59" s="376">
        <f t="shared" si="1"/>
        <v>1.0449438202247183E-2</v>
      </c>
      <c r="J59" s="374">
        <f t="shared" si="2"/>
        <v>0.1255592841163311</v>
      </c>
    </row>
    <row r="60" spans="1:25">
      <c r="A60" s="374" t="s">
        <v>160</v>
      </c>
      <c r="B60" s="373">
        <v>40.51</v>
      </c>
      <c r="C60" s="374">
        <v>40.94</v>
      </c>
      <c r="D60" s="374">
        <v>41.24</v>
      </c>
      <c r="E60" s="374">
        <v>40.32</v>
      </c>
      <c r="F60" s="374" t="s">
        <v>161</v>
      </c>
      <c r="G60" s="375">
        <v>-1.15E-2</v>
      </c>
      <c r="H60" s="376">
        <f t="shared" si="0"/>
        <v>-4.5876037091264087E-5</v>
      </c>
      <c r="I60" s="376">
        <f t="shared" si="1"/>
        <v>9.4754279403644406E-3</v>
      </c>
      <c r="J60" s="374">
        <f t="shared" si="2"/>
        <v>0.13728242560359361</v>
      </c>
      <c r="L60" s="1" t="s">
        <v>162</v>
      </c>
    </row>
    <row r="61" spans="1:25">
      <c r="A61" s="374" t="s">
        <v>163</v>
      </c>
      <c r="B61" s="373">
        <v>40.98</v>
      </c>
      <c r="C61" s="374">
        <v>40.9</v>
      </c>
      <c r="D61" s="374">
        <v>41.4</v>
      </c>
      <c r="E61" s="374">
        <v>40.9</v>
      </c>
      <c r="F61" s="374" t="s">
        <v>164</v>
      </c>
      <c r="G61" s="375">
        <v>2.8999999999999998E-3</v>
      </c>
      <c r="H61" s="376">
        <f t="shared" si="0"/>
        <v>1.1747430249632984E-5</v>
      </c>
      <c r="I61" s="376">
        <f t="shared" si="1"/>
        <v>8.5336213880637148E-3</v>
      </c>
      <c r="J61" s="374">
        <f t="shared" si="2"/>
        <v>0.14245887928631173</v>
      </c>
      <c r="L61" s="1" t="s">
        <v>165</v>
      </c>
    </row>
    <row r="62" spans="1:25">
      <c r="A62" s="374" t="s">
        <v>166</v>
      </c>
      <c r="B62" s="373">
        <v>40.86</v>
      </c>
      <c r="C62" s="374">
        <v>41.05</v>
      </c>
      <c r="D62" s="374">
        <v>41.15</v>
      </c>
      <c r="E62" s="374">
        <v>40.86</v>
      </c>
      <c r="F62" s="374" t="s">
        <v>167</v>
      </c>
      <c r="G62" s="375">
        <v>-4.8999999999999998E-3</v>
      </c>
      <c r="H62" s="376">
        <f t="shared" si="0"/>
        <v>-1.9483682415976754E-5</v>
      </c>
      <c r="I62" s="376">
        <f t="shared" si="1"/>
        <v>7.3543559593800016E-3</v>
      </c>
      <c r="J62" s="374">
        <f t="shared" si="2"/>
        <v>0.14485850378257226</v>
      </c>
    </row>
    <row r="63" spans="1:25" ht="16.5" thickBot="1">
      <c r="A63" s="374" t="s">
        <v>168</v>
      </c>
      <c r="B63" s="373">
        <v>41.06</v>
      </c>
      <c r="C63" s="374">
        <v>41.02</v>
      </c>
      <c r="D63" s="374">
        <v>41.52</v>
      </c>
      <c r="E63" s="374">
        <v>40.479999999999997</v>
      </c>
      <c r="F63" s="374" t="s">
        <v>169</v>
      </c>
      <c r="G63" s="375">
        <v>8.0999999999999996E-3</v>
      </c>
      <c r="H63" s="376">
        <f t="shared" si="0"/>
        <v>3.240854407071048E-5</v>
      </c>
      <c r="I63" s="376">
        <f t="shared" si="1"/>
        <v>7.0606944076332034E-3</v>
      </c>
      <c r="J63" s="374">
        <f t="shared" si="2"/>
        <v>0.16581487791027838</v>
      </c>
      <c r="L63" s="1" t="s">
        <v>170</v>
      </c>
    </row>
    <row r="64" spans="1:25" ht="18" customHeight="1" thickBot="1">
      <c r="A64" s="374" t="s">
        <v>171</v>
      </c>
      <c r="B64" s="373">
        <v>40.729999999999997</v>
      </c>
      <c r="C64" s="374">
        <v>40.880000000000003</v>
      </c>
      <c r="D64" s="374">
        <v>41.45</v>
      </c>
      <c r="E64" s="374">
        <v>40.729999999999997</v>
      </c>
      <c r="F64" s="374" t="s">
        <v>172</v>
      </c>
      <c r="G64" s="375">
        <v>-7.7999999999999996E-3</v>
      </c>
      <c r="H64" s="376">
        <f t="shared" si="0"/>
        <v>-3.1181485992691991E-5</v>
      </c>
      <c r="I64" s="376">
        <f t="shared" si="1"/>
        <v>7.4034334763948455E-3</v>
      </c>
      <c r="J64" s="374">
        <f t="shared" si="2"/>
        <v>0.13107470147181344</v>
      </c>
      <c r="L64" s="482" t="s">
        <v>173</v>
      </c>
      <c r="M64" s="483"/>
      <c r="N64" s="125"/>
      <c r="O64" s="125"/>
      <c r="P64" s="125"/>
      <c r="Q64" s="125"/>
      <c r="R64" s="125"/>
      <c r="S64" s="125"/>
      <c r="T64" s="125"/>
      <c r="U64" s="484" t="s">
        <v>174</v>
      </c>
      <c r="V64" s="484"/>
      <c r="W64" s="484"/>
      <c r="Y64" s="126"/>
    </row>
    <row r="65" spans="1:23" ht="16.5">
      <c r="A65" s="374" t="s">
        <v>175</v>
      </c>
      <c r="B65" s="373">
        <v>41.05</v>
      </c>
      <c r="C65" s="374">
        <v>40.880000000000003</v>
      </c>
      <c r="D65" s="374">
        <v>41.07</v>
      </c>
      <c r="E65" s="374">
        <v>40.630000000000003</v>
      </c>
      <c r="F65" s="374" t="s">
        <v>176</v>
      </c>
      <c r="G65" s="375">
        <v>3.3999999999999998E-3</v>
      </c>
      <c r="H65" s="376">
        <f t="shared" si="0"/>
        <v>1.3688584698117624E-5</v>
      </c>
      <c r="I65" s="376">
        <f t="shared" si="1"/>
        <v>1.0046613655058946E-2</v>
      </c>
      <c r="J65" s="374">
        <f t="shared" si="2"/>
        <v>0.14472950362520898</v>
      </c>
      <c r="L65" s="31" t="s">
        <v>177</v>
      </c>
      <c r="M65" s="127">
        <f>M46</f>
        <v>34.97</v>
      </c>
      <c r="N65" s="62"/>
      <c r="O65" s="62"/>
      <c r="P65" s="62"/>
      <c r="Q65" s="62"/>
      <c r="R65" s="62"/>
      <c r="S65" s="62"/>
      <c r="T65" s="62"/>
      <c r="U65" s="296" t="s">
        <v>178</v>
      </c>
      <c r="V65" s="297" t="s">
        <v>179</v>
      </c>
      <c r="W65" s="298" t="s">
        <v>180</v>
      </c>
    </row>
    <row r="66" spans="1:23">
      <c r="A66" s="374" t="s">
        <v>181</v>
      </c>
      <c r="B66" s="373">
        <v>40.909999999999997</v>
      </c>
      <c r="C66" s="374">
        <v>40.26</v>
      </c>
      <c r="D66" s="374">
        <v>40.92</v>
      </c>
      <c r="E66" s="374">
        <v>40.24</v>
      </c>
      <c r="F66" s="374" t="s">
        <v>182</v>
      </c>
      <c r="G66" s="375">
        <v>1.09E-2</v>
      </c>
      <c r="H66" s="376">
        <f t="shared" si="0"/>
        <v>4.3489004200642611E-5</v>
      </c>
      <c r="I66" s="376">
        <f t="shared" si="1"/>
        <v>1.1444537580329702E-2</v>
      </c>
      <c r="J66" s="374">
        <f t="shared" ref="J66:J129" si="3">(B66/B316 -1)</f>
        <v>0.1449762104673944</v>
      </c>
      <c r="L66" s="56" t="s">
        <v>183</v>
      </c>
      <c r="M66" s="128">
        <f>M50</f>
        <v>4.7975548999999999E-2</v>
      </c>
      <c r="N66" s="62"/>
      <c r="O66" s="62"/>
      <c r="P66" s="62"/>
      <c r="Q66" s="62"/>
      <c r="R66" s="62"/>
      <c r="S66" s="62"/>
      <c r="T66" s="62"/>
      <c r="U66" s="299">
        <v>33</v>
      </c>
      <c r="V66" s="300">
        <f>IF(U66&gt;M$71,U66-M$70,0) -M$79</f>
        <v>-0.43940496693599096</v>
      </c>
      <c r="W66" s="301">
        <f>IF(U66&lt;M$71,M$70-U66,0)-M$80</f>
        <v>3.8347482060289195</v>
      </c>
    </row>
    <row r="67" spans="1:23">
      <c r="A67" s="374" t="s">
        <v>184</v>
      </c>
      <c r="B67" s="373">
        <v>40.47</v>
      </c>
      <c r="C67" s="374">
        <v>39.590000000000003</v>
      </c>
      <c r="D67" s="374">
        <v>40.68</v>
      </c>
      <c r="E67" s="374">
        <v>39.57</v>
      </c>
      <c r="F67" s="374" t="s">
        <v>185</v>
      </c>
      <c r="G67" s="375">
        <v>1.5800000000000002E-2</v>
      </c>
      <c r="H67" s="376">
        <f t="shared" ref="H67:H130" si="4">(B67/B68 -1)*(1/250)</f>
        <v>6.3253012048192223E-5</v>
      </c>
      <c r="I67" s="376">
        <f t="shared" ref="I67:I130" si="5">(B67/B87 -1)*(20/250)</f>
        <v>1.1251409244644872E-2</v>
      </c>
      <c r="J67" s="374">
        <f t="shared" si="3"/>
        <v>0.13329599551946236</v>
      </c>
      <c r="L67" s="31" t="s">
        <v>186</v>
      </c>
      <c r="M67" s="129">
        <f>M49</f>
        <v>6.8099999999999994E-2</v>
      </c>
      <c r="N67" s="62"/>
      <c r="O67" s="62"/>
      <c r="P67" s="62"/>
      <c r="Q67" s="62"/>
      <c r="R67" s="62"/>
      <c r="S67" s="62"/>
      <c r="T67" s="62"/>
      <c r="U67" s="299">
        <v>34</v>
      </c>
      <c r="V67" s="300">
        <f t="shared" ref="V67:V80" si="6">IF(U67&gt;M$71,U67-M$70,0) -M$79</f>
        <v>-0.43940496693599096</v>
      </c>
      <c r="W67" s="301">
        <f t="shared" ref="W67:W80" si="7">IF(U67&lt;M$71,M$70-U67,0)-M$80</f>
        <v>2.8347482060289195</v>
      </c>
    </row>
    <row r="68" spans="1:23">
      <c r="A68" s="374" t="s">
        <v>187</v>
      </c>
      <c r="B68" s="373">
        <v>39.840000000000003</v>
      </c>
      <c r="C68" s="374">
        <v>38.22</v>
      </c>
      <c r="D68" s="374">
        <v>39.840000000000003</v>
      </c>
      <c r="E68" s="374">
        <v>38.15</v>
      </c>
      <c r="F68" s="374" t="s">
        <v>188</v>
      </c>
      <c r="G68" s="375">
        <v>6.13E-2</v>
      </c>
      <c r="H68" s="376">
        <f t="shared" si="4"/>
        <v>2.450719232818335E-4</v>
      </c>
      <c r="I68" s="376">
        <f t="shared" si="5"/>
        <v>1.1376146788990819E-2</v>
      </c>
      <c r="J68" s="374">
        <f t="shared" si="3"/>
        <v>0.12288613303269469</v>
      </c>
      <c r="L68" s="31" t="s">
        <v>189</v>
      </c>
      <c r="M68" s="129">
        <v>0</v>
      </c>
      <c r="N68" s="62"/>
      <c r="O68" s="62"/>
      <c r="P68" s="62"/>
      <c r="Q68" s="62"/>
      <c r="R68" s="62"/>
      <c r="S68" s="62"/>
      <c r="T68" s="62"/>
      <c r="U68" s="299">
        <v>35</v>
      </c>
      <c r="V68" s="300">
        <f t="shared" si="6"/>
        <v>-0.43940496693599096</v>
      </c>
      <c r="W68" s="301">
        <f t="shared" si="7"/>
        <v>1.8347482060289195</v>
      </c>
    </row>
    <row r="69" spans="1:23">
      <c r="A69" s="374" t="s">
        <v>190</v>
      </c>
      <c r="B69" s="373">
        <v>37.54</v>
      </c>
      <c r="C69" s="374">
        <v>37.5</v>
      </c>
      <c r="D69" s="374">
        <v>38.020000000000003</v>
      </c>
      <c r="E69" s="374">
        <v>37.35</v>
      </c>
      <c r="F69" s="374" t="s">
        <v>191</v>
      </c>
      <c r="G69" s="375">
        <v>-1.9E-3</v>
      </c>
      <c r="H69" s="376">
        <f t="shared" si="4"/>
        <v>-7.4448285030577211E-6</v>
      </c>
      <c r="I69" s="376">
        <f t="shared" si="5"/>
        <v>5.2455293783707189E-3</v>
      </c>
      <c r="J69" s="374">
        <f t="shared" si="3"/>
        <v>7.5644699140401173E-2</v>
      </c>
      <c r="L69" s="31" t="s">
        <v>192</v>
      </c>
      <c r="M69" s="130">
        <v>1</v>
      </c>
      <c r="N69" s="62"/>
      <c r="O69" s="62"/>
      <c r="P69" s="62"/>
      <c r="Q69" s="62"/>
      <c r="R69" s="62"/>
      <c r="S69" s="62"/>
      <c r="T69" s="62"/>
      <c r="U69" s="299">
        <v>36</v>
      </c>
      <c r="V69" s="300">
        <f t="shared" si="6"/>
        <v>-0.43940496693599096</v>
      </c>
      <c r="W69" s="301">
        <f t="shared" si="7"/>
        <v>0.83474820602891953</v>
      </c>
    </row>
    <row r="70" spans="1:23" ht="16.5">
      <c r="A70" s="374" t="s">
        <v>193</v>
      </c>
      <c r="B70" s="373">
        <v>37.61</v>
      </c>
      <c r="C70" s="374">
        <v>37.159999999999997</v>
      </c>
      <c r="D70" s="374">
        <v>37.729999999999997</v>
      </c>
      <c r="E70" s="374">
        <v>37.07</v>
      </c>
      <c r="F70" s="374" t="s">
        <v>194</v>
      </c>
      <c r="G70" s="375">
        <v>8.3000000000000001E-3</v>
      </c>
      <c r="H70" s="376">
        <f t="shared" si="4"/>
        <v>3.3243967828418875E-5</v>
      </c>
      <c r="I70" s="376">
        <f t="shared" si="5"/>
        <v>6.7839630804730254E-3</v>
      </c>
      <c r="J70" s="374">
        <f t="shared" si="3"/>
        <v>8.5112521638776695E-2</v>
      </c>
      <c r="L70" s="31" t="s">
        <v>195</v>
      </c>
      <c r="M70" s="131">
        <v>35</v>
      </c>
      <c r="N70" s="62"/>
      <c r="O70" s="62"/>
      <c r="P70" s="62"/>
      <c r="Q70" s="62"/>
      <c r="R70" s="62"/>
      <c r="S70" s="62"/>
      <c r="T70" s="62"/>
      <c r="U70" s="299">
        <v>37</v>
      </c>
      <c r="V70" s="300">
        <f t="shared" si="6"/>
        <v>-0.43940496693599096</v>
      </c>
      <c r="W70" s="301">
        <f t="shared" si="7"/>
        <v>-0.16525179397108047</v>
      </c>
    </row>
    <row r="71" spans="1:23" ht="16.5">
      <c r="A71" s="374" t="s">
        <v>196</v>
      </c>
      <c r="B71" s="373">
        <v>37.299999999999997</v>
      </c>
      <c r="C71" s="374">
        <v>37.15</v>
      </c>
      <c r="D71" s="374">
        <v>37.44</v>
      </c>
      <c r="E71" s="374">
        <v>36.880000000000003</v>
      </c>
      <c r="F71" s="374" t="s">
        <v>197</v>
      </c>
      <c r="G71" s="375">
        <v>4.5999999999999999E-3</v>
      </c>
      <c r="H71" s="376">
        <f t="shared" si="4"/>
        <v>1.8314031780231056E-5</v>
      </c>
      <c r="I71" s="376">
        <f t="shared" si="5"/>
        <v>5.1112378779235535E-3</v>
      </c>
      <c r="J71" s="374">
        <f t="shared" si="3"/>
        <v>8.0220098465102696E-2</v>
      </c>
      <c r="L71" s="31" t="s">
        <v>198</v>
      </c>
      <c r="M71" s="131">
        <v>40</v>
      </c>
      <c r="N71" s="62"/>
      <c r="O71" s="62"/>
      <c r="P71" s="62"/>
      <c r="Q71" s="62"/>
      <c r="R71" s="62"/>
      <c r="S71" s="62"/>
      <c r="T71" s="62"/>
      <c r="U71" s="299">
        <v>38</v>
      </c>
      <c r="V71" s="300">
        <f t="shared" si="6"/>
        <v>-0.43940496693599096</v>
      </c>
      <c r="W71" s="301">
        <f t="shared" si="7"/>
        <v>-1.1652517939710805</v>
      </c>
    </row>
    <row r="72" spans="1:23" ht="16.5">
      <c r="A72" s="374" t="s">
        <v>199</v>
      </c>
      <c r="B72" s="373">
        <v>37.130000000000003</v>
      </c>
      <c r="C72" s="374">
        <v>36.96</v>
      </c>
      <c r="D72" s="374">
        <v>37.130000000000003</v>
      </c>
      <c r="E72" s="374">
        <v>36.729999999999997</v>
      </c>
      <c r="F72" s="374" t="s">
        <v>200</v>
      </c>
      <c r="G72" s="375">
        <v>4.8999999999999998E-3</v>
      </c>
      <c r="H72" s="376">
        <f t="shared" si="4"/>
        <v>1.948579161028441E-5</v>
      </c>
      <c r="I72" s="376">
        <f t="shared" si="5"/>
        <v>6.1984910040626855E-3</v>
      </c>
      <c r="J72" s="374">
        <f t="shared" si="3"/>
        <v>8.4087591240876058E-2</v>
      </c>
      <c r="L72" s="132" t="s">
        <v>201</v>
      </c>
      <c r="M72" s="133">
        <f>((LN(M65/M71)+(M67-M68+(M66^2)/2)*M69)/(M66*SQRT(M69)))</f>
        <v>-1.357734882569581</v>
      </c>
      <c r="N72" s="62"/>
      <c r="O72" s="62"/>
      <c r="P72" s="62"/>
      <c r="Q72" s="62"/>
      <c r="R72" s="62"/>
      <c r="S72" s="62"/>
      <c r="T72" s="62"/>
      <c r="U72" s="299">
        <v>39</v>
      </c>
      <c r="V72" s="300">
        <f t="shared" si="6"/>
        <v>-0.43940496693599096</v>
      </c>
      <c r="W72" s="301">
        <f t="shared" si="7"/>
        <v>-2.1652517939710805</v>
      </c>
    </row>
    <row r="73" spans="1:23" ht="16.5">
      <c r="A73" s="374" t="s">
        <v>202</v>
      </c>
      <c r="B73" s="373">
        <v>36.950000000000003</v>
      </c>
      <c r="C73" s="374">
        <v>36.56</v>
      </c>
      <c r="D73" s="374">
        <v>37.04</v>
      </c>
      <c r="E73" s="374">
        <v>36.56</v>
      </c>
      <c r="F73" s="374" t="s">
        <v>203</v>
      </c>
      <c r="G73" s="375">
        <v>6.7999999999999996E-3</v>
      </c>
      <c r="H73" s="376">
        <f t="shared" si="4"/>
        <v>2.7247956403269493E-5</v>
      </c>
      <c r="I73" s="376">
        <f t="shared" si="5"/>
        <v>5.2364475201845551E-3</v>
      </c>
      <c r="J73" s="374">
        <f t="shared" si="3"/>
        <v>6.9774174869716488E-2</v>
      </c>
      <c r="L73" s="132" t="s">
        <v>204</v>
      </c>
      <c r="M73" s="32">
        <f>M72-M66*SQRT(M69)</f>
        <v>-1.405710431569581</v>
      </c>
      <c r="N73" s="62"/>
      <c r="O73" s="62"/>
      <c r="P73" s="62"/>
      <c r="Q73" s="62"/>
      <c r="R73" s="62"/>
      <c r="S73" s="62"/>
      <c r="T73" s="62"/>
      <c r="U73" s="299">
        <v>40</v>
      </c>
      <c r="V73" s="300">
        <f t="shared" si="6"/>
        <v>-0.43940496693599096</v>
      </c>
      <c r="W73" s="301">
        <f t="shared" si="7"/>
        <v>1.8347482060289195</v>
      </c>
    </row>
    <row r="74" spans="1:23" ht="16.5">
      <c r="A74" s="374" t="s">
        <v>205</v>
      </c>
      <c r="B74" s="373">
        <v>36.700000000000003</v>
      </c>
      <c r="C74" s="374">
        <v>36.700000000000003</v>
      </c>
      <c r="D74" s="374">
        <v>36.700000000000003</v>
      </c>
      <c r="E74" s="374">
        <v>36.14</v>
      </c>
      <c r="F74" s="374" t="s">
        <v>206</v>
      </c>
      <c r="G74" s="375">
        <v>5.0000000000000001E-4</v>
      </c>
      <c r="H74" s="376">
        <f t="shared" si="4"/>
        <v>2.1810250817884125E-6</v>
      </c>
      <c r="I74" s="376">
        <f t="shared" si="5"/>
        <v>2.6809349479020028E-3</v>
      </c>
      <c r="J74" s="374">
        <f t="shared" si="3"/>
        <v>6.0080878105141622E-2</v>
      </c>
      <c r="L74" s="132" t="s">
        <v>207</v>
      </c>
      <c r="M74" s="32">
        <f>_xlfn.NORM.S.DIST(M72,TRUE)</f>
        <v>8.7273911970590548E-2</v>
      </c>
      <c r="N74" s="62"/>
      <c r="O74" s="62"/>
      <c r="P74" s="62"/>
      <c r="Q74" s="62"/>
      <c r="R74" s="62"/>
      <c r="S74" s="62"/>
      <c r="T74" s="62"/>
      <c r="U74" s="299">
        <v>41</v>
      </c>
      <c r="V74" s="300">
        <f t="shared" si="6"/>
        <v>5.5605950330640095</v>
      </c>
      <c r="W74" s="301">
        <f t="shared" si="7"/>
        <v>1.8347482060289195</v>
      </c>
    </row>
    <row r="75" spans="1:23" ht="16.5">
      <c r="A75" s="374" t="s">
        <v>208</v>
      </c>
      <c r="B75" s="373">
        <v>36.68</v>
      </c>
      <c r="C75" s="374">
        <v>36.03</v>
      </c>
      <c r="D75" s="374">
        <v>36.85</v>
      </c>
      <c r="E75" s="374">
        <v>35.85</v>
      </c>
      <c r="F75" s="374" t="s">
        <v>209</v>
      </c>
      <c r="G75" s="375">
        <v>1.55E-2</v>
      </c>
      <c r="H75" s="376">
        <f t="shared" si="4"/>
        <v>6.2015503875969101E-5</v>
      </c>
      <c r="I75" s="376">
        <f t="shared" si="5"/>
        <v>3.5535307517084291E-3</v>
      </c>
      <c r="J75" s="374">
        <f t="shared" si="3"/>
        <v>6.9076071116292548E-2</v>
      </c>
      <c r="L75" s="132" t="s">
        <v>210</v>
      </c>
      <c r="M75" s="32">
        <f>_xlfn.NORM.S.DIST(M73,TRUE)</f>
        <v>7.9905064043648499E-2</v>
      </c>
      <c r="N75" s="62"/>
      <c r="O75" s="62"/>
      <c r="P75" s="62"/>
      <c r="Q75" s="62"/>
      <c r="R75" s="62"/>
      <c r="S75" s="62"/>
      <c r="T75" s="62"/>
      <c r="U75" s="299">
        <v>42</v>
      </c>
      <c r="V75" s="300">
        <f t="shared" si="6"/>
        <v>6.5605950330640095</v>
      </c>
      <c r="W75" s="301">
        <f t="shared" si="7"/>
        <v>1.8347482060289195</v>
      </c>
    </row>
    <row r="76" spans="1:23" ht="16.5">
      <c r="A76" s="374" t="s">
        <v>211</v>
      </c>
      <c r="B76" s="373">
        <v>36.119999999999997</v>
      </c>
      <c r="C76" s="374">
        <v>36.01</v>
      </c>
      <c r="D76" s="374">
        <v>36.380000000000003</v>
      </c>
      <c r="E76" s="374">
        <v>35.9</v>
      </c>
      <c r="F76" s="374" t="s">
        <v>212</v>
      </c>
      <c r="G76" s="375">
        <v>9.4999999999999998E-3</v>
      </c>
      <c r="H76" s="376">
        <f t="shared" si="4"/>
        <v>3.8010061486863476E-5</v>
      </c>
      <c r="I76" s="376">
        <f t="shared" si="5"/>
        <v>2.2779043280182166E-3</v>
      </c>
      <c r="J76" s="374">
        <f t="shared" si="3"/>
        <v>6.23529411764705E-2</v>
      </c>
      <c r="L76" s="132" t="s">
        <v>213</v>
      </c>
      <c r="M76" s="32">
        <f>_xlfn.NORM.S.DIST(-M72,TRUE)</f>
        <v>0.91272608802940947</v>
      </c>
      <c r="N76" s="134"/>
      <c r="O76" s="62"/>
      <c r="P76" s="62"/>
      <c r="Q76" s="62"/>
      <c r="R76" s="62"/>
      <c r="S76" s="62"/>
      <c r="T76" s="62"/>
      <c r="U76" s="299">
        <v>43</v>
      </c>
      <c r="V76" s="300">
        <f t="shared" si="6"/>
        <v>7.5605950330640095</v>
      </c>
      <c r="W76" s="301">
        <f t="shared" si="7"/>
        <v>1.8347482060289195</v>
      </c>
    </row>
    <row r="77" spans="1:23" ht="17" thickBot="1">
      <c r="A77" s="374" t="s">
        <v>214</v>
      </c>
      <c r="B77" s="373">
        <v>35.78</v>
      </c>
      <c r="C77" s="374">
        <v>35.01</v>
      </c>
      <c r="D77" s="374">
        <v>35.869999999999997</v>
      </c>
      <c r="E77" s="374">
        <v>34.94</v>
      </c>
      <c r="F77" s="374" t="s">
        <v>215</v>
      </c>
      <c r="G77" s="375">
        <v>1.0699999999999999E-2</v>
      </c>
      <c r="H77" s="376">
        <f t="shared" si="4"/>
        <v>4.2937853107344993E-5</v>
      </c>
      <c r="I77" s="376">
        <f t="shared" si="5"/>
        <v>2.5374855824682819E-3</v>
      </c>
      <c r="J77" s="374">
        <f t="shared" si="3"/>
        <v>5.6704075605434223E-2</v>
      </c>
      <c r="L77" s="135" t="s">
        <v>216</v>
      </c>
      <c r="M77" s="136">
        <f>_xlfn.NORM.S.DIST(-M73,TRUE)</f>
        <v>0.9200949359563515</v>
      </c>
      <c r="N77" s="62"/>
      <c r="O77" s="62"/>
      <c r="P77" s="62"/>
      <c r="Q77" s="62"/>
      <c r="R77" s="62"/>
      <c r="S77" s="62"/>
      <c r="T77" s="62"/>
      <c r="U77" s="299">
        <v>44</v>
      </c>
      <c r="V77" s="300">
        <f t="shared" si="6"/>
        <v>8.5605950330640095</v>
      </c>
      <c r="W77" s="301">
        <f t="shared" si="7"/>
        <v>1.8347482060289195</v>
      </c>
    </row>
    <row r="78" spans="1:23" ht="16.5" thickBot="1">
      <c r="A78" s="374" t="s">
        <v>217</v>
      </c>
      <c r="B78" s="373">
        <v>35.4</v>
      </c>
      <c r="C78" s="374">
        <v>35.68</v>
      </c>
      <c r="D78" s="374">
        <v>35.72</v>
      </c>
      <c r="E78" s="374">
        <v>35.04</v>
      </c>
      <c r="F78" s="374" t="s">
        <v>218</v>
      </c>
      <c r="G78" s="375">
        <v>-5.5999999999999999E-3</v>
      </c>
      <c r="H78" s="376">
        <f t="shared" si="4"/>
        <v>-2.247191011236005E-5</v>
      </c>
      <c r="I78" s="376">
        <f t="shared" si="5"/>
        <v>2.2060957910014344E-3</v>
      </c>
      <c r="J78" s="374">
        <f t="shared" si="3"/>
        <v>2.460202604920414E-2</v>
      </c>
      <c r="L78" s="62"/>
      <c r="M78" s="62"/>
      <c r="N78" s="62"/>
      <c r="O78" s="62"/>
      <c r="P78" s="62"/>
      <c r="Q78" s="62"/>
      <c r="R78" s="62"/>
      <c r="S78" s="62"/>
      <c r="T78" s="62"/>
      <c r="U78" s="299">
        <v>45</v>
      </c>
      <c r="V78" s="300">
        <f t="shared" si="6"/>
        <v>9.5605950330640095</v>
      </c>
      <c r="W78" s="301">
        <f t="shared" si="7"/>
        <v>1.8347482060289195</v>
      </c>
    </row>
    <row r="79" spans="1:23" ht="16.5">
      <c r="A79" s="374" t="s">
        <v>219</v>
      </c>
      <c r="B79" s="373">
        <v>35.6</v>
      </c>
      <c r="C79" s="374">
        <v>36.14</v>
      </c>
      <c r="D79" s="374">
        <v>36.270000000000003</v>
      </c>
      <c r="E79" s="374">
        <v>35.56</v>
      </c>
      <c r="F79" s="374" t="s">
        <v>220</v>
      </c>
      <c r="G79" s="375">
        <v>-1.7100000000000001E-2</v>
      </c>
      <c r="H79" s="376">
        <f t="shared" si="4"/>
        <v>-6.8470458310325726E-5</v>
      </c>
      <c r="I79" s="376">
        <f t="shared" si="5"/>
        <v>2.5746593215424697E-3</v>
      </c>
      <c r="J79" s="374">
        <f t="shared" si="3"/>
        <v>3.8506417736289489E-2</v>
      </c>
      <c r="L79" s="282" t="s">
        <v>221</v>
      </c>
      <c r="M79" s="283">
        <f>M65*(EXP(-M68*M69))*M74-M70*(EXP(-M67*M69))*M75</f>
        <v>0.43940496693599096</v>
      </c>
      <c r="N79" s="62"/>
      <c r="O79" s="62"/>
      <c r="P79" s="62"/>
      <c r="Q79" s="62"/>
      <c r="R79" s="62"/>
      <c r="S79" s="62"/>
      <c r="T79" s="62"/>
      <c r="U79" s="299">
        <v>46</v>
      </c>
      <c r="V79" s="300">
        <f t="shared" si="6"/>
        <v>10.560595033064009</v>
      </c>
      <c r="W79" s="301">
        <f t="shared" si="7"/>
        <v>1.8347482060289195</v>
      </c>
    </row>
    <row r="80" spans="1:23" ht="17" thickBot="1">
      <c r="A80" s="374" t="s">
        <v>222</v>
      </c>
      <c r="B80" s="373">
        <v>36.22</v>
      </c>
      <c r="C80" s="374">
        <v>36.64</v>
      </c>
      <c r="D80" s="374">
        <v>36.71</v>
      </c>
      <c r="E80" s="374">
        <v>36.14</v>
      </c>
      <c r="F80" s="374" t="s">
        <v>223</v>
      </c>
      <c r="G80" s="375">
        <v>-2.1899999999999999E-2</v>
      </c>
      <c r="H80" s="376">
        <f t="shared" si="4"/>
        <v>-8.7496624358628591E-5</v>
      </c>
      <c r="I80" s="376">
        <f t="shared" si="5"/>
        <v>3.3362093758987576E-3</v>
      </c>
      <c r="J80" s="374">
        <f t="shared" si="3"/>
        <v>6.6548881036513574E-2</v>
      </c>
      <c r="L80" s="284" t="s">
        <v>224</v>
      </c>
      <c r="M80" s="285">
        <f>M70*(EXP(-M67*M69))*M77-M65*(EXP(-M68*M69))*M76</f>
        <v>-1.8347482060289195</v>
      </c>
      <c r="N80" s="61"/>
      <c r="O80" s="61"/>
      <c r="P80" s="61"/>
      <c r="Q80" s="61"/>
      <c r="R80" s="62"/>
      <c r="S80" s="62"/>
      <c r="T80" s="62"/>
      <c r="U80" s="302">
        <v>47</v>
      </c>
      <c r="V80" s="303">
        <f t="shared" si="6"/>
        <v>11.560595033064009</v>
      </c>
      <c r="W80" s="304">
        <f t="shared" si="7"/>
        <v>1.8347482060289195</v>
      </c>
    </row>
    <row r="81" spans="1:23">
      <c r="A81" s="374" t="s">
        <v>225</v>
      </c>
      <c r="B81" s="373">
        <v>37.03</v>
      </c>
      <c r="C81" s="374">
        <v>37.35</v>
      </c>
      <c r="D81" s="374">
        <v>37.520000000000003</v>
      </c>
      <c r="E81" s="374">
        <v>37.03</v>
      </c>
      <c r="F81" s="374" t="s">
        <v>226</v>
      </c>
      <c r="G81" s="375">
        <v>-1.04E-2</v>
      </c>
      <c r="H81" s="376">
        <f t="shared" si="4"/>
        <v>-4.1688936397648479E-5</v>
      </c>
      <c r="I81" s="376">
        <f t="shared" si="5"/>
        <v>5.8169177288528396E-3</v>
      </c>
      <c r="J81" s="374">
        <f t="shared" si="3"/>
        <v>8.2115721800116948E-2</v>
      </c>
    </row>
    <row r="82" spans="1:23">
      <c r="A82" s="374" t="s">
        <v>227</v>
      </c>
      <c r="B82" s="373">
        <v>37.42</v>
      </c>
      <c r="C82" s="374">
        <v>37.51</v>
      </c>
      <c r="D82" s="374">
        <v>37.619999999999997</v>
      </c>
      <c r="E82" s="374">
        <v>37</v>
      </c>
      <c r="F82" s="374" t="s">
        <v>228</v>
      </c>
      <c r="G82" s="375">
        <v>-8.2000000000000007E-3</v>
      </c>
      <c r="H82" s="376">
        <f t="shared" si="4"/>
        <v>-3.2865094089583379E-5</v>
      </c>
      <c r="I82" s="376">
        <f t="shared" si="5"/>
        <v>7.4810052600818369E-3</v>
      </c>
      <c r="J82" s="374">
        <f t="shared" si="3"/>
        <v>7.3744619799139155E-2</v>
      </c>
    </row>
    <row r="83" spans="1:23">
      <c r="A83" s="374" t="s">
        <v>229</v>
      </c>
      <c r="B83" s="373">
        <v>37.729999999999997</v>
      </c>
      <c r="C83" s="374">
        <v>37.5</v>
      </c>
      <c r="D83" s="374">
        <v>37.78</v>
      </c>
      <c r="E83" s="374">
        <v>37.26</v>
      </c>
      <c r="F83" s="374" t="s">
        <v>230</v>
      </c>
      <c r="G83" s="375">
        <v>1.21E-2</v>
      </c>
      <c r="H83" s="376">
        <f t="shared" si="4"/>
        <v>4.8283261802574809E-5</v>
      </c>
      <c r="I83" s="376">
        <f t="shared" si="5"/>
        <v>8.8025889967637393E-3</v>
      </c>
      <c r="J83" s="374">
        <f t="shared" si="3"/>
        <v>7.0962248084019297E-2</v>
      </c>
    </row>
    <row r="84" spans="1:23" ht="16.5" thickBot="1">
      <c r="A84" s="374" t="s">
        <v>231</v>
      </c>
      <c r="B84" s="373">
        <v>37.28</v>
      </c>
      <c r="C84" s="374">
        <v>36.67</v>
      </c>
      <c r="D84" s="374">
        <v>37.6</v>
      </c>
      <c r="E84" s="374">
        <v>36.659999999999997</v>
      </c>
      <c r="F84" s="374" t="s">
        <v>232</v>
      </c>
      <c r="G84" s="375">
        <v>2.2200000000000001E-2</v>
      </c>
      <c r="H84" s="376">
        <f t="shared" si="4"/>
        <v>8.884014258294481E-5</v>
      </c>
      <c r="I84" s="376">
        <f t="shared" si="5"/>
        <v>8.3935981031416779E-3</v>
      </c>
      <c r="J84" s="374">
        <f t="shared" si="3"/>
        <v>4.7779651489600949E-2</v>
      </c>
      <c r="L84" s="1" t="s">
        <v>233</v>
      </c>
    </row>
    <row r="85" spans="1:23" ht="16.5" thickBot="1">
      <c r="A85" s="374" t="s">
        <v>234</v>
      </c>
      <c r="B85" s="373">
        <v>36.47</v>
      </c>
      <c r="C85" s="374">
        <v>35.86</v>
      </c>
      <c r="D85" s="374">
        <v>36.47</v>
      </c>
      <c r="E85" s="374">
        <v>35.630000000000003</v>
      </c>
      <c r="F85" s="374" t="s">
        <v>235</v>
      </c>
      <c r="G85" s="375">
        <v>1.9E-2</v>
      </c>
      <c r="H85" s="376">
        <f t="shared" si="4"/>
        <v>7.5998882369376905E-5</v>
      </c>
      <c r="I85" s="376">
        <f t="shared" si="5"/>
        <v>7.0665472993136367E-3</v>
      </c>
      <c r="J85" s="374">
        <f t="shared" si="3"/>
        <v>4.1404911479154594E-2</v>
      </c>
      <c r="L85" s="485" t="s">
        <v>236</v>
      </c>
      <c r="M85" s="486"/>
      <c r="N85" s="62"/>
      <c r="O85" s="62"/>
      <c r="P85" s="62"/>
      <c r="Q85" s="62"/>
      <c r="R85" s="62"/>
      <c r="U85" s="484" t="s">
        <v>174</v>
      </c>
      <c r="V85" s="484"/>
      <c r="W85" s="484"/>
    </row>
    <row r="86" spans="1:23">
      <c r="A86" s="374" t="s">
        <v>237</v>
      </c>
      <c r="B86" s="373">
        <v>35.79</v>
      </c>
      <c r="C86" s="374">
        <v>35.700000000000003</v>
      </c>
      <c r="D86" s="374">
        <v>36</v>
      </c>
      <c r="E86" s="374">
        <v>35.57</v>
      </c>
      <c r="F86" s="374" t="s">
        <v>238</v>
      </c>
      <c r="G86" s="375">
        <v>8.6999999999999994E-3</v>
      </c>
      <c r="H86" s="376">
        <f t="shared" si="4"/>
        <v>3.4949267192785353E-5</v>
      </c>
      <c r="I86" s="376">
        <f t="shared" si="5"/>
        <v>5.062388591800371E-3</v>
      </c>
      <c r="J86" s="374">
        <f t="shared" si="3"/>
        <v>4.0709508578074871E-2</v>
      </c>
      <c r="L86" s="31" t="s">
        <v>192</v>
      </c>
      <c r="M86" s="130">
        <v>1</v>
      </c>
      <c r="N86" s="62"/>
      <c r="O86" s="62"/>
      <c r="P86" s="62"/>
      <c r="Q86" s="62"/>
      <c r="R86" s="62"/>
      <c r="U86" s="296" t="s">
        <v>178</v>
      </c>
      <c r="V86" s="297" t="s">
        <v>239</v>
      </c>
      <c r="W86" s="298" t="s">
        <v>240</v>
      </c>
    </row>
    <row r="87" spans="1:23" ht="16.5">
      <c r="A87" s="374" t="s">
        <v>241</v>
      </c>
      <c r="B87" s="373">
        <v>35.479999999999997</v>
      </c>
      <c r="C87" s="374">
        <v>35.07</v>
      </c>
      <c r="D87" s="374">
        <v>35.590000000000003</v>
      </c>
      <c r="E87" s="374">
        <v>35.01</v>
      </c>
      <c r="F87" s="374" t="s">
        <v>242</v>
      </c>
      <c r="G87" s="375">
        <v>1.72E-2</v>
      </c>
      <c r="H87" s="376">
        <f t="shared" si="4"/>
        <v>6.8807339449540979E-5</v>
      </c>
      <c r="I87" s="376">
        <f t="shared" si="5"/>
        <v>5.3654135338345732E-3</v>
      </c>
      <c r="J87" s="374">
        <f t="shared" si="3"/>
        <v>-3.1923601637107835E-2</v>
      </c>
      <c r="L87" s="31" t="s">
        <v>177</v>
      </c>
      <c r="M87" s="127">
        <f>M46</f>
        <v>34.97</v>
      </c>
      <c r="N87" s="62"/>
      <c r="O87" s="62"/>
      <c r="P87" s="62"/>
      <c r="Q87" s="62"/>
      <c r="R87" s="62"/>
      <c r="U87" s="299">
        <v>33</v>
      </c>
      <c r="V87" s="300">
        <f>IF(U87&gt;M$88,M$89,0)-M$99</f>
        <v>-8.5809337089855866</v>
      </c>
      <c r="W87" s="301">
        <f>IF(U87&lt;M$87,M$89,0)-M$100</f>
        <v>9.2392631869755615</v>
      </c>
    </row>
    <row r="88" spans="1:23">
      <c r="A88" s="374" t="s">
        <v>243</v>
      </c>
      <c r="B88" s="373">
        <v>34.880000000000003</v>
      </c>
      <c r="C88" s="374">
        <v>35.28</v>
      </c>
      <c r="D88" s="374">
        <v>35.4</v>
      </c>
      <c r="E88" s="374">
        <v>34.81</v>
      </c>
      <c r="F88" s="374" t="s">
        <v>244</v>
      </c>
      <c r="G88" s="375">
        <v>-9.9000000000000008E-3</v>
      </c>
      <c r="H88" s="376">
        <f t="shared" si="4"/>
        <v>-3.9738858927050203E-5</v>
      </c>
      <c r="I88" s="376">
        <f t="shared" si="5"/>
        <v>2.6540284360189758E-3</v>
      </c>
      <c r="J88" s="374">
        <f t="shared" si="3"/>
        <v>-5.5254604550379227E-2</v>
      </c>
      <c r="L88" s="31" t="s">
        <v>245</v>
      </c>
      <c r="M88" s="127">
        <f>M65</f>
        <v>34.97</v>
      </c>
      <c r="N88" s="62"/>
      <c r="O88" s="62"/>
      <c r="P88" s="62"/>
      <c r="Q88" s="62"/>
      <c r="R88" s="62"/>
      <c r="U88" s="299">
        <v>34</v>
      </c>
      <c r="V88" s="300">
        <f t="shared" ref="V88:V101" si="8">IF(U88&gt;M$88,M$89,0)-M$99</f>
        <v>-8.5809337089855866</v>
      </c>
      <c r="W88" s="301">
        <f t="shared" ref="W88:W101" si="9">IF(U88&lt;M$87,M$89,0)-M$100</f>
        <v>9.2392631869755615</v>
      </c>
    </row>
    <row r="89" spans="1:23">
      <c r="A89" s="374" t="s">
        <v>246</v>
      </c>
      <c r="B89" s="373">
        <v>35.229999999999997</v>
      </c>
      <c r="C89" s="374">
        <v>34.479999999999997</v>
      </c>
      <c r="D89" s="374">
        <v>35.369999999999997</v>
      </c>
      <c r="E89" s="374">
        <v>34.36</v>
      </c>
      <c r="F89" s="374" t="s">
        <v>247</v>
      </c>
      <c r="G89" s="375">
        <v>1.6199999999999999E-2</v>
      </c>
      <c r="H89" s="376">
        <f t="shared" si="4"/>
        <v>6.4609172194980853E-5</v>
      </c>
      <c r="I89" s="376">
        <f t="shared" si="5"/>
        <v>3.6072382082467948E-3</v>
      </c>
      <c r="J89" s="374">
        <f t="shared" si="3"/>
        <v>-4.7322877230935645E-2</v>
      </c>
      <c r="L89" s="31" t="s">
        <v>248</v>
      </c>
      <c r="M89" s="130">
        <v>10</v>
      </c>
      <c r="N89" s="62"/>
      <c r="O89" s="62"/>
      <c r="P89" s="62"/>
      <c r="Q89" s="62"/>
      <c r="R89" s="62"/>
      <c r="U89" s="299">
        <v>35</v>
      </c>
      <c r="V89" s="300">
        <f t="shared" si="8"/>
        <v>1.4190662910144134</v>
      </c>
      <c r="W89" s="301">
        <f t="shared" si="9"/>
        <v>-0.7607368130244383</v>
      </c>
    </row>
    <row r="90" spans="1:23">
      <c r="A90" s="374" t="s">
        <v>249</v>
      </c>
      <c r="B90" s="373">
        <v>34.67</v>
      </c>
      <c r="C90" s="374">
        <v>35</v>
      </c>
      <c r="D90" s="374">
        <v>35.06</v>
      </c>
      <c r="E90" s="374">
        <v>34.51</v>
      </c>
      <c r="F90" s="374" t="s">
        <v>250</v>
      </c>
      <c r="G90" s="375">
        <v>-1.11E-2</v>
      </c>
      <c r="H90" s="376">
        <f t="shared" si="4"/>
        <v>-4.4495151169424045E-5</v>
      </c>
      <c r="I90" s="376">
        <f t="shared" si="5"/>
        <v>5.810575246949412E-4</v>
      </c>
      <c r="J90" s="374">
        <f t="shared" si="3"/>
        <v>-8.0127354736004186E-2</v>
      </c>
      <c r="L90" s="31" t="s">
        <v>186</v>
      </c>
      <c r="M90" s="129">
        <f>M67</f>
        <v>6.8099999999999994E-2</v>
      </c>
      <c r="N90" s="62"/>
      <c r="O90" s="62"/>
      <c r="P90" s="62"/>
      <c r="Q90" s="62"/>
      <c r="R90" s="62"/>
      <c r="U90" s="299">
        <v>36</v>
      </c>
      <c r="V90" s="300">
        <f t="shared" si="8"/>
        <v>1.4190662910144134</v>
      </c>
      <c r="W90" s="301">
        <f t="shared" si="9"/>
        <v>-0.7607368130244383</v>
      </c>
    </row>
    <row r="91" spans="1:23">
      <c r="A91" s="374" t="s">
        <v>251</v>
      </c>
      <c r="B91" s="373">
        <v>35.06</v>
      </c>
      <c r="C91" s="374">
        <v>34.46</v>
      </c>
      <c r="D91" s="374">
        <v>35.28</v>
      </c>
      <c r="E91" s="374">
        <v>34.44</v>
      </c>
      <c r="F91" s="374" t="s">
        <v>252</v>
      </c>
      <c r="G91" s="375">
        <v>1.7399999999999999E-2</v>
      </c>
      <c r="H91" s="376">
        <f t="shared" si="4"/>
        <v>6.964596633778353E-5</v>
      </c>
      <c r="I91" s="376">
        <f t="shared" si="5"/>
        <v>1.8441785818500201E-3</v>
      </c>
      <c r="J91" s="374">
        <f t="shared" si="3"/>
        <v>-4.9864498644986321E-2</v>
      </c>
      <c r="L91" s="31" t="s">
        <v>189</v>
      </c>
      <c r="M91" s="128">
        <v>0</v>
      </c>
      <c r="N91" s="62"/>
      <c r="O91" s="62"/>
      <c r="P91" s="62"/>
      <c r="Q91" s="62"/>
      <c r="R91" s="62"/>
      <c r="U91" s="299">
        <v>37</v>
      </c>
      <c r="V91" s="300">
        <f t="shared" si="8"/>
        <v>1.4190662910144134</v>
      </c>
      <c r="W91" s="301">
        <f t="shared" si="9"/>
        <v>-0.7607368130244383</v>
      </c>
    </row>
    <row r="92" spans="1:23">
      <c r="A92" s="374" t="s">
        <v>253</v>
      </c>
      <c r="B92" s="373">
        <v>34.46</v>
      </c>
      <c r="C92" s="374">
        <v>34.72</v>
      </c>
      <c r="D92" s="374">
        <v>34.9</v>
      </c>
      <c r="E92" s="374">
        <v>34.44</v>
      </c>
      <c r="F92" s="374" t="s">
        <v>254</v>
      </c>
      <c r="G92" s="375">
        <v>-6.3E-3</v>
      </c>
      <c r="H92" s="376">
        <f t="shared" si="4"/>
        <v>-2.5374855824682462E-5</v>
      </c>
      <c r="I92" s="376">
        <f t="shared" si="5"/>
        <v>4.9051094890511853E-4</v>
      </c>
      <c r="J92" s="374">
        <f t="shared" si="3"/>
        <v>-0.10073068893528181</v>
      </c>
      <c r="L92" s="31" t="s">
        <v>255</v>
      </c>
      <c r="M92" s="129">
        <f>M66</f>
        <v>4.7975548999999999E-2</v>
      </c>
      <c r="N92" s="62"/>
      <c r="O92" s="62"/>
      <c r="P92" s="62"/>
      <c r="Q92" s="62"/>
      <c r="R92" s="62"/>
      <c r="U92" s="299">
        <v>38</v>
      </c>
      <c r="V92" s="300">
        <f t="shared" si="8"/>
        <v>1.4190662910144134</v>
      </c>
      <c r="W92" s="301">
        <f t="shared" si="9"/>
        <v>-0.7607368130244383</v>
      </c>
    </row>
    <row r="93" spans="1:23" ht="16.5">
      <c r="A93" s="374" t="s">
        <v>256</v>
      </c>
      <c r="B93" s="373">
        <v>34.68</v>
      </c>
      <c r="C93" s="374">
        <v>35.67</v>
      </c>
      <c r="D93" s="374">
        <v>35.86</v>
      </c>
      <c r="E93" s="374">
        <v>34.67</v>
      </c>
      <c r="F93" s="374" t="s">
        <v>257</v>
      </c>
      <c r="G93" s="375">
        <v>-2.3400000000000001E-2</v>
      </c>
      <c r="H93" s="376">
        <f t="shared" si="4"/>
        <v>-9.3494790199943453E-5</v>
      </c>
      <c r="I93" s="376">
        <f t="shared" si="5"/>
        <v>1.0990938322128052E-3</v>
      </c>
      <c r="J93" s="374">
        <f t="shared" si="3"/>
        <v>-9.5225671797547595E-2</v>
      </c>
      <c r="L93" s="31" t="s">
        <v>201</v>
      </c>
      <c r="M93" s="133">
        <f>(LN(M87/M88)+(M90-M91+(M92^2)/2)*M86)/(M92*SQRT(M86))</f>
        <v>1.4434608481692557</v>
      </c>
      <c r="N93" s="62"/>
      <c r="O93" s="62"/>
      <c r="P93" s="62"/>
      <c r="Q93" s="62"/>
      <c r="R93" s="62"/>
      <c r="U93" s="299">
        <v>39</v>
      </c>
      <c r="V93" s="300">
        <f t="shared" si="8"/>
        <v>1.4190662910144134</v>
      </c>
      <c r="W93" s="301">
        <f t="shared" si="9"/>
        <v>-0.7607368130244383</v>
      </c>
    </row>
    <row r="94" spans="1:23" ht="16.5">
      <c r="A94" s="374" t="s">
        <v>258</v>
      </c>
      <c r="B94" s="373">
        <v>35.51</v>
      </c>
      <c r="C94" s="374">
        <v>35.26</v>
      </c>
      <c r="D94" s="374">
        <v>35.72</v>
      </c>
      <c r="E94" s="374">
        <v>35.25</v>
      </c>
      <c r="F94" s="374" t="s">
        <v>259</v>
      </c>
      <c r="G94" s="375">
        <v>1.11E-2</v>
      </c>
      <c r="H94" s="376">
        <f t="shared" si="4"/>
        <v>4.4419134396355809E-5</v>
      </c>
      <c r="I94" s="376">
        <f t="shared" si="5"/>
        <v>4.1967990515708207E-3</v>
      </c>
      <c r="J94" s="374">
        <f t="shared" si="3"/>
        <v>-7.1148312843316797E-2</v>
      </c>
      <c r="L94" s="31" t="s">
        <v>204</v>
      </c>
      <c r="M94" s="133">
        <f>M93-M92*SQRT(M86)</f>
        <v>1.3954852991692557</v>
      </c>
      <c r="N94" s="62"/>
      <c r="O94" s="62"/>
      <c r="P94" s="62"/>
      <c r="Q94" s="62"/>
      <c r="R94" s="62"/>
      <c r="U94" s="299">
        <v>40</v>
      </c>
      <c r="V94" s="300">
        <f t="shared" si="8"/>
        <v>1.4190662910144134</v>
      </c>
      <c r="W94" s="301">
        <f t="shared" si="9"/>
        <v>-0.7607368130244383</v>
      </c>
    </row>
    <row r="95" spans="1:23" ht="16.5">
      <c r="A95" s="374" t="s">
        <v>260</v>
      </c>
      <c r="B95" s="373">
        <v>35.119999999999997</v>
      </c>
      <c r="C95" s="374">
        <v>34.86</v>
      </c>
      <c r="D95" s="374">
        <v>35.31</v>
      </c>
      <c r="E95" s="374">
        <v>34.86</v>
      </c>
      <c r="F95" s="374" t="s">
        <v>261</v>
      </c>
      <c r="G95" s="375">
        <v>0</v>
      </c>
      <c r="H95" s="376">
        <f t="shared" si="4"/>
        <v>0</v>
      </c>
      <c r="I95" s="376">
        <f t="shared" si="5"/>
        <v>3.9940209267563453E-3</v>
      </c>
      <c r="J95" s="374">
        <f t="shared" si="3"/>
        <v>-7.8940466824023225E-2</v>
      </c>
      <c r="L95" s="31" t="s">
        <v>207</v>
      </c>
      <c r="M95" s="133">
        <f>_xlfn.NORM.S.DIST(M93,TRUE)</f>
        <v>0.92555465305830575</v>
      </c>
      <c r="N95" s="62"/>
      <c r="O95" s="62"/>
      <c r="P95" s="62"/>
      <c r="Q95" s="62"/>
      <c r="R95" s="62"/>
      <c r="U95" s="299">
        <v>41</v>
      </c>
      <c r="V95" s="300">
        <f t="shared" si="8"/>
        <v>1.4190662910144134</v>
      </c>
      <c r="W95" s="301">
        <f t="shared" si="9"/>
        <v>-0.7607368130244383</v>
      </c>
    </row>
    <row r="96" spans="1:23" ht="16.5">
      <c r="A96" s="374" t="s">
        <v>262</v>
      </c>
      <c r="B96" s="373">
        <v>35.119999999999997</v>
      </c>
      <c r="C96" s="374">
        <v>34.83</v>
      </c>
      <c r="D96" s="374">
        <v>35.44</v>
      </c>
      <c r="E96" s="374">
        <v>34.65</v>
      </c>
      <c r="F96" s="374" t="s">
        <v>263</v>
      </c>
      <c r="G96" s="375">
        <v>1.2699999999999999E-2</v>
      </c>
      <c r="H96" s="376">
        <f t="shared" si="4"/>
        <v>5.0749711649364924E-5</v>
      </c>
      <c r="I96" s="376">
        <f t="shared" si="5"/>
        <v>3.9187574671445628E-3</v>
      </c>
      <c r="J96" s="374">
        <f t="shared" si="3"/>
        <v>-8.4940072954663992E-2</v>
      </c>
      <c r="L96" s="31" t="s">
        <v>210</v>
      </c>
      <c r="M96" s="133">
        <f>_xlfn.NORM.S.DIST(M94,TRUE)</f>
        <v>0.91856522757551162</v>
      </c>
      <c r="N96" s="62"/>
      <c r="O96" s="62"/>
      <c r="P96" s="62"/>
      <c r="Q96" s="62"/>
      <c r="R96" s="62"/>
      <c r="U96" s="299">
        <v>42</v>
      </c>
      <c r="V96" s="300">
        <f t="shared" si="8"/>
        <v>1.4190662910144134</v>
      </c>
      <c r="W96" s="301">
        <f t="shared" si="9"/>
        <v>-0.7607368130244383</v>
      </c>
    </row>
    <row r="97" spans="1:23" ht="17" thickBot="1">
      <c r="A97" s="374" t="s">
        <v>264</v>
      </c>
      <c r="B97" s="373">
        <v>34.68</v>
      </c>
      <c r="C97" s="374">
        <v>34.44</v>
      </c>
      <c r="D97" s="374">
        <v>34.82</v>
      </c>
      <c r="E97" s="374">
        <v>34.44</v>
      </c>
      <c r="F97" s="374" t="s">
        <v>265</v>
      </c>
      <c r="G97" s="375">
        <v>6.7000000000000002E-3</v>
      </c>
      <c r="H97" s="376">
        <f t="shared" si="4"/>
        <v>2.6705370101596237E-5</v>
      </c>
      <c r="I97" s="376">
        <f t="shared" si="5"/>
        <v>3.6670687575392157E-3</v>
      </c>
      <c r="J97" s="374">
        <f t="shared" si="3"/>
        <v>-9.7814776274713799E-2</v>
      </c>
      <c r="L97" s="59" t="s">
        <v>216</v>
      </c>
      <c r="M97" s="139">
        <f>_xlfn.NORM.S.DIST(-M94,TRUE)</f>
        <v>8.1434772424488419E-2</v>
      </c>
      <c r="N97" s="62"/>
      <c r="O97" s="62"/>
      <c r="P97" s="62"/>
      <c r="Q97" s="62"/>
      <c r="R97" s="62"/>
      <c r="U97" s="299">
        <v>43</v>
      </c>
      <c r="V97" s="300">
        <f t="shared" si="8"/>
        <v>1.4190662910144134</v>
      </c>
      <c r="W97" s="301">
        <f t="shared" si="9"/>
        <v>-0.7607368130244383</v>
      </c>
    </row>
    <row r="98" spans="1:23" ht="16.5" thickBot="1">
      <c r="A98" s="374" t="s">
        <v>266</v>
      </c>
      <c r="B98" s="373">
        <v>34.450000000000003</v>
      </c>
      <c r="C98" s="374">
        <v>34.25</v>
      </c>
      <c r="D98" s="374">
        <v>34.68</v>
      </c>
      <c r="E98" s="374">
        <v>34.21</v>
      </c>
      <c r="F98" s="374" t="s">
        <v>267</v>
      </c>
      <c r="G98" s="375">
        <v>-1.1999999999999999E-3</v>
      </c>
      <c r="H98" s="376">
        <f t="shared" si="4"/>
        <v>-4.6390258045807546E-6</v>
      </c>
      <c r="I98" s="376">
        <f t="shared" si="5"/>
        <v>3.4392976082349416E-3</v>
      </c>
      <c r="J98" s="374">
        <f t="shared" si="3"/>
        <v>-0.132460337446487</v>
      </c>
      <c r="L98" s="140"/>
      <c r="M98" s="62"/>
      <c r="N98" s="62"/>
      <c r="O98" s="62"/>
      <c r="P98" s="62"/>
      <c r="Q98" s="62"/>
      <c r="R98" s="62"/>
      <c r="U98" s="299">
        <v>44</v>
      </c>
      <c r="V98" s="300">
        <f t="shared" si="8"/>
        <v>1.4190662910144134</v>
      </c>
      <c r="W98" s="301">
        <f t="shared" si="9"/>
        <v>-0.7607368130244383</v>
      </c>
    </row>
    <row r="99" spans="1:23" ht="16.5">
      <c r="A99" s="374" t="s">
        <v>268</v>
      </c>
      <c r="B99" s="373">
        <v>34.49</v>
      </c>
      <c r="C99" s="374">
        <v>34.64</v>
      </c>
      <c r="D99" s="374">
        <v>34.64</v>
      </c>
      <c r="E99" s="374">
        <v>34.03</v>
      </c>
      <c r="F99" s="374" t="s">
        <v>269</v>
      </c>
      <c r="G99" s="375">
        <v>-8.0999999999999996E-3</v>
      </c>
      <c r="H99" s="376">
        <f t="shared" si="4"/>
        <v>-3.2211676732815775E-5</v>
      </c>
      <c r="I99" s="376">
        <f t="shared" si="5"/>
        <v>3.2840325988530063E-3</v>
      </c>
      <c r="J99" s="374">
        <f t="shared" si="3"/>
        <v>-0.1456527124102055</v>
      </c>
      <c r="K99" s="290"/>
      <c r="L99" s="286" t="s">
        <v>270</v>
      </c>
      <c r="M99" s="289">
        <f>M89*EXP(-M90*M86)*M96</f>
        <v>8.5809337089855866</v>
      </c>
      <c r="O99" s="62"/>
      <c r="P99" s="62"/>
      <c r="Q99" s="62"/>
      <c r="R99" s="62"/>
      <c r="U99" s="299">
        <v>45</v>
      </c>
      <c r="V99" s="300">
        <f t="shared" si="8"/>
        <v>1.4190662910144134</v>
      </c>
      <c r="W99" s="301">
        <f t="shared" si="9"/>
        <v>-0.7607368130244383</v>
      </c>
    </row>
    <row r="100" spans="1:23" ht="17" thickBot="1">
      <c r="A100" s="374" t="s">
        <v>271</v>
      </c>
      <c r="B100" s="373">
        <v>34.770000000000003</v>
      </c>
      <c r="C100" s="374">
        <v>34.520000000000003</v>
      </c>
      <c r="D100" s="374">
        <v>34.99</v>
      </c>
      <c r="E100" s="374">
        <v>34.35</v>
      </c>
      <c r="F100" s="374" t="s">
        <v>272</v>
      </c>
      <c r="G100" s="375">
        <v>7.1999999999999998E-3</v>
      </c>
      <c r="H100" s="376">
        <f t="shared" si="4"/>
        <v>2.8968713789107703E-5</v>
      </c>
      <c r="I100" s="376">
        <f t="shared" si="5"/>
        <v>4.1124886604172947E-3</v>
      </c>
      <c r="J100" s="374">
        <f t="shared" si="3"/>
        <v>-0.13248502994011968</v>
      </c>
      <c r="K100" s="291"/>
      <c r="L100" s="287" t="s">
        <v>273</v>
      </c>
      <c r="M100" s="288">
        <f>M89*EXP(-M90*M86)*M97</f>
        <v>0.7607368130244383</v>
      </c>
      <c r="O100" s="62"/>
      <c r="P100" s="62"/>
      <c r="Q100" s="62"/>
      <c r="R100" s="62"/>
      <c r="U100" s="299">
        <v>46</v>
      </c>
      <c r="V100" s="300">
        <f t="shared" si="8"/>
        <v>1.4190662910144134</v>
      </c>
      <c r="W100" s="301">
        <f t="shared" si="9"/>
        <v>-0.7607368130244383</v>
      </c>
    </row>
    <row r="101" spans="1:23" ht="16.5" thickBot="1">
      <c r="A101" s="374" t="s">
        <v>274</v>
      </c>
      <c r="B101" s="373">
        <v>34.520000000000003</v>
      </c>
      <c r="C101" s="374">
        <v>34.200000000000003</v>
      </c>
      <c r="D101" s="374">
        <v>34.549999999999997</v>
      </c>
      <c r="E101" s="374">
        <v>33.9</v>
      </c>
      <c r="F101" s="374" t="s">
        <v>275</v>
      </c>
      <c r="G101" s="375">
        <v>8.8000000000000005E-3</v>
      </c>
      <c r="H101" s="376">
        <f t="shared" si="4"/>
        <v>3.5067212156634222E-5</v>
      </c>
      <c r="I101" s="376">
        <f t="shared" si="5"/>
        <v>5.6044637321760859E-3</v>
      </c>
      <c r="J101" s="374">
        <f t="shared" si="3"/>
        <v>-0.1293820933165194</v>
      </c>
      <c r="U101" s="302">
        <v>47</v>
      </c>
      <c r="V101" s="303">
        <f t="shared" si="8"/>
        <v>1.4190662910144134</v>
      </c>
      <c r="W101" s="304">
        <f t="shared" si="9"/>
        <v>-0.7607368130244383</v>
      </c>
    </row>
    <row r="102" spans="1:23">
      <c r="A102" s="374" t="s">
        <v>276</v>
      </c>
      <c r="B102" s="373">
        <v>34.22</v>
      </c>
      <c r="C102" s="374">
        <v>33.799999999999997</v>
      </c>
      <c r="D102" s="374">
        <v>34.369999999999997</v>
      </c>
      <c r="E102" s="374">
        <v>33.42</v>
      </c>
      <c r="F102" s="374" t="s">
        <v>277</v>
      </c>
      <c r="G102" s="375">
        <v>6.7999999999999996E-3</v>
      </c>
      <c r="H102" s="376">
        <f t="shared" si="4"/>
        <v>2.7066784348336983E-5</v>
      </c>
      <c r="I102" s="376">
        <f t="shared" si="5"/>
        <v>-2.1166429587482229E-3</v>
      </c>
      <c r="J102" s="374">
        <f t="shared" si="3"/>
        <v>-0.14149523331660818</v>
      </c>
    </row>
    <row r="103" spans="1:23">
      <c r="A103" s="374" t="s">
        <v>278</v>
      </c>
      <c r="B103" s="373">
        <v>33.99</v>
      </c>
      <c r="C103" s="374">
        <v>33.99</v>
      </c>
      <c r="D103" s="374">
        <v>34.090000000000003</v>
      </c>
      <c r="E103" s="374">
        <v>33.68</v>
      </c>
      <c r="F103" s="374" t="s">
        <v>279</v>
      </c>
      <c r="G103" s="375">
        <v>7.4000000000000003E-3</v>
      </c>
      <c r="H103" s="376">
        <f t="shared" si="4"/>
        <v>2.9638411381149865E-5</v>
      </c>
      <c r="I103" s="376">
        <f t="shared" si="5"/>
        <v>-2.7500000000000037E-3</v>
      </c>
      <c r="J103" s="374">
        <f t="shared" si="3"/>
        <v>-0.14876033057851235</v>
      </c>
    </row>
    <row r="104" spans="1:23">
      <c r="A104" s="374" t="s">
        <v>280</v>
      </c>
      <c r="B104" s="373">
        <v>33.74</v>
      </c>
      <c r="C104" s="374">
        <v>33.82</v>
      </c>
      <c r="D104" s="374">
        <v>33.9</v>
      </c>
      <c r="E104" s="374">
        <v>33.549999999999997</v>
      </c>
      <c r="F104" s="374" t="s">
        <v>281</v>
      </c>
      <c r="G104" s="375">
        <v>6.8999999999999999E-3</v>
      </c>
      <c r="H104" s="376">
        <f t="shared" si="4"/>
        <v>2.7454491196658104E-5</v>
      </c>
      <c r="I104" s="376">
        <f t="shared" si="5"/>
        <v>-4.4767767207610559E-3</v>
      </c>
      <c r="J104" s="374">
        <f t="shared" si="3"/>
        <v>-0.16153081510934397</v>
      </c>
    </row>
    <row r="105" spans="1:23">
      <c r="A105" s="374" t="s">
        <v>282</v>
      </c>
      <c r="B105" s="373">
        <v>33.51</v>
      </c>
      <c r="C105" s="374">
        <v>33.619999999999997</v>
      </c>
      <c r="D105" s="374">
        <v>33.880000000000003</v>
      </c>
      <c r="E105" s="374">
        <v>33.51</v>
      </c>
      <c r="F105" s="374" t="s">
        <v>283</v>
      </c>
      <c r="G105" s="375">
        <v>-4.4999999999999997E-3</v>
      </c>
      <c r="H105" s="376">
        <f t="shared" si="4"/>
        <v>-1.7825311942958778E-5</v>
      </c>
      <c r="I105" s="376">
        <f t="shared" si="5"/>
        <v>-5.5540127742293782E-3</v>
      </c>
      <c r="J105" s="374">
        <f t="shared" si="3"/>
        <v>-0.1552810688177465</v>
      </c>
      <c r="L105" s="1" t="s">
        <v>284</v>
      </c>
    </row>
    <row r="106" spans="1:23" ht="16.5" thickBot="1">
      <c r="A106" s="374" t="s">
        <v>285</v>
      </c>
      <c r="B106" s="373">
        <v>33.659999999999997</v>
      </c>
      <c r="C106" s="374">
        <v>33.5</v>
      </c>
      <c r="D106" s="374">
        <v>33.81</v>
      </c>
      <c r="E106" s="374">
        <v>33.44</v>
      </c>
      <c r="F106" s="374" t="s">
        <v>286</v>
      </c>
      <c r="G106" s="375">
        <v>1.23E-2</v>
      </c>
      <c r="H106" s="376">
        <f t="shared" si="4"/>
        <v>4.9323308270675881E-5</v>
      </c>
      <c r="I106" s="376">
        <f t="shared" si="5"/>
        <v>-5.7363485934914587E-3</v>
      </c>
      <c r="J106" s="374">
        <f t="shared" si="3"/>
        <v>-0.15235457063711921</v>
      </c>
      <c r="L106" s="487" t="s">
        <v>287</v>
      </c>
      <c r="M106" s="487"/>
      <c r="U106" s="484" t="s">
        <v>174</v>
      </c>
      <c r="V106" s="484"/>
      <c r="W106" s="484"/>
    </row>
    <row r="107" spans="1:23">
      <c r="A107" s="374" t="s">
        <v>288</v>
      </c>
      <c r="B107" s="373">
        <v>33.25</v>
      </c>
      <c r="C107" s="374">
        <v>34.21</v>
      </c>
      <c r="D107" s="374">
        <v>34.21</v>
      </c>
      <c r="E107" s="374">
        <v>33.200000000000003</v>
      </c>
      <c r="F107" s="374" t="s">
        <v>289</v>
      </c>
      <c r="G107" s="375">
        <v>-1.5100000000000001E-2</v>
      </c>
      <c r="H107" s="376">
        <f t="shared" si="4"/>
        <v>-6.042654028436001E-5</v>
      </c>
      <c r="I107" s="376">
        <f t="shared" si="5"/>
        <v>-6.66115246760409E-3</v>
      </c>
      <c r="J107" s="374">
        <f t="shared" si="3"/>
        <v>-0.16289023162134941</v>
      </c>
      <c r="L107" s="143" t="s">
        <v>192</v>
      </c>
      <c r="M107" s="138">
        <f>9/12</f>
        <v>0.75</v>
      </c>
      <c r="U107" s="143" t="s">
        <v>178</v>
      </c>
      <c r="V107" s="137" t="s">
        <v>290</v>
      </c>
      <c r="W107" s="292" t="s">
        <v>291</v>
      </c>
    </row>
    <row r="108" spans="1:23" ht="16.5">
      <c r="A108" s="374" t="s">
        <v>292</v>
      </c>
      <c r="B108" s="373">
        <v>33.76</v>
      </c>
      <c r="C108" s="374">
        <v>33.76</v>
      </c>
      <c r="D108" s="374">
        <v>34.08</v>
      </c>
      <c r="E108" s="374">
        <v>33.76</v>
      </c>
      <c r="F108" s="374" t="s">
        <v>293</v>
      </c>
      <c r="G108" s="375">
        <v>1.5E-3</v>
      </c>
      <c r="H108" s="376">
        <f t="shared" si="4"/>
        <v>5.9329575793531934E-6</v>
      </c>
      <c r="I108" s="376">
        <f t="shared" si="5"/>
        <v>-6.3284233496999414E-3</v>
      </c>
      <c r="J108" s="374">
        <f t="shared" si="3"/>
        <v>-0.15303562468640242</v>
      </c>
      <c r="L108" s="144" t="s">
        <v>177</v>
      </c>
      <c r="M108" s="130">
        <v>35</v>
      </c>
      <c r="U108" s="144">
        <v>33</v>
      </c>
      <c r="V108" s="293">
        <f t="shared" ref="V108:V122" si="10">IF(U108&gt;M$108,U108,0)-M$121</f>
        <v>-25.490811744019929</v>
      </c>
      <c r="W108" s="267">
        <f t="shared" ref="W108:W122" si="11">IF(U108&lt;M$108,U108,0)-M$122</f>
        <v>23.490811744019929</v>
      </c>
    </row>
    <row r="109" spans="1:23">
      <c r="A109" s="374" t="s">
        <v>294</v>
      </c>
      <c r="B109" s="373">
        <v>33.71</v>
      </c>
      <c r="C109" s="374">
        <v>33.93</v>
      </c>
      <c r="D109" s="374">
        <v>34</v>
      </c>
      <c r="E109" s="374">
        <v>33.65</v>
      </c>
      <c r="F109" s="374" t="s">
        <v>295</v>
      </c>
      <c r="G109" s="375">
        <v>-2.06E-2</v>
      </c>
      <c r="H109" s="376">
        <f t="shared" si="4"/>
        <v>-8.2510168506682465E-5</v>
      </c>
      <c r="I109" s="376">
        <f t="shared" si="5"/>
        <v>-5.1304830649639135E-3</v>
      </c>
      <c r="J109" s="374">
        <f t="shared" si="3"/>
        <v>-0.15386546184738958</v>
      </c>
      <c r="L109" s="144" t="s">
        <v>245</v>
      </c>
      <c r="M109" s="130">
        <v>32</v>
      </c>
      <c r="U109" s="144">
        <v>34</v>
      </c>
      <c r="V109" s="293">
        <f t="shared" si="10"/>
        <v>-25.490811744019929</v>
      </c>
      <c r="W109" s="267">
        <f t="shared" si="11"/>
        <v>24.490811744019929</v>
      </c>
    </row>
    <row r="110" spans="1:23" ht="16.5">
      <c r="A110" s="374" t="s">
        <v>296</v>
      </c>
      <c r="B110" s="373">
        <v>34.42</v>
      </c>
      <c r="C110" s="374">
        <v>34.21</v>
      </c>
      <c r="D110" s="374">
        <v>34.630000000000003</v>
      </c>
      <c r="E110" s="374">
        <v>34.06</v>
      </c>
      <c r="F110" s="374" t="s">
        <v>297</v>
      </c>
      <c r="G110" s="375">
        <v>4.4000000000000003E-3</v>
      </c>
      <c r="H110" s="376">
        <f t="shared" si="4"/>
        <v>1.7508024511234231E-5</v>
      </c>
      <c r="I110" s="376">
        <f t="shared" si="5"/>
        <v>-4.0386206896551704E-3</v>
      </c>
      <c r="J110" s="374">
        <f t="shared" si="3"/>
        <v>-0.13626097867001252</v>
      </c>
      <c r="L110" s="144" t="s">
        <v>177</v>
      </c>
      <c r="M110" s="130">
        <f>M108</f>
        <v>35</v>
      </c>
      <c r="U110" s="144">
        <v>35</v>
      </c>
      <c r="V110" s="293">
        <f t="shared" si="10"/>
        <v>-25.490811744019929</v>
      </c>
      <c r="W110" s="267">
        <f t="shared" si="11"/>
        <v>-9.5091882559800691</v>
      </c>
    </row>
    <row r="111" spans="1:23">
      <c r="A111" s="374" t="s">
        <v>298</v>
      </c>
      <c r="B111" s="373">
        <v>34.270000000000003</v>
      </c>
      <c r="C111" s="374">
        <v>34.33</v>
      </c>
      <c r="D111" s="374">
        <v>34.43</v>
      </c>
      <c r="E111" s="374">
        <v>33.89</v>
      </c>
      <c r="F111" s="374" t="s">
        <v>299</v>
      </c>
      <c r="G111" s="375">
        <v>5.9999999999999995E-4</v>
      </c>
      <c r="H111" s="376">
        <f t="shared" si="4"/>
        <v>2.3357664233580878E-6</v>
      </c>
      <c r="I111" s="376">
        <f t="shared" si="5"/>
        <v>-4.4738292011019176E-3</v>
      </c>
      <c r="J111" s="374">
        <f t="shared" si="3"/>
        <v>-0.14174805910343091</v>
      </c>
      <c r="L111" s="144" t="s">
        <v>186</v>
      </c>
      <c r="M111" s="128">
        <v>0.05</v>
      </c>
      <c r="U111" s="144">
        <v>36</v>
      </c>
      <c r="V111" s="293">
        <f t="shared" si="10"/>
        <v>10.509188255980071</v>
      </c>
      <c r="W111" s="267">
        <f t="shared" si="11"/>
        <v>-9.5091882559800691</v>
      </c>
    </row>
    <row r="112" spans="1:23">
      <c r="A112" s="374" t="s">
        <v>300</v>
      </c>
      <c r="B112" s="373">
        <v>34.25</v>
      </c>
      <c r="C112" s="374">
        <v>34.26</v>
      </c>
      <c r="D112" s="374">
        <v>34.42</v>
      </c>
      <c r="E112" s="374">
        <v>34.06</v>
      </c>
      <c r="F112" s="374" t="s">
        <v>301</v>
      </c>
      <c r="G112" s="375">
        <v>1.1999999999999999E-3</v>
      </c>
      <c r="H112" s="376">
        <f t="shared" si="4"/>
        <v>4.6769950306924099E-6</v>
      </c>
      <c r="I112" s="376">
        <f t="shared" si="5"/>
        <v>-4.2047026279391367E-3</v>
      </c>
      <c r="J112" s="374">
        <f t="shared" si="3"/>
        <v>-0.13575574060055517</v>
      </c>
      <c r="L112" s="144" t="s">
        <v>189</v>
      </c>
      <c r="M112" s="128">
        <v>0</v>
      </c>
      <c r="U112" s="144">
        <v>37</v>
      </c>
      <c r="V112" s="293">
        <f t="shared" si="10"/>
        <v>11.509188255980071</v>
      </c>
      <c r="W112" s="267">
        <f t="shared" si="11"/>
        <v>-9.5091882559800691</v>
      </c>
    </row>
    <row r="113" spans="1:23">
      <c r="A113" s="374" t="s">
        <v>302</v>
      </c>
      <c r="B113" s="373">
        <v>34.21</v>
      </c>
      <c r="C113" s="374">
        <v>33.99</v>
      </c>
      <c r="D113" s="374">
        <v>34.36</v>
      </c>
      <c r="E113" s="374">
        <v>33.979999999999997</v>
      </c>
      <c r="F113" s="374" t="s">
        <v>303</v>
      </c>
      <c r="G113" s="375">
        <v>1.3899999999999999E-2</v>
      </c>
      <c r="H113" s="376">
        <f t="shared" si="4"/>
        <v>5.5720213396561748E-5</v>
      </c>
      <c r="I113" s="376">
        <f t="shared" si="5"/>
        <v>-3.3174558699915835E-3</v>
      </c>
      <c r="J113" s="374">
        <f t="shared" si="3"/>
        <v>-0.14560439560439553</v>
      </c>
      <c r="L113" s="144" t="s">
        <v>255</v>
      </c>
      <c r="M113" s="129">
        <v>0.31</v>
      </c>
      <c r="U113" s="144">
        <v>38</v>
      </c>
      <c r="V113" s="293">
        <f t="shared" si="10"/>
        <v>12.509188255980071</v>
      </c>
      <c r="W113" s="267">
        <f t="shared" si="11"/>
        <v>-9.5091882559800691</v>
      </c>
    </row>
    <row r="114" spans="1:23" ht="16.5">
      <c r="A114" s="374" t="s">
        <v>304</v>
      </c>
      <c r="B114" s="373">
        <v>33.74</v>
      </c>
      <c r="C114" s="374">
        <v>33.200000000000003</v>
      </c>
      <c r="D114" s="374">
        <v>33.9</v>
      </c>
      <c r="E114" s="374">
        <v>33.119999999999997</v>
      </c>
      <c r="F114" s="374" t="s">
        <v>305</v>
      </c>
      <c r="G114" s="375">
        <v>8.6999999999999994E-3</v>
      </c>
      <c r="H114" s="376">
        <f t="shared" si="4"/>
        <v>3.4678624813153645E-5</v>
      </c>
      <c r="I114" s="376">
        <f t="shared" si="5"/>
        <v>-5.2713178294573563E-3</v>
      </c>
      <c r="J114" s="374">
        <f t="shared" si="3"/>
        <v>-0.15268709191361118</v>
      </c>
      <c r="L114" s="144" t="s">
        <v>201</v>
      </c>
      <c r="M114" s="145">
        <f>(LN(M108/M109)+(M111-M112+(M113^2)/2)*M107)/(M113*SQRT(M107))</f>
        <v>0.60770644750120295</v>
      </c>
      <c r="U114" s="144">
        <v>39</v>
      </c>
      <c r="V114" s="293">
        <f t="shared" si="10"/>
        <v>13.509188255980071</v>
      </c>
      <c r="W114" s="267">
        <f t="shared" si="11"/>
        <v>-9.5091882559800691</v>
      </c>
    </row>
    <row r="115" spans="1:23" ht="16.5">
      <c r="A115" s="374" t="s">
        <v>306</v>
      </c>
      <c r="B115" s="373">
        <v>33.450000000000003</v>
      </c>
      <c r="C115" s="374">
        <v>33.450000000000003</v>
      </c>
      <c r="D115" s="374">
        <v>33.57</v>
      </c>
      <c r="E115" s="374">
        <v>33.159999999999997</v>
      </c>
      <c r="F115" s="374" t="s">
        <v>307</v>
      </c>
      <c r="G115" s="375">
        <v>-8.9999999999999998E-4</v>
      </c>
      <c r="H115" s="376">
        <f t="shared" si="4"/>
        <v>-3.5842293906802602E-6</v>
      </c>
      <c r="I115" s="376">
        <f t="shared" si="5"/>
        <v>-5.3764640267707706E-3</v>
      </c>
      <c r="J115" s="374">
        <f t="shared" si="3"/>
        <v>-0.14537557485947872</v>
      </c>
      <c r="L115" s="144" t="s">
        <v>204</v>
      </c>
      <c r="M115" s="145">
        <f>M114-M113*SQRT(M107)</f>
        <v>0.33923857232802701</v>
      </c>
      <c r="U115" s="144">
        <v>40</v>
      </c>
      <c r="V115" s="293">
        <f t="shared" si="10"/>
        <v>14.509188255980071</v>
      </c>
      <c r="W115" s="267">
        <f t="shared" si="11"/>
        <v>-9.5091882559800691</v>
      </c>
    </row>
    <row r="116" spans="1:23" ht="16.5">
      <c r="A116" s="374" t="s">
        <v>308</v>
      </c>
      <c r="B116" s="373">
        <v>33.479999999999997</v>
      </c>
      <c r="C116" s="374">
        <v>33.25</v>
      </c>
      <c r="D116" s="374">
        <v>33.65</v>
      </c>
      <c r="E116" s="374">
        <v>33.15</v>
      </c>
      <c r="F116" s="374" t="s">
        <v>309</v>
      </c>
      <c r="G116" s="375">
        <v>9.7000000000000003E-3</v>
      </c>
      <c r="H116" s="376">
        <f t="shared" si="4"/>
        <v>3.8600723763570597E-5</v>
      </c>
      <c r="I116" s="376">
        <f t="shared" si="5"/>
        <v>-6.4377918154353165E-3</v>
      </c>
      <c r="J116" s="374">
        <f t="shared" si="3"/>
        <v>-0.17516629711751674</v>
      </c>
      <c r="L116" s="144" t="s">
        <v>207</v>
      </c>
      <c r="M116" s="145">
        <f>+_xlfn.NORM.S.DIST(M114,TRUE)</f>
        <v>0.72830890697199802</v>
      </c>
      <c r="U116" s="144">
        <v>41</v>
      </c>
      <c r="V116" s="293">
        <f t="shared" si="10"/>
        <v>15.509188255980071</v>
      </c>
      <c r="W116" s="267">
        <f t="shared" si="11"/>
        <v>-9.5091882559800691</v>
      </c>
    </row>
    <row r="117" spans="1:23" ht="16.5">
      <c r="A117" s="374" t="s">
        <v>310</v>
      </c>
      <c r="B117" s="373">
        <v>33.159999999999997</v>
      </c>
      <c r="C117" s="374">
        <v>33.130000000000003</v>
      </c>
      <c r="D117" s="374">
        <v>33.31</v>
      </c>
      <c r="E117" s="374">
        <v>33.03</v>
      </c>
      <c r="F117" s="374" t="s">
        <v>311</v>
      </c>
      <c r="G117" s="375">
        <v>3.8999999999999998E-3</v>
      </c>
      <c r="H117" s="376">
        <f t="shared" si="4"/>
        <v>1.5743263699666166E-5</v>
      </c>
      <c r="I117" s="376">
        <f t="shared" si="5"/>
        <v>-7.1008518823852821E-3</v>
      </c>
      <c r="J117" s="374">
        <f t="shared" si="3"/>
        <v>-0.18605792832596968</v>
      </c>
      <c r="L117" s="144" t="s">
        <v>210</v>
      </c>
      <c r="M117" s="145">
        <f>+_xlfn.NORM.S.DIST(M115,TRUE)</f>
        <v>0.63278499313401271</v>
      </c>
      <c r="U117" s="144">
        <v>42</v>
      </c>
      <c r="V117" s="293">
        <f t="shared" si="10"/>
        <v>16.509188255980071</v>
      </c>
      <c r="W117" s="267">
        <f t="shared" si="11"/>
        <v>-9.5091882559800691</v>
      </c>
    </row>
    <row r="118" spans="1:23" ht="16.5">
      <c r="A118" s="374" t="s">
        <v>312</v>
      </c>
      <c r="B118" s="373">
        <v>33.03</v>
      </c>
      <c r="C118" s="374">
        <v>33.42</v>
      </c>
      <c r="D118" s="374">
        <v>34.04</v>
      </c>
      <c r="E118" s="374">
        <v>33.03</v>
      </c>
      <c r="F118" s="374" t="s">
        <v>313</v>
      </c>
      <c r="G118" s="375">
        <v>-3.0000000000000001E-3</v>
      </c>
      <c r="H118" s="376">
        <f t="shared" si="4"/>
        <v>-1.2073649260489372E-5</v>
      </c>
      <c r="I118" s="376">
        <f t="shared" si="5"/>
        <v>-7.9410962639760024E-3</v>
      </c>
      <c r="J118" s="374">
        <f t="shared" si="3"/>
        <v>-0.19595910418695228</v>
      </c>
      <c r="L118" s="144" t="s">
        <v>213</v>
      </c>
      <c r="M118" s="145">
        <f>+_xlfn.NORM.S.DIST(-M114,TRUE)</f>
        <v>0.27169109302800198</v>
      </c>
      <c r="U118" s="144">
        <v>43</v>
      </c>
      <c r="V118" s="293">
        <f t="shared" si="10"/>
        <v>17.509188255980071</v>
      </c>
      <c r="W118" s="267">
        <f t="shared" si="11"/>
        <v>-9.5091882559800691</v>
      </c>
    </row>
    <row r="119" spans="1:23" ht="16.5">
      <c r="A119" s="374" t="s">
        <v>314</v>
      </c>
      <c r="B119" s="373">
        <v>33.130000000000003</v>
      </c>
      <c r="C119" s="374">
        <v>32.79</v>
      </c>
      <c r="D119" s="374">
        <v>33.69</v>
      </c>
      <c r="E119" s="374">
        <v>32.72</v>
      </c>
      <c r="F119" s="374" t="s">
        <v>315</v>
      </c>
      <c r="G119" s="375">
        <v>1.8E-3</v>
      </c>
      <c r="H119" s="376">
        <f t="shared" si="4"/>
        <v>7.2573329301484084E-6</v>
      </c>
      <c r="I119" s="376">
        <f t="shared" si="5"/>
        <v>-8.036926418680413E-3</v>
      </c>
      <c r="J119" s="374">
        <f t="shared" si="3"/>
        <v>-0.21659966895247096</v>
      </c>
      <c r="L119" s="144" t="s">
        <v>216</v>
      </c>
      <c r="M119" s="145">
        <f>+_xlfn.NORM.S.DIST(-M115,TRUE)</f>
        <v>0.36721500686598729</v>
      </c>
      <c r="U119" s="144">
        <v>44</v>
      </c>
      <c r="V119" s="293">
        <f t="shared" si="10"/>
        <v>18.509188255980071</v>
      </c>
      <c r="W119" s="267">
        <f t="shared" si="11"/>
        <v>-9.5091882559800691</v>
      </c>
    </row>
    <row r="120" spans="1:23" ht="16.5" thickBot="1">
      <c r="A120" s="374" t="s">
        <v>316</v>
      </c>
      <c r="B120" s="373">
        <v>33.07</v>
      </c>
      <c r="C120" s="374">
        <v>32.47</v>
      </c>
      <c r="D120" s="374">
        <v>33.28</v>
      </c>
      <c r="E120" s="374">
        <v>32.39</v>
      </c>
      <c r="F120" s="374" t="s">
        <v>317</v>
      </c>
      <c r="G120" s="375">
        <v>2.5100000000000001E-2</v>
      </c>
      <c r="H120" s="376">
        <f t="shared" si="4"/>
        <v>1.0043397396156273E-4</v>
      </c>
      <c r="I120" s="376">
        <f t="shared" si="5"/>
        <v>-9.3187282928132477E-3</v>
      </c>
      <c r="J120" s="374">
        <f t="shared" si="3"/>
        <v>-0.20082165297245047</v>
      </c>
      <c r="L120" s="144"/>
      <c r="M120" s="145"/>
      <c r="U120" s="144">
        <v>45</v>
      </c>
      <c r="V120" s="293">
        <f t="shared" si="10"/>
        <v>19.509188255980071</v>
      </c>
      <c r="W120" s="267">
        <f t="shared" si="11"/>
        <v>-9.5091882559800691</v>
      </c>
    </row>
    <row r="121" spans="1:23" ht="17" thickBot="1">
      <c r="A121" s="374" t="s">
        <v>318</v>
      </c>
      <c r="B121" s="373">
        <v>32.26</v>
      </c>
      <c r="C121" s="374">
        <v>34.119999999999997</v>
      </c>
      <c r="D121" s="374">
        <v>34.15</v>
      </c>
      <c r="E121" s="374">
        <v>31.91</v>
      </c>
      <c r="F121" s="374" t="s">
        <v>319</v>
      </c>
      <c r="G121" s="375">
        <v>-8.2199999999999995E-2</v>
      </c>
      <c r="H121" s="376">
        <f t="shared" si="4"/>
        <v>-3.2887624466571854E-4</v>
      </c>
      <c r="I121" s="376">
        <f t="shared" si="5"/>
        <v>-1.1251997868939797E-2</v>
      </c>
      <c r="J121" s="374">
        <f t="shared" si="3"/>
        <v>-0.20931372549019611</v>
      </c>
      <c r="L121" s="305" t="s">
        <v>320</v>
      </c>
      <c r="M121" s="306">
        <f>M110*EXP(-M112*M107)*M116</f>
        <v>25.490811744019929</v>
      </c>
      <c r="U121" s="144">
        <v>46</v>
      </c>
      <c r="V121" s="293">
        <f t="shared" si="10"/>
        <v>20.509188255980071</v>
      </c>
      <c r="W121" s="267">
        <f t="shared" si="11"/>
        <v>-9.5091882559800691</v>
      </c>
    </row>
    <row r="122" spans="1:23" ht="17" thickBot="1">
      <c r="A122" s="374" t="s">
        <v>321</v>
      </c>
      <c r="B122" s="373">
        <v>35.15</v>
      </c>
      <c r="C122" s="374">
        <v>35.15</v>
      </c>
      <c r="D122" s="374">
        <v>35.58</v>
      </c>
      <c r="E122" s="374">
        <v>35.07</v>
      </c>
      <c r="F122" s="374" t="s">
        <v>322</v>
      </c>
      <c r="G122" s="375">
        <v>-1.4E-3</v>
      </c>
      <c r="H122" s="376">
        <f t="shared" si="4"/>
        <v>-5.6818181818187871E-6</v>
      </c>
      <c r="I122" s="376">
        <f t="shared" si="5"/>
        <v>-5.5493778130791685E-3</v>
      </c>
      <c r="J122" s="374">
        <f t="shared" si="3"/>
        <v>-0.14725861232411452</v>
      </c>
      <c r="L122" s="305" t="s">
        <v>323</v>
      </c>
      <c r="M122" s="306">
        <f>M110*EXP(-M112*M107)*M118</f>
        <v>9.5091882559800691</v>
      </c>
      <c r="U122" s="162">
        <v>47</v>
      </c>
      <c r="V122" s="294">
        <f t="shared" si="10"/>
        <v>21.509188255980071</v>
      </c>
      <c r="W122" s="295">
        <f t="shared" si="11"/>
        <v>-9.5091882559800691</v>
      </c>
    </row>
    <row r="123" spans="1:23">
      <c r="A123" s="374" t="s">
        <v>324</v>
      </c>
      <c r="B123" s="373">
        <v>35.200000000000003</v>
      </c>
      <c r="C123" s="374">
        <v>35.76</v>
      </c>
      <c r="D123" s="374">
        <v>35.89</v>
      </c>
      <c r="E123" s="374">
        <v>35.01</v>
      </c>
      <c r="F123" s="374" t="s">
        <v>325</v>
      </c>
      <c r="G123" s="375">
        <v>-1.5100000000000001E-2</v>
      </c>
      <c r="H123" s="376">
        <f t="shared" si="4"/>
        <v>-6.0436485730273937E-5</v>
      </c>
      <c r="I123" s="376">
        <f t="shared" si="5"/>
        <v>-4.6252676659528811E-3</v>
      </c>
      <c r="J123" s="374">
        <f t="shared" si="3"/>
        <v>-0.13279132791327919</v>
      </c>
    </row>
    <row r="124" spans="1:23">
      <c r="A124" s="374" t="s">
        <v>326</v>
      </c>
      <c r="B124" s="373">
        <v>35.74</v>
      </c>
      <c r="C124" s="374">
        <v>36</v>
      </c>
      <c r="D124" s="374">
        <v>36.270000000000003</v>
      </c>
      <c r="E124" s="374">
        <v>35.520000000000003</v>
      </c>
      <c r="F124" s="374" t="s">
        <v>327</v>
      </c>
      <c r="G124" s="375">
        <v>-7.4999999999999997E-3</v>
      </c>
      <c r="H124" s="376">
        <f t="shared" si="4"/>
        <v>-2.9991668980838161E-5</v>
      </c>
      <c r="I124" s="376">
        <f t="shared" si="5"/>
        <v>-3.3458445040214359E-3</v>
      </c>
      <c r="J124" s="374">
        <f t="shared" si="3"/>
        <v>-0.10223561919115798</v>
      </c>
    </row>
    <row r="125" spans="1:23">
      <c r="A125" s="374" t="s">
        <v>328</v>
      </c>
      <c r="B125" s="373">
        <v>36.01</v>
      </c>
      <c r="C125" s="374">
        <v>36.270000000000003</v>
      </c>
      <c r="D125" s="374">
        <v>36.479999999999997</v>
      </c>
      <c r="E125" s="374">
        <v>35.950000000000003</v>
      </c>
      <c r="F125" s="374" t="s">
        <v>329</v>
      </c>
      <c r="G125" s="375">
        <v>-6.8999999999999999E-3</v>
      </c>
      <c r="H125" s="376">
        <f t="shared" si="4"/>
        <v>-2.7578599007170636E-5</v>
      </c>
      <c r="I125" s="376">
        <f t="shared" si="5"/>
        <v>-2.413143011042296E-3</v>
      </c>
      <c r="J125" s="374">
        <f t="shared" si="3"/>
        <v>-0.12127867252318203</v>
      </c>
    </row>
    <row r="126" spans="1:23">
      <c r="A126" s="374" t="s">
        <v>330</v>
      </c>
      <c r="B126" s="373">
        <v>36.26</v>
      </c>
      <c r="C126" s="374">
        <v>36.46</v>
      </c>
      <c r="D126" s="374">
        <v>36.619999999999997</v>
      </c>
      <c r="E126" s="374">
        <v>36.15</v>
      </c>
      <c r="F126" s="374" t="s">
        <v>331</v>
      </c>
      <c r="G126" s="375">
        <v>-2.9999999999999997E-4</v>
      </c>
      <c r="H126" s="376">
        <f t="shared" si="4"/>
        <v>-1.1028398125176865E-6</v>
      </c>
      <c r="I126" s="376">
        <f t="shared" si="5"/>
        <v>-4.4101433296592775E-5</v>
      </c>
      <c r="J126" s="374">
        <f t="shared" si="3"/>
        <v>-0.10777559055118113</v>
      </c>
      <c r="L126" s="1" t="s">
        <v>332</v>
      </c>
    </row>
    <row r="127" spans="1:23">
      <c r="A127" s="374" t="s">
        <v>333</v>
      </c>
      <c r="B127" s="373">
        <v>36.270000000000003</v>
      </c>
      <c r="C127" s="374">
        <v>36.57</v>
      </c>
      <c r="D127" s="374">
        <v>36.590000000000003</v>
      </c>
      <c r="E127" s="374">
        <v>35.840000000000003</v>
      </c>
      <c r="F127" s="374" t="s">
        <v>334</v>
      </c>
      <c r="G127" s="375">
        <v>-1.06E-2</v>
      </c>
      <c r="H127" s="376">
        <f t="shared" si="4"/>
        <v>-4.2553191489361101E-5</v>
      </c>
      <c r="I127" s="376">
        <f t="shared" si="5"/>
        <v>-8.51063829787222E-4</v>
      </c>
      <c r="J127" s="374">
        <f t="shared" si="3"/>
        <v>-9.8658051689860748E-2</v>
      </c>
      <c r="L127" s="1" t="s">
        <v>335</v>
      </c>
    </row>
    <row r="128" spans="1:23">
      <c r="A128" s="374" t="s">
        <v>336</v>
      </c>
      <c r="B128" s="373">
        <v>36.659999999999997</v>
      </c>
      <c r="C128" s="374">
        <v>36</v>
      </c>
      <c r="D128" s="374">
        <v>36.659999999999997</v>
      </c>
      <c r="E128" s="374">
        <v>35.83</v>
      </c>
      <c r="F128" s="374" t="s">
        <v>337</v>
      </c>
      <c r="G128" s="375">
        <v>1.78E-2</v>
      </c>
      <c r="H128" s="376">
        <f t="shared" si="4"/>
        <v>7.107162687395796E-5</v>
      </c>
      <c r="I128" s="376">
        <f t="shared" si="5"/>
        <v>2.4076607387140569E-4</v>
      </c>
      <c r="J128" s="374">
        <f t="shared" si="3"/>
        <v>-7.8199647975861319E-2</v>
      </c>
    </row>
    <row r="129" spans="1:25">
      <c r="A129" s="374" t="s">
        <v>338</v>
      </c>
      <c r="B129" s="373">
        <v>36.020000000000003</v>
      </c>
      <c r="C129" s="374">
        <v>36.130000000000003</v>
      </c>
      <c r="D129" s="374">
        <v>36.31</v>
      </c>
      <c r="E129" s="374">
        <v>35.86</v>
      </c>
      <c r="F129" s="374" t="s">
        <v>339</v>
      </c>
      <c r="G129" s="375">
        <v>-6.3E-3</v>
      </c>
      <c r="H129" s="376">
        <f t="shared" si="4"/>
        <v>-2.5379310344827211E-5</v>
      </c>
      <c r="I129" s="376">
        <f t="shared" si="5"/>
        <v>-1.3107591480065394E-3</v>
      </c>
      <c r="J129" s="374">
        <f t="shared" si="3"/>
        <v>-9.4747423975873213E-2</v>
      </c>
    </row>
    <row r="130" spans="1:25">
      <c r="A130" s="374" t="s">
        <v>340</v>
      </c>
      <c r="B130" s="373">
        <v>36.25</v>
      </c>
      <c r="C130" s="374">
        <v>36.229999999999997</v>
      </c>
      <c r="D130" s="374">
        <v>36.619999999999997</v>
      </c>
      <c r="E130" s="374">
        <v>35.9</v>
      </c>
      <c r="F130" s="374" t="s">
        <v>341</v>
      </c>
      <c r="G130" s="375">
        <v>-1.4E-3</v>
      </c>
      <c r="H130" s="376">
        <f t="shared" si="4"/>
        <v>-5.5096418732780702E-6</v>
      </c>
      <c r="I130" s="376">
        <f t="shared" si="5"/>
        <v>4.4162296439420599E-5</v>
      </c>
      <c r="J130" s="374">
        <f t="shared" ref="J130:J193" si="12">(B130/B380 -1)</f>
        <v>-6.5962380829683087E-2</v>
      </c>
    </row>
    <row r="131" spans="1:25">
      <c r="A131" s="374" t="s">
        <v>342</v>
      </c>
      <c r="B131" s="373">
        <v>36.299999999999997</v>
      </c>
      <c r="C131" s="374">
        <v>36.130000000000003</v>
      </c>
      <c r="D131" s="374">
        <v>36.44</v>
      </c>
      <c r="E131" s="374">
        <v>35.979999999999997</v>
      </c>
      <c r="F131" s="374" t="s">
        <v>343</v>
      </c>
      <c r="G131" s="375">
        <v>4.1000000000000003E-3</v>
      </c>
      <c r="H131" s="376">
        <f t="shared" ref="H131:H194" si="13">(B131/B132 -1)*(1/250)</f>
        <v>1.6597510373443923E-5</v>
      </c>
      <c r="I131" s="376">
        <f t="shared" ref="I131:I194" si="14">(B131/B151 -1)*(20/250)</f>
        <v>2.6533996683250296E-4</v>
      </c>
      <c r="J131" s="374">
        <f t="shared" si="12"/>
        <v>-6.3950489943269795E-2</v>
      </c>
    </row>
    <row r="132" spans="1:25" ht="16.5" thickBot="1">
      <c r="A132" s="374" t="s">
        <v>344</v>
      </c>
      <c r="B132" s="373">
        <v>36.15</v>
      </c>
      <c r="C132" s="374">
        <v>35.799999999999997</v>
      </c>
      <c r="D132" s="374">
        <v>36.33</v>
      </c>
      <c r="E132" s="374">
        <v>35.700000000000003</v>
      </c>
      <c r="F132" s="374" t="s">
        <v>345</v>
      </c>
      <c r="G132" s="375">
        <v>1.29E-2</v>
      </c>
      <c r="H132" s="376">
        <f t="shared" si="13"/>
        <v>5.1555057439058416E-5</v>
      </c>
      <c r="I132" s="376">
        <f t="shared" si="14"/>
        <v>5.7954862078572593E-4</v>
      </c>
      <c r="J132" s="374">
        <f t="shared" si="12"/>
        <v>-5.8103178738926675E-2</v>
      </c>
      <c r="L132" s="62"/>
      <c r="M132" s="62"/>
      <c r="N132" s="62"/>
      <c r="O132" s="62"/>
      <c r="P132" s="62"/>
      <c r="Q132" s="62"/>
      <c r="R132" s="62"/>
      <c r="S132" s="62"/>
      <c r="T132" s="62"/>
      <c r="U132" s="62" t="s">
        <v>346</v>
      </c>
      <c r="V132" s="62"/>
      <c r="W132" s="62"/>
      <c r="X132" s="62"/>
      <c r="Y132" s="62"/>
    </row>
    <row r="133" spans="1:25" ht="16.5" thickBot="1">
      <c r="A133" s="374" t="s">
        <v>347</v>
      </c>
      <c r="B133" s="373">
        <v>35.69</v>
      </c>
      <c r="C133" s="374">
        <v>35.729999999999997</v>
      </c>
      <c r="D133" s="374">
        <v>36.020000000000003</v>
      </c>
      <c r="E133" s="374">
        <v>35.39</v>
      </c>
      <c r="F133" s="374" t="s">
        <v>348</v>
      </c>
      <c r="G133" s="375">
        <v>-1.1900000000000001E-2</v>
      </c>
      <c r="H133" s="376">
        <f t="shared" si="13"/>
        <v>-4.7619047619047451E-5</v>
      </c>
      <c r="I133" s="376">
        <f t="shared" si="14"/>
        <v>1.0905992615734129E-3</v>
      </c>
      <c r="J133" s="374">
        <f t="shared" si="12"/>
        <v>-9.7369752149721878E-2</v>
      </c>
      <c r="L133" s="141" t="s">
        <v>85</v>
      </c>
      <c r="M133" s="138"/>
      <c r="N133" s="62"/>
      <c r="O133" s="62"/>
      <c r="P133" s="62"/>
      <c r="Q133" s="62"/>
      <c r="R133" s="62"/>
      <c r="S133" s="62"/>
      <c r="T133" s="62"/>
      <c r="U133" s="296" t="s">
        <v>178</v>
      </c>
      <c r="V133" s="313" t="s">
        <v>349</v>
      </c>
      <c r="W133" s="62"/>
      <c r="X133" s="62"/>
      <c r="Y133" s="62"/>
    </row>
    <row r="134" spans="1:25" ht="17" thickBot="1">
      <c r="A134" s="374" t="s">
        <v>350</v>
      </c>
      <c r="B134" s="373">
        <v>36.119999999999997</v>
      </c>
      <c r="C134" s="374">
        <v>36.01</v>
      </c>
      <c r="D134" s="374">
        <v>36.19</v>
      </c>
      <c r="E134" s="374">
        <v>35.9</v>
      </c>
      <c r="F134" s="374" t="s">
        <v>351</v>
      </c>
      <c r="G134" s="375">
        <v>7.3000000000000001E-3</v>
      </c>
      <c r="H134" s="376">
        <f t="shared" si="13"/>
        <v>2.9001673173452148E-5</v>
      </c>
      <c r="I134" s="376">
        <f t="shared" si="14"/>
        <v>2.5835953129465495E-3</v>
      </c>
      <c r="J134" s="374">
        <f t="shared" si="12"/>
        <v>-7.9041305456399868E-2</v>
      </c>
      <c r="L134" s="31" t="s">
        <v>352</v>
      </c>
      <c r="M134" s="130">
        <v>2</v>
      </c>
      <c r="N134" s="62"/>
      <c r="O134" s="146" t="s">
        <v>353</v>
      </c>
      <c r="P134" s="147">
        <f>M135*EXP(-M138*M134)*R136-M136*EXP(-M137*M134)*R137</f>
        <v>4.471236171287817</v>
      </c>
      <c r="R134" s="62"/>
      <c r="S134" s="62"/>
      <c r="T134" s="62"/>
      <c r="U134" s="299">
        <v>33</v>
      </c>
      <c r="V134" s="314">
        <f>IF(U134&gt;M$135,U134-M$135,M$135-U134) -P$148</f>
        <v>-2.5581790238832314</v>
      </c>
      <c r="W134" s="62"/>
      <c r="X134" s="62"/>
      <c r="Y134" s="62"/>
    </row>
    <row r="135" spans="1:25" ht="17" thickBot="1">
      <c r="A135" s="374" t="s">
        <v>354</v>
      </c>
      <c r="B135" s="373">
        <v>35.86</v>
      </c>
      <c r="C135" s="374">
        <v>36.47</v>
      </c>
      <c r="D135" s="374">
        <v>36.51</v>
      </c>
      <c r="E135" s="374">
        <v>35.770000000000003</v>
      </c>
      <c r="F135" s="374" t="s">
        <v>355</v>
      </c>
      <c r="G135" s="375">
        <v>-1.5100000000000001E-2</v>
      </c>
      <c r="H135" s="376">
        <f t="shared" si="13"/>
        <v>-6.0422960725075027E-5</v>
      </c>
      <c r="I135" s="376">
        <f t="shared" si="14"/>
        <v>2.5553956834532343E-3</v>
      </c>
      <c r="J135" s="374">
        <f t="shared" si="12"/>
        <v>-0.10484273589615578</v>
      </c>
      <c r="L135" s="31" t="s">
        <v>177</v>
      </c>
      <c r="M135" s="127">
        <f>M46</f>
        <v>34.97</v>
      </c>
      <c r="N135" s="62"/>
      <c r="O135" s="62"/>
      <c r="P135" s="62"/>
      <c r="Q135" s="62"/>
      <c r="R135" s="62"/>
      <c r="S135" s="62"/>
      <c r="T135" s="62"/>
      <c r="U135" s="299">
        <v>34</v>
      </c>
      <c r="V135" s="314">
        <f t="shared" ref="V135:V148" si="15">IF(U135&gt;M$135,U135-M$135,M$135-U135) -P$148</f>
        <v>-3.5581790238832314</v>
      </c>
      <c r="W135" s="62"/>
      <c r="X135" s="62"/>
      <c r="Y135" s="62"/>
    </row>
    <row r="136" spans="1:25" ht="16.5">
      <c r="A136" s="374" t="s">
        <v>356</v>
      </c>
      <c r="B136" s="373">
        <v>36.409999999999997</v>
      </c>
      <c r="C136" s="374">
        <v>36.47</v>
      </c>
      <c r="D136" s="374">
        <v>36.71</v>
      </c>
      <c r="E136" s="374">
        <v>36.33</v>
      </c>
      <c r="F136" s="374" t="s">
        <v>357</v>
      </c>
      <c r="G136" s="375">
        <v>5.0000000000000001E-4</v>
      </c>
      <c r="H136" s="376">
        <f t="shared" si="13"/>
        <v>2.1984061555366809E-6</v>
      </c>
      <c r="I136" s="376">
        <f t="shared" si="14"/>
        <v>5.0700934579439054E-3</v>
      </c>
      <c r="J136" s="374">
        <f t="shared" si="12"/>
        <v>-8.7468671679198029E-2</v>
      </c>
      <c r="L136" s="31" t="s">
        <v>245</v>
      </c>
      <c r="M136" s="127">
        <f>M135</f>
        <v>34.97</v>
      </c>
      <c r="N136" s="62"/>
      <c r="O136" s="141" t="s">
        <v>201</v>
      </c>
      <c r="P136" s="309">
        <f>(LN(M135/M136)+(M137-M138+(M139^2)/2)*M134)/(M139*SQRT(M134))</f>
        <v>2.0413619082355323</v>
      </c>
      <c r="Q136" s="310" t="s">
        <v>207</v>
      </c>
      <c r="R136" s="172">
        <f>+_xlfn.NORM.S.DIST(P136,TRUE)</f>
        <v>0.97939256613353265</v>
      </c>
      <c r="S136" s="62"/>
      <c r="T136" s="62"/>
      <c r="U136" s="299">
        <v>35</v>
      </c>
      <c r="V136" s="314">
        <f t="shared" si="15"/>
        <v>-4.4981790238832291</v>
      </c>
      <c r="W136" s="62"/>
      <c r="X136" s="62"/>
      <c r="Y136" s="62"/>
    </row>
    <row r="137" spans="1:25" ht="17" thickBot="1">
      <c r="A137" s="374" t="s">
        <v>358</v>
      </c>
      <c r="B137" s="373">
        <v>36.39</v>
      </c>
      <c r="C137" s="374">
        <v>36.51</v>
      </c>
      <c r="D137" s="374">
        <v>36.65</v>
      </c>
      <c r="E137" s="374">
        <v>35.99</v>
      </c>
      <c r="F137" s="374" t="s">
        <v>359</v>
      </c>
      <c r="G137" s="375">
        <v>-7.6E-3</v>
      </c>
      <c r="H137" s="376">
        <f t="shared" si="13"/>
        <v>-3.0542677938369511E-5</v>
      </c>
      <c r="I137" s="376">
        <f t="shared" si="14"/>
        <v>3.9688491491202708E-3</v>
      </c>
      <c r="J137" s="374">
        <f t="shared" si="12"/>
        <v>-9.7470238095238138E-2</v>
      </c>
      <c r="L137" s="31" t="s">
        <v>186</v>
      </c>
      <c r="M137" s="128">
        <f>M67</f>
        <v>6.8099999999999994E-2</v>
      </c>
      <c r="N137" s="62"/>
      <c r="O137" s="68" t="s">
        <v>204</v>
      </c>
      <c r="P137" s="311">
        <f>P136-M139*SQRT(M134)</f>
        <v>1.9735142361774374</v>
      </c>
      <c r="Q137" s="312" t="s">
        <v>210</v>
      </c>
      <c r="R137" s="139">
        <f>+_xlfn.NORM.S.DIST(P137,TRUE)</f>
        <v>0.97578149788326884</v>
      </c>
      <c r="S137" s="62"/>
      <c r="T137" s="62"/>
      <c r="U137" s="299">
        <v>36</v>
      </c>
      <c r="V137" s="314">
        <f t="shared" si="15"/>
        <v>-3.4981790238832291</v>
      </c>
      <c r="W137" s="62"/>
      <c r="X137" s="62"/>
      <c r="Y137" s="62"/>
    </row>
    <row r="138" spans="1:25">
      <c r="A138" s="374" t="s">
        <v>360</v>
      </c>
      <c r="B138" s="373">
        <v>36.67</v>
      </c>
      <c r="C138" s="374">
        <v>36.979999999999997</v>
      </c>
      <c r="D138" s="374">
        <v>37.43</v>
      </c>
      <c r="E138" s="374">
        <v>36.67</v>
      </c>
      <c r="F138" s="374" t="s">
        <v>361</v>
      </c>
      <c r="G138" s="375">
        <v>-4.3E-3</v>
      </c>
      <c r="H138" s="376">
        <f t="shared" si="13"/>
        <v>-1.7377138202551823E-5</v>
      </c>
      <c r="I138" s="376">
        <f t="shared" si="14"/>
        <v>3.0342485140107556E-3</v>
      </c>
      <c r="J138" s="374">
        <f t="shared" si="12"/>
        <v>-0.10320371729029099</v>
      </c>
      <c r="L138" s="31" t="s">
        <v>189</v>
      </c>
      <c r="M138" s="128">
        <v>0</v>
      </c>
      <c r="N138" s="62"/>
      <c r="O138" s="62"/>
      <c r="P138" s="62"/>
      <c r="Q138" s="62"/>
      <c r="R138" s="62"/>
      <c r="S138" s="62"/>
      <c r="T138" s="62"/>
      <c r="U138" s="299">
        <v>37</v>
      </c>
      <c r="V138" s="314">
        <f t="shared" si="15"/>
        <v>-2.4981790238832291</v>
      </c>
      <c r="W138" s="62"/>
      <c r="X138" s="62"/>
      <c r="Y138" s="62"/>
    </row>
    <row r="139" spans="1:25">
      <c r="A139" s="374" t="s">
        <v>362</v>
      </c>
      <c r="B139" s="373">
        <v>36.83</v>
      </c>
      <c r="C139" s="374">
        <v>37.58</v>
      </c>
      <c r="D139" s="374">
        <v>37.79</v>
      </c>
      <c r="E139" s="374">
        <v>36.83</v>
      </c>
      <c r="F139" s="374" t="s">
        <v>363</v>
      </c>
      <c r="G139" s="375">
        <v>-1.6E-2</v>
      </c>
      <c r="H139" s="376">
        <f t="shared" si="13"/>
        <v>-6.4119690088164645E-5</v>
      </c>
      <c r="I139" s="376">
        <f t="shared" si="14"/>
        <v>2.9037703995498099E-3</v>
      </c>
      <c r="J139" s="374">
        <f t="shared" si="12"/>
        <v>-9.4418490287681456E-2</v>
      </c>
      <c r="L139" s="31" t="s">
        <v>255</v>
      </c>
      <c r="M139" s="129">
        <f>M50</f>
        <v>4.7975548999999999E-2</v>
      </c>
      <c r="N139" s="62"/>
      <c r="O139" s="62"/>
      <c r="P139" s="62"/>
      <c r="Q139" s="62"/>
      <c r="R139" s="62"/>
      <c r="S139" s="62"/>
      <c r="T139" s="62"/>
      <c r="U139" s="299">
        <v>38</v>
      </c>
      <c r="V139" s="314">
        <f t="shared" si="15"/>
        <v>-1.4981790238832291</v>
      </c>
      <c r="W139" s="62"/>
      <c r="X139" s="62"/>
      <c r="Y139" s="62"/>
    </row>
    <row r="140" spans="1:25">
      <c r="A140" s="374" t="s">
        <v>364</v>
      </c>
      <c r="B140" s="373">
        <v>37.43</v>
      </c>
      <c r="C140" s="374">
        <v>37.44</v>
      </c>
      <c r="D140" s="374">
        <v>37.840000000000003</v>
      </c>
      <c r="E140" s="374">
        <v>37.42</v>
      </c>
      <c r="F140" s="374" t="s">
        <v>365</v>
      </c>
      <c r="G140" s="375">
        <v>-2.8999999999999998E-3</v>
      </c>
      <c r="H140" s="376">
        <f t="shared" si="13"/>
        <v>-1.172083111347888E-5</v>
      </c>
      <c r="I140" s="376">
        <f t="shared" si="14"/>
        <v>2.9014396456256896E-3</v>
      </c>
      <c r="J140" s="374">
        <f t="shared" si="12"/>
        <v>-8.147239263803685E-2</v>
      </c>
      <c r="L140" s="266"/>
      <c r="M140" s="268"/>
      <c r="U140" s="299">
        <v>39</v>
      </c>
      <c r="V140" s="314">
        <f t="shared" si="15"/>
        <v>-0.4981790238832291</v>
      </c>
    </row>
    <row r="141" spans="1:25" ht="16.5" thickBot="1">
      <c r="A141" s="374" t="s">
        <v>366</v>
      </c>
      <c r="B141" s="373">
        <v>37.54</v>
      </c>
      <c r="C141" s="374">
        <v>37.72</v>
      </c>
      <c r="D141" s="374">
        <v>37.799999999999997</v>
      </c>
      <c r="E141" s="374">
        <v>37.46</v>
      </c>
      <c r="F141" s="374" t="s">
        <v>367</v>
      </c>
      <c r="G141" s="375">
        <v>-6.1000000000000004E-3</v>
      </c>
      <c r="H141" s="376">
        <f t="shared" si="13"/>
        <v>-2.4357956049775531E-5</v>
      </c>
      <c r="I141" s="376">
        <f t="shared" si="14"/>
        <v>2.5735496288149663E-3</v>
      </c>
      <c r="J141" s="374">
        <f t="shared" si="12"/>
        <v>-7.4913750616066976E-2</v>
      </c>
      <c r="L141" s="31" t="s">
        <v>86</v>
      </c>
      <c r="M141" s="130"/>
      <c r="N141" s="62"/>
      <c r="O141" s="62"/>
      <c r="P141" s="62"/>
      <c r="Q141" s="62"/>
      <c r="R141" s="62"/>
      <c r="S141" s="62"/>
      <c r="T141" s="62"/>
      <c r="U141" s="299">
        <v>40</v>
      </c>
      <c r="V141" s="314">
        <f t="shared" si="15"/>
        <v>0.5018209761167709</v>
      </c>
      <c r="W141" s="62"/>
      <c r="X141" s="62"/>
    </row>
    <row r="142" spans="1:25" ht="16.5" thickBot="1">
      <c r="A142" s="374" t="s">
        <v>368</v>
      </c>
      <c r="B142" s="373">
        <v>37.770000000000003</v>
      </c>
      <c r="C142" s="374">
        <v>37.299999999999997</v>
      </c>
      <c r="D142" s="374">
        <v>37.9</v>
      </c>
      <c r="E142" s="374">
        <v>37.22</v>
      </c>
      <c r="F142" s="374" t="s">
        <v>369</v>
      </c>
      <c r="G142" s="375">
        <v>1.0999999999999999E-2</v>
      </c>
      <c r="H142" s="376">
        <f t="shared" si="13"/>
        <v>4.3897216274090491E-5</v>
      </c>
      <c r="I142" s="376">
        <f t="shared" si="14"/>
        <v>1.3789388634527278E-3</v>
      </c>
      <c r="J142" s="374">
        <f t="shared" si="12"/>
        <v>-7.3583517292126532E-2</v>
      </c>
      <c r="L142" s="31" t="s">
        <v>370</v>
      </c>
      <c r="M142" s="130">
        <v>1</v>
      </c>
      <c r="N142" s="62"/>
      <c r="O142" s="148" t="s">
        <v>371</v>
      </c>
      <c r="P142" s="147">
        <f>-M143*R144+M144*EXP(-(M145-M146)*(M134-M142))*R145</f>
        <v>5.6942852595413207E-2</v>
      </c>
      <c r="R142" s="62"/>
      <c r="S142" s="62"/>
      <c r="T142" s="62"/>
      <c r="U142" s="299">
        <v>41</v>
      </c>
      <c r="V142" s="314">
        <f t="shared" si="15"/>
        <v>1.5018209761167709</v>
      </c>
      <c r="W142" s="62"/>
      <c r="X142" s="62"/>
    </row>
    <row r="143" spans="1:25" ht="17" thickBot="1">
      <c r="A143" s="374" t="s">
        <v>372</v>
      </c>
      <c r="B143" s="373">
        <v>37.36</v>
      </c>
      <c r="C143" s="374">
        <v>37.24</v>
      </c>
      <c r="D143" s="374">
        <v>37.4</v>
      </c>
      <c r="E143" s="374">
        <v>36.909999999999997</v>
      </c>
      <c r="F143" s="374" t="s">
        <v>373</v>
      </c>
      <c r="G143" s="375">
        <v>1.6000000000000001E-3</v>
      </c>
      <c r="H143" s="376">
        <f t="shared" si="13"/>
        <v>6.4343163538875811E-6</v>
      </c>
      <c r="I143" s="376">
        <f t="shared" si="14"/>
        <v>2.9991668980838605E-3</v>
      </c>
      <c r="J143" s="374">
        <f t="shared" si="12"/>
        <v>-8.4538103406027965E-2</v>
      </c>
      <c r="L143" s="31" t="s">
        <v>177</v>
      </c>
      <c r="M143" s="127">
        <f>M135</f>
        <v>34.97</v>
      </c>
      <c r="N143" s="62"/>
      <c r="O143" s="62"/>
      <c r="P143" s="62"/>
      <c r="Q143" s="62"/>
      <c r="R143" s="62"/>
      <c r="S143" s="62"/>
      <c r="T143" s="62"/>
      <c r="U143" s="299">
        <v>42</v>
      </c>
      <c r="V143" s="314">
        <f t="shared" si="15"/>
        <v>2.5018209761167709</v>
      </c>
      <c r="W143" s="62"/>
      <c r="X143" s="62"/>
    </row>
    <row r="144" spans="1:25" ht="16.5">
      <c r="A144" s="374" t="s">
        <v>374</v>
      </c>
      <c r="B144" s="373">
        <v>37.299999999999997</v>
      </c>
      <c r="C144" s="374">
        <v>37.08</v>
      </c>
      <c r="D144" s="374">
        <v>37.340000000000003</v>
      </c>
      <c r="E144" s="374">
        <v>36.76</v>
      </c>
      <c r="F144" s="374" t="s">
        <v>375</v>
      </c>
      <c r="G144" s="375">
        <v>4.5999999999999999E-3</v>
      </c>
      <c r="H144" s="376">
        <f t="shared" si="13"/>
        <v>1.8314031780231056E-5</v>
      </c>
      <c r="I144" s="376">
        <f t="shared" si="14"/>
        <v>3.2821657828635154E-3</v>
      </c>
      <c r="J144" s="374">
        <f t="shared" si="12"/>
        <v>-8.5111601667893222E-2</v>
      </c>
      <c r="L144" s="31" t="s">
        <v>245</v>
      </c>
      <c r="M144" s="127">
        <f>M136</f>
        <v>34.97</v>
      </c>
      <c r="N144" s="62"/>
      <c r="O144" s="141" t="s">
        <v>376</v>
      </c>
      <c r="P144" s="309">
        <f>(LN(M143/M144)+(M145-M146+(M147^2)/2)*M142)/(M147*SQRT(M142))</f>
        <v>1.4434608481692557</v>
      </c>
      <c r="Q144" s="310" t="s">
        <v>377</v>
      </c>
      <c r="R144" s="172">
        <f>+_xlfn.NORM.S.DIST(-P144,TRUE)</f>
        <v>7.4445346941694232E-2</v>
      </c>
      <c r="S144" s="62"/>
      <c r="T144" s="62"/>
      <c r="U144" s="299">
        <v>43</v>
      </c>
      <c r="V144" s="314">
        <f t="shared" si="15"/>
        <v>3.5018209761167709</v>
      </c>
      <c r="W144" s="62"/>
      <c r="X144" s="62"/>
    </row>
    <row r="145" spans="1:25" ht="17" thickBot="1">
      <c r="A145" s="374" t="s">
        <v>378</v>
      </c>
      <c r="B145" s="373">
        <v>37.130000000000003</v>
      </c>
      <c r="C145" s="374">
        <v>36.369999999999997</v>
      </c>
      <c r="D145" s="374">
        <v>37.15</v>
      </c>
      <c r="E145" s="374">
        <v>36.369999999999997</v>
      </c>
      <c r="F145" s="374" t="s">
        <v>379</v>
      </c>
      <c r="G145" s="375">
        <v>2.3400000000000001E-2</v>
      </c>
      <c r="H145" s="376">
        <f t="shared" si="13"/>
        <v>9.3715545755237002E-5</v>
      </c>
      <c r="I145" s="376">
        <f t="shared" si="14"/>
        <v>6.8792044457443779E-3</v>
      </c>
      <c r="J145" s="374">
        <f t="shared" si="12"/>
        <v>-8.3662388943731458E-2</v>
      </c>
      <c r="L145" s="31" t="s">
        <v>186</v>
      </c>
      <c r="M145" s="128">
        <f>M137</f>
        <v>6.8099999999999994E-2</v>
      </c>
      <c r="N145" s="62"/>
      <c r="O145" s="68" t="s">
        <v>380</v>
      </c>
      <c r="P145" s="311">
        <f>P144-M147*SQRT(M142)</f>
        <v>1.3954852991692557</v>
      </c>
      <c r="Q145" s="312" t="s">
        <v>381</v>
      </c>
      <c r="R145" s="139">
        <f>+_xlfn.NORM.S.DIST(-P145,TRUE)</f>
        <v>8.1434772424488419E-2</v>
      </c>
      <c r="S145" s="62"/>
      <c r="T145" s="62"/>
      <c r="U145" s="299">
        <v>44</v>
      </c>
      <c r="V145" s="314">
        <f t="shared" si="15"/>
        <v>4.5018209761167709</v>
      </c>
      <c r="W145" s="62"/>
      <c r="X145" s="62"/>
    </row>
    <row r="146" spans="1:25">
      <c r="A146" s="374" t="s">
        <v>382</v>
      </c>
      <c r="B146" s="373">
        <v>36.28</v>
      </c>
      <c r="C146" s="374">
        <v>36.6</v>
      </c>
      <c r="D146" s="374">
        <v>36.659999999999997</v>
      </c>
      <c r="E146" s="374">
        <v>36.22</v>
      </c>
      <c r="F146" s="374" t="s">
        <v>383</v>
      </c>
      <c r="G146" s="375">
        <v>-1.04E-2</v>
      </c>
      <c r="H146" s="376">
        <f t="shared" si="13"/>
        <v>-4.146208401527485E-5</v>
      </c>
      <c r="I146" s="376">
        <f t="shared" si="14"/>
        <v>4.4949053857350841E-3</v>
      </c>
      <c r="J146" s="374">
        <f t="shared" si="12"/>
        <v>-0.10220242514229139</v>
      </c>
      <c r="L146" s="31" t="s">
        <v>189</v>
      </c>
      <c r="M146" s="128">
        <v>0</v>
      </c>
      <c r="N146" s="62"/>
      <c r="O146" s="62"/>
      <c r="P146" s="62"/>
      <c r="Q146" s="62"/>
      <c r="R146" s="62"/>
      <c r="S146" s="62"/>
      <c r="T146" s="62"/>
      <c r="U146" s="299">
        <v>45</v>
      </c>
      <c r="V146" s="314">
        <f t="shared" si="15"/>
        <v>5.5018209761167709</v>
      </c>
      <c r="W146" s="62"/>
      <c r="X146" s="62"/>
    </row>
    <row r="147" spans="1:25" ht="16.5" thickBot="1">
      <c r="A147" s="374" t="s">
        <v>384</v>
      </c>
      <c r="B147" s="373">
        <v>36.659999999999997</v>
      </c>
      <c r="C147" s="374">
        <v>36.9</v>
      </c>
      <c r="D147" s="374">
        <v>37.07</v>
      </c>
      <c r="E147" s="374">
        <v>36.659999999999997</v>
      </c>
      <c r="F147" s="374" t="s">
        <v>385</v>
      </c>
      <c r="G147" s="375">
        <v>3.0000000000000001E-3</v>
      </c>
      <c r="H147" s="376">
        <f t="shared" si="13"/>
        <v>1.2038303693570285E-5</v>
      </c>
      <c r="I147" s="376">
        <f t="shared" si="14"/>
        <v>6.0058651026392877E-3</v>
      </c>
      <c r="J147" s="374">
        <f t="shared" si="12"/>
        <v>-8.6696562032885005E-2</v>
      </c>
      <c r="L147" s="68" t="s">
        <v>255</v>
      </c>
      <c r="M147" s="152">
        <f>M139</f>
        <v>4.7975548999999999E-2</v>
      </c>
      <c r="N147" s="62"/>
      <c r="O147" s="62"/>
      <c r="P147" s="62"/>
      <c r="Q147" s="62"/>
      <c r="R147" s="62"/>
      <c r="S147" s="62"/>
      <c r="T147" s="62"/>
      <c r="U147" s="299">
        <v>46</v>
      </c>
      <c r="V147" s="314">
        <f t="shared" si="15"/>
        <v>6.5018209761167709</v>
      </c>
      <c r="W147" s="62"/>
      <c r="X147" s="62"/>
    </row>
    <row r="148" spans="1:25" ht="17" thickBot="1">
      <c r="A148" s="374" t="s">
        <v>386</v>
      </c>
      <c r="B148" s="373">
        <v>36.549999999999997</v>
      </c>
      <c r="C148" s="374">
        <v>36.67</v>
      </c>
      <c r="D148" s="374">
        <v>36.83</v>
      </c>
      <c r="E148" s="374">
        <v>36.32</v>
      </c>
      <c r="F148" s="374" t="s">
        <v>387</v>
      </c>
      <c r="G148" s="375">
        <v>-1.9E-3</v>
      </c>
      <c r="H148" s="376">
        <f t="shared" si="13"/>
        <v>-7.6460950300383252E-6</v>
      </c>
      <c r="I148" s="376">
        <f t="shared" si="14"/>
        <v>5.4970760233917912E-3</v>
      </c>
      <c r="J148" s="374">
        <f t="shared" si="12"/>
        <v>-9.3726754277212998E-2</v>
      </c>
      <c r="M148" s="62"/>
      <c r="N148" s="305"/>
      <c r="O148" s="307" t="s">
        <v>388</v>
      </c>
      <c r="P148" s="308">
        <f>P134+EXP(-M146*(M134-M142))*P142</f>
        <v>4.5281790238832302</v>
      </c>
      <c r="R148" s="62"/>
      <c r="S148" s="62"/>
      <c r="T148" s="62"/>
      <c r="U148" s="302">
        <v>47</v>
      </c>
      <c r="V148" s="315">
        <f t="shared" si="15"/>
        <v>7.5018209761167709</v>
      </c>
      <c r="W148" s="62"/>
      <c r="X148" s="62"/>
    </row>
    <row r="149" spans="1:25">
      <c r="A149" s="374" t="s">
        <v>389</v>
      </c>
      <c r="B149" s="373">
        <v>36.619999999999997</v>
      </c>
      <c r="C149" s="374">
        <v>36.01</v>
      </c>
      <c r="D149" s="374">
        <v>36.76</v>
      </c>
      <c r="E149" s="374">
        <v>36.01</v>
      </c>
      <c r="F149" s="374" t="s">
        <v>390</v>
      </c>
      <c r="G149" s="375">
        <v>1.0800000000000001E-2</v>
      </c>
      <c r="H149" s="376">
        <f t="shared" si="13"/>
        <v>4.3058239028429313E-5</v>
      </c>
      <c r="I149" s="376">
        <f t="shared" si="14"/>
        <v>5.9120234604105454E-3</v>
      </c>
      <c r="J149" s="374">
        <f t="shared" si="12"/>
        <v>-8.2895066366140857E-2</v>
      </c>
      <c r="M149" s="62"/>
      <c r="N149" s="62"/>
      <c r="O149" s="62"/>
      <c r="P149" s="62"/>
      <c r="Q149" s="62"/>
      <c r="R149" s="62"/>
      <c r="S149" s="62"/>
      <c r="T149" s="62"/>
      <c r="U149" s="62"/>
      <c r="V149" s="62"/>
      <c r="W149" s="62"/>
      <c r="X149" s="62"/>
    </row>
    <row r="150" spans="1:25">
      <c r="A150" s="374" t="s">
        <v>391</v>
      </c>
      <c r="B150" s="373">
        <v>36.229999999999997</v>
      </c>
      <c r="C150" s="374">
        <v>36.340000000000003</v>
      </c>
      <c r="D150" s="374">
        <v>36.53</v>
      </c>
      <c r="E150" s="374">
        <v>36.130000000000003</v>
      </c>
      <c r="F150" s="374" t="s">
        <v>392</v>
      </c>
      <c r="G150" s="375">
        <v>1.4E-3</v>
      </c>
      <c r="H150" s="376">
        <f t="shared" si="13"/>
        <v>5.5279159756764787E-6</v>
      </c>
      <c r="I150" s="376">
        <f t="shared" si="14"/>
        <v>3.7445824906096447E-3</v>
      </c>
      <c r="J150" s="374">
        <f t="shared" si="12"/>
        <v>-8.9240824534942309E-2</v>
      </c>
      <c r="M150" s="62"/>
      <c r="N150" s="62"/>
      <c r="O150" s="62"/>
      <c r="P150" s="62"/>
      <c r="Q150" s="62"/>
      <c r="R150" s="62"/>
      <c r="S150" s="62"/>
      <c r="T150" s="62"/>
      <c r="U150" s="62"/>
      <c r="V150" s="62"/>
      <c r="W150" s="62"/>
      <c r="X150" s="62"/>
    </row>
    <row r="151" spans="1:25">
      <c r="A151" s="374" t="s">
        <v>393</v>
      </c>
      <c r="B151" s="373">
        <v>36.18</v>
      </c>
      <c r="C151" s="374">
        <v>36.11</v>
      </c>
      <c r="D151" s="374">
        <v>36.35</v>
      </c>
      <c r="E151" s="374">
        <v>36.04</v>
      </c>
      <c r="F151" s="374" t="s">
        <v>394</v>
      </c>
      <c r="G151" s="375">
        <v>8.0999999999999996E-3</v>
      </c>
      <c r="H151" s="376">
        <f t="shared" si="13"/>
        <v>3.2320980774589001E-5</v>
      </c>
      <c r="I151" s="376">
        <f t="shared" si="14"/>
        <v>4.3356643356643335E-3</v>
      </c>
      <c r="J151" s="374">
        <f t="shared" si="12"/>
        <v>-7.373271889400923E-2</v>
      </c>
    </row>
    <row r="152" spans="1:25">
      <c r="A152" s="374" t="s">
        <v>395</v>
      </c>
      <c r="B152" s="373">
        <v>35.89</v>
      </c>
      <c r="C152" s="374">
        <v>35.47</v>
      </c>
      <c r="D152" s="374">
        <v>36.08</v>
      </c>
      <c r="E152" s="374">
        <v>35.44</v>
      </c>
      <c r="F152" s="374" t="s">
        <v>396</v>
      </c>
      <c r="G152" s="375">
        <v>1.9300000000000001E-2</v>
      </c>
      <c r="H152" s="376">
        <f t="shared" si="13"/>
        <v>7.7250781028117107E-5</v>
      </c>
      <c r="I152" s="376">
        <f t="shared" si="14"/>
        <v>2.2929206076239693E-3</v>
      </c>
      <c r="J152" s="374">
        <f t="shared" si="12"/>
        <v>-7.3088842975206569E-2</v>
      </c>
    </row>
    <row r="153" spans="1:25">
      <c r="A153" s="374" t="s">
        <v>397</v>
      </c>
      <c r="B153" s="373">
        <v>35.21</v>
      </c>
      <c r="C153" s="374">
        <v>35.18</v>
      </c>
      <c r="D153" s="374">
        <v>35.79</v>
      </c>
      <c r="E153" s="374">
        <v>34.81</v>
      </c>
      <c r="F153" s="374" t="s">
        <v>398</v>
      </c>
      <c r="G153" s="375">
        <v>6.3E-3</v>
      </c>
      <c r="H153" s="376">
        <f t="shared" si="13"/>
        <v>2.515004286939071E-5</v>
      </c>
      <c r="I153" s="376">
        <f t="shared" si="14"/>
        <v>1.0823258491652332E-3</v>
      </c>
      <c r="J153" s="374">
        <f t="shared" si="12"/>
        <v>-8.4503380135205419E-2</v>
      </c>
    </row>
    <row r="154" spans="1:25">
      <c r="A154" s="374" t="s">
        <v>399</v>
      </c>
      <c r="B154" s="373">
        <v>34.99</v>
      </c>
      <c r="C154" s="374">
        <v>34.950000000000003</v>
      </c>
      <c r="D154" s="374">
        <v>35.35</v>
      </c>
      <c r="E154" s="374">
        <v>34.86</v>
      </c>
      <c r="F154" s="374" t="s">
        <v>400</v>
      </c>
      <c r="G154" s="375">
        <v>6.8999999999999999E-3</v>
      </c>
      <c r="H154" s="376">
        <f t="shared" si="13"/>
        <v>2.7625899280575794E-5</v>
      </c>
      <c r="I154" s="376">
        <f t="shared" si="14"/>
        <v>2.1843805049911857E-3</v>
      </c>
      <c r="J154" s="374">
        <f t="shared" si="12"/>
        <v>-9.53981385729058E-2</v>
      </c>
      <c r="L154" s="1" t="s">
        <v>401</v>
      </c>
    </row>
    <row r="155" spans="1:25" ht="16.5" thickBot="1">
      <c r="A155" s="374" t="s">
        <v>402</v>
      </c>
      <c r="B155" s="373">
        <v>34.75</v>
      </c>
      <c r="C155" s="374">
        <v>34.380000000000003</v>
      </c>
      <c r="D155" s="374">
        <v>34.94</v>
      </c>
      <c r="E155" s="374">
        <v>34.270000000000003</v>
      </c>
      <c r="F155" s="374" t="s">
        <v>403</v>
      </c>
      <c r="G155" s="375">
        <v>1.49E-2</v>
      </c>
      <c r="H155" s="376">
        <f t="shared" si="13"/>
        <v>5.957943925233611E-5</v>
      </c>
      <c r="I155" s="376">
        <f t="shared" si="14"/>
        <v>1.7166372721928269E-3</v>
      </c>
      <c r="J155" s="374">
        <f t="shared" si="12"/>
        <v>-0.1034571723426212</v>
      </c>
    </row>
    <row r="156" spans="1:25">
      <c r="A156" s="374" t="s">
        <v>404</v>
      </c>
      <c r="B156" s="373">
        <v>34.24</v>
      </c>
      <c r="C156" s="374">
        <v>34.72</v>
      </c>
      <c r="D156" s="374">
        <v>34.9</v>
      </c>
      <c r="E156" s="374">
        <v>34.200000000000003</v>
      </c>
      <c r="F156" s="374" t="s">
        <v>405</v>
      </c>
      <c r="G156" s="375">
        <v>-1.24E-2</v>
      </c>
      <c r="H156" s="376">
        <f t="shared" si="13"/>
        <v>-4.9610614364003601E-5</v>
      </c>
      <c r="I156" s="376">
        <f t="shared" si="14"/>
        <v>1.3301662707838524E-3</v>
      </c>
      <c r="J156" s="374">
        <f t="shared" si="12"/>
        <v>-0.11820757146536176</v>
      </c>
      <c r="L156" s="1" t="s">
        <v>406</v>
      </c>
      <c r="W156" s="37" t="s">
        <v>178</v>
      </c>
      <c r="X156" s="39" t="s">
        <v>407</v>
      </c>
      <c r="Y156" s="298" t="s">
        <v>408</v>
      </c>
    </row>
    <row r="157" spans="1:25">
      <c r="A157" s="374" t="s">
        <v>409</v>
      </c>
      <c r="B157" s="373">
        <v>34.67</v>
      </c>
      <c r="C157" s="374">
        <v>35.119999999999997</v>
      </c>
      <c r="D157" s="374">
        <v>35.119999999999997</v>
      </c>
      <c r="E157" s="374">
        <v>34.64</v>
      </c>
      <c r="F157" s="374" t="s">
        <v>410</v>
      </c>
      <c r="G157" s="375">
        <v>-1.8700000000000001E-2</v>
      </c>
      <c r="H157" s="376">
        <f t="shared" si="13"/>
        <v>-7.4724030568921402E-5</v>
      </c>
      <c r="I157" s="376">
        <f t="shared" si="14"/>
        <v>2.4004753416518201E-3</v>
      </c>
      <c r="J157" s="374">
        <f t="shared" si="12"/>
        <v>-9.7370476438427334E-2</v>
      </c>
      <c r="L157" s="1" t="s">
        <v>411</v>
      </c>
      <c r="W157" s="323">
        <v>25</v>
      </c>
      <c r="X157" s="324">
        <f>IF(W157&gt;M$162,MAX(W157-M$161,0),0) -M$185</f>
        <v>-0.16400804262493907</v>
      </c>
      <c r="Y157" s="301">
        <f>IF(W157&lt;M$162,MAX(W157-M$161,0),0)-M$187</f>
        <v>-2.1951129945014181</v>
      </c>
    </row>
    <row r="158" spans="1:25" ht="16.5" thickBot="1">
      <c r="A158" s="374" t="s">
        <v>412</v>
      </c>
      <c r="B158" s="373">
        <v>35.33</v>
      </c>
      <c r="C158" s="374">
        <v>35.270000000000003</v>
      </c>
      <c r="D158" s="374">
        <v>35.549999999999997</v>
      </c>
      <c r="E158" s="374">
        <v>35.159999999999997</v>
      </c>
      <c r="F158" s="374" t="s">
        <v>413</v>
      </c>
      <c r="G158" s="375">
        <v>-5.8999999999999999E-3</v>
      </c>
      <c r="H158" s="376">
        <f t="shared" si="13"/>
        <v>-2.3635340461451993E-5</v>
      </c>
      <c r="I158" s="376">
        <f t="shared" si="14"/>
        <v>2.5708442886357118E-3</v>
      </c>
      <c r="J158" s="374">
        <f t="shared" si="12"/>
        <v>-9.0604890604890631E-2</v>
      </c>
      <c r="W158" s="323">
        <v>26</v>
      </c>
      <c r="X158" s="324">
        <f t="shared" ref="X158:X176" si="16">IF(W158&gt;M$162,MAX(W158-M$161,0),0) -M$185</f>
        <v>-0.16400804262493907</v>
      </c>
      <c r="Y158" s="301">
        <f t="shared" ref="Y158:Y176" si="17">IF(W158&lt;M$162,MAX(W158-M$161,0),0)-M$187</f>
        <v>-2.1951129945014181</v>
      </c>
    </row>
    <row r="159" spans="1:25">
      <c r="A159" s="374" t="s">
        <v>414</v>
      </c>
      <c r="B159" s="373">
        <v>35.54</v>
      </c>
      <c r="C159" s="374">
        <v>36.1</v>
      </c>
      <c r="D159" s="374">
        <v>36.200000000000003</v>
      </c>
      <c r="E159" s="374">
        <v>35.54</v>
      </c>
      <c r="F159" s="374" t="s">
        <v>415</v>
      </c>
      <c r="G159" s="375">
        <v>-1.61E-2</v>
      </c>
      <c r="H159" s="376">
        <f t="shared" si="13"/>
        <v>-6.4230343300110344E-5</v>
      </c>
      <c r="I159" s="376">
        <f t="shared" si="14"/>
        <v>3.2806092560046809E-3</v>
      </c>
      <c r="J159" s="374">
        <f t="shared" si="12"/>
        <v>-0.10927318295739352</v>
      </c>
      <c r="L159" s="480" t="s">
        <v>416</v>
      </c>
      <c r="M159" s="481"/>
      <c r="N159" s="62"/>
      <c r="O159" s="62"/>
      <c r="P159" s="62"/>
      <c r="Q159" s="62"/>
      <c r="R159" s="62"/>
      <c r="S159" s="62"/>
      <c r="T159" s="62"/>
      <c r="U159" s="62"/>
      <c r="W159" s="323">
        <v>27</v>
      </c>
      <c r="X159" s="324">
        <f t="shared" si="16"/>
        <v>-0.16400804262493907</v>
      </c>
      <c r="Y159" s="301">
        <f t="shared" si="17"/>
        <v>-2.1951129945014181</v>
      </c>
    </row>
    <row r="160" spans="1:25">
      <c r="A160" s="374" t="s">
        <v>417</v>
      </c>
      <c r="B160" s="373">
        <v>36.119999999999997</v>
      </c>
      <c r="C160" s="374">
        <v>36.380000000000003</v>
      </c>
      <c r="D160" s="374">
        <v>36.450000000000003</v>
      </c>
      <c r="E160" s="374">
        <v>35.9</v>
      </c>
      <c r="F160" s="374" t="s">
        <v>418</v>
      </c>
      <c r="G160" s="375">
        <v>-6.8999999999999999E-3</v>
      </c>
      <c r="H160" s="376">
        <f t="shared" si="13"/>
        <v>-2.7495188342040233E-5</v>
      </c>
      <c r="I160" s="376">
        <f t="shared" si="14"/>
        <v>5.7448071216617078E-3</v>
      </c>
      <c r="J160" s="374">
        <f t="shared" si="12"/>
        <v>-0.10682492581602376</v>
      </c>
      <c r="L160" s="41" t="s">
        <v>192</v>
      </c>
      <c r="M160" s="130">
        <v>1</v>
      </c>
      <c r="N160" s="62"/>
      <c r="O160" s="62"/>
      <c r="P160" s="62"/>
      <c r="Q160" s="62"/>
      <c r="R160" s="62"/>
      <c r="S160" s="62"/>
      <c r="T160" s="62"/>
      <c r="U160" s="62"/>
      <c r="W160" s="323">
        <v>28</v>
      </c>
      <c r="X160" s="324">
        <f t="shared" si="16"/>
        <v>-0.16400804262493907</v>
      </c>
      <c r="Y160" s="301">
        <f t="shared" si="17"/>
        <v>-2.1951129945014181</v>
      </c>
    </row>
    <row r="161" spans="1:25">
      <c r="A161" s="374" t="s">
        <v>419</v>
      </c>
      <c r="B161" s="373">
        <v>36.369999999999997</v>
      </c>
      <c r="C161" s="374">
        <v>37.840000000000003</v>
      </c>
      <c r="D161" s="374">
        <v>38</v>
      </c>
      <c r="E161" s="374">
        <v>36.229999999999997</v>
      </c>
      <c r="F161" s="374" t="s">
        <v>420</v>
      </c>
      <c r="G161" s="375">
        <v>-2.0500000000000001E-2</v>
      </c>
      <c r="H161" s="376">
        <f t="shared" si="13"/>
        <v>-8.1874495017506541E-5</v>
      </c>
      <c r="I161" s="376">
        <f t="shared" si="14"/>
        <v>6.3639062036212482E-3</v>
      </c>
      <c r="J161" s="374">
        <f t="shared" si="12"/>
        <v>-0.12000967819985486</v>
      </c>
      <c r="L161" s="41" t="s">
        <v>245</v>
      </c>
      <c r="M161" s="127">
        <f>B11</f>
        <v>34.97</v>
      </c>
      <c r="N161" s="62"/>
      <c r="O161" s="62"/>
      <c r="P161" s="62"/>
      <c r="Q161" s="62"/>
      <c r="R161" s="62"/>
      <c r="S161" s="62"/>
      <c r="T161" s="62"/>
      <c r="U161" s="62"/>
      <c r="W161" s="323">
        <v>29</v>
      </c>
      <c r="X161" s="324">
        <f t="shared" si="16"/>
        <v>-0.16400804262493907</v>
      </c>
      <c r="Y161" s="301">
        <f t="shared" si="17"/>
        <v>-2.1951129945014181</v>
      </c>
    </row>
    <row r="162" spans="1:25">
      <c r="A162" s="374" t="s">
        <v>421</v>
      </c>
      <c r="B162" s="373">
        <v>37.130000000000003</v>
      </c>
      <c r="C162" s="374">
        <v>35.659999999999997</v>
      </c>
      <c r="D162" s="374">
        <v>37.130000000000003</v>
      </c>
      <c r="E162" s="374">
        <v>35.33</v>
      </c>
      <c r="F162" s="374" t="s">
        <v>422</v>
      </c>
      <c r="G162" s="375">
        <v>3.1099999999999999E-2</v>
      </c>
      <c r="H162" s="376">
        <f t="shared" si="13"/>
        <v>1.2440988614273874E-4</v>
      </c>
      <c r="I162" s="376">
        <f t="shared" si="14"/>
        <v>6.8792044457443779E-3</v>
      </c>
      <c r="J162" s="374">
        <f t="shared" si="12"/>
        <v>-0.10314009661835744</v>
      </c>
      <c r="L162" s="41" t="s">
        <v>423</v>
      </c>
      <c r="M162" s="150">
        <v>34</v>
      </c>
      <c r="N162" s="62"/>
      <c r="O162" s="62"/>
      <c r="P162" s="62"/>
      <c r="Q162" s="62"/>
      <c r="R162" s="62"/>
      <c r="S162" s="62"/>
      <c r="T162" s="62"/>
      <c r="U162" s="62"/>
      <c r="W162" s="323">
        <v>30</v>
      </c>
      <c r="X162" s="324">
        <f t="shared" si="16"/>
        <v>-0.16400804262493907</v>
      </c>
      <c r="Y162" s="301">
        <f t="shared" si="17"/>
        <v>-2.1951129945014181</v>
      </c>
    </row>
    <row r="163" spans="1:25">
      <c r="A163" s="374" t="s">
        <v>424</v>
      </c>
      <c r="B163" s="373">
        <v>36.01</v>
      </c>
      <c r="C163" s="374">
        <v>36.479999999999997</v>
      </c>
      <c r="D163" s="374">
        <v>36.5</v>
      </c>
      <c r="E163" s="374">
        <v>35.81</v>
      </c>
      <c r="F163" s="374" t="s">
        <v>425</v>
      </c>
      <c r="G163" s="375">
        <v>5.0000000000000001E-3</v>
      </c>
      <c r="H163" s="376">
        <f t="shared" si="13"/>
        <v>2.0094892548144119E-5</v>
      </c>
      <c r="I163" s="376">
        <f t="shared" si="14"/>
        <v>7.1649016641452332E-3</v>
      </c>
      <c r="J163" s="374">
        <f t="shared" si="12"/>
        <v>-0.13145200192957074</v>
      </c>
      <c r="L163" s="41" t="s">
        <v>426</v>
      </c>
      <c r="M163" s="130"/>
      <c r="N163" s="62"/>
      <c r="O163" s="62"/>
      <c r="P163" s="62"/>
      <c r="Q163" s="62"/>
      <c r="R163" s="62"/>
      <c r="S163" s="62"/>
      <c r="T163" s="62"/>
      <c r="U163" s="62"/>
      <c r="W163" s="323">
        <v>31</v>
      </c>
      <c r="X163" s="324">
        <f t="shared" si="16"/>
        <v>-0.16400804262493907</v>
      </c>
      <c r="Y163" s="301">
        <f t="shared" si="17"/>
        <v>-2.1951129945014181</v>
      </c>
    </row>
    <row r="164" spans="1:25" ht="16.5">
      <c r="A164" s="374" t="s">
        <v>427</v>
      </c>
      <c r="B164" s="373">
        <v>35.83</v>
      </c>
      <c r="C164" s="374">
        <v>35.5</v>
      </c>
      <c r="D164" s="374">
        <v>36.270000000000003</v>
      </c>
      <c r="E164" s="374">
        <v>35.450000000000003</v>
      </c>
      <c r="F164" s="374" t="s">
        <v>428</v>
      </c>
      <c r="G164" s="375">
        <v>4.8000000000000001E-2</v>
      </c>
      <c r="H164" s="376">
        <f t="shared" si="13"/>
        <v>1.9186896753436677E-4</v>
      </c>
      <c r="I164" s="376">
        <f t="shared" si="14"/>
        <v>5.5897282770976274E-3</v>
      </c>
      <c r="J164" s="374">
        <f t="shared" si="12"/>
        <v>-0.13495895702559157</v>
      </c>
      <c r="L164" s="41" t="s">
        <v>429</v>
      </c>
      <c r="M164" s="127">
        <f>M161</f>
        <v>34.97</v>
      </c>
      <c r="N164" s="62"/>
      <c r="O164" s="62"/>
      <c r="P164" s="62"/>
      <c r="Q164" s="62"/>
      <c r="R164" s="62"/>
      <c r="S164" s="62"/>
      <c r="T164" s="62"/>
      <c r="U164" s="62"/>
      <c r="W164" s="323">
        <v>32</v>
      </c>
      <c r="X164" s="324">
        <f t="shared" si="16"/>
        <v>-0.16400804262493907</v>
      </c>
      <c r="Y164" s="301">
        <f t="shared" si="17"/>
        <v>-2.1951129945014181</v>
      </c>
    </row>
    <row r="165" spans="1:25">
      <c r="A165" s="374" t="s">
        <v>430</v>
      </c>
      <c r="B165" s="373">
        <v>34.19</v>
      </c>
      <c r="C165" s="374">
        <v>34.25</v>
      </c>
      <c r="D165" s="374">
        <v>34.32</v>
      </c>
      <c r="E165" s="374">
        <v>33.950000000000003</v>
      </c>
      <c r="F165" s="374" t="s">
        <v>431</v>
      </c>
      <c r="G165" s="375">
        <v>-4.7000000000000002E-3</v>
      </c>
      <c r="H165" s="376">
        <f t="shared" si="13"/>
        <v>-1.8631732168850503E-5</v>
      </c>
      <c r="I165" s="376">
        <f t="shared" si="14"/>
        <v>1.2596553773024334E-3</v>
      </c>
      <c r="J165" s="374">
        <f t="shared" si="12"/>
        <v>-0.17534973468403292</v>
      </c>
      <c r="L165" s="41" t="s">
        <v>186</v>
      </c>
      <c r="M165" s="129">
        <f>M49</f>
        <v>6.8099999999999994E-2</v>
      </c>
      <c r="N165" s="62"/>
      <c r="O165" s="62"/>
      <c r="P165" s="62"/>
      <c r="Q165" s="62"/>
      <c r="R165" s="62"/>
      <c r="S165" s="62"/>
      <c r="T165" s="62"/>
      <c r="U165" s="62"/>
      <c r="W165" s="323">
        <v>33</v>
      </c>
      <c r="X165" s="324">
        <f t="shared" si="16"/>
        <v>-0.16400804262493907</v>
      </c>
      <c r="Y165" s="301">
        <f t="shared" si="17"/>
        <v>-2.1951129945014181</v>
      </c>
    </row>
    <row r="166" spans="1:25" ht="16.5" thickBot="1">
      <c r="A166" s="374" t="s">
        <v>432</v>
      </c>
      <c r="B166" s="373">
        <v>34.35</v>
      </c>
      <c r="C166" s="374">
        <v>33.950000000000003</v>
      </c>
      <c r="D166" s="374">
        <v>34.35</v>
      </c>
      <c r="E166" s="374">
        <v>33.86</v>
      </c>
      <c r="F166" s="374" t="s">
        <v>433</v>
      </c>
      <c r="G166" s="375">
        <v>7.3000000000000001E-3</v>
      </c>
      <c r="H166" s="376">
        <f t="shared" si="13"/>
        <v>2.9325513196480915E-5</v>
      </c>
      <c r="I166" s="376">
        <f t="shared" si="14"/>
        <v>2.9710144927536319E-3</v>
      </c>
      <c r="J166" s="374">
        <f t="shared" si="12"/>
        <v>-0.16646445037612223</v>
      </c>
      <c r="L166" s="151" t="s">
        <v>183</v>
      </c>
      <c r="M166" s="152">
        <f>M147</f>
        <v>4.7975548999999999E-2</v>
      </c>
      <c r="N166" s="62"/>
      <c r="O166" s="62"/>
      <c r="P166" s="62"/>
      <c r="Q166" s="62"/>
      <c r="R166" s="62"/>
      <c r="S166" s="62"/>
      <c r="T166" s="62"/>
      <c r="U166" s="62"/>
      <c r="W166" s="323">
        <v>34</v>
      </c>
      <c r="X166" s="324">
        <f t="shared" si="16"/>
        <v>-0.16400804262493907</v>
      </c>
      <c r="Y166" s="301">
        <f t="shared" si="17"/>
        <v>-2.1951129945014181</v>
      </c>
    </row>
    <row r="167" spans="1:25" ht="16.5" thickBot="1">
      <c r="A167" s="374" t="s">
        <v>434</v>
      </c>
      <c r="B167" s="373">
        <v>34.1</v>
      </c>
      <c r="C167" s="374">
        <v>34.299999999999997</v>
      </c>
      <c r="D167" s="374">
        <v>34.43</v>
      </c>
      <c r="E167" s="374">
        <v>34.08</v>
      </c>
      <c r="F167" s="374" t="s">
        <v>435</v>
      </c>
      <c r="G167" s="375">
        <v>-2.8999999999999998E-3</v>
      </c>
      <c r="H167" s="376">
        <f t="shared" si="13"/>
        <v>-1.1695906432748871E-5</v>
      </c>
      <c r="I167" s="376">
        <f t="shared" si="14"/>
        <v>2.0697954271961549E-3</v>
      </c>
      <c r="J167" s="374">
        <f t="shared" si="12"/>
        <v>-0.1775205016883743</v>
      </c>
      <c r="L167" s="62"/>
      <c r="M167" s="62"/>
      <c r="N167" s="62"/>
      <c r="O167" s="62"/>
      <c r="P167" s="62"/>
      <c r="Q167" s="62"/>
      <c r="R167" s="62"/>
      <c r="S167" s="62"/>
      <c r="T167" s="62"/>
      <c r="U167" s="62"/>
      <c r="W167" s="323">
        <v>35</v>
      </c>
      <c r="X167" s="324">
        <f t="shared" si="16"/>
        <v>-0.13400804262493793</v>
      </c>
      <c r="Y167" s="301">
        <f t="shared" si="17"/>
        <v>-2.1951129945014181</v>
      </c>
    </row>
    <row r="168" spans="1:25" ht="17" thickBot="1">
      <c r="A168" s="374" t="s">
        <v>436</v>
      </c>
      <c r="B168" s="373">
        <v>34.200000000000003</v>
      </c>
      <c r="C168" s="374">
        <v>34.31</v>
      </c>
      <c r="D168" s="374">
        <v>34.49</v>
      </c>
      <c r="E168" s="374">
        <v>33.979999999999997</v>
      </c>
      <c r="F168" s="374" t="s">
        <v>437</v>
      </c>
      <c r="G168" s="375">
        <v>2.8999999999999998E-3</v>
      </c>
      <c r="H168" s="376">
        <f t="shared" si="13"/>
        <v>1.1730205278592366E-5</v>
      </c>
      <c r="I168" s="376">
        <f t="shared" si="14"/>
        <v>2.8588734100545034E-3</v>
      </c>
      <c r="J168" s="374">
        <f t="shared" si="12"/>
        <v>-0.19906323185011709</v>
      </c>
      <c r="L168" s="153" t="s">
        <v>438</v>
      </c>
      <c r="M168" s="154" t="s">
        <v>439</v>
      </c>
      <c r="N168" s="62"/>
      <c r="O168" s="62"/>
      <c r="P168" s="62"/>
      <c r="Q168" s="62"/>
      <c r="R168" s="62"/>
      <c r="S168" s="62"/>
      <c r="T168" s="62"/>
      <c r="U168" s="62"/>
      <c r="W168" s="323">
        <v>36</v>
      </c>
      <c r="X168" s="324">
        <f t="shared" si="16"/>
        <v>0.86599195737506207</v>
      </c>
      <c r="Y168" s="301">
        <f t="shared" si="17"/>
        <v>-2.1951129945014181</v>
      </c>
    </row>
    <row r="169" spans="1:25">
      <c r="A169" s="374" t="s">
        <v>440</v>
      </c>
      <c r="B169" s="373">
        <v>34.1</v>
      </c>
      <c r="C169" s="374">
        <v>34.159999999999997</v>
      </c>
      <c r="D169" s="374">
        <v>34.46</v>
      </c>
      <c r="E169" s="374">
        <v>33.93</v>
      </c>
      <c r="F169" s="374" t="s">
        <v>441</v>
      </c>
      <c r="G169" s="375">
        <v>-1.47E-2</v>
      </c>
      <c r="H169" s="376">
        <f t="shared" si="13"/>
        <v>-5.894250216700359E-5</v>
      </c>
      <c r="I169" s="376">
        <f t="shared" si="14"/>
        <v>2.2926093514328903E-3</v>
      </c>
      <c r="J169" s="374">
        <f t="shared" si="12"/>
        <v>-0.19821302609922409</v>
      </c>
      <c r="L169" s="62"/>
      <c r="M169" s="62"/>
      <c r="N169" s="62"/>
      <c r="O169" s="62"/>
      <c r="P169" s="62"/>
      <c r="Q169" s="62"/>
      <c r="R169" s="62"/>
      <c r="S169" s="62"/>
      <c r="T169" s="62"/>
      <c r="U169" s="62"/>
      <c r="W169" s="323">
        <v>37</v>
      </c>
      <c r="X169" s="324">
        <f t="shared" si="16"/>
        <v>1.8659919573750621</v>
      </c>
      <c r="Y169" s="301">
        <f t="shared" si="17"/>
        <v>-2.1951129945014181</v>
      </c>
    </row>
    <row r="170" spans="1:25">
      <c r="A170" s="374" t="s">
        <v>442</v>
      </c>
      <c r="B170" s="373">
        <v>34.61</v>
      </c>
      <c r="C170" s="374">
        <v>34.479999999999997</v>
      </c>
      <c r="D170" s="374">
        <v>34.770000000000003</v>
      </c>
      <c r="E170" s="374">
        <v>34.479999999999997</v>
      </c>
      <c r="F170" s="374" t="s">
        <v>443</v>
      </c>
      <c r="G170" s="375">
        <v>8.3999999999999995E-3</v>
      </c>
      <c r="H170" s="376">
        <f t="shared" si="13"/>
        <v>3.37995337995336E-5</v>
      </c>
      <c r="I170" s="376">
        <f t="shared" si="14"/>
        <v>3.3222991272946166E-3</v>
      </c>
      <c r="J170" s="374">
        <f t="shared" si="12"/>
        <v>-0.19995376791493291</v>
      </c>
      <c r="L170" s="62"/>
      <c r="M170" s="62"/>
      <c r="N170" s="62"/>
      <c r="O170" s="62"/>
      <c r="P170" s="62"/>
      <c r="Q170" s="62"/>
      <c r="R170" s="62"/>
      <c r="S170" s="62"/>
      <c r="T170" s="62"/>
      <c r="U170" s="62"/>
      <c r="W170" s="323">
        <v>38</v>
      </c>
      <c r="X170" s="324">
        <f t="shared" si="16"/>
        <v>2.8659919573750621</v>
      </c>
      <c r="Y170" s="301">
        <f t="shared" si="17"/>
        <v>-2.1951129945014181</v>
      </c>
    </row>
    <row r="171" spans="1:25">
      <c r="A171" s="374" t="s">
        <v>444</v>
      </c>
      <c r="B171" s="373">
        <v>34.32</v>
      </c>
      <c r="C171" s="374">
        <v>34.229999999999997</v>
      </c>
      <c r="D171" s="374">
        <v>34.700000000000003</v>
      </c>
      <c r="E171" s="374">
        <v>34.21</v>
      </c>
      <c r="F171" s="374" t="s">
        <v>445</v>
      </c>
      <c r="G171" s="375">
        <v>-1.6299999999999999E-2</v>
      </c>
      <c r="H171" s="376">
        <f t="shared" si="13"/>
        <v>-6.5348237317282903E-5</v>
      </c>
      <c r="I171" s="376">
        <f t="shared" si="14"/>
        <v>1.447641649362197E-3</v>
      </c>
      <c r="J171" s="374">
        <f t="shared" si="12"/>
        <v>-0.19925338310779284</v>
      </c>
      <c r="L171" s="62"/>
      <c r="M171" s="62"/>
      <c r="N171" s="62"/>
      <c r="O171" s="62"/>
      <c r="P171" s="62"/>
      <c r="Q171" s="62"/>
      <c r="R171" s="62"/>
      <c r="S171" s="62"/>
      <c r="T171" s="62"/>
      <c r="U171" s="62"/>
      <c r="W171" s="323">
        <v>39</v>
      </c>
      <c r="X171" s="324">
        <f t="shared" si="16"/>
        <v>3.8659919573750621</v>
      </c>
      <c r="Y171" s="301">
        <f t="shared" si="17"/>
        <v>-2.1951129945014181</v>
      </c>
    </row>
    <row r="172" spans="1:25">
      <c r="A172" s="374" t="s">
        <v>446</v>
      </c>
      <c r="B172" s="373">
        <v>34.89</v>
      </c>
      <c r="C172" s="374">
        <v>34.68</v>
      </c>
      <c r="D172" s="374">
        <v>34.909999999999997</v>
      </c>
      <c r="E172" s="374">
        <v>34.369999999999997</v>
      </c>
      <c r="F172" s="374" t="s">
        <v>447</v>
      </c>
      <c r="G172" s="375">
        <v>4.3E-3</v>
      </c>
      <c r="H172" s="376">
        <f t="shared" si="13"/>
        <v>1.7271157167529694E-5</v>
      </c>
      <c r="I172" s="376">
        <f t="shared" si="14"/>
        <v>2.4335499113998793E-3</v>
      </c>
      <c r="J172" s="374">
        <f t="shared" si="12"/>
        <v>-0.1887933038828179</v>
      </c>
      <c r="L172" s="62"/>
      <c r="M172" s="62"/>
      <c r="N172" s="62"/>
      <c r="O172" s="62"/>
      <c r="P172" s="62"/>
      <c r="Q172" s="62"/>
      <c r="R172" s="62"/>
      <c r="S172" s="62"/>
      <c r="T172" s="62"/>
      <c r="U172" s="62"/>
      <c r="W172" s="323">
        <v>40</v>
      </c>
      <c r="X172" s="324">
        <f t="shared" si="16"/>
        <v>4.8659919573750621</v>
      </c>
      <c r="Y172" s="301">
        <f t="shared" si="17"/>
        <v>-2.1951129945014181</v>
      </c>
    </row>
    <row r="173" spans="1:25" ht="16.5" thickBot="1">
      <c r="A173" s="374" t="s">
        <v>448</v>
      </c>
      <c r="B173" s="373">
        <v>34.74</v>
      </c>
      <c r="C173" s="374">
        <v>34.21</v>
      </c>
      <c r="D173" s="374">
        <v>34.74</v>
      </c>
      <c r="E173" s="374">
        <v>34.14</v>
      </c>
      <c r="F173" s="374" t="s">
        <v>449</v>
      </c>
      <c r="G173" s="375">
        <v>0.02</v>
      </c>
      <c r="H173" s="376">
        <f t="shared" si="13"/>
        <v>7.9859072225484161E-5</v>
      </c>
      <c r="I173" s="376">
        <f t="shared" si="14"/>
        <v>9.3185789167151258E-4</v>
      </c>
      <c r="J173" s="374">
        <f t="shared" si="12"/>
        <v>-0.19972356599861774</v>
      </c>
      <c r="L173" s="62"/>
      <c r="M173" s="62"/>
      <c r="N173" s="62"/>
      <c r="O173" s="62"/>
      <c r="P173" s="62"/>
      <c r="Q173" s="62"/>
      <c r="R173" s="62"/>
      <c r="S173" s="62"/>
      <c r="T173" s="62"/>
      <c r="U173" s="62"/>
      <c r="W173" s="323">
        <v>41</v>
      </c>
      <c r="X173" s="324">
        <f t="shared" si="16"/>
        <v>5.8659919573750621</v>
      </c>
      <c r="Y173" s="301">
        <f t="shared" si="17"/>
        <v>-2.1951129945014181</v>
      </c>
    </row>
    <row r="174" spans="1:25">
      <c r="A174" s="374" t="s">
        <v>450</v>
      </c>
      <c r="B174" s="373">
        <v>34.06</v>
      </c>
      <c r="C174" s="374">
        <v>34.119999999999997</v>
      </c>
      <c r="D174" s="374">
        <v>34.479999999999997</v>
      </c>
      <c r="E174" s="374">
        <v>33.869999999999997</v>
      </c>
      <c r="F174" s="374" t="s">
        <v>451</v>
      </c>
      <c r="G174" s="375">
        <v>1.1999999999999999E-3</v>
      </c>
      <c r="H174" s="376">
        <f t="shared" si="13"/>
        <v>4.7031158142267769E-6</v>
      </c>
      <c r="I174" s="376">
        <f t="shared" si="14"/>
        <v>-1.1574074074074047E-3</v>
      </c>
      <c r="J174" s="374">
        <f t="shared" si="12"/>
        <v>-0.21629084215370453</v>
      </c>
      <c r="L174" s="155" t="s">
        <v>452</v>
      </c>
      <c r="M174" s="137"/>
      <c r="N174" s="137"/>
      <c r="O174" s="138"/>
      <c r="P174" s="62"/>
      <c r="Q174" s="62"/>
      <c r="R174" s="62"/>
      <c r="S174" s="62"/>
      <c r="T174" s="62"/>
      <c r="U174" s="62"/>
      <c r="W174" s="323">
        <v>42</v>
      </c>
      <c r="X174" s="324">
        <f t="shared" si="16"/>
        <v>6.8659919573750621</v>
      </c>
      <c r="Y174" s="301">
        <f t="shared" si="17"/>
        <v>-2.1951129945014181</v>
      </c>
    </row>
    <row r="175" spans="1:25" ht="16.5">
      <c r="A175" s="374" t="s">
        <v>453</v>
      </c>
      <c r="B175" s="373">
        <v>34.020000000000003</v>
      </c>
      <c r="C175" s="374">
        <v>33.69</v>
      </c>
      <c r="D175" s="374">
        <v>34.33</v>
      </c>
      <c r="E175" s="374">
        <v>33.57</v>
      </c>
      <c r="F175" s="374" t="s">
        <v>454</v>
      </c>
      <c r="G175" s="375">
        <v>1.01E-2</v>
      </c>
      <c r="H175" s="376">
        <f t="shared" si="13"/>
        <v>4.0380047505938598E-5</v>
      </c>
      <c r="I175" s="376">
        <f t="shared" si="14"/>
        <v>-1.6580310880828985E-3</v>
      </c>
      <c r="J175" s="374">
        <f t="shared" si="12"/>
        <v>-0.21341040462427741</v>
      </c>
      <c r="L175" s="41" t="s">
        <v>201</v>
      </c>
      <c r="M175" s="156">
        <f>(LN(M164/M161)+(M165+(M166^2)/2)*M160)/(M166*SQRT(M160))</f>
        <v>1.4434608481692557</v>
      </c>
      <c r="N175" s="157" t="s">
        <v>207</v>
      </c>
      <c r="O175" s="133">
        <f>_xlfn.NORM.S.DIST(M175,TRUE)</f>
        <v>0.92555465305830575</v>
      </c>
      <c r="P175" s="62"/>
      <c r="Q175" s="62" t="str">
        <f ca="1">_xlfn.FORMULATEXT(M175)</f>
        <v>=(LN(M164/M161)+(M165+(M166^2)/2)*M160)/(M166*SQRT(M160))</v>
      </c>
      <c r="R175" s="62"/>
      <c r="S175" s="62"/>
      <c r="T175" s="62"/>
      <c r="U175" s="62"/>
      <c r="W175" s="323">
        <v>43</v>
      </c>
      <c r="X175" s="324">
        <f t="shared" si="16"/>
        <v>7.8659919573750621</v>
      </c>
      <c r="Y175" s="301">
        <f t="shared" si="17"/>
        <v>-2.1951129945014181</v>
      </c>
    </row>
    <row r="176" spans="1:25" ht="17" thickBot="1">
      <c r="A176" s="374" t="s">
        <v>455</v>
      </c>
      <c r="B176" s="373">
        <v>33.68</v>
      </c>
      <c r="C176" s="374">
        <v>33.67</v>
      </c>
      <c r="D176" s="374">
        <v>33.83</v>
      </c>
      <c r="E176" s="374">
        <v>33.49</v>
      </c>
      <c r="F176" s="374" t="s">
        <v>456</v>
      </c>
      <c r="G176" s="375">
        <v>5.9999999999999995E-4</v>
      </c>
      <c r="H176" s="376">
        <f t="shared" si="13"/>
        <v>2.3767082590619995E-6</v>
      </c>
      <c r="I176" s="376">
        <f t="shared" si="14"/>
        <v>-1.4689594870300304E-3</v>
      </c>
      <c r="J176" s="374">
        <f t="shared" si="12"/>
        <v>-0.21253214870236148</v>
      </c>
      <c r="L176" s="41" t="s">
        <v>204</v>
      </c>
      <c r="M176" s="156">
        <f>M175-M166*SQRT(M160)</f>
        <v>1.3954852991692557</v>
      </c>
      <c r="N176" s="157" t="s">
        <v>210</v>
      </c>
      <c r="O176" s="133">
        <f>_xlfn.NORM.S.DIST(M176,TRUE)</f>
        <v>0.91856522757551162</v>
      </c>
      <c r="P176" s="62"/>
      <c r="Q176" s="62" t="str">
        <f ca="1">_xlfn.FORMULATEXT(M176)</f>
        <v>=M175-M166*SQRT(M160)</v>
      </c>
      <c r="R176" s="62"/>
      <c r="S176" s="62"/>
      <c r="T176" s="62"/>
      <c r="U176" s="62"/>
      <c r="W176" s="325">
        <v>44</v>
      </c>
      <c r="X176" s="326">
        <f t="shared" si="16"/>
        <v>8.8659919573750621</v>
      </c>
      <c r="Y176" s="304">
        <f t="shared" si="17"/>
        <v>-2.1951129945014181</v>
      </c>
    </row>
    <row r="177" spans="1:21">
      <c r="A177" s="374" t="s">
        <v>457</v>
      </c>
      <c r="B177" s="373">
        <v>33.659999999999997</v>
      </c>
      <c r="C177" s="374">
        <v>34</v>
      </c>
      <c r="D177" s="374">
        <v>34.11</v>
      </c>
      <c r="E177" s="374">
        <v>33.659999999999997</v>
      </c>
      <c r="F177" s="374" t="s">
        <v>458</v>
      </c>
      <c r="G177" s="375">
        <v>-1.67E-2</v>
      </c>
      <c r="H177" s="376">
        <f t="shared" si="13"/>
        <v>-6.6608238387379616E-5</v>
      </c>
      <c r="I177" s="376">
        <f t="shared" si="14"/>
        <v>-9.3951849677042175E-4</v>
      </c>
      <c r="J177" s="374">
        <f t="shared" si="12"/>
        <v>-0.21115537848605592</v>
      </c>
      <c r="L177" s="144"/>
      <c r="M177" s="62"/>
      <c r="N177" s="62"/>
      <c r="O177" s="130"/>
      <c r="P177" s="62"/>
      <c r="Q177" s="62"/>
      <c r="R177" s="62"/>
      <c r="S177" s="62"/>
      <c r="T177" s="62"/>
      <c r="U177" s="62"/>
    </row>
    <row r="178" spans="1:21" ht="16.5" thickBot="1">
      <c r="A178" s="374" t="s">
        <v>459</v>
      </c>
      <c r="B178" s="373">
        <v>34.229999999999997</v>
      </c>
      <c r="C178" s="374">
        <v>34.5</v>
      </c>
      <c r="D178" s="374">
        <v>34.590000000000003</v>
      </c>
      <c r="E178" s="374">
        <v>34.090000000000003</v>
      </c>
      <c r="F178" s="374" t="s">
        <v>460</v>
      </c>
      <c r="G178" s="375">
        <v>2.5999999999999999E-3</v>
      </c>
      <c r="H178" s="376">
        <f t="shared" si="13"/>
        <v>1.0544815465729052E-5</v>
      </c>
      <c r="I178" s="376">
        <f t="shared" si="14"/>
        <v>-5.8004640371229327E-4</v>
      </c>
      <c r="J178" s="374">
        <f t="shared" si="12"/>
        <v>-0.20060719290051388</v>
      </c>
      <c r="L178" s="59" t="s">
        <v>461</v>
      </c>
      <c r="M178" s="158">
        <f>M164*O175-M161*EXP(-M165*M160)*O176</f>
        <v>2.3591210371263571</v>
      </c>
      <c r="N178" s="159"/>
      <c r="O178" s="160"/>
      <c r="P178" s="62"/>
      <c r="Q178" s="62" t="str">
        <f ca="1">_xlfn.FORMULATEXT(M178)</f>
        <v>=M164*O175-M161*EXP(-M165*M160)*O176</v>
      </c>
      <c r="R178" s="62"/>
      <c r="S178" s="62"/>
      <c r="T178" s="62"/>
      <c r="U178" s="62"/>
    </row>
    <row r="179" spans="1:21" ht="16.5" thickBot="1">
      <c r="A179" s="374" t="s">
        <v>462</v>
      </c>
      <c r="B179" s="373">
        <v>34.14</v>
      </c>
      <c r="C179" s="374">
        <v>33.99</v>
      </c>
      <c r="D179" s="374">
        <v>34.5</v>
      </c>
      <c r="E179" s="374">
        <v>33.76</v>
      </c>
      <c r="F179" s="374" t="s">
        <v>463</v>
      </c>
      <c r="G179" s="375">
        <v>1.3100000000000001E-2</v>
      </c>
      <c r="H179" s="376">
        <f t="shared" si="13"/>
        <v>5.2225519287833148E-5</v>
      </c>
      <c r="I179" s="376">
        <f t="shared" si="14"/>
        <v>-4.1958041958041649E-4</v>
      </c>
      <c r="J179" s="374">
        <f t="shared" si="12"/>
        <v>-0.2027090144792153</v>
      </c>
      <c r="L179" s="62"/>
      <c r="M179" s="62"/>
      <c r="N179" s="62"/>
      <c r="O179" s="62"/>
      <c r="P179" s="62"/>
      <c r="Q179" s="62"/>
      <c r="R179" s="62"/>
      <c r="S179" s="62"/>
      <c r="T179" s="62"/>
      <c r="U179" s="62"/>
    </row>
    <row r="180" spans="1:21" ht="16.5">
      <c r="A180" s="374" t="s">
        <v>464</v>
      </c>
      <c r="B180" s="373">
        <v>33.700000000000003</v>
      </c>
      <c r="C180" s="374">
        <v>33.549999999999997</v>
      </c>
      <c r="D180" s="374">
        <v>33.71</v>
      </c>
      <c r="E180" s="374">
        <v>33.15</v>
      </c>
      <c r="F180" s="374" t="s">
        <v>465</v>
      </c>
      <c r="G180" s="375">
        <v>2.9999999999999997E-4</v>
      </c>
      <c r="H180" s="376">
        <f t="shared" si="13"/>
        <v>1.1872959335121892E-6</v>
      </c>
      <c r="I180" s="376">
        <f t="shared" si="14"/>
        <v>-1.650682941005508E-3</v>
      </c>
      <c r="J180" s="374">
        <f t="shared" si="12"/>
        <v>-0.21463528315078062</v>
      </c>
      <c r="L180" s="155" t="s">
        <v>466</v>
      </c>
      <c r="M180" s="137"/>
      <c r="N180" s="137"/>
      <c r="O180" s="138"/>
      <c r="P180" s="62"/>
      <c r="Q180" s="62"/>
      <c r="R180" s="62"/>
      <c r="S180" s="62"/>
      <c r="T180" s="62"/>
      <c r="U180" s="62"/>
    </row>
    <row r="181" spans="1:21">
      <c r="A181" s="374" t="s">
        <v>467</v>
      </c>
      <c r="B181" s="373">
        <v>33.69</v>
      </c>
      <c r="C181" s="374">
        <v>34.26</v>
      </c>
      <c r="D181" s="374">
        <v>34.299999999999997</v>
      </c>
      <c r="E181" s="374">
        <v>33.67</v>
      </c>
      <c r="F181" s="374" t="s">
        <v>468</v>
      </c>
      <c r="G181" s="375">
        <v>-1.46E-2</v>
      </c>
      <c r="H181" s="376">
        <f t="shared" si="13"/>
        <v>-5.8496636443404526E-5</v>
      </c>
      <c r="I181" s="376">
        <f t="shared" si="14"/>
        <v>-1.7875798026697699E-3</v>
      </c>
      <c r="J181" s="374">
        <f t="shared" si="12"/>
        <v>-0.21082220660576245</v>
      </c>
      <c r="L181" s="144"/>
      <c r="M181" s="62"/>
      <c r="N181" s="62"/>
      <c r="O181" s="130"/>
      <c r="P181" s="62"/>
      <c r="Q181" s="62"/>
      <c r="R181" s="62"/>
      <c r="S181" s="62"/>
      <c r="T181" s="62"/>
      <c r="U181" s="62"/>
    </row>
    <row r="182" spans="1:21">
      <c r="A182" s="374" t="s">
        <v>469</v>
      </c>
      <c r="B182" s="373">
        <v>34.19</v>
      </c>
      <c r="C182" s="374">
        <v>33.33</v>
      </c>
      <c r="D182" s="374">
        <v>34.36</v>
      </c>
      <c r="E182" s="374">
        <v>33.24</v>
      </c>
      <c r="F182" s="374" t="s">
        <v>470</v>
      </c>
      <c r="G182" s="375">
        <v>3.4500000000000003E-2</v>
      </c>
      <c r="H182" s="376">
        <f t="shared" si="13"/>
        <v>1.3797276853252694E-4</v>
      </c>
      <c r="I182" s="376">
        <f t="shared" si="14"/>
        <v>-2.0740740740740815E-3</v>
      </c>
      <c r="J182" s="374">
        <f t="shared" si="12"/>
        <v>-0.1903859815297182</v>
      </c>
      <c r="L182" s="56" t="s">
        <v>471</v>
      </c>
      <c r="M182" s="156">
        <f>( M165+ (M166^2)/2 ) / M166^2</f>
        <v>30.087427413686413</v>
      </c>
      <c r="N182" s="157" t="s">
        <v>472</v>
      </c>
      <c r="O182" s="133">
        <f>_xlfn.NORM.S.DIST(M183,TRUE)</f>
        <v>0.60671951431155491</v>
      </c>
      <c r="P182" s="62"/>
      <c r="Q182" s="62" t="str">
        <f ca="1">_xlfn.FORMULATEXT(M182)</f>
        <v>=( M165+ (M166^2)/2 ) / M166^2</v>
      </c>
      <c r="R182" s="62"/>
      <c r="S182" s="62"/>
      <c r="T182" s="62"/>
      <c r="U182" s="62"/>
    </row>
    <row r="183" spans="1:21">
      <c r="A183" s="374" t="s">
        <v>473</v>
      </c>
      <c r="B183" s="373">
        <v>33.049999999999997</v>
      </c>
      <c r="C183" s="374">
        <v>33.659999999999997</v>
      </c>
      <c r="D183" s="374">
        <v>33.659999999999997</v>
      </c>
      <c r="E183" s="374">
        <v>32.979999999999997</v>
      </c>
      <c r="F183" s="374" t="s">
        <v>474</v>
      </c>
      <c r="G183" s="375">
        <v>-1.3100000000000001E-2</v>
      </c>
      <c r="H183" s="376">
        <f t="shared" si="13"/>
        <v>-5.2553000895790179E-5</v>
      </c>
      <c r="I183" s="376">
        <f t="shared" si="14"/>
        <v>-5.4581336340569567E-3</v>
      </c>
      <c r="J183" s="374">
        <f t="shared" si="12"/>
        <v>-0.21922986061894645</v>
      </c>
      <c r="L183" s="41" t="s">
        <v>475</v>
      </c>
      <c r="M183" s="156">
        <f>(LN( (M162^2) / (M164*M161) ) / (M166*SQRT(M160)) )+ ( M182*M166*SQRT(M160) )</f>
        <v>0.2707790531522547</v>
      </c>
      <c r="N183" s="157" t="s">
        <v>476</v>
      </c>
      <c r="O183" s="133">
        <f>_xlfn.NORM.S.DIST(M183-M166*SQRT(M160),TRUE)</f>
        <v>0.58815577967994348</v>
      </c>
      <c r="P183" s="62"/>
      <c r="Q183" s="62" t="str">
        <f ca="1">_xlfn.FORMULATEXT(M183)</f>
        <v>=(LN( (M162^2) / (M164*M161) ) / (M166*SQRT(M160)) )+ ( M182*M166*SQRT(M160) )</v>
      </c>
      <c r="R183" s="62"/>
      <c r="S183" s="62"/>
      <c r="T183" s="62"/>
      <c r="U183" s="62"/>
    </row>
    <row r="184" spans="1:21">
      <c r="A184" s="374" t="s">
        <v>477</v>
      </c>
      <c r="B184" s="373">
        <v>33.49</v>
      </c>
      <c r="C184" s="374">
        <v>33.799999999999997</v>
      </c>
      <c r="D184" s="374">
        <v>33.85</v>
      </c>
      <c r="E184" s="374">
        <v>33.31</v>
      </c>
      <c r="F184" s="374" t="s">
        <v>478</v>
      </c>
      <c r="G184" s="375">
        <v>-5.1000000000000004E-3</v>
      </c>
      <c r="H184" s="376">
        <f t="shared" si="13"/>
        <v>-2.0202020202019444E-5</v>
      </c>
      <c r="I184" s="376">
        <f t="shared" si="14"/>
        <v>-4.1878890775325405E-3</v>
      </c>
      <c r="J184" s="374">
        <f t="shared" si="12"/>
        <v>-0.20658611703387819</v>
      </c>
      <c r="L184" s="144"/>
      <c r="M184" s="62"/>
      <c r="N184" s="62"/>
      <c r="O184" s="130"/>
      <c r="P184" s="62"/>
      <c r="Q184" s="62"/>
      <c r="R184" s="62"/>
      <c r="S184" s="62"/>
      <c r="T184" s="62"/>
      <c r="U184" s="62"/>
    </row>
    <row r="185" spans="1:21" ht="17" thickBot="1">
      <c r="A185" s="374" t="s">
        <v>479</v>
      </c>
      <c r="B185" s="373">
        <v>33.659999999999997</v>
      </c>
      <c r="C185" s="374">
        <v>33.549999999999997</v>
      </c>
      <c r="D185" s="374">
        <v>33.979999999999997</v>
      </c>
      <c r="E185" s="374">
        <v>33.54</v>
      </c>
      <c r="F185" s="374" t="s">
        <v>480</v>
      </c>
      <c r="G185" s="375">
        <v>1.6299999999999999E-2</v>
      </c>
      <c r="H185" s="376">
        <f t="shared" si="13"/>
        <v>6.5217391304347671E-5</v>
      </c>
      <c r="I185" s="376">
        <f t="shared" si="14"/>
        <v>-3.2820512820512971E-3</v>
      </c>
      <c r="J185" s="374">
        <f t="shared" si="12"/>
        <v>-0.19473684210526321</v>
      </c>
      <c r="L185" s="161" t="s">
        <v>481</v>
      </c>
      <c r="M185" s="158">
        <f>M164*((M162/M164)^(2*M182))*O182 - M161*(EXP(-M165*M160))*(M162/M164)^(2*M182-2)*O183</f>
        <v>0.16400804262493907</v>
      </c>
      <c r="N185" s="159"/>
      <c r="O185" s="160"/>
      <c r="P185" s="62"/>
      <c r="Q185" s="62" t="str">
        <f ca="1">_xlfn.FORMULATEXT(M185)</f>
        <v>=M164*((M162/M164)^(2*M182))*O182 - M161*(EXP(-M165*M160))*(M162/M164)^(2*M182-2)*O183</v>
      </c>
      <c r="R185" s="62"/>
      <c r="S185" s="62"/>
      <c r="T185" s="62"/>
      <c r="U185" s="62"/>
    </row>
    <row r="186" spans="1:21" ht="16.5" thickBot="1">
      <c r="A186" s="374" t="s">
        <v>482</v>
      </c>
      <c r="B186" s="373">
        <v>33.119999999999997</v>
      </c>
      <c r="C186" s="374">
        <v>33.06</v>
      </c>
      <c r="D186" s="374">
        <v>33.22</v>
      </c>
      <c r="E186" s="374">
        <v>32.86</v>
      </c>
      <c r="F186" s="374" t="s">
        <v>483</v>
      </c>
      <c r="G186" s="375">
        <v>-3.5999999999999999E-3</v>
      </c>
      <c r="H186" s="376">
        <f t="shared" si="13"/>
        <v>-1.444043321299704E-5</v>
      </c>
      <c r="I186" s="376">
        <f t="shared" si="14"/>
        <v>-4.9192405780674429E-3</v>
      </c>
      <c r="J186" s="374">
        <f t="shared" si="12"/>
        <v>-0.21535181236673784</v>
      </c>
      <c r="L186" s="62"/>
      <c r="M186" s="62"/>
      <c r="N186" s="62"/>
      <c r="O186" s="62"/>
      <c r="P186" s="62"/>
      <c r="Q186" s="62"/>
      <c r="R186" s="62"/>
      <c r="S186" s="62"/>
      <c r="T186" s="62"/>
      <c r="U186" s="62"/>
    </row>
    <row r="187" spans="1:21" ht="17" thickBot="1">
      <c r="A187" s="374" t="s">
        <v>484</v>
      </c>
      <c r="B187" s="373">
        <v>33.24</v>
      </c>
      <c r="C187" s="374">
        <v>33.11</v>
      </c>
      <c r="D187" s="374">
        <v>33.68</v>
      </c>
      <c r="E187" s="374">
        <v>33.1</v>
      </c>
      <c r="F187" s="374" t="s">
        <v>485</v>
      </c>
      <c r="G187" s="375">
        <v>6.7000000000000002E-3</v>
      </c>
      <c r="H187" s="376">
        <f t="shared" si="13"/>
        <v>2.6650514839491101E-5</v>
      </c>
      <c r="I187" s="376">
        <f t="shared" si="14"/>
        <v>-7.1052631578947256E-3</v>
      </c>
      <c r="J187" s="374">
        <f t="shared" si="12"/>
        <v>-0.22154566744730675</v>
      </c>
      <c r="L187" s="316" t="s">
        <v>438</v>
      </c>
      <c r="M187" s="308">
        <f>M178-M185</f>
        <v>2.1951129945014181</v>
      </c>
      <c r="N187" s="62"/>
      <c r="O187" s="76">
        <f>M187/M178</f>
        <v>0.93047917421620852</v>
      </c>
      <c r="P187" s="62"/>
      <c r="Q187" s="62" t="str">
        <f ca="1">_xlfn.FORMULATEXT(M187)</f>
        <v>=M178-M185</v>
      </c>
      <c r="R187" s="62"/>
      <c r="S187" s="62"/>
      <c r="T187" s="62"/>
      <c r="U187" s="62"/>
    </row>
    <row r="188" spans="1:21">
      <c r="A188" s="374" t="s">
        <v>486</v>
      </c>
      <c r="B188" s="373">
        <v>33.020000000000003</v>
      </c>
      <c r="C188" s="374">
        <v>32.840000000000003</v>
      </c>
      <c r="D188" s="374">
        <v>33.130000000000003</v>
      </c>
      <c r="E188" s="374">
        <v>32.840000000000003</v>
      </c>
      <c r="F188" s="374" t="s">
        <v>487</v>
      </c>
      <c r="G188" s="375">
        <v>-3.8999999999999998E-3</v>
      </c>
      <c r="H188" s="376">
        <f t="shared" si="13"/>
        <v>-1.5686274509803423E-5</v>
      </c>
      <c r="I188" s="376">
        <f t="shared" si="14"/>
        <v>-9.2744310575635855E-3</v>
      </c>
      <c r="J188" s="374">
        <f t="shared" si="12"/>
        <v>-0.23102002794597098</v>
      </c>
    </row>
    <row r="189" spans="1:21">
      <c r="A189" s="374" t="s">
        <v>488</v>
      </c>
      <c r="B189" s="373">
        <v>33.15</v>
      </c>
      <c r="C189" s="374">
        <v>33.130000000000003</v>
      </c>
      <c r="D189" s="374">
        <v>33.24</v>
      </c>
      <c r="E189" s="374">
        <v>32.869999999999997</v>
      </c>
      <c r="F189" s="374" t="s">
        <v>489</v>
      </c>
      <c r="G189" s="375">
        <v>-2.3999999999999998E-3</v>
      </c>
      <c r="H189" s="376">
        <f t="shared" si="13"/>
        <v>-9.6298525428828446E-6</v>
      </c>
      <c r="I189" s="376">
        <f t="shared" si="14"/>
        <v>-9.7111052213093001E-3</v>
      </c>
      <c r="J189" s="374">
        <f t="shared" si="12"/>
        <v>-0.22109962406015049</v>
      </c>
    </row>
    <row r="190" spans="1:21">
      <c r="A190" s="374" t="s">
        <v>490</v>
      </c>
      <c r="B190" s="373">
        <v>33.229999999999997</v>
      </c>
      <c r="C190" s="374">
        <v>33.57</v>
      </c>
      <c r="D190" s="374">
        <v>33.82</v>
      </c>
      <c r="E190" s="374">
        <v>33.229999999999997</v>
      </c>
      <c r="F190" s="374" t="s">
        <v>491</v>
      </c>
      <c r="G190" s="375">
        <v>-1.4200000000000001E-2</v>
      </c>
      <c r="H190" s="376">
        <f t="shared" si="13"/>
        <v>-5.6956392761792431E-5</v>
      </c>
      <c r="I190" s="376">
        <f t="shared" si="14"/>
        <v>-9.9683877766069615E-3</v>
      </c>
      <c r="J190" s="374">
        <f t="shared" si="12"/>
        <v>-0.22810685249709639</v>
      </c>
    </row>
    <row r="191" spans="1:21" ht="16.5" thickBot="1">
      <c r="A191" s="374" t="s">
        <v>492</v>
      </c>
      <c r="B191" s="373">
        <v>33.71</v>
      </c>
      <c r="C191" s="374">
        <v>33.799999999999997</v>
      </c>
      <c r="D191" s="374">
        <v>34</v>
      </c>
      <c r="E191" s="374">
        <v>33.65</v>
      </c>
      <c r="F191" s="374" t="s">
        <v>493</v>
      </c>
      <c r="G191" s="375">
        <v>-4.4000000000000003E-3</v>
      </c>
      <c r="H191" s="376">
        <f t="shared" si="13"/>
        <v>-1.7720023626698112E-5</v>
      </c>
      <c r="I191" s="376">
        <f t="shared" si="14"/>
        <v>-7.680343255564495E-3</v>
      </c>
      <c r="J191" s="374">
        <f t="shared" si="12"/>
        <v>-0.20868544600938965</v>
      </c>
    </row>
    <row r="192" spans="1:21">
      <c r="A192" s="374" t="s">
        <v>494</v>
      </c>
      <c r="B192" s="373">
        <v>33.86</v>
      </c>
      <c r="C192" s="374">
        <v>33.69</v>
      </c>
      <c r="D192" s="374">
        <v>33.86</v>
      </c>
      <c r="E192" s="374">
        <v>33.47</v>
      </c>
      <c r="F192" s="374" t="s">
        <v>495</v>
      </c>
      <c r="G192" s="375">
        <v>-1.4E-2</v>
      </c>
      <c r="H192" s="376">
        <f t="shared" si="13"/>
        <v>-5.5911473500291467E-5</v>
      </c>
      <c r="I192" s="376">
        <f t="shared" si="14"/>
        <v>-8.50884138295065E-3</v>
      </c>
      <c r="J192" s="374">
        <f t="shared" si="12"/>
        <v>-0.21090654859007218</v>
      </c>
      <c r="L192" s="480" t="s">
        <v>416</v>
      </c>
      <c r="M192" s="481"/>
    </row>
    <row r="193" spans="1:23">
      <c r="A193" s="374" t="s">
        <v>496</v>
      </c>
      <c r="B193" s="373">
        <v>34.340000000000003</v>
      </c>
      <c r="C193" s="374">
        <v>34.19</v>
      </c>
      <c r="D193" s="374">
        <v>34.409999999999997</v>
      </c>
      <c r="E193" s="374">
        <v>33.92</v>
      </c>
      <c r="F193" s="374" t="s">
        <v>497</v>
      </c>
      <c r="G193" s="375">
        <v>-6.4000000000000003E-3</v>
      </c>
      <c r="H193" s="376">
        <f t="shared" si="13"/>
        <v>-2.5462962962962799E-5</v>
      </c>
      <c r="I193" s="376">
        <f t="shared" si="14"/>
        <v>-7.6671932596103082E-3</v>
      </c>
      <c r="J193" s="374">
        <f t="shared" si="12"/>
        <v>-0.19616104868913853</v>
      </c>
      <c r="L193" s="41" t="s">
        <v>192</v>
      </c>
      <c r="M193" s="130">
        <v>1</v>
      </c>
    </row>
    <row r="194" spans="1:23">
      <c r="A194" s="374" t="s">
        <v>498</v>
      </c>
      <c r="B194" s="373">
        <v>34.56</v>
      </c>
      <c r="C194" s="374">
        <v>35.1</v>
      </c>
      <c r="D194" s="374">
        <v>35.1</v>
      </c>
      <c r="E194" s="374">
        <v>34.43</v>
      </c>
      <c r="F194" s="374" t="s">
        <v>499</v>
      </c>
      <c r="G194" s="375">
        <v>-5.1999999999999998E-3</v>
      </c>
      <c r="H194" s="376">
        <f t="shared" si="13"/>
        <v>-2.0725388601036345E-5</v>
      </c>
      <c r="I194" s="376">
        <f t="shared" si="14"/>
        <v>-7.981245115915598E-3</v>
      </c>
      <c r="J194" s="374">
        <f t="shared" ref="J194:J257" si="18">(B194/B444 -1)</f>
        <v>-0.18605746585021188</v>
      </c>
      <c r="L194" s="41" t="s">
        <v>245</v>
      </c>
      <c r="M194" s="127">
        <v>30</v>
      </c>
    </row>
    <row r="195" spans="1:23">
      <c r="A195" s="374" t="s">
        <v>500</v>
      </c>
      <c r="B195" s="373">
        <v>34.74</v>
      </c>
      <c r="C195" s="374">
        <v>34.549999999999997</v>
      </c>
      <c r="D195" s="374">
        <v>34.840000000000003</v>
      </c>
      <c r="E195" s="374">
        <v>34.19</v>
      </c>
      <c r="F195" s="374" t="s">
        <v>501</v>
      </c>
      <c r="G195" s="375">
        <v>1.2500000000000001E-2</v>
      </c>
      <c r="H195" s="376">
        <f t="shared" ref="H195:H258" si="19">(B195/B196 -1)*(1/250)</f>
        <v>5.0131157097056621E-5</v>
      </c>
      <c r="I195" s="376">
        <f t="shared" ref="I195:I258" si="20">(B195/B215 -1)*(20/250)</f>
        <v>-7.0359674455237635E-3</v>
      </c>
      <c r="J195" s="374">
        <f t="shared" si="18"/>
        <v>-0.1920930232558139</v>
      </c>
      <c r="L195" s="41" t="s">
        <v>423</v>
      </c>
      <c r="M195" s="150">
        <v>34</v>
      </c>
    </row>
    <row r="196" spans="1:23">
      <c r="A196" s="374" t="s">
        <v>502</v>
      </c>
      <c r="B196" s="373">
        <v>34.31</v>
      </c>
      <c r="C196" s="374">
        <v>34.020000000000003</v>
      </c>
      <c r="D196" s="374">
        <v>34.369999999999997</v>
      </c>
      <c r="E196" s="374">
        <v>33.97</v>
      </c>
      <c r="F196" s="374" t="s">
        <v>503</v>
      </c>
      <c r="G196" s="375">
        <v>7.3000000000000001E-3</v>
      </c>
      <c r="H196" s="376">
        <f t="shared" si="19"/>
        <v>2.9359953024075124E-5</v>
      </c>
      <c r="I196" s="376">
        <f t="shared" si="20"/>
        <v>-6.4128686327077668E-3</v>
      </c>
      <c r="J196" s="374">
        <f t="shared" si="18"/>
        <v>-0.24857643451598765</v>
      </c>
      <c r="L196" s="41" t="s">
        <v>504</v>
      </c>
      <c r="M196" s="130"/>
    </row>
    <row r="197" spans="1:23" ht="16.5">
      <c r="A197" s="374" t="s">
        <v>505</v>
      </c>
      <c r="B197" s="373">
        <v>34.06</v>
      </c>
      <c r="C197" s="374">
        <v>34.24</v>
      </c>
      <c r="D197" s="374">
        <v>34.409999999999997</v>
      </c>
      <c r="E197" s="374">
        <v>34.06</v>
      </c>
      <c r="F197" s="374" t="s">
        <v>506</v>
      </c>
      <c r="G197" s="375">
        <v>-1.2200000000000001E-2</v>
      </c>
      <c r="H197" s="376">
        <f t="shared" si="19"/>
        <v>-4.872389791183229E-5</v>
      </c>
      <c r="I197" s="376">
        <f t="shared" si="20"/>
        <v>-7.0858977789670791E-3</v>
      </c>
      <c r="J197" s="374">
        <f t="shared" si="18"/>
        <v>-0.30758284204106523</v>
      </c>
      <c r="L197" s="41" t="s">
        <v>507</v>
      </c>
      <c r="M197" s="127">
        <v>34.97</v>
      </c>
    </row>
    <row r="198" spans="1:23">
      <c r="A198" s="374" t="s">
        <v>508</v>
      </c>
      <c r="B198" s="373">
        <v>34.479999999999997</v>
      </c>
      <c r="C198" s="374">
        <v>34.340000000000003</v>
      </c>
      <c r="D198" s="374">
        <v>34.65</v>
      </c>
      <c r="E198" s="374">
        <v>34.200000000000003</v>
      </c>
      <c r="F198" s="374" t="s">
        <v>509</v>
      </c>
      <c r="G198" s="375">
        <v>4.7000000000000002E-3</v>
      </c>
      <c r="H198" s="376">
        <f t="shared" si="19"/>
        <v>1.8648018648018017E-5</v>
      </c>
      <c r="I198" s="376">
        <f t="shared" si="20"/>
        <v>-5.5291576673866154E-3</v>
      </c>
      <c r="J198" s="374">
        <f t="shared" si="18"/>
        <v>-0.30441799475489217</v>
      </c>
      <c r="L198" s="41" t="s">
        <v>510</v>
      </c>
      <c r="M198" s="129">
        <v>0</v>
      </c>
    </row>
    <row r="199" spans="1:23">
      <c r="A199" s="374" t="s">
        <v>511</v>
      </c>
      <c r="B199" s="373">
        <v>34.32</v>
      </c>
      <c r="C199" s="374">
        <v>34.5</v>
      </c>
      <c r="D199" s="374">
        <v>34.6</v>
      </c>
      <c r="E199" s="374">
        <v>34.01</v>
      </c>
      <c r="F199" s="374" t="s">
        <v>512</v>
      </c>
      <c r="G199" s="375">
        <v>-2.5999999999999999E-3</v>
      </c>
      <c r="H199" s="376">
        <f t="shared" si="19"/>
        <v>-1.0462074978203617E-5</v>
      </c>
      <c r="I199" s="376">
        <f t="shared" si="20"/>
        <v>-5.0655021834061119E-3</v>
      </c>
      <c r="J199" s="374">
        <f t="shared" si="18"/>
        <v>-0.30582524271844658</v>
      </c>
      <c r="L199" s="41" t="s">
        <v>186</v>
      </c>
      <c r="M199" s="129">
        <f>M137</f>
        <v>6.8099999999999994E-2</v>
      </c>
    </row>
    <row r="200" spans="1:23" ht="16.5" thickBot="1">
      <c r="A200" s="374" t="s">
        <v>513</v>
      </c>
      <c r="B200" s="373">
        <v>34.409999999999997</v>
      </c>
      <c r="C200" s="374">
        <v>34.4</v>
      </c>
      <c r="D200" s="374">
        <v>34.56</v>
      </c>
      <c r="E200" s="374">
        <v>33.92</v>
      </c>
      <c r="F200" s="374" t="s">
        <v>514</v>
      </c>
      <c r="G200" s="375">
        <v>-1.5E-3</v>
      </c>
      <c r="H200" s="376">
        <f t="shared" si="19"/>
        <v>-5.8038305281491456E-6</v>
      </c>
      <c r="I200" s="376">
        <f t="shared" si="20"/>
        <v>-4.909983633387887E-3</v>
      </c>
      <c r="J200" s="374">
        <f t="shared" si="18"/>
        <v>-0.31289936102236426</v>
      </c>
      <c r="L200" s="151" t="s">
        <v>183</v>
      </c>
      <c r="M200" s="152">
        <f>U1</f>
        <v>4.7975548999999999E-2</v>
      </c>
    </row>
    <row r="201" spans="1:23" ht="16.5" thickBot="1">
      <c r="A201" s="374" t="s">
        <v>515</v>
      </c>
      <c r="B201" s="373">
        <v>34.46</v>
      </c>
      <c r="C201" s="374">
        <v>34.799999999999997</v>
      </c>
      <c r="D201" s="374">
        <v>34.94</v>
      </c>
      <c r="E201" s="374">
        <v>34.31</v>
      </c>
      <c r="F201" s="374" t="s">
        <v>516</v>
      </c>
      <c r="G201" s="375">
        <v>-1.8200000000000001E-2</v>
      </c>
      <c r="H201" s="376">
        <f t="shared" si="19"/>
        <v>-7.2934472934472973E-5</v>
      </c>
      <c r="I201" s="376">
        <f t="shared" si="20"/>
        <v>-4.3676268861454126E-3</v>
      </c>
      <c r="J201" s="374">
        <f t="shared" si="18"/>
        <v>-0.31217564870259484</v>
      </c>
      <c r="L201" s="62"/>
      <c r="M201" s="62"/>
    </row>
    <row r="202" spans="1:23" ht="17" thickBot="1">
      <c r="A202" s="374" t="s">
        <v>517</v>
      </c>
      <c r="B202" s="373">
        <v>35.1</v>
      </c>
      <c r="C202" s="374">
        <v>35.43</v>
      </c>
      <c r="D202" s="374">
        <v>35.67</v>
      </c>
      <c r="E202" s="374">
        <v>35.1</v>
      </c>
      <c r="F202" s="374" t="s">
        <v>518</v>
      </c>
      <c r="G202" s="375">
        <v>-1.04E-2</v>
      </c>
      <c r="H202" s="376">
        <f t="shared" si="19"/>
        <v>-4.1725401747955803E-5</v>
      </c>
      <c r="I202" s="376">
        <f t="shared" si="20"/>
        <v>-3.6126224156692024E-3</v>
      </c>
      <c r="J202" s="374">
        <f t="shared" si="18"/>
        <v>-0.30051813471502586</v>
      </c>
      <c r="L202" s="153" t="s">
        <v>481</v>
      </c>
      <c r="M202" s="154" t="s">
        <v>519</v>
      </c>
    </row>
    <row r="203" spans="1:23">
      <c r="A203" s="374" t="s">
        <v>520</v>
      </c>
      <c r="B203" s="373">
        <v>35.47</v>
      </c>
      <c r="C203" s="374">
        <v>35.71</v>
      </c>
      <c r="D203" s="374">
        <v>35.86</v>
      </c>
      <c r="E203" s="374">
        <v>35.4</v>
      </c>
      <c r="F203" s="374" t="s">
        <v>521</v>
      </c>
      <c r="G203" s="375">
        <v>3.7000000000000002E-3</v>
      </c>
      <c r="H203" s="376">
        <f t="shared" si="19"/>
        <v>1.4714204867005698E-5</v>
      </c>
      <c r="I203" s="376">
        <f t="shared" si="20"/>
        <v>-1.548244401437664E-3</v>
      </c>
      <c r="J203" s="374">
        <f t="shared" si="18"/>
        <v>-0.29678826328310859</v>
      </c>
    </row>
    <row r="204" spans="1:23" ht="16.5" thickBot="1">
      <c r="A204" s="374" t="s">
        <v>522</v>
      </c>
      <c r="B204" s="373">
        <v>35.340000000000003</v>
      </c>
      <c r="C204" s="374">
        <v>35.119999999999997</v>
      </c>
      <c r="D204" s="374">
        <v>35.82</v>
      </c>
      <c r="E204" s="374">
        <v>35.11</v>
      </c>
      <c r="F204" s="374" t="s">
        <v>523</v>
      </c>
      <c r="G204" s="375">
        <v>6.7999999999999996E-3</v>
      </c>
      <c r="H204" s="376">
        <f t="shared" si="19"/>
        <v>2.7350427350427253E-5</v>
      </c>
      <c r="I204" s="376">
        <f t="shared" si="20"/>
        <v>-3.1321370309951037E-3</v>
      </c>
      <c r="J204" s="374">
        <f t="shared" si="18"/>
        <v>-0.3004750593824228</v>
      </c>
      <c r="U204" s="149"/>
      <c r="V204" s="124"/>
      <c r="W204" s="124"/>
    </row>
    <row r="205" spans="1:23">
      <c r="A205" s="374" t="s">
        <v>524</v>
      </c>
      <c r="B205" s="373">
        <v>35.1</v>
      </c>
      <c r="C205" s="374">
        <v>35.26</v>
      </c>
      <c r="D205" s="374">
        <v>35.479999999999997</v>
      </c>
      <c r="E205" s="374">
        <v>35.1</v>
      </c>
      <c r="F205" s="374" t="s">
        <v>525</v>
      </c>
      <c r="G205" s="375">
        <v>-5.4000000000000003E-3</v>
      </c>
      <c r="H205" s="376">
        <f t="shared" si="19"/>
        <v>-2.1535845848682291E-5</v>
      </c>
      <c r="I205" s="376">
        <f t="shared" si="20"/>
        <v>-3.6333967908621203E-3</v>
      </c>
      <c r="J205" s="374">
        <f t="shared" si="18"/>
        <v>-0.29940119760479045</v>
      </c>
      <c r="L205" s="155" t="s">
        <v>526</v>
      </c>
      <c r="M205" s="292">
        <f>(M199-0 + (M200^2)/2 ) / (M200^2)</f>
        <v>30.087427413686413</v>
      </c>
      <c r="U205" s="149"/>
      <c r="V205" s="124"/>
      <c r="W205" s="124"/>
    </row>
    <row r="206" spans="1:23">
      <c r="A206" s="374" t="s">
        <v>527</v>
      </c>
      <c r="B206" s="373">
        <v>35.29</v>
      </c>
      <c r="C206" s="374">
        <v>35.409999999999997</v>
      </c>
      <c r="D206" s="374">
        <v>35.54</v>
      </c>
      <c r="E206" s="374">
        <v>35.04</v>
      </c>
      <c r="F206" s="374" t="s">
        <v>528</v>
      </c>
      <c r="G206" s="375">
        <v>-3.2599999999999997E-2</v>
      </c>
      <c r="H206" s="376">
        <f t="shared" si="19"/>
        <v>-1.304824561403506E-4</v>
      </c>
      <c r="I206" s="376">
        <f t="shared" si="20"/>
        <v>-2.6520547945205488E-3</v>
      </c>
      <c r="J206" s="374">
        <f t="shared" si="18"/>
        <v>-0.28707070707070714</v>
      </c>
      <c r="L206" s="266" t="s">
        <v>529</v>
      </c>
      <c r="M206" s="267">
        <f xml:space="preserve"> ( LN(M197/M195) / (M200*SQRT(M193))) + (M205*M200*SQRT(M193))</f>
        <v>2.0298017456777577</v>
      </c>
      <c r="U206" s="149"/>
      <c r="V206" s="124"/>
      <c r="W206" s="124"/>
    </row>
    <row r="207" spans="1:23">
      <c r="A207" s="374" t="s">
        <v>530</v>
      </c>
      <c r="B207" s="373">
        <v>36.479999999999997</v>
      </c>
      <c r="C207" s="374">
        <v>37.31</v>
      </c>
      <c r="D207" s="374">
        <v>37.47</v>
      </c>
      <c r="E207" s="374">
        <v>35.9</v>
      </c>
      <c r="F207" s="374" t="s">
        <v>531</v>
      </c>
      <c r="G207" s="375">
        <v>-2.3300000000000001E-2</v>
      </c>
      <c r="H207" s="376">
        <f t="shared" si="19"/>
        <v>-9.3172690763052574E-5</v>
      </c>
      <c r="I207" s="376">
        <f t="shared" si="20"/>
        <v>1.1117287381878782E-3</v>
      </c>
      <c r="J207" s="374">
        <f t="shared" si="18"/>
        <v>-0.27532777115613838</v>
      </c>
      <c r="L207" s="266" t="s">
        <v>532</v>
      </c>
      <c r="M207" s="317">
        <f xml:space="preserve"> ( LN(M195/M197) / (M200*SQRT(M193))) + (M205*M200*SQRT(M193))</f>
        <v>0.85711995066075586</v>
      </c>
      <c r="U207" s="149"/>
      <c r="V207" s="124"/>
      <c r="W207" s="124"/>
    </row>
    <row r="208" spans="1:23">
      <c r="A208" s="374" t="s">
        <v>533</v>
      </c>
      <c r="B208" s="373">
        <v>37.35</v>
      </c>
      <c r="C208" s="374">
        <v>37.4</v>
      </c>
      <c r="D208" s="374">
        <v>37.520000000000003</v>
      </c>
      <c r="E208" s="374">
        <v>37.049999999999997</v>
      </c>
      <c r="F208" s="374" t="s">
        <v>534</v>
      </c>
      <c r="G208" s="375">
        <v>-1.01E-2</v>
      </c>
      <c r="H208" s="376">
        <f t="shared" si="19"/>
        <v>-4.0286244367876642E-5</v>
      </c>
      <c r="I208" s="376">
        <f t="shared" si="20"/>
        <v>4.6698781524511191E-3</v>
      </c>
      <c r="J208" s="374">
        <f t="shared" si="18"/>
        <v>-0.25180288461538458</v>
      </c>
      <c r="L208" s="266" t="s">
        <v>535</v>
      </c>
      <c r="M208" s="267">
        <f>M207 - M200*SQRT(M193)</f>
        <v>0.80914440166075585</v>
      </c>
      <c r="U208" s="149"/>
      <c r="V208" s="124"/>
      <c r="W208" s="124"/>
    </row>
    <row r="209" spans="1:23">
      <c r="A209" s="374" t="s">
        <v>536</v>
      </c>
      <c r="B209" s="373">
        <v>37.729999999999997</v>
      </c>
      <c r="C209" s="374">
        <v>37.840000000000003</v>
      </c>
      <c r="D209" s="374">
        <v>37.94</v>
      </c>
      <c r="E209" s="374">
        <v>37.33</v>
      </c>
      <c r="F209" s="374" t="s">
        <v>537</v>
      </c>
      <c r="G209" s="375">
        <v>-6.1000000000000004E-3</v>
      </c>
      <c r="H209" s="376">
        <f t="shared" si="19"/>
        <v>-2.4236037934668444E-5</v>
      </c>
      <c r="I209" s="376">
        <f t="shared" si="20"/>
        <v>6.8604316546762509E-3</v>
      </c>
      <c r="J209" s="374">
        <f t="shared" si="18"/>
        <v>-0.22318303479514112</v>
      </c>
      <c r="L209" s="266" t="s">
        <v>538</v>
      </c>
      <c r="M209" s="267">
        <f>M207 - M200*SQRT(M193)</f>
        <v>0.80914440166075585</v>
      </c>
      <c r="U209" s="149"/>
      <c r="V209" s="124"/>
      <c r="W209" s="124"/>
    </row>
    <row r="210" spans="1:23">
      <c r="A210" s="374" t="s">
        <v>539</v>
      </c>
      <c r="B210" s="373">
        <v>37.96</v>
      </c>
      <c r="C210" s="374">
        <v>37.200000000000003</v>
      </c>
      <c r="D210" s="374">
        <v>37.96</v>
      </c>
      <c r="E210" s="374">
        <v>37.06</v>
      </c>
      <c r="F210" s="374" t="s">
        <v>540</v>
      </c>
      <c r="G210" s="375">
        <v>1.7999999999999999E-2</v>
      </c>
      <c r="H210" s="376">
        <f t="shared" si="19"/>
        <v>7.1869133816036877E-5</v>
      </c>
      <c r="I210" s="376">
        <f t="shared" si="20"/>
        <v>9.9792592592592658E-3</v>
      </c>
      <c r="J210" s="374">
        <f t="shared" si="18"/>
        <v>-0.21031828583315992</v>
      </c>
      <c r="L210" s="266" t="s">
        <v>541</v>
      </c>
      <c r="M210" s="268">
        <f>_xlfn.NORM.S.DIST(M206,TRUE)</f>
        <v>0.978811652271391</v>
      </c>
      <c r="U210" s="149"/>
      <c r="V210" s="124"/>
      <c r="W210" s="124"/>
    </row>
    <row r="211" spans="1:23">
      <c r="A211" s="374" t="s">
        <v>542</v>
      </c>
      <c r="B211" s="373">
        <v>37.29</v>
      </c>
      <c r="C211" s="374">
        <v>37.99</v>
      </c>
      <c r="D211" s="374">
        <v>38.299999999999997</v>
      </c>
      <c r="E211" s="374">
        <v>37.04</v>
      </c>
      <c r="F211" s="374" t="s">
        <v>543</v>
      </c>
      <c r="G211" s="375">
        <v>-1.5800000000000002E-2</v>
      </c>
      <c r="H211" s="376">
        <f t="shared" si="19"/>
        <v>-6.3341250989707115E-5</v>
      </c>
      <c r="I211" s="376">
        <f t="shared" si="20"/>
        <v>9.6124962451186492E-3</v>
      </c>
      <c r="J211" s="374">
        <f t="shared" si="18"/>
        <v>-0.23303167420814475</v>
      </c>
      <c r="L211" s="266" t="s">
        <v>544</v>
      </c>
      <c r="M211" s="268">
        <f>_xlfn.NORM.S.DIST(M207,TRUE)</f>
        <v>0.80431070183337039</v>
      </c>
      <c r="U211" s="149"/>
      <c r="V211" s="124"/>
      <c r="W211" s="124"/>
    </row>
    <row r="212" spans="1:23">
      <c r="A212" s="374" t="s">
        <v>545</v>
      </c>
      <c r="B212" s="373">
        <v>37.89</v>
      </c>
      <c r="C212" s="374">
        <v>38.08</v>
      </c>
      <c r="D212" s="374">
        <v>38.35</v>
      </c>
      <c r="E212" s="374">
        <v>37.82</v>
      </c>
      <c r="F212" s="374" t="s">
        <v>546</v>
      </c>
      <c r="G212" s="375">
        <v>-2.3999999999999998E-3</v>
      </c>
      <c r="H212" s="376">
        <f t="shared" si="19"/>
        <v>-9.4786729857814228E-6</v>
      </c>
      <c r="I212" s="376">
        <f t="shared" si="20"/>
        <v>1.0187444213031843E-2</v>
      </c>
      <c r="J212" s="374">
        <f t="shared" si="18"/>
        <v>-0.23346146065142626</v>
      </c>
      <c r="L212" s="266" t="s">
        <v>547</v>
      </c>
      <c r="M212" s="268">
        <f>_xlfn.NORM.S.DIST(M208,TRUE)</f>
        <v>0.79078395458867856</v>
      </c>
      <c r="U212" s="149"/>
      <c r="V212" s="124"/>
      <c r="W212" s="124"/>
    </row>
    <row r="213" spans="1:23" ht="16.5" thickBot="1">
      <c r="A213" s="374" t="s">
        <v>548</v>
      </c>
      <c r="B213" s="373">
        <v>37.979999999999997</v>
      </c>
      <c r="C213" s="374">
        <v>38.03</v>
      </c>
      <c r="D213" s="374">
        <v>38.42</v>
      </c>
      <c r="E213" s="374">
        <v>37.840000000000003</v>
      </c>
      <c r="F213" s="374" t="s">
        <v>549</v>
      </c>
      <c r="G213" s="375">
        <v>-1.0699999999999999E-2</v>
      </c>
      <c r="H213" s="376">
        <f t="shared" si="19"/>
        <v>-4.2719458192237883E-5</v>
      </c>
      <c r="I213" s="376">
        <f t="shared" si="20"/>
        <v>1.22684482235044E-2</v>
      </c>
      <c r="J213" s="374">
        <f t="shared" si="18"/>
        <v>-0.23132969034608375</v>
      </c>
      <c r="L213" s="54" t="s">
        <v>550</v>
      </c>
      <c r="M213" s="270">
        <f>_xlfn.NORM.S.DIST(M209,TRUE)</f>
        <v>0.79078395458867856</v>
      </c>
      <c r="U213" s="149"/>
      <c r="V213" s="124"/>
      <c r="W213" s="124"/>
    </row>
    <row r="214" spans="1:23" ht="16.5" thickBot="1">
      <c r="A214" s="374" t="s">
        <v>551</v>
      </c>
      <c r="B214" s="373">
        <v>38.39</v>
      </c>
      <c r="C214" s="374">
        <v>37.92</v>
      </c>
      <c r="D214" s="374">
        <v>38.68</v>
      </c>
      <c r="E214" s="374">
        <v>37.92</v>
      </c>
      <c r="F214" s="374" t="s">
        <v>552</v>
      </c>
      <c r="G214" s="375">
        <v>7.9000000000000008E-3</v>
      </c>
      <c r="H214" s="376">
        <f t="shared" si="19"/>
        <v>3.150433184562829E-5</v>
      </c>
      <c r="I214" s="376">
        <f t="shared" si="20"/>
        <v>1.4819388700216117E-2</v>
      </c>
      <c r="J214" s="374">
        <f t="shared" si="18"/>
        <v>-0.22663174858984692</v>
      </c>
      <c r="U214" s="149"/>
      <c r="V214" s="124"/>
      <c r="W214" s="124"/>
    </row>
    <row r="215" spans="1:23">
      <c r="A215" s="374" t="s">
        <v>553</v>
      </c>
      <c r="B215" s="373">
        <v>38.090000000000003</v>
      </c>
      <c r="C215" s="374">
        <v>37.5</v>
      </c>
      <c r="D215" s="374">
        <v>38.229999999999997</v>
      </c>
      <c r="E215" s="374">
        <v>37.46</v>
      </c>
      <c r="F215" s="374" t="s">
        <v>554</v>
      </c>
      <c r="G215" s="375">
        <v>2.12E-2</v>
      </c>
      <c r="H215" s="376">
        <f t="shared" si="19"/>
        <v>8.4718498659517756E-5</v>
      </c>
      <c r="I215" s="376">
        <f t="shared" si="20"/>
        <v>1.5523510971786844E-2</v>
      </c>
      <c r="J215" s="374">
        <f t="shared" si="18"/>
        <v>-0.23652034475846861</v>
      </c>
      <c r="L215" s="276" t="s">
        <v>555</v>
      </c>
      <c r="M215" s="320">
        <f xml:space="preserve"> (M197*M210*EXP(-M198*M193) ) - (M194*EXP(-M199*M193)*M212)  - (M197*EXP(-M198*M193)*((M195/M197)^(2*M205)) * M211) - (M194*EXP(-M199*M193)*((M195/M197)^(2*M205 -2))*M213)</f>
        <v>2.5773016132953703</v>
      </c>
      <c r="N215" s="124"/>
      <c r="U215" s="149"/>
      <c r="V215" s="124"/>
      <c r="W215" s="124"/>
    </row>
    <row r="216" spans="1:23" ht="16.5" thickBot="1">
      <c r="A216" s="374" t="s">
        <v>556</v>
      </c>
      <c r="B216" s="373">
        <v>37.299999999999997</v>
      </c>
      <c r="C216" s="374">
        <v>37.96</v>
      </c>
      <c r="D216" s="374">
        <v>38.46</v>
      </c>
      <c r="E216" s="374">
        <v>37.119999999999997</v>
      </c>
      <c r="F216" s="374" t="s">
        <v>557</v>
      </c>
      <c r="G216" s="375">
        <v>-1.9E-3</v>
      </c>
      <c r="H216" s="376">
        <f t="shared" si="19"/>
        <v>-7.4926411560074512E-6</v>
      </c>
      <c r="I216" s="376">
        <f t="shared" si="20"/>
        <v>1.4820463933905294E-2</v>
      </c>
      <c r="J216" s="374">
        <f t="shared" si="18"/>
        <v>-0.25519169329073488</v>
      </c>
      <c r="L216" s="280" t="s">
        <v>558</v>
      </c>
      <c r="M216" s="321">
        <v>16.29</v>
      </c>
      <c r="U216" s="149"/>
      <c r="V216" s="124"/>
      <c r="W216" s="124"/>
    </row>
    <row r="217" spans="1:23" ht="16.5" thickBot="1">
      <c r="A217" s="374" t="s">
        <v>559</v>
      </c>
      <c r="B217" s="373">
        <v>37.369999999999997</v>
      </c>
      <c r="C217" s="374">
        <v>37.31</v>
      </c>
      <c r="D217" s="374">
        <v>37.69</v>
      </c>
      <c r="E217" s="374">
        <v>37.21</v>
      </c>
      <c r="F217" s="374" t="s">
        <v>560</v>
      </c>
      <c r="G217" s="375">
        <v>8.8999999999999999E-3</v>
      </c>
      <c r="H217" s="376">
        <f t="shared" si="19"/>
        <v>3.5637149028077352E-5</v>
      </c>
      <c r="I217" s="376">
        <f t="shared" si="20"/>
        <v>1.3162979121221543E-2</v>
      </c>
      <c r="J217" s="374">
        <f t="shared" si="18"/>
        <v>-0.26058567471309857</v>
      </c>
      <c r="U217" s="149"/>
      <c r="V217" s="124"/>
      <c r="W217" s="124"/>
    </row>
    <row r="218" spans="1:23" ht="16.5" thickBot="1">
      <c r="A218" s="374" t="s">
        <v>561</v>
      </c>
      <c r="B218" s="373">
        <v>37.04</v>
      </c>
      <c r="C218" s="374">
        <v>36.93</v>
      </c>
      <c r="D218" s="374">
        <v>37.36</v>
      </c>
      <c r="E218" s="374">
        <v>36.72</v>
      </c>
      <c r="F218" s="374" t="s">
        <v>562</v>
      </c>
      <c r="G218" s="375">
        <v>1.09E-2</v>
      </c>
      <c r="H218" s="376">
        <f t="shared" si="19"/>
        <v>4.366812227074224E-5</v>
      </c>
      <c r="I218" s="376">
        <f t="shared" si="20"/>
        <v>1.2024844720496884E-2</v>
      </c>
      <c r="J218" s="374">
        <f t="shared" si="18"/>
        <v>-0.25949620151939234</v>
      </c>
      <c r="L218" s="318" t="s">
        <v>563</v>
      </c>
      <c r="M218" s="319">
        <f>M216-M215</f>
        <v>13.712698386704629</v>
      </c>
      <c r="U218" s="149"/>
      <c r="V218" s="124"/>
      <c r="W218" s="124"/>
    </row>
    <row r="219" spans="1:23">
      <c r="A219" s="374" t="s">
        <v>564</v>
      </c>
      <c r="B219" s="373">
        <v>36.64</v>
      </c>
      <c r="C219" s="374">
        <v>36.9</v>
      </c>
      <c r="D219" s="374">
        <v>37.130000000000003</v>
      </c>
      <c r="E219" s="374">
        <v>36.49</v>
      </c>
      <c r="F219" s="374" t="s">
        <v>565</v>
      </c>
      <c r="G219" s="375">
        <v>-5.0000000000000001E-4</v>
      </c>
      <c r="H219" s="376">
        <f t="shared" si="19"/>
        <v>-2.1822149481720566E-6</v>
      </c>
      <c r="I219" s="376">
        <f t="shared" si="20"/>
        <v>9.6117395291959624E-3</v>
      </c>
      <c r="J219" s="374">
        <f t="shared" si="18"/>
        <v>-0.25709651257096511</v>
      </c>
      <c r="U219" s="149"/>
      <c r="V219" s="124"/>
      <c r="W219" s="124"/>
    </row>
    <row r="220" spans="1:23">
      <c r="A220" s="374" t="s">
        <v>566</v>
      </c>
      <c r="B220" s="373">
        <v>36.659999999999997</v>
      </c>
      <c r="C220" s="374">
        <v>36.6</v>
      </c>
      <c r="D220" s="374">
        <v>36.700000000000003</v>
      </c>
      <c r="E220" s="374">
        <v>35.97</v>
      </c>
      <c r="F220" s="374" t="s">
        <v>18</v>
      </c>
      <c r="G220" s="375">
        <v>5.7999999999999996E-3</v>
      </c>
      <c r="H220" s="376">
        <f t="shared" si="19"/>
        <v>2.3045267489711032E-5</v>
      </c>
      <c r="I220" s="376">
        <f t="shared" si="20"/>
        <v>7.4157973174366629E-3</v>
      </c>
      <c r="J220" s="374">
        <f t="shared" si="18"/>
        <v>-0.26133387064275648</v>
      </c>
      <c r="U220" s="149"/>
      <c r="V220" s="124"/>
      <c r="W220" s="124"/>
    </row>
    <row r="221" spans="1:23">
      <c r="A221" s="374" t="s">
        <v>567</v>
      </c>
      <c r="B221" s="373">
        <v>36.450000000000003</v>
      </c>
      <c r="C221" s="374">
        <v>36.75</v>
      </c>
      <c r="D221" s="374">
        <v>36.81</v>
      </c>
      <c r="E221" s="374">
        <v>36.450000000000003</v>
      </c>
      <c r="F221" s="374" t="s">
        <v>568</v>
      </c>
      <c r="G221" s="375">
        <v>-8.3999999999999995E-3</v>
      </c>
      <c r="H221" s="376">
        <f t="shared" si="19"/>
        <v>-3.3732317736669957E-5</v>
      </c>
      <c r="I221" s="376">
        <f t="shared" si="20"/>
        <v>4.5462452884894233E-3</v>
      </c>
      <c r="J221" s="374">
        <f t="shared" si="18"/>
        <v>-0.25914634146341464</v>
      </c>
      <c r="U221" s="149"/>
      <c r="V221" s="124"/>
      <c r="W221" s="124"/>
    </row>
    <row r="222" spans="1:23">
      <c r="A222" s="374" t="s">
        <v>569</v>
      </c>
      <c r="B222" s="373">
        <v>36.76</v>
      </c>
      <c r="C222" s="374">
        <v>36.96</v>
      </c>
      <c r="D222" s="374">
        <v>37.159999999999997</v>
      </c>
      <c r="E222" s="374">
        <v>36.42</v>
      </c>
      <c r="F222" s="374" t="s">
        <v>570</v>
      </c>
      <c r="G222" s="375">
        <v>1.6299999999999999E-2</v>
      </c>
      <c r="H222" s="376">
        <f t="shared" si="19"/>
        <v>6.524744263201487E-5</v>
      </c>
      <c r="I222" s="376">
        <f t="shared" si="20"/>
        <v>5.3890824622532035E-3</v>
      </c>
      <c r="J222" s="374">
        <f t="shared" si="18"/>
        <v>-0.25887096774193552</v>
      </c>
      <c r="U222" s="149"/>
      <c r="V222" s="124"/>
      <c r="W222" s="124"/>
    </row>
    <row r="223" spans="1:23">
      <c r="A223" s="374" t="s">
        <v>571</v>
      </c>
      <c r="B223" s="373">
        <v>36.17</v>
      </c>
      <c r="C223" s="374">
        <v>36.6</v>
      </c>
      <c r="D223" s="374">
        <v>37.25</v>
      </c>
      <c r="E223" s="374">
        <v>35.96</v>
      </c>
      <c r="F223" s="374" t="s">
        <v>572</v>
      </c>
      <c r="G223" s="375">
        <v>-1.66E-2</v>
      </c>
      <c r="H223" s="376">
        <f t="shared" si="19"/>
        <v>-6.6340402392604418E-5</v>
      </c>
      <c r="I223" s="376">
        <f t="shared" si="20"/>
        <v>3.7268518518518514E-3</v>
      </c>
      <c r="J223" s="374">
        <f t="shared" si="18"/>
        <v>-0.26378994504376141</v>
      </c>
      <c r="L223" s="1" t="s">
        <v>573</v>
      </c>
      <c r="N223" s="1" t="s">
        <v>504</v>
      </c>
      <c r="P223" s="1" t="s">
        <v>574</v>
      </c>
      <c r="Q223" s="1" t="s">
        <v>575</v>
      </c>
      <c r="U223" s="149"/>
      <c r="V223" s="124"/>
      <c r="W223" s="124"/>
    </row>
    <row r="224" spans="1:23" ht="16.5" thickBot="1">
      <c r="A224" s="374" t="s">
        <v>576</v>
      </c>
      <c r="B224" s="373">
        <v>36.78</v>
      </c>
      <c r="C224" s="374">
        <v>36.53</v>
      </c>
      <c r="D224" s="374">
        <v>36.93</v>
      </c>
      <c r="E224" s="374">
        <v>36.159999999999997</v>
      </c>
      <c r="F224" s="374" t="s">
        <v>577</v>
      </c>
      <c r="G224" s="375">
        <v>2.9999999999999997E-4</v>
      </c>
      <c r="H224" s="376">
        <f t="shared" si="19"/>
        <v>1.0878433505574492E-6</v>
      </c>
      <c r="I224" s="376">
        <f t="shared" si="20"/>
        <v>2.3279238947957383E-3</v>
      </c>
      <c r="J224" s="374">
        <f t="shared" si="18"/>
        <v>-0.24522881182023382</v>
      </c>
    </row>
    <row r="225" spans="1:22">
      <c r="A225" s="374" t="s">
        <v>578</v>
      </c>
      <c r="B225" s="373">
        <v>36.770000000000003</v>
      </c>
      <c r="C225" s="374">
        <v>36.76</v>
      </c>
      <c r="D225" s="374">
        <v>37.21</v>
      </c>
      <c r="E225" s="374">
        <v>36.71</v>
      </c>
      <c r="F225" s="374" t="s">
        <v>579</v>
      </c>
      <c r="G225" s="375">
        <v>7.4000000000000003E-3</v>
      </c>
      <c r="H225" s="376">
        <f t="shared" si="19"/>
        <v>2.958904109589078E-5</v>
      </c>
      <c r="I225" s="376">
        <f t="shared" si="20"/>
        <v>7.2447859495062162E-4</v>
      </c>
      <c r="J225" s="374">
        <f t="shared" si="18"/>
        <v>-0.23459616985845122</v>
      </c>
      <c r="L225" s="480" t="s">
        <v>416</v>
      </c>
      <c r="M225" s="481"/>
    </row>
    <row r="226" spans="1:22">
      <c r="A226" s="374" t="s">
        <v>580</v>
      </c>
      <c r="B226" s="373">
        <v>36.5</v>
      </c>
      <c r="C226" s="374">
        <v>36.25</v>
      </c>
      <c r="D226" s="374">
        <v>36.51</v>
      </c>
      <c r="E226" s="374">
        <v>36.130000000000003</v>
      </c>
      <c r="F226" s="374" t="s">
        <v>581</v>
      </c>
      <c r="G226" s="375">
        <v>1.4500000000000001E-2</v>
      </c>
      <c r="H226" s="376">
        <f t="shared" si="19"/>
        <v>5.7809894385770558E-5</v>
      </c>
      <c r="I226" s="376">
        <f t="shared" si="20"/>
        <v>-1.8833600856072864E-3</v>
      </c>
      <c r="J226" s="374">
        <f t="shared" si="18"/>
        <v>-0.23847277279365742</v>
      </c>
      <c r="L226" s="41" t="s">
        <v>192</v>
      </c>
      <c r="M226" s="130">
        <v>1</v>
      </c>
    </row>
    <row r="227" spans="1:22">
      <c r="A227" s="374" t="s">
        <v>582</v>
      </c>
      <c r="B227" s="373">
        <v>35.979999999999997</v>
      </c>
      <c r="C227" s="374">
        <v>35.29</v>
      </c>
      <c r="D227" s="374">
        <v>36.03</v>
      </c>
      <c r="E227" s="374">
        <v>35.29</v>
      </c>
      <c r="F227" s="374" t="s">
        <v>583</v>
      </c>
      <c r="G227" s="375">
        <v>1.9599999999999999E-2</v>
      </c>
      <c r="H227" s="376">
        <f t="shared" si="19"/>
        <v>7.8209124397845997E-5</v>
      </c>
      <c r="I227" s="376">
        <f t="shared" si="20"/>
        <v>-3.6498673740053178E-3</v>
      </c>
      <c r="J227" s="374">
        <f t="shared" si="18"/>
        <v>-0.26958993097848161</v>
      </c>
      <c r="L227" s="41" t="s">
        <v>245</v>
      </c>
      <c r="M227" s="127">
        <v>30</v>
      </c>
    </row>
    <row r="228" spans="1:22">
      <c r="A228" s="374" t="s">
        <v>584</v>
      </c>
      <c r="B228" s="373">
        <v>35.29</v>
      </c>
      <c r="C228" s="374">
        <v>35.19</v>
      </c>
      <c r="D228" s="374">
        <v>35.799999999999997</v>
      </c>
      <c r="E228" s="374">
        <v>34.97</v>
      </c>
      <c r="F228" s="374" t="s">
        <v>585</v>
      </c>
      <c r="G228" s="375">
        <v>1.55E-2</v>
      </c>
      <c r="H228" s="376">
        <f t="shared" si="19"/>
        <v>6.215827338129465E-5</v>
      </c>
      <c r="I228" s="376">
        <f t="shared" si="20"/>
        <v>-4.6945852227260687E-3</v>
      </c>
      <c r="J228" s="374">
        <f t="shared" si="18"/>
        <v>-0.28490374873353597</v>
      </c>
      <c r="L228" s="41" t="s">
        <v>423</v>
      </c>
      <c r="M228" s="150">
        <v>34</v>
      </c>
    </row>
    <row r="229" spans="1:22" ht="16.5">
      <c r="A229" s="374" t="s">
        <v>586</v>
      </c>
      <c r="B229" s="373">
        <v>34.75</v>
      </c>
      <c r="C229" s="374">
        <v>34.24</v>
      </c>
      <c r="D229" s="374">
        <v>34.78</v>
      </c>
      <c r="E229" s="374">
        <v>33.950000000000003</v>
      </c>
      <c r="F229" s="374" t="s">
        <v>587</v>
      </c>
      <c r="G229" s="375">
        <v>2.9600000000000001E-2</v>
      </c>
      <c r="H229" s="376">
        <f t="shared" si="19"/>
        <v>1.185185185185187E-4</v>
      </c>
      <c r="I229" s="376">
        <f t="shared" si="20"/>
        <v>-5.588865096359745E-3</v>
      </c>
      <c r="J229" s="374">
        <f t="shared" si="18"/>
        <v>-0.28994687372292605</v>
      </c>
      <c r="L229" s="41" t="s">
        <v>507</v>
      </c>
      <c r="M229" s="127">
        <v>34.97</v>
      </c>
    </row>
    <row r="230" spans="1:22">
      <c r="A230" s="374" t="s">
        <v>588</v>
      </c>
      <c r="B230" s="373">
        <v>33.75</v>
      </c>
      <c r="C230" s="374">
        <v>33.22</v>
      </c>
      <c r="D230" s="374">
        <v>33.81</v>
      </c>
      <c r="E230" s="374">
        <v>33.119999999999997</v>
      </c>
      <c r="F230" s="374" t="s">
        <v>589</v>
      </c>
      <c r="G230" s="375">
        <v>1.38E-2</v>
      </c>
      <c r="H230" s="376">
        <f t="shared" si="19"/>
        <v>5.5271853409432301E-5</v>
      </c>
      <c r="I230" s="376">
        <f t="shared" si="20"/>
        <v>-8.3249269976108306E-3</v>
      </c>
      <c r="J230" s="374">
        <f t="shared" si="18"/>
        <v>-0.31597081475476296</v>
      </c>
      <c r="L230" s="41" t="s">
        <v>510</v>
      </c>
      <c r="M230" s="129">
        <f>0</f>
        <v>0</v>
      </c>
    </row>
    <row r="231" spans="1:22">
      <c r="A231" s="374" t="s">
        <v>590</v>
      </c>
      <c r="B231" s="373">
        <v>33.29</v>
      </c>
      <c r="C231" s="374">
        <v>33.229999999999997</v>
      </c>
      <c r="D231" s="374">
        <v>33.47</v>
      </c>
      <c r="E231" s="374">
        <v>32.97</v>
      </c>
      <c r="F231" s="374" t="s">
        <v>591</v>
      </c>
      <c r="G231" s="375">
        <v>-9.4999999999999998E-3</v>
      </c>
      <c r="H231" s="376">
        <f t="shared" si="19"/>
        <v>-3.808390360011904E-5</v>
      </c>
      <c r="I231" s="376">
        <f t="shared" si="20"/>
        <v>-1.1076604554865428E-2</v>
      </c>
      <c r="J231" s="374">
        <f t="shared" si="18"/>
        <v>-0.32747474747474747</v>
      </c>
      <c r="L231" s="41" t="s">
        <v>186</v>
      </c>
      <c r="M231" s="129">
        <f>M199</f>
        <v>6.8099999999999994E-2</v>
      </c>
    </row>
    <row r="232" spans="1:22" ht="16.5" thickBot="1">
      <c r="A232" s="374" t="s">
        <v>592</v>
      </c>
      <c r="B232" s="373">
        <v>33.61</v>
      </c>
      <c r="C232" s="374">
        <v>33.51</v>
      </c>
      <c r="D232" s="374">
        <v>33.770000000000003</v>
      </c>
      <c r="E232" s="374">
        <v>33.340000000000003</v>
      </c>
      <c r="F232" s="374" t="s">
        <v>593</v>
      </c>
      <c r="G232" s="375">
        <v>2.06E-2</v>
      </c>
      <c r="H232" s="376">
        <f t="shared" si="19"/>
        <v>8.2599453385970639E-5</v>
      </c>
      <c r="I232" s="376">
        <f t="shared" si="20"/>
        <v>-1.1460616874840675E-2</v>
      </c>
      <c r="J232" s="374">
        <f t="shared" si="18"/>
        <v>-0.31728620759699366</v>
      </c>
      <c r="L232" s="151" t="s">
        <v>183</v>
      </c>
      <c r="M232" s="152">
        <f>M200</f>
        <v>4.7975548999999999E-2</v>
      </c>
    </row>
    <row r="233" spans="1:22" ht="16.5" thickBot="1">
      <c r="A233" s="374" t="s">
        <v>594</v>
      </c>
      <c r="B233" s="373">
        <v>32.93</v>
      </c>
      <c r="C233" s="374">
        <v>32.840000000000003</v>
      </c>
      <c r="D233" s="374">
        <v>33.11</v>
      </c>
      <c r="E233" s="374">
        <v>32.71</v>
      </c>
      <c r="F233" s="374" t="s">
        <v>595</v>
      </c>
      <c r="G233" s="375">
        <v>1.67E-2</v>
      </c>
      <c r="H233" s="376">
        <f t="shared" si="19"/>
        <v>6.6687249150972687E-5</v>
      </c>
      <c r="I233" s="376">
        <f t="shared" si="20"/>
        <v>-1.1090766413811135E-2</v>
      </c>
      <c r="J233" s="374">
        <f t="shared" si="18"/>
        <v>-0.32754747804778439</v>
      </c>
      <c r="L233" s="62"/>
      <c r="M233" s="62"/>
    </row>
    <row r="234" spans="1:22" ht="17" thickBot="1">
      <c r="A234" s="374" t="s">
        <v>596</v>
      </c>
      <c r="B234" s="373">
        <v>32.39</v>
      </c>
      <c r="C234" s="374">
        <v>32.340000000000003</v>
      </c>
      <c r="D234" s="374">
        <v>32.65</v>
      </c>
      <c r="E234" s="374">
        <v>31.74</v>
      </c>
      <c r="F234" s="374" t="s">
        <v>597</v>
      </c>
      <c r="G234" s="375">
        <v>1.54E-2</v>
      </c>
      <c r="H234" s="376">
        <f t="shared" si="19"/>
        <v>6.1442006269592402E-5</v>
      </c>
      <c r="I234" s="376">
        <f t="shared" si="20"/>
        <v>-1.184639663335087E-2</v>
      </c>
      <c r="J234" s="374">
        <f t="shared" si="18"/>
        <v>-0.34406642365330098</v>
      </c>
      <c r="L234" s="153" t="s">
        <v>598</v>
      </c>
      <c r="M234" s="154" t="s">
        <v>599</v>
      </c>
    </row>
    <row r="235" spans="1:22">
      <c r="A235" s="374" t="s">
        <v>600</v>
      </c>
      <c r="B235" s="373">
        <v>31.9</v>
      </c>
      <c r="C235" s="374">
        <v>33.659999999999997</v>
      </c>
      <c r="D235" s="374">
        <v>33.75</v>
      </c>
      <c r="E235" s="374">
        <v>31.74</v>
      </c>
      <c r="F235" s="374" t="s">
        <v>601</v>
      </c>
      <c r="G235" s="375">
        <v>1.37E-2</v>
      </c>
      <c r="H235" s="376">
        <f t="shared" si="19"/>
        <v>5.4655227200508527E-5</v>
      </c>
      <c r="I235" s="376">
        <f t="shared" si="20"/>
        <v>-1.3053515215110174E-2</v>
      </c>
      <c r="J235" s="374">
        <f t="shared" si="18"/>
        <v>-0.34937793187844179</v>
      </c>
    </row>
    <row r="236" spans="1:22" ht="16.5" thickBot="1">
      <c r="A236" s="374" t="s">
        <v>602</v>
      </c>
      <c r="B236" s="373">
        <v>31.47</v>
      </c>
      <c r="C236" s="374">
        <v>31.3</v>
      </c>
      <c r="D236" s="374">
        <v>32.18</v>
      </c>
      <c r="E236" s="374">
        <v>30.93</v>
      </c>
      <c r="F236" s="374" t="s">
        <v>603</v>
      </c>
      <c r="G236" s="375">
        <v>-1.9300000000000001E-2</v>
      </c>
      <c r="H236" s="376">
        <f t="shared" si="19"/>
        <v>-7.7282642567778835E-5</v>
      </c>
      <c r="I236" s="376">
        <f t="shared" si="20"/>
        <v>-1.489526764934058E-2</v>
      </c>
      <c r="J236" s="374">
        <f t="shared" si="18"/>
        <v>-0.36501210653753036</v>
      </c>
    </row>
    <row r="237" spans="1:22">
      <c r="A237" s="374" t="s">
        <v>604</v>
      </c>
      <c r="B237" s="373">
        <v>32.090000000000003</v>
      </c>
      <c r="C237" s="374">
        <v>32.69</v>
      </c>
      <c r="D237" s="374">
        <v>32.74</v>
      </c>
      <c r="E237" s="374">
        <v>31.51</v>
      </c>
      <c r="F237" s="374" t="s">
        <v>605</v>
      </c>
      <c r="G237" s="375">
        <v>-3.3999999999999998E-3</v>
      </c>
      <c r="H237" s="376">
        <f t="shared" si="19"/>
        <v>-1.3664596273291974E-5</v>
      </c>
      <c r="I237" s="376">
        <f t="shared" si="20"/>
        <v>-1.4157476275968195E-2</v>
      </c>
      <c r="J237" s="374">
        <f t="shared" si="18"/>
        <v>-0.36530854430379744</v>
      </c>
      <c r="L237" s="155" t="s">
        <v>526</v>
      </c>
      <c r="M237" s="292">
        <f>(M231-0 + (M232^2)/2 ) / (M232^2)</f>
        <v>30.087427413686413</v>
      </c>
    </row>
    <row r="238" spans="1:22">
      <c r="A238" s="374" t="s">
        <v>606</v>
      </c>
      <c r="B238" s="373">
        <v>32.200000000000003</v>
      </c>
      <c r="C238" s="374">
        <v>30.96</v>
      </c>
      <c r="D238" s="374">
        <v>33.6</v>
      </c>
      <c r="E238" s="374">
        <v>30.46</v>
      </c>
      <c r="F238" s="374" t="s">
        <v>607</v>
      </c>
      <c r="G238" s="375">
        <v>-1.5599999999999999E-2</v>
      </c>
      <c r="H238" s="376">
        <f t="shared" si="19"/>
        <v>-6.2366248853561231E-5</v>
      </c>
      <c r="I238" s="376">
        <f t="shared" si="20"/>
        <v>-1.4933063905026521E-2</v>
      </c>
      <c r="J238" s="374">
        <f t="shared" si="18"/>
        <v>-0.36388779138680349</v>
      </c>
      <c r="L238" s="266" t="s">
        <v>529</v>
      </c>
      <c r="M238" s="267">
        <f xml:space="preserve"> ( LN(M229/M228) / (M232*SQRT(M226))) + (M237*M232*SQRT(M226))</f>
        <v>2.0298017456777577</v>
      </c>
    </row>
    <row r="239" spans="1:22" ht="16.5" thickBot="1">
      <c r="A239" s="374" t="s">
        <v>608</v>
      </c>
      <c r="B239" s="373">
        <v>32.71</v>
      </c>
      <c r="C239" s="374">
        <v>33.43</v>
      </c>
      <c r="D239" s="374">
        <v>33.630000000000003</v>
      </c>
      <c r="E239" s="374">
        <v>31.95</v>
      </c>
      <c r="F239" s="374" t="s">
        <v>609</v>
      </c>
      <c r="G239" s="375">
        <v>-2.5000000000000001E-2</v>
      </c>
      <c r="H239" s="376">
        <f t="shared" si="19"/>
        <v>-1.0014903129657204E-4</v>
      </c>
      <c r="I239" s="376">
        <f t="shared" si="20"/>
        <v>-1.2799178222907033E-2</v>
      </c>
      <c r="J239" s="374">
        <f t="shared" si="18"/>
        <v>-0.36013302034428785</v>
      </c>
      <c r="L239" s="266" t="s">
        <v>532</v>
      </c>
      <c r="M239" s="317">
        <f xml:space="preserve"> ( LN(M228/M229) / (M232*SQRT(M226))) + (M237*M232*SQRT(M226))</f>
        <v>0.85711995066075586</v>
      </c>
    </row>
    <row r="240" spans="1:22">
      <c r="A240" s="374" t="s">
        <v>610</v>
      </c>
      <c r="B240" s="373">
        <v>33.549999999999997</v>
      </c>
      <c r="C240" s="374">
        <v>33.32</v>
      </c>
      <c r="D240" s="374">
        <v>34.39</v>
      </c>
      <c r="E240" s="374">
        <v>33.1</v>
      </c>
      <c r="F240" s="374" t="s">
        <v>531</v>
      </c>
      <c r="G240" s="375">
        <v>-2.7300000000000001E-2</v>
      </c>
      <c r="H240" s="376">
        <f t="shared" si="19"/>
        <v>-1.0901710640765483E-4</v>
      </c>
      <c r="I240" s="376">
        <f t="shared" si="20"/>
        <v>-1.1460674157303367E-2</v>
      </c>
      <c r="J240" s="374">
        <f t="shared" si="18"/>
        <v>-0.34904928211098185</v>
      </c>
      <c r="L240" s="266" t="s">
        <v>611</v>
      </c>
      <c r="M240" s="317">
        <f xml:space="preserve"> ( (LN(M228^2 / (M229*M227) ) / (M232*SQRT(M226))) + M237*M232*SQRT(M226))</f>
        <v>3.4660143888256214</v>
      </c>
      <c r="T240" s="37" t="s">
        <v>178</v>
      </c>
      <c r="U240" s="39" t="s">
        <v>612</v>
      </c>
      <c r="V240" s="298" t="s">
        <v>613</v>
      </c>
    </row>
    <row r="241" spans="1:22">
      <c r="A241" s="374" t="s">
        <v>614</v>
      </c>
      <c r="B241" s="373">
        <v>34.49</v>
      </c>
      <c r="C241" s="374">
        <v>34.200000000000003</v>
      </c>
      <c r="D241" s="374">
        <v>34.56</v>
      </c>
      <c r="E241" s="374">
        <v>33.9</v>
      </c>
      <c r="F241" s="374" t="s">
        <v>615</v>
      </c>
      <c r="G241" s="375">
        <v>1.5E-3</v>
      </c>
      <c r="H241" s="376">
        <f t="shared" si="19"/>
        <v>5.8072009291523231E-6</v>
      </c>
      <c r="I241" s="376">
        <f t="shared" si="20"/>
        <v>-7.0824524312896389E-3</v>
      </c>
      <c r="J241" s="374">
        <f t="shared" si="18"/>
        <v>-0.3287271311794473</v>
      </c>
      <c r="L241" s="266" t="s">
        <v>535</v>
      </c>
      <c r="M241" s="267">
        <f>M239 - M232*SQRT(M226)</f>
        <v>0.80914440166075585</v>
      </c>
      <c r="T241" s="43">
        <v>20</v>
      </c>
      <c r="U241" s="327">
        <f>IF(T241&gt;M$228,MAX(T241-M$227,0) - M$253, M$253)</f>
        <v>16.101260509539493</v>
      </c>
      <c r="V241" s="328">
        <f>IF(T241&lt;M$228,MAX(T241-M$227,0) - M$256, -M$256)</f>
        <v>9.1612605095394919</v>
      </c>
    </row>
    <row r="242" spans="1:22" ht="16.5" thickBot="1">
      <c r="A242" s="374" t="s">
        <v>616</v>
      </c>
      <c r="B242" s="373">
        <v>34.44</v>
      </c>
      <c r="C242" s="374">
        <v>34.85</v>
      </c>
      <c r="D242" s="374">
        <v>34.93</v>
      </c>
      <c r="E242" s="374">
        <v>34.26</v>
      </c>
      <c r="F242" s="374" t="s">
        <v>617</v>
      </c>
      <c r="G242" s="375">
        <v>-3.5000000000000001E-3</v>
      </c>
      <c r="H242" s="376">
        <f t="shared" si="19"/>
        <v>-1.3888888888889284E-5</v>
      </c>
      <c r="I242" s="376">
        <f t="shared" si="20"/>
        <v>-6.5671641791044877E-3</v>
      </c>
      <c r="J242" s="374">
        <f t="shared" si="18"/>
        <v>-0.32996108949416347</v>
      </c>
      <c r="L242" s="266" t="s">
        <v>538</v>
      </c>
      <c r="M242" s="267">
        <f>M239 - M232*SQRT(M226)</f>
        <v>0.80914440166075585</v>
      </c>
      <c r="T242" s="43">
        <v>21</v>
      </c>
      <c r="U242" s="327">
        <f t="shared" ref="U242:U276" si="21">IF(T242&gt;M$228,MAX(T242-M$227,0) - M$253, M$253)</f>
        <v>16.101260509539493</v>
      </c>
      <c r="V242" s="328">
        <f t="shared" ref="V242:V276" si="22">IF(T242&lt;M$228,MAX(T242-M$227,0) - M$256, -M$256)</f>
        <v>9.1612605095394919</v>
      </c>
    </row>
    <row r="243" spans="1:22">
      <c r="A243" s="374" t="s">
        <v>618</v>
      </c>
      <c r="B243" s="373">
        <v>34.56</v>
      </c>
      <c r="C243" s="374">
        <v>35.4</v>
      </c>
      <c r="D243" s="374">
        <v>35.5</v>
      </c>
      <c r="E243" s="374">
        <v>34.200000000000003</v>
      </c>
      <c r="F243" s="374" t="s">
        <v>619</v>
      </c>
      <c r="G243" s="375">
        <v>-3.3000000000000002E-2</v>
      </c>
      <c r="H243" s="376">
        <f t="shared" si="19"/>
        <v>-1.3206491326245119E-4</v>
      </c>
      <c r="I243" s="376">
        <f t="shared" si="20"/>
        <v>-8.9619732785200419E-3</v>
      </c>
      <c r="J243" s="374">
        <f t="shared" si="18"/>
        <v>-0.31888056759952699</v>
      </c>
      <c r="L243" s="266" t="s">
        <v>541</v>
      </c>
      <c r="M243" s="268">
        <f>_xlfn.NORM.S.DIST(M238,TRUE)</f>
        <v>0.978811652271391</v>
      </c>
      <c r="O243" s="155" t="s">
        <v>620</v>
      </c>
      <c r="P243" s="271">
        <f>M229*M243*EXP(-M230*M226) - M227*EXP(-M231*M226)*M245</f>
        <v>12.067314006351822</v>
      </c>
      <c r="T243" s="43">
        <v>22</v>
      </c>
      <c r="U243" s="327">
        <f t="shared" si="21"/>
        <v>16.101260509539493</v>
      </c>
      <c r="V243" s="328">
        <f t="shared" si="22"/>
        <v>9.1612605095394919</v>
      </c>
    </row>
    <row r="244" spans="1:22">
      <c r="A244" s="374" t="s">
        <v>621</v>
      </c>
      <c r="B244" s="373">
        <v>35.74</v>
      </c>
      <c r="C244" s="374">
        <v>35.99</v>
      </c>
      <c r="D244" s="374">
        <v>36.700000000000003</v>
      </c>
      <c r="E244" s="374">
        <v>35.549999999999997</v>
      </c>
      <c r="F244" s="374" t="s">
        <v>622</v>
      </c>
      <c r="G244" s="375">
        <v>-1.9199999999999998E-2</v>
      </c>
      <c r="H244" s="376">
        <f t="shared" si="19"/>
        <v>-7.683863885839682E-5</v>
      </c>
      <c r="I244" s="376">
        <f t="shared" si="20"/>
        <v>-3.8967261112589835E-3</v>
      </c>
      <c r="J244" s="374">
        <f t="shared" si="18"/>
        <v>-0.30277019118220827</v>
      </c>
      <c r="L244" s="266" t="s">
        <v>544</v>
      </c>
      <c r="M244" s="268">
        <f>_xlfn.NORM.S.DIST(M239,TRUE)</f>
        <v>0.80431070183337039</v>
      </c>
      <c r="O244" s="266" t="s">
        <v>623</v>
      </c>
      <c r="P244" s="317">
        <f>M229*EXP(-M230*M226)*(M228/M229)^(2*M237)*(M248-M244)</f>
        <v>-5.1741352401376943</v>
      </c>
      <c r="T244" s="43">
        <v>23</v>
      </c>
      <c r="U244" s="327">
        <f t="shared" si="21"/>
        <v>16.101260509539493</v>
      </c>
      <c r="V244" s="328">
        <f t="shared" si="22"/>
        <v>9.1612605095394919</v>
      </c>
    </row>
    <row r="245" spans="1:22" ht="16.5" thickBot="1">
      <c r="A245" s="374" t="s">
        <v>624</v>
      </c>
      <c r="B245" s="373">
        <v>36.44</v>
      </c>
      <c r="C245" s="374">
        <v>36.33</v>
      </c>
      <c r="D245" s="374">
        <v>36.64</v>
      </c>
      <c r="E245" s="374">
        <v>35.869999999999997</v>
      </c>
      <c r="F245" s="374" t="s">
        <v>625</v>
      </c>
      <c r="G245" s="375">
        <v>-2.5100000000000001E-2</v>
      </c>
      <c r="H245" s="376">
        <f t="shared" si="19"/>
        <v>-1.0058855002675271E-4</v>
      </c>
      <c r="I245" s="376">
        <f t="shared" si="20"/>
        <v>-2.8578989150569003E-3</v>
      </c>
      <c r="J245" s="374">
        <f t="shared" si="18"/>
        <v>-0.27955713720838282</v>
      </c>
      <c r="L245" s="266" t="s">
        <v>547</v>
      </c>
      <c r="M245" s="268">
        <f>_xlfn.NORM.S.DIST(M241,TRUE)</f>
        <v>0.79078395458867856</v>
      </c>
      <c r="O245" s="54" t="s">
        <v>626</v>
      </c>
      <c r="P245" s="295">
        <f>M227*EXP(-M231*M226)*(M228/M229)^(2*M237 - 2) * (M247 - M250)</f>
        <v>-1.140188736950023</v>
      </c>
      <c r="T245" s="43">
        <v>24</v>
      </c>
      <c r="U245" s="327">
        <f t="shared" si="21"/>
        <v>16.101260509539493</v>
      </c>
      <c r="V245" s="328">
        <f t="shared" si="22"/>
        <v>9.1612605095394919</v>
      </c>
    </row>
    <row r="246" spans="1:22">
      <c r="A246" s="374" t="s">
        <v>627</v>
      </c>
      <c r="B246" s="373">
        <v>37.380000000000003</v>
      </c>
      <c r="C246" s="374">
        <v>37.880000000000003</v>
      </c>
      <c r="D246" s="374">
        <v>38.01</v>
      </c>
      <c r="E246" s="374">
        <v>37.14</v>
      </c>
      <c r="F246" s="374" t="s">
        <v>628</v>
      </c>
      <c r="G246" s="375">
        <v>-8.5000000000000006E-3</v>
      </c>
      <c r="H246" s="376">
        <f t="shared" si="19"/>
        <v>-3.3952254641909985E-5</v>
      </c>
      <c r="I246" s="376">
        <f t="shared" si="20"/>
        <v>-3.4996162701458199E-3</v>
      </c>
      <c r="J246" s="374">
        <f t="shared" si="18"/>
        <v>-0.23667551562180922</v>
      </c>
      <c r="L246" s="266" t="s">
        <v>629</v>
      </c>
      <c r="M246" s="268">
        <f>_xlfn.NORM.S.DIST(M240,TRUE)</f>
        <v>0.99973588249533452</v>
      </c>
      <c r="T246" s="43">
        <v>25</v>
      </c>
      <c r="U246" s="327">
        <f t="shared" si="21"/>
        <v>16.101260509539493</v>
      </c>
      <c r="V246" s="328">
        <f t="shared" si="22"/>
        <v>9.1612605095394919</v>
      </c>
    </row>
    <row r="247" spans="1:22">
      <c r="A247" s="374" t="s">
        <v>630</v>
      </c>
      <c r="B247" s="373">
        <v>37.700000000000003</v>
      </c>
      <c r="C247" s="374">
        <v>37.799999999999997</v>
      </c>
      <c r="D247" s="374">
        <v>38.01</v>
      </c>
      <c r="E247" s="374">
        <v>37.520000000000003</v>
      </c>
      <c r="F247" s="374" t="s">
        <v>631</v>
      </c>
      <c r="G247" s="375">
        <v>5.5999999999999999E-3</v>
      </c>
      <c r="H247" s="376">
        <f t="shared" si="19"/>
        <v>2.2405974926646977E-5</v>
      </c>
      <c r="I247" s="376">
        <f t="shared" si="20"/>
        <v>-1.885521885521877E-3</v>
      </c>
      <c r="J247" s="374">
        <f t="shared" si="18"/>
        <v>-0.23249185667752437</v>
      </c>
      <c r="L247" s="266" t="s">
        <v>632</v>
      </c>
      <c r="M247" s="268">
        <f>_xlfn.NORM.S.DIST(-M240 - M232*SQRT(M226),TRUE)</f>
        <v>2.2071476694310589E-4</v>
      </c>
      <c r="T247" s="43">
        <v>26</v>
      </c>
      <c r="U247" s="327">
        <f t="shared" si="21"/>
        <v>16.101260509539493</v>
      </c>
      <c r="V247" s="328">
        <f t="shared" si="22"/>
        <v>9.1612605095394919</v>
      </c>
    </row>
    <row r="248" spans="1:22">
      <c r="A248" s="374" t="s">
        <v>633</v>
      </c>
      <c r="B248" s="373">
        <v>37.49</v>
      </c>
      <c r="C248" s="374">
        <v>38</v>
      </c>
      <c r="D248" s="374">
        <v>38</v>
      </c>
      <c r="E248" s="374">
        <v>37.35</v>
      </c>
      <c r="F248" s="374" t="s">
        <v>634</v>
      </c>
      <c r="G248" s="375">
        <v>3.5000000000000001E-3</v>
      </c>
      <c r="H248" s="376">
        <f t="shared" si="19"/>
        <v>1.3918629550321526E-5</v>
      </c>
      <c r="I248" s="376">
        <f t="shared" si="20"/>
        <v>-4.0339702760084251E-4</v>
      </c>
      <c r="J248" s="374">
        <f t="shared" si="18"/>
        <v>-0.2355220228384991</v>
      </c>
      <c r="L248" s="266" t="s">
        <v>635</v>
      </c>
      <c r="M248" s="268">
        <f>_xlfn.NORM.S.DIST(-M240,TRUE)</f>
        <v>2.6411750466547403E-4</v>
      </c>
      <c r="T248" s="43">
        <v>27</v>
      </c>
      <c r="U248" s="327">
        <f t="shared" si="21"/>
        <v>16.101260509539493</v>
      </c>
      <c r="V248" s="328">
        <f t="shared" si="22"/>
        <v>9.1612605095394919</v>
      </c>
    </row>
    <row r="249" spans="1:22">
      <c r="A249" s="374" t="s">
        <v>636</v>
      </c>
      <c r="B249" s="373">
        <v>37.36</v>
      </c>
      <c r="C249" s="374">
        <v>37.53</v>
      </c>
      <c r="D249" s="374">
        <v>37.729999999999997</v>
      </c>
      <c r="E249" s="374">
        <v>36.94</v>
      </c>
      <c r="F249" s="374" t="s">
        <v>637</v>
      </c>
      <c r="G249" s="375">
        <v>-8.2000000000000007E-3</v>
      </c>
      <c r="H249" s="376">
        <f t="shared" si="19"/>
        <v>-3.2917440934430607E-5</v>
      </c>
      <c r="I249" s="376">
        <f t="shared" si="20"/>
        <v>8.0021627466882357E-4</v>
      </c>
      <c r="J249" s="374">
        <f t="shared" si="18"/>
        <v>-0.24018710595891812</v>
      </c>
      <c r="L249" s="266" t="s">
        <v>550</v>
      </c>
      <c r="M249" s="268">
        <f>_xlfn.NORM.S.DIST(M242,TRUE)</f>
        <v>0.79078395458867856</v>
      </c>
      <c r="T249" s="43">
        <v>28</v>
      </c>
      <c r="U249" s="327">
        <f t="shared" si="21"/>
        <v>16.101260509539493</v>
      </c>
      <c r="V249" s="328">
        <f t="shared" si="22"/>
        <v>9.1612605095394919</v>
      </c>
    </row>
    <row r="250" spans="1:22" ht="16.5" thickBot="1">
      <c r="A250" s="374" t="s">
        <v>638</v>
      </c>
      <c r="B250" s="373">
        <v>37.67</v>
      </c>
      <c r="C250" s="374">
        <v>38.71</v>
      </c>
      <c r="D250" s="374">
        <v>38.9</v>
      </c>
      <c r="E250" s="374">
        <v>37.42</v>
      </c>
      <c r="F250" s="374" t="s">
        <v>639</v>
      </c>
      <c r="G250" s="375">
        <v>-2.5100000000000001E-2</v>
      </c>
      <c r="H250" s="376">
        <f t="shared" si="19"/>
        <v>-1.0041407867494811E-4</v>
      </c>
      <c r="I250" s="376">
        <f t="shared" si="20"/>
        <v>2.4965781549411404E-3</v>
      </c>
      <c r="J250" s="374">
        <f t="shared" si="18"/>
        <v>-0.22617091207888251</v>
      </c>
      <c r="L250" s="54" t="s">
        <v>640</v>
      </c>
      <c r="M250" s="270">
        <f>_xlfn.NORM.S.DIST(-M239 + M232*SQRT(M226),TRUE)</f>
        <v>0.20921604541132141</v>
      </c>
      <c r="T250" s="43">
        <v>29</v>
      </c>
      <c r="U250" s="327">
        <f t="shared" si="21"/>
        <v>16.101260509539493</v>
      </c>
      <c r="V250" s="328">
        <f t="shared" si="22"/>
        <v>9.1612605095394919</v>
      </c>
    </row>
    <row r="251" spans="1:22">
      <c r="A251" s="374" t="s">
        <v>641</v>
      </c>
      <c r="B251" s="373">
        <v>38.64</v>
      </c>
      <c r="C251" s="374">
        <v>38.840000000000003</v>
      </c>
      <c r="D251" s="374">
        <v>39.090000000000003</v>
      </c>
      <c r="E251" s="374">
        <v>38.35</v>
      </c>
      <c r="F251" s="374" t="s">
        <v>642</v>
      </c>
      <c r="G251" s="375">
        <v>-1.4999999999999999E-2</v>
      </c>
      <c r="H251" s="376">
        <f t="shared" si="19"/>
        <v>-6.0158042314554905E-5</v>
      </c>
      <c r="I251" s="376">
        <f t="shared" si="20"/>
        <v>3.7043054427294921E-3</v>
      </c>
      <c r="J251" s="374">
        <f t="shared" si="18"/>
        <v>-0.21142857142857141</v>
      </c>
      <c r="T251" s="43">
        <v>30</v>
      </c>
      <c r="U251" s="327">
        <f t="shared" si="21"/>
        <v>16.101260509539493</v>
      </c>
      <c r="V251" s="328">
        <f t="shared" si="22"/>
        <v>9.1612605095394919</v>
      </c>
    </row>
    <row r="252" spans="1:22" ht="16.5" thickBot="1">
      <c r="A252" s="374" t="s">
        <v>643</v>
      </c>
      <c r="B252" s="373">
        <v>39.229999999999997</v>
      </c>
      <c r="C252" s="374">
        <v>38.5</v>
      </c>
      <c r="D252" s="374">
        <v>39.33</v>
      </c>
      <c r="E252" s="374">
        <v>38.479999999999997</v>
      </c>
      <c r="F252" s="374" t="s">
        <v>644</v>
      </c>
      <c r="G252" s="375">
        <v>2.6200000000000001E-2</v>
      </c>
      <c r="H252" s="376">
        <f t="shared" si="19"/>
        <v>1.0462987182840689E-4</v>
      </c>
      <c r="I252" s="376">
        <f t="shared" si="20"/>
        <v>2.6329647182727813E-3</v>
      </c>
      <c r="J252" s="374">
        <f t="shared" si="18"/>
        <v>-0.19196704428424305</v>
      </c>
      <c r="T252" s="43">
        <v>31</v>
      </c>
      <c r="U252" s="327">
        <f t="shared" si="21"/>
        <v>16.101260509539493</v>
      </c>
      <c r="V252" s="328">
        <f t="shared" si="22"/>
        <v>10.161260509539492</v>
      </c>
    </row>
    <row r="253" spans="1:22">
      <c r="A253" s="374" t="s">
        <v>645</v>
      </c>
      <c r="B253" s="373">
        <v>38.229999999999997</v>
      </c>
      <c r="C253" s="374">
        <v>38.229999999999997</v>
      </c>
      <c r="D253" s="374">
        <v>39.06</v>
      </c>
      <c r="E253" s="374">
        <v>38.06</v>
      </c>
      <c r="F253" s="374" t="s">
        <v>646</v>
      </c>
      <c r="G253" s="375">
        <v>5.4999999999999997E-3</v>
      </c>
      <c r="H253" s="376">
        <f t="shared" si="19"/>
        <v>2.2093634928983975E-5</v>
      </c>
      <c r="I253" s="376">
        <f t="shared" si="20"/>
        <v>3.5733053074093134E-4</v>
      </c>
      <c r="J253" s="374">
        <f t="shared" si="18"/>
        <v>-0.21627716277162778</v>
      </c>
      <c r="L253" s="276" t="s">
        <v>647</v>
      </c>
      <c r="M253" s="320">
        <f>P243 - P244 +P245</f>
        <v>16.101260509539493</v>
      </c>
      <c r="T253" s="43">
        <v>32</v>
      </c>
      <c r="U253" s="327">
        <f t="shared" si="21"/>
        <v>16.101260509539493</v>
      </c>
      <c r="V253" s="328">
        <f t="shared" si="22"/>
        <v>11.161260509539492</v>
      </c>
    </row>
    <row r="254" spans="1:22" ht="16.5" thickBot="1">
      <c r="A254" s="374" t="s">
        <v>648</v>
      </c>
      <c r="B254" s="373">
        <v>38.020000000000003</v>
      </c>
      <c r="C254" s="374">
        <v>37.96</v>
      </c>
      <c r="D254" s="374">
        <v>38.729999999999997</v>
      </c>
      <c r="E254" s="374">
        <v>37.58</v>
      </c>
      <c r="F254" s="374" t="s">
        <v>649</v>
      </c>
      <c r="G254" s="375">
        <v>-2.5999999999999999E-3</v>
      </c>
      <c r="H254" s="376">
        <f t="shared" si="19"/>
        <v>-1.0493179433367583E-5</v>
      </c>
      <c r="I254" s="376">
        <f t="shared" si="20"/>
        <v>-1.4702021527960519E-4</v>
      </c>
      <c r="J254" s="374">
        <f t="shared" si="18"/>
        <v>-0.21543541064795702</v>
      </c>
      <c r="L254" s="280" t="s">
        <v>558</v>
      </c>
      <c r="M254" s="321">
        <v>6.94</v>
      </c>
      <c r="T254" s="43">
        <v>33</v>
      </c>
      <c r="U254" s="327">
        <f t="shared" si="21"/>
        <v>16.101260509539493</v>
      </c>
      <c r="V254" s="328">
        <f t="shared" si="22"/>
        <v>12.161260509539492</v>
      </c>
    </row>
    <row r="255" spans="1:22" ht="16.5" thickBot="1">
      <c r="A255" s="374" t="s">
        <v>650</v>
      </c>
      <c r="B255" s="373">
        <v>38.119999999999997</v>
      </c>
      <c r="C255" s="374">
        <v>38.21</v>
      </c>
      <c r="D255" s="374">
        <v>38.71</v>
      </c>
      <c r="E255" s="374">
        <v>37.700000000000003</v>
      </c>
      <c r="F255" s="374" t="s">
        <v>651</v>
      </c>
      <c r="G255" s="375">
        <v>-1.4200000000000001E-2</v>
      </c>
      <c r="H255" s="376">
        <f t="shared" si="19"/>
        <v>-5.6891647271787527E-5</v>
      </c>
      <c r="I255" s="376">
        <f t="shared" si="20"/>
        <v>5.2812252442565818E-4</v>
      </c>
      <c r="J255" s="374">
        <f t="shared" si="18"/>
        <v>-0.21141911460488216</v>
      </c>
      <c r="T255" s="43">
        <v>34</v>
      </c>
      <c r="U255" s="327">
        <f t="shared" si="21"/>
        <v>16.101260509539493</v>
      </c>
      <c r="V255" s="328">
        <f t="shared" si="22"/>
        <v>9.1612605095394919</v>
      </c>
    </row>
    <row r="256" spans="1:22" ht="16.5" thickBot="1">
      <c r="A256" s="374" t="s">
        <v>652</v>
      </c>
      <c r="B256" s="373">
        <v>38.67</v>
      </c>
      <c r="C256" s="374">
        <v>39.119999999999997</v>
      </c>
      <c r="D256" s="374">
        <v>39.25</v>
      </c>
      <c r="E256" s="374">
        <v>37.950000000000003</v>
      </c>
      <c r="F256" s="374" t="s">
        <v>653</v>
      </c>
      <c r="G256" s="375">
        <v>-8.2000000000000007E-3</v>
      </c>
      <c r="H256" s="376">
        <f t="shared" si="19"/>
        <v>-3.2828930494998691E-5</v>
      </c>
      <c r="I256" s="376">
        <f t="shared" si="20"/>
        <v>5.2231404958677707E-3</v>
      </c>
      <c r="J256" s="374">
        <f t="shared" si="18"/>
        <v>-0.18193357309075531</v>
      </c>
      <c r="L256" s="318" t="s">
        <v>654</v>
      </c>
      <c r="M256" s="319">
        <f>M254-M253</f>
        <v>-9.1612605095394919</v>
      </c>
      <c r="T256" s="43">
        <v>35</v>
      </c>
      <c r="U256" s="327">
        <f t="shared" si="21"/>
        <v>-11.101260509539493</v>
      </c>
      <c r="V256" s="328">
        <f t="shared" si="22"/>
        <v>9.1612605095394919</v>
      </c>
    </row>
    <row r="257" spans="1:22">
      <c r="A257" s="374" t="s">
        <v>655</v>
      </c>
      <c r="B257" s="373">
        <v>38.99</v>
      </c>
      <c r="C257" s="374">
        <v>39.659999999999997</v>
      </c>
      <c r="D257" s="374">
        <v>40.369999999999997</v>
      </c>
      <c r="E257" s="374">
        <v>38.299999999999997</v>
      </c>
      <c r="F257" s="374" t="s">
        <v>656</v>
      </c>
      <c r="G257" s="375">
        <v>-1.52E-2</v>
      </c>
      <c r="H257" s="376">
        <f t="shared" si="19"/>
        <v>-6.0621369032584304E-5</v>
      </c>
      <c r="I257" s="376">
        <f t="shared" si="20"/>
        <v>6.0231660231660376E-3</v>
      </c>
      <c r="J257" s="374">
        <f t="shared" si="18"/>
        <v>-0.16989567809239936</v>
      </c>
      <c r="T257" s="43">
        <v>36</v>
      </c>
      <c r="U257" s="327">
        <f t="shared" si="21"/>
        <v>-10.101260509539493</v>
      </c>
      <c r="V257" s="328">
        <f t="shared" si="22"/>
        <v>9.1612605095394919</v>
      </c>
    </row>
    <row r="258" spans="1:22">
      <c r="A258" s="374" t="s">
        <v>657</v>
      </c>
      <c r="B258" s="373">
        <v>39.590000000000003</v>
      </c>
      <c r="C258" s="374">
        <v>39.44</v>
      </c>
      <c r="D258" s="374">
        <v>40.020000000000003</v>
      </c>
      <c r="E258" s="374">
        <v>38.590000000000003</v>
      </c>
      <c r="F258" s="374" t="s">
        <v>658</v>
      </c>
      <c r="G258" s="375">
        <v>1.67E-2</v>
      </c>
      <c r="H258" s="376">
        <f t="shared" si="19"/>
        <v>6.6769388803288092E-5</v>
      </c>
      <c r="I258" s="376">
        <f t="shared" si="20"/>
        <v>5.9018171955519533E-3</v>
      </c>
      <c r="J258" s="374">
        <f t="shared" ref="J258:J321" si="23">(B258/B508 -1)</f>
        <v>-0.1672275978123684</v>
      </c>
      <c r="T258" s="43">
        <v>37</v>
      </c>
      <c r="U258" s="327">
        <f t="shared" si="21"/>
        <v>-9.1012605095394932</v>
      </c>
      <c r="V258" s="328">
        <f t="shared" si="22"/>
        <v>9.1612605095394919</v>
      </c>
    </row>
    <row r="259" spans="1:22">
      <c r="A259" s="374" t="s">
        <v>659</v>
      </c>
      <c r="B259" s="373">
        <v>38.94</v>
      </c>
      <c r="C259" s="374">
        <v>38.799999999999997</v>
      </c>
      <c r="D259" s="374">
        <v>39.090000000000003</v>
      </c>
      <c r="E259" s="374">
        <v>38.31</v>
      </c>
      <c r="F259" s="374" t="s">
        <v>660</v>
      </c>
      <c r="G259" s="375">
        <v>-5.5999999999999999E-3</v>
      </c>
      <c r="H259" s="376">
        <f t="shared" ref="H259:H322" si="24">(B259/B260 -1)*(1/250)</f>
        <v>-2.2471910112359606E-5</v>
      </c>
      <c r="I259" s="376">
        <f t="shared" ref="I259:I322" si="25">(B259/B279 -1)*(20/250)</f>
        <v>4.9754500818330709E-3</v>
      </c>
      <c r="J259" s="374" t="e">
        <f t="shared" si="23"/>
        <v>#DIV/0!</v>
      </c>
      <c r="T259" s="43">
        <v>38</v>
      </c>
      <c r="U259" s="327">
        <f t="shared" si="21"/>
        <v>-8.1012605095394932</v>
      </c>
      <c r="V259" s="328">
        <f t="shared" si="22"/>
        <v>9.1612605095394919</v>
      </c>
    </row>
    <row r="260" spans="1:22">
      <c r="A260" s="374" t="s">
        <v>661</v>
      </c>
      <c r="B260" s="373">
        <v>39.159999999999997</v>
      </c>
      <c r="C260" s="374">
        <v>38.369999999999997</v>
      </c>
      <c r="D260" s="374">
        <v>39.229999999999997</v>
      </c>
      <c r="E260" s="374">
        <v>38.340000000000003</v>
      </c>
      <c r="F260" s="374" t="s">
        <v>662</v>
      </c>
      <c r="G260" s="375">
        <v>3.49E-2</v>
      </c>
      <c r="H260" s="376">
        <f t="shared" si="24"/>
        <v>1.395348837209296E-4</v>
      </c>
      <c r="I260" s="376">
        <f t="shared" si="25"/>
        <v>3.7423148890670887E-3</v>
      </c>
      <c r="J260" s="374" t="e">
        <f t="shared" si="23"/>
        <v>#DIV/0!</v>
      </c>
      <c r="T260" s="43">
        <v>39</v>
      </c>
      <c r="U260" s="327">
        <f t="shared" si="21"/>
        <v>-7.1012605095394932</v>
      </c>
      <c r="V260" s="328">
        <f t="shared" si="22"/>
        <v>9.1612605095394919</v>
      </c>
    </row>
    <row r="261" spans="1:22">
      <c r="A261" s="374" t="s">
        <v>663</v>
      </c>
      <c r="B261" s="373">
        <v>37.840000000000003</v>
      </c>
      <c r="C261" s="374">
        <v>38.28</v>
      </c>
      <c r="D261" s="374">
        <v>38.89</v>
      </c>
      <c r="E261" s="374">
        <v>37.840000000000003</v>
      </c>
      <c r="F261" s="374" t="s">
        <v>664</v>
      </c>
      <c r="G261" s="375">
        <v>8.5000000000000006E-3</v>
      </c>
      <c r="H261" s="376">
        <f t="shared" si="24"/>
        <v>3.4115138592750504E-5</v>
      </c>
      <c r="I261" s="376">
        <f t="shared" si="25"/>
        <v>1.9712970484700955E-3</v>
      </c>
      <c r="J261" s="374" t="e">
        <f t="shared" si="23"/>
        <v>#DIV/0!</v>
      </c>
      <c r="T261" s="43">
        <v>40</v>
      </c>
      <c r="U261" s="327">
        <f t="shared" si="21"/>
        <v>-6.1012605095394932</v>
      </c>
      <c r="V261" s="328">
        <f t="shared" si="22"/>
        <v>9.1612605095394919</v>
      </c>
    </row>
    <row r="262" spans="1:22">
      <c r="A262" s="374" t="s">
        <v>665</v>
      </c>
      <c r="B262" s="373">
        <v>37.520000000000003</v>
      </c>
      <c r="C262" s="374">
        <v>38.22</v>
      </c>
      <c r="D262" s="374">
        <v>38.42</v>
      </c>
      <c r="E262" s="374">
        <v>37.01</v>
      </c>
      <c r="F262" s="374" t="s">
        <v>666</v>
      </c>
      <c r="G262" s="375">
        <v>-3.5999999999999997E-2</v>
      </c>
      <c r="H262" s="376">
        <f t="shared" si="24"/>
        <v>-1.4388489208633093E-4</v>
      </c>
      <c r="I262" s="376">
        <f t="shared" si="25"/>
        <v>1.709401709401881E-4</v>
      </c>
      <c r="J262" s="374" t="e">
        <f t="shared" si="23"/>
        <v>#DIV/0!</v>
      </c>
      <c r="T262" s="43">
        <v>41</v>
      </c>
      <c r="U262" s="327">
        <f t="shared" si="21"/>
        <v>-5.1012605095394932</v>
      </c>
      <c r="V262" s="328">
        <f t="shared" si="22"/>
        <v>9.1612605095394919</v>
      </c>
    </row>
    <row r="263" spans="1:22">
      <c r="A263" s="374" t="s">
        <v>667</v>
      </c>
      <c r="B263" s="373">
        <v>38.92</v>
      </c>
      <c r="C263" s="374">
        <v>37.380000000000003</v>
      </c>
      <c r="D263" s="374">
        <v>39.86</v>
      </c>
      <c r="E263" s="374">
        <v>37.35</v>
      </c>
      <c r="F263" s="374" t="s">
        <v>601</v>
      </c>
      <c r="G263" s="375">
        <v>3.5900000000000001E-2</v>
      </c>
      <c r="H263" s="376">
        <f t="shared" si="24"/>
        <v>1.4373170082512666E-4</v>
      </c>
      <c r="I263" s="376">
        <f t="shared" si="25"/>
        <v>2.8966986155484521E-3</v>
      </c>
      <c r="J263" s="374" t="e">
        <f t="shared" si="23"/>
        <v>#DIV/0!</v>
      </c>
      <c r="T263" s="43">
        <v>42</v>
      </c>
      <c r="U263" s="327">
        <f t="shared" si="21"/>
        <v>-4.1012605095394932</v>
      </c>
      <c r="V263" s="328">
        <f t="shared" si="22"/>
        <v>9.1612605095394919</v>
      </c>
    </row>
    <row r="264" spans="1:22">
      <c r="A264" s="374" t="s">
        <v>668</v>
      </c>
      <c r="B264" s="373">
        <v>37.57</v>
      </c>
      <c r="C264" s="374">
        <v>37.4</v>
      </c>
      <c r="D264" s="374">
        <v>37.799999999999997</v>
      </c>
      <c r="E264" s="374">
        <v>37.270000000000003</v>
      </c>
      <c r="F264" s="374" t="s">
        <v>669</v>
      </c>
      <c r="G264" s="375">
        <v>-5.7999999999999996E-3</v>
      </c>
      <c r="H264" s="376">
        <f t="shared" si="24"/>
        <v>-2.3286583752315516E-5</v>
      </c>
      <c r="I264" s="376">
        <f t="shared" si="25"/>
        <v>-1.3193717277486972E-3</v>
      </c>
      <c r="J264" s="374" t="e">
        <f t="shared" si="23"/>
        <v>#DIV/0!</v>
      </c>
      <c r="T264" s="43">
        <v>43</v>
      </c>
      <c r="U264" s="327">
        <f t="shared" si="21"/>
        <v>-3.1012605095394932</v>
      </c>
      <c r="V264" s="328">
        <f t="shared" si="22"/>
        <v>9.1612605095394919</v>
      </c>
    </row>
    <row r="265" spans="1:22">
      <c r="A265" s="374" t="s">
        <v>670</v>
      </c>
      <c r="B265" s="373">
        <v>37.79</v>
      </c>
      <c r="C265" s="374">
        <v>38.299999999999997</v>
      </c>
      <c r="D265" s="374">
        <v>38.450000000000003</v>
      </c>
      <c r="E265" s="374">
        <v>37.4</v>
      </c>
      <c r="F265" s="374" t="s">
        <v>671</v>
      </c>
      <c r="G265" s="375">
        <v>-3.3300000000000003E-2</v>
      </c>
      <c r="H265" s="376">
        <f t="shared" si="24"/>
        <v>-1.330263494499877E-4</v>
      </c>
      <c r="I265" s="376">
        <f t="shared" si="25"/>
        <v>-2.3218997361477812E-4</v>
      </c>
      <c r="J265" s="374" t="e">
        <f t="shared" si="23"/>
        <v>#DIV/0!</v>
      </c>
      <c r="T265" s="43">
        <v>44</v>
      </c>
      <c r="U265" s="327">
        <f t="shared" si="21"/>
        <v>-2.1012605095394932</v>
      </c>
      <c r="V265" s="328">
        <f t="shared" si="22"/>
        <v>9.1612605095394919</v>
      </c>
    </row>
    <row r="266" spans="1:22">
      <c r="A266" s="374" t="s">
        <v>672</v>
      </c>
      <c r="B266" s="373">
        <v>39.090000000000003</v>
      </c>
      <c r="C266" s="374">
        <v>38.700000000000003</v>
      </c>
      <c r="D266" s="374">
        <v>39.33</v>
      </c>
      <c r="E266" s="374">
        <v>38.5</v>
      </c>
      <c r="F266" s="374" t="s">
        <v>673</v>
      </c>
      <c r="G266" s="375">
        <v>1.24E-2</v>
      </c>
      <c r="H266" s="376">
        <f t="shared" si="24"/>
        <v>4.9728049728050117E-5</v>
      </c>
      <c r="I266" s="376">
        <f t="shared" si="25"/>
        <v>3.3475479744136472E-3</v>
      </c>
      <c r="J266" s="374" t="e">
        <f t="shared" si="23"/>
        <v>#DIV/0!</v>
      </c>
      <c r="T266" s="43">
        <v>45</v>
      </c>
      <c r="U266" s="327">
        <f t="shared" si="21"/>
        <v>-1.1012605095394932</v>
      </c>
      <c r="V266" s="328">
        <f t="shared" si="22"/>
        <v>9.1612605095394919</v>
      </c>
    </row>
    <row r="267" spans="1:22">
      <c r="A267" s="374" t="s">
        <v>674</v>
      </c>
      <c r="B267" s="373">
        <v>38.61</v>
      </c>
      <c r="C267" s="374">
        <v>37.5</v>
      </c>
      <c r="D267" s="374">
        <v>38.78</v>
      </c>
      <c r="E267" s="374">
        <v>37.39</v>
      </c>
      <c r="F267" s="374" t="s">
        <v>675</v>
      </c>
      <c r="G267" s="375">
        <v>2.47E-2</v>
      </c>
      <c r="H267" s="376">
        <f t="shared" si="24"/>
        <v>9.8726114649681841E-5</v>
      </c>
      <c r="I267" s="376">
        <f t="shared" si="25"/>
        <v>1.974522292993637E-3</v>
      </c>
      <c r="J267" s="374" t="e">
        <f t="shared" si="23"/>
        <v>#DIV/0!</v>
      </c>
      <c r="T267" s="43">
        <v>46</v>
      </c>
      <c r="U267" s="327">
        <f t="shared" si="21"/>
        <v>-0.10126050953949317</v>
      </c>
      <c r="V267" s="328">
        <f t="shared" si="22"/>
        <v>9.1612605095394919</v>
      </c>
    </row>
    <row r="268" spans="1:22">
      <c r="A268" s="374" t="s">
        <v>676</v>
      </c>
      <c r="B268" s="373">
        <v>37.68</v>
      </c>
      <c r="C268" s="374">
        <v>37.549999999999997</v>
      </c>
      <c r="D268" s="374">
        <v>37.86</v>
      </c>
      <c r="E268" s="374">
        <v>36.75</v>
      </c>
      <c r="F268" s="374" t="s">
        <v>677</v>
      </c>
      <c r="G268" s="375">
        <v>1.8700000000000001E-2</v>
      </c>
      <c r="H268" s="376">
        <f t="shared" si="24"/>
        <v>7.4614760746147366E-5</v>
      </c>
      <c r="I268" s="376">
        <f t="shared" si="25"/>
        <v>1.2759170653907858E-4</v>
      </c>
      <c r="J268" s="374" t="e">
        <f t="shared" si="23"/>
        <v>#DIV/0!</v>
      </c>
      <c r="T268" s="43">
        <v>47</v>
      </c>
      <c r="U268" s="327">
        <f t="shared" si="21"/>
        <v>0.89873949046050683</v>
      </c>
      <c r="V268" s="328">
        <f t="shared" si="22"/>
        <v>9.1612605095394919</v>
      </c>
    </row>
    <row r="269" spans="1:22">
      <c r="A269" s="374" t="s">
        <v>678</v>
      </c>
      <c r="B269" s="373">
        <v>36.99</v>
      </c>
      <c r="C269" s="374">
        <v>36.630000000000003</v>
      </c>
      <c r="D269" s="374">
        <v>36.99</v>
      </c>
      <c r="E269" s="374">
        <v>36.49</v>
      </c>
      <c r="F269" s="374" t="s">
        <v>679</v>
      </c>
      <c r="G269" s="375">
        <v>1.26E-2</v>
      </c>
      <c r="H269" s="376">
        <f t="shared" si="24"/>
        <v>5.0369559266356667E-5</v>
      </c>
      <c r="I269" s="376">
        <f t="shared" si="25"/>
        <v>-6.8614312516751324E-4</v>
      </c>
      <c r="J269" s="374" t="e">
        <f t="shared" si="23"/>
        <v>#DIV/0!</v>
      </c>
      <c r="T269" s="43">
        <v>48</v>
      </c>
      <c r="U269" s="327">
        <f t="shared" si="21"/>
        <v>1.8987394904605068</v>
      </c>
      <c r="V269" s="328">
        <f t="shared" si="22"/>
        <v>9.1612605095394919</v>
      </c>
    </row>
    <row r="270" spans="1:22">
      <c r="A270" s="374" t="s">
        <v>680</v>
      </c>
      <c r="B270" s="373">
        <v>36.53</v>
      </c>
      <c r="C270" s="374">
        <v>36.659999999999997</v>
      </c>
      <c r="D270" s="374">
        <v>37.200000000000003</v>
      </c>
      <c r="E270" s="374">
        <v>36.5</v>
      </c>
      <c r="F270" s="374" t="s">
        <v>681</v>
      </c>
      <c r="G270" s="375">
        <v>-1.0800000000000001E-2</v>
      </c>
      <c r="H270" s="376">
        <f t="shared" si="24"/>
        <v>-4.3325209856484915E-5</v>
      </c>
      <c r="I270" s="376">
        <f t="shared" si="25"/>
        <v>-1.0162162162162148E-3</v>
      </c>
      <c r="J270" s="374" t="e">
        <f t="shared" si="23"/>
        <v>#DIV/0!</v>
      </c>
      <c r="T270" s="43">
        <v>49</v>
      </c>
      <c r="U270" s="327">
        <f t="shared" si="21"/>
        <v>2.8987394904605068</v>
      </c>
      <c r="V270" s="328">
        <f t="shared" si="22"/>
        <v>9.1612605095394919</v>
      </c>
    </row>
    <row r="271" spans="1:22">
      <c r="A271" s="374" t="s">
        <v>682</v>
      </c>
      <c r="B271" s="373">
        <v>36.93</v>
      </c>
      <c r="C271" s="374">
        <v>37.909999999999997</v>
      </c>
      <c r="D271" s="374">
        <v>37.950000000000003</v>
      </c>
      <c r="E271" s="374">
        <v>36.76</v>
      </c>
      <c r="F271" s="374" t="s">
        <v>683</v>
      </c>
      <c r="G271" s="375">
        <v>-2.76E-2</v>
      </c>
      <c r="H271" s="376">
        <f t="shared" si="24"/>
        <v>-1.105845181674563E-4</v>
      </c>
      <c r="I271" s="376">
        <f t="shared" si="25"/>
        <v>4.3348685992956605E-5</v>
      </c>
      <c r="J271" s="374" t="e">
        <f t="shared" si="23"/>
        <v>#DIV/0!</v>
      </c>
      <c r="T271" s="43">
        <v>50</v>
      </c>
      <c r="U271" s="327">
        <f t="shared" si="21"/>
        <v>3.8987394904605068</v>
      </c>
      <c r="V271" s="328">
        <f t="shared" si="22"/>
        <v>9.1612605095394919</v>
      </c>
    </row>
    <row r="272" spans="1:22">
      <c r="A272" s="374" t="s">
        <v>684</v>
      </c>
      <c r="B272" s="373">
        <v>37.979999999999997</v>
      </c>
      <c r="C272" s="374">
        <v>38.22</v>
      </c>
      <c r="D272" s="374">
        <v>38.299999999999997</v>
      </c>
      <c r="E272" s="374">
        <v>37.869999999999997</v>
      </c>
      <c r="F272" s="374" t="s">
        <v>685</v>
      </c>
      <c r="G272" s="375">
        <v>-2.0999999999999999E-3</v>
      </c>
      <c r="H272" s="376">
        <f t="shared" si="24"/>
        <v>-8.4077771939048421E-6</v>
      </c>
      <c r="I272" s="376">
        <f t="shared" si="25"/>
        <v>1.8755052546483421E-3</v>
      </c>
      <c r="J272" s="374" t="e">
        <f t="shared" si="23"/>
        <v>#DIV/0!</v>
      </c>
      <c r="T272" s="43">
        <v>51</v>
      </c>
      <c r="U272" s="327">
        <f t="shared" si="21"/>
        <v>4.8987394904605068</v>
      </c>
      <c r="V272" s="328">
        <f t="shared" si="22"/>
        <v>9.1612605095394919</v>
      </c>
    </row>
    <row r="273" spans="1:24">
      <c r="A273" s="374" t="s">
        <v>686</v>
      </c>
      <c r="B273" s="373">
        <v>38.06</v>
      </c>
      <c r="C273" s="374">
        <v>38.18</v>
      </c>
      <c r="D273" s="374">
        <v>38.36</v>
      </c>
      <c r="E273" s="374">
        <v>37.94</v>
      </c>
      <c r="F273" s="374" t="s">
        <v>687</v>
      </c>
      <c r="G273" s="375">
        <v>-8.0000000000000004E-4</v>
      </c>
      <c r="H273" s="376">
        <f t="shared" si="24"/>
        <v>-3.1504331845630953E-6</v>
      </c>
      <c r="I273" s="376">
        <f t="shared" si="25"/>
        <v>2.2696568495001478E-3</v>
      </c>
      <c r="J273" s="374" t="e">
        <f t="shared" si="23"/>
        <v>#DIV/0!</v>
      </c>
      <c r="T273" s="43">
        <v>52</v>
      </c>
      <c r="U273" s="327">
        <f t="shared" si="21"/>
        <v>5.8987394904605068</v>
      </c>
      <c r="V273" s="328">
        <f t="shared" si="22"/>
        <v>9.1612605095394919</v>
      </c>
    </row>
    <row r="274" spans="1:24">
      <c r="A274" s="374" t="s">
        <v>688</v>
      </c>
      <c r="B274" s="373">
        <v>38.090000000000003</v>
      </c>
      <c r="C274" s="374">
        <v>37.64</v>
      </c>
      <c r="D274" s="374">
        <v>38.47</v>
      </c>
      <c r="E274" s="374">
        <v>37.54</v>
      </c>
      <c r="F274" s="374" t="s">
        <v>689</v>
      </c>
      <c r="G274" s="375">
        <v>5.7999999999999996E-3</v>
      </c>
      <c r="H274" s="376">
        <f t="shared" si="24"/>
        <v>2.3237391074729886E-5</v>
      </c>
      <c r="I274" s="376">
        <f t="shared" si="25"/>
        <v>3.4392113910186239E-3</v>
      </c>
      <c r="J274" s="374" t="e">
        <f t="shared" si="23"/>
        <v>#DIV/0!</v>
      </c>
      <c r="T274" s="43">
        <v>53</v>
      </c>
      <c r="U274" s="327">
        <f t="shared" si="21"/>
        <v>6.8987394904605068</v>
      </c>
      <c r="V274" s="328">
        <f t="shared" si="22"/>
        <v>9.1612605095394919</v>
      </c>
    </row>
    <row r="275" spans="1:24">
      <c r="A275" s="374" t="s">
        <v>690</v>
      </c>
      <c r="B275" s="373">
        <v>37.869999999999997</v>
      </c>
      <c r="C275" s="374">
        <v>36.700000000000003</v>
      </c>
      <c r="D275" s="374">
        <v>38.159999999999997</v>
      </c>
      <c r="E275" s="374">
        <v>36.69</v>
      </c>
      <c r="F275" s="374" t="s">
        <v>691</v>
      </c>
      <c r="G275" s="375">
        <v>4.3299999999999998E-2</v>
      </c>
      <c r="H275" s="376">
        <f t="shared" si="24"/>
        <v>1.7300275482093675E-4</v>
      </c>
      <c r="I275" s="376">
        <f t="shared" si="25"/>
        <v>3.0482456140350856E-3</v>
      </c>
      <c r="J275" s="374" t="e">
        <f t="shared" si="23"/>
        <v>#DIV/0!</v>
      </c>
      <c r="T275" s="43">
        <v>54</v>
      </c>
      <c r="U275" s="327">
        <f t="shared" si="21"/>
        <v>7.8987394904605068</v>
      </c>
      <c r="V275" s="328">
        <f t="shared" si="22"/>
        <v>9.1612605095394919</v>
      </c>
    </row>
    <row r="276" spans="1:24" ht="16.5" thickBot="1">
      <c r="A276" s="374" t="s">
        <v>692</v>
      </c>
      <c r="B276" s="373">
        <v>36.299999999999997</v>
      </c>
      <c r="C276" s="374">
        <v>36.39</v>
      </c>
      <c r="D276" s="374">
        <v>36.65</v>
      </c>
      <c r="E276" s="374">
        <v>36.15</v>
      </c>
      <c r="F276" s="374" t="s">
        <v>693</v>
      </c>
      <c r="G276" s="375">
        <v>1.1000000000000001E-3</v>
      </c>
      <c r="H276" s="376">
        <f t="shared" si="24"/>
        <v>4.4125758411475148E-6</v>
      </c>
      <c r="I276" s="376">
        <f t="shared" si="25"/>
        <v>-5.6892778993436369E-4</v>
      </c>
      <c r="J276" s="374" t="e">
        <f t="shared" si="23"/>
        <v>#DIV/0!</v>
      </c>
      <c r="T276" s="329">
        <v>55</v>
      </c>
      <c r="U276" s="330">
        <f t="shared" si="21"/>
        <v>8.8987394904605068</v>
      </c>
      <c r="V276" s="331">
        <f t="shared" si="22"/>
        <v>9.1612605095394919</v>
      </c>
    </row>
    <row r="277" spans="1:24">
      <c r="A277" s="374" t="s">
        <v>694</v>
      </c>
      <c r="B277" s="373">
        <v>36.26</v>
      </c>
      <c r="C277" s="374">
        <v>36.700000000000003</v>
      </c>
      <c r="D277" s="374">
        <v>36.79</v>
      </c>
      <c r="E277" s="374">
        <v>36.06</v>
      </c>
      <c r="F277" s="374" t="s">
        <v>695</v>
      </c>
      <c r="G277" s="375">
        <v>-1.6500000000000001E-2</v>
      </c>
      <c r="H277" s="376">
        <f t="shared" si="24"/>
        <v>-6.6178464876593508E-5</v>
      </c>
      <c r="I277" s="376">
        <f t="shared" si="25"/>
        <v>8.4726867335561452E-4</v>
      </c>
      <c r="J277" s="374" t="e">
        <f t="shared" si="23"/>
        <v>#DIV/0!</v>
      </c>
    </row>
    <row r="278" spans="1:24">
      <c r="A278" s="374" t="s">
        <v>696</v>
      </c>
      <c r="B278" s="373">
        <v>36.869999999999997</v>
      </c>
      <c r="C278" s="374">
        <v>36.5</v>
      </c>
      <c r="D278" s="374">
        <v>37.049999999999997</v>
      </c>
      <c r="E278" s="374">
        <v>36.49</v>
      </c>
      <c r="F278" s="374" t="s">
        <v>697</v>
      </c>
      <c r="G278" s="375">
        <v>5.7000000000000002E-3</v>
      </c>
      <c r="H278" s="376">
        <f t="shared" si="24"/>
        <v>2.2913256955810368E-5</v>
      </c>
      <c r="I278" s="376">
        <f t="shared" si="25"/>
        <v>2.2073578595317579E-3</v>
      </c>
      <c r="J278" s="374" t="e">
        <f t="shared" si="23"/>
        <v>#DIV/0!</v>
      </c>
    </row>
    <row r="279" spans="1:24">
      <c r="A279" s="374" t="s">
        <v>698</v>
      </c>
      <c r="B279" s="373">
        <v>36.659999999999997</v>
      </c>
      <c r="C279" s="374">
        <v>37.340000000000003</v>
      </c>
      <c r="D279" s="374">
        <v>37.57</v>
      </c>
      <c r="E279" s="374">
        <v>36.450000000000003</v>
      </c>
      <c r="F279" s="374" t="s">
        <v>699</v>
      </c>
      <c r="G279" s="375">
        <v>-0.02</v>
      </c>
      <c r="H279" s="376">
        <f t="shared" si="24"/>
        <v>-8.0192461908580538E-5</v>
      </c>
      <c r="I279" s="376">
        <f t="shared" si="25"/>
        <v>2.1052631578947255E-3</v>
      </c>
      <c r="J279" s="374" t="e">
        <f t="shared" si="23"/>
        <v>#DIV/0!</v>
      </c>
    </row>
    <row r="280" spans="1:24">
      <c r="A280" s="374" t="s">
        <v>700</v>
      </c>
      <c r="B280" s="373">
        <v>37.409999999999997</v>
      </c>
      <c r="C280" s="374">
        <v>36.78</v>
      </c>
      <c r="D280" s="374">
        <v>37.630000000000003</v>
      </c>
      <c r="E280" s="374">
        <v>36.65</v>
      </c>
      <c r="F280" s="374" t="s">
        <v>701</v>
      </c>
      <c r="G280" s="375">
        <v>1.2999999999999999E-2</v>
      </c>
      <c r="H280" s="376">
        <f t="shared" si="24"/>
        <v>5.199025182778172E-5</v>
      </c>
      <c r="I280" s="376">
        <f t="shared" si="25"/>
        <v>4.0674157303370604E-3</v>
      </c>
      <c r="J280" s="374" t="e">
        <f t="shared" si="23"/>
        <v>#DIV/0!</v>
      </c>
      <c r="L280" s="1" t="s">
        <v>702</v>
      </c>
    </row>
    <row r="281" spans="1:24">
      <c r="A281" s="374" t="s">
        <v>703</v>
      </c>
      <c r="B281" s="373">
        <v>36.93</v>
      </c>
      <c r="C281" s="374">
        <v>37.32</v>
      </c>
      <c r="D281" s="374">
        <v>37.58</v>
      </c>
      <c r="E281" s="374">
        <v>36.450000000000003</v>
      </c>
      <c r="F281" s="374" t="s">
        <v>704</v>
      </c>
      <c r="G281" s="375">
        <v>-1.3599999999999999E-2</v>
      </c>
      <c r="H281" s="376">
        <f t="shared" si="24"/>
        <v>-5.4487179487179292E-5</v>
      </c>
      <c r="I281" s="376">
        <f t="shared" si="25"/>
        <v>1.3436123348017583E-3</v>
      </c>
      <c r="J281" s="374" t="e">
        <f t="shared" si="23"/>
        <v>#DIV/0!</v>
      </c>
    </row>
    <row r="282" spans="1:24">
      <c r="A282" s="374" t="s">
        <v>705</v>
      </c>
      <c r="B282" s="373">
        <v>37.44</v>
      </c>
      <c r="C282" s="374">
        <v>37.42</v>
      </c>
      <c r="D282" s="374">
        <v>37.64</v>
      </c>
      <c r="E282" s="374">
        <v>37</v>
      </c>
      <c r="F282" s="374" t="s">
        <v>706</v>
      </c>
      <c r="G282" s="375">
        <v>-3.2000000000000002E-3</v>
      </c>
      <c r="H282" s="376">
        <f t="shared" si="24"/>
        <v>-1.2779552715655563E-5</v>
      </c>
      <c r="I282" s="376">
        <f t="shared" si="25"/>
        <v>1.9928825622775649E-3</v>
      </c>
      <c r="J282" s="374" t="e">
        <f t="shared" si="23"/>
        <v>#DIV/0!</v>
      </c>
    </row>
    <row r="283" spans="1:24" ht="16.5" thickBot="1">
      <c r="A283" s="374" t="s">
        <v>707</v>
      </c>
      <c r="B283" s="373">
        <v>37.56</v>
      </c>
      <c r="C283" s="374">
        <v>36.6</v>
      </c>
      <c r="D283" s="374">
        <v>37.56</v>
      </c>
      <c r="E283" s="374">
        <v>36.25</v>
      </c>
      <c r="F283" s="374" t="s">
        <v>708</v>
      </c>
      <c r="G283" s="375">
        <v>-1.6799999999999999E-2</v>
      </c>
      <c r="H283" s="376">
        <f t="shared" si="24"/>
        <v>-6.7015706806282889E-5</v>
      </c>
      <c r="I283" s="376">
        <f t="shared" si="25"/>
        <v>2.05352266521027E-3</v>
      </c>
      <c r="J283" s="374" t="e">
        <f t="shared" si="23"/>
        <v>#DIV/0!</v>
      </c>
      <c r="U283" s="488" t="s">
        <v>709</v>
      </c>
      <c r="V283" s="488"/>
      <c r="W283" s="488" t="s">
        <v>710</v>
      </c>
      <c r="X283" s="488"/>
    </row>
    <row r="284" spans="1:24">
      <c r="A284" s="374" t="s">
        <v>711</v>
      </c>
      <c r="B284" s="373">
        <v>38.200000000000003</v>
      </c>
      <c r="C284" s="374">
        <v>37.96</v>
      </c>
      <c r="D284" s="374">
        <v>38.200000000000003</v>
      </c>
      <c r="E284" s="374">
        <v>37.82</v>
      </c>
      <c r="F284" s="374" t="s">
        <v>712</v>
      </c>
      <c r="G284" s="375">
        <v>7.9000000000000008E-3</v>
      </c>
      <c r="H284" s="376">
        <f t="shared" si="24"/>
        <v>3.1662269129288492E-5</v>
      </c>
      <c r="I284" s="376">
        <f t="shared" si="25"/>
        <v>4.9360755975542151E-3</v>
      </c>
      <c r="J284" s="374" t="e">
        <f t="shared" si="23"/>
        <v>#DIV/0!</v>
      </c>
      <c r="L284" s="1" t="s">
        <v>709</v>
      </c>
      <c r="P284" s="1" t="s">
        <v>710</v>
      </c>
      <c r="T284" s="37" t="s">
        <v>178</v>
      </c>
      <c r="U284" s="39" t="s">
        <v>713</v>
      </c>
      <c r="V284" s="39" t="s">
        <v>714</v>
      </c>
      <c r="W284" s="39" t="str">
        <f>U284</f>
        <v>Pui</v>
      </c>
      <c r="X284" s="298" t="str">
        <f>V284</f>
        <v>puo</v>
      </c>
    </row>
    <row r="285" spans="1:24" ht="16.5" thickBot="1">
      <c r="A285" s="374" t="s">
        <v>715</v>
      </c>
      <c r="B285" s="373">
        <v>37.9</v>
      </c>
      <c r="C285" s="374">
        <v>37.68</v>
      </c>
      <c r="D285" s="374">
        <v>38.08</v>
      </c>
      <c r="E285" s="374">
        <v>37.549999999999997</v>
      </c>
      <c r="F285" s="374" t="s">
        <v>716</v>
      </c>
      <c r="G285" s="375">
        <v>1.01E-2</v>
      </c>
      <c r="H285" s="376">
        <f t="shared" si="24"/>
        <v>4.0511727078890834E-5</v>
      </c>
      <c r="I285" s="376">
        <f t="shared" si="25"/>
        <v>3.6183121897407668E-3</v>
      </c>
      <c r="J285" s="374" t="e">
        <f t="shared" si="23"/>
        <v>#DIV/0!</v>
      </c>
      <c r="T285" s="43">
        <v>28</v>
      </c>
      <c r="U285" s="327">
        <f>IF(T285&gt;M$289,MAX(M$288-T$285,0) - M$314,- M$314)</f>
        <v>-3.5501647398813674E-2</v>
      </c>
      <c r="V285" s="327">
        <f>IF(T285&gt;M$289,MAX(M$288-T$285,0) - M$317,- M$317)</f>
        <v>5.5016473988136749E-3</v>
      </c>
      <c r="W285" s="327">
        <f>IF(T285&gt;Q$289,MAX(Q$288-T$285,0) - Q$320,- Q$320)</f>
        <v>-8.9810089563670693E-4</v>
      </c>
      <c r="X285" s="328">
        <f>IF(T285&gt;Q$289,MAX(Q$288-T$285,0) - Q$317,- Q$317)</f>
        <v>8.9810089563670693E-4</v>
      </c>
    </row>
    <row r="286" spans="1:24">
      <c r="A286" s="374" t="s">
        <v>717</v>
      </c>
      <c r="B286" s="373">
        <v>37.520000000000003</v>
      </c>
      <c r="C286" s="374">
        <v>37.799999999999997</v>
      </c>
      <c r="D286" s="374">
        <v>37.869999999999997</v>
      </c>
      <c r="E286" s="374">
        <v>37.5</v>
      </c>
      <c r="F286" s="374" t="s">
        <v>718</v>
      </c>
      <c r="G286" s="375">
        <v>-4.1999999999999997E-3</v>
      </c>
      <c r="H286" s="376">
        <f t="shared" si="24"/>
        <v>-1.6985138004245836E-5</v>
      </c>
      <c r="I286" s="376">
        <f t="shared" si="25"/>
        <v>2.5749656121045383E-3</v>
      </c>
      <c r="J286" s="374" t="e">
        <f t="shared" si="23"/>
        <v>#DIV/0!</v>
      </c>
      <c r="L286" s="480" t="s">
        <v>416</v>
      </c>
      <c r="M286" s="481"/>
      <c r="P286" s="480" t="s">
        <v>416</v>
      </c>
      <c r="Q286" s="481"/>
      <c r="T286" s="43">
        <v>29</v>
      </c>
      <c r="U286" s="327">
        <f t="shared" ref="U286:U307" si="26">IF(T286&gt;M$289,MAX(M$288-T$285,0) - M$314,- M$314)</f>
        <v>-3.5501647398813674E-2</v>
      </c>
      <c r="V286" s="327">
        <f t="shared" ref="V286:V307" si="27">IF(T286&gt;M$289,MAX(M$288-T$285,0) - M$317,- M$317)</f>
        <v>5.5016473988136749E-3</v>
      </c>
      <c r="W286" s="327">
        <f t="shared" ref="W286:W307" si="28">IF(T286&gt;Q$289,MAX(Q$288-T$285,0) - Q$320,- Q$320)</f>
        <v>-8.9810089563670693E-4</v>
      </c>
      <c r="X286" s="328">
        <f t="shared" ref="X286:X307" si="29">IF(T286&gt;Q$289,MAX(Q$288-T$285,0) - Q$317,- Q$317)</f>
        <v>8.9810089563670693E-4</v>
      </c>
    </row>
    <row r="287" spans="1:24">
      <c r="A287" s="374" t="s">
        <v>719</v>
      </c>
      <c r="B287" s="373">
        <v>37.68</v>
      </c>
      <c r="C287" s="374">
        <v>37.799999999999997</v>
      </c>
      <c r="D287" s="374">
        <v>38.15</v>
      </c>
      <c r="E287" s="374">
        <v>37.619999999999997</v>
      </c>
      <c r="F287" s="374" t="s">
        <v>720</v>
      </c>
      <c r="G287" s="375">
        <v>1.6000000000000001E-3</v>
      </c>
      <c r="H287" s="376">
        <f t="shared" si="24"/>
        <v>6.3795853269539296E-6</v>
      </c>
      <c r="I287" s="376">
        <f t="shared" si="25"/>
        <v>3.5245220282626734E-3</v>
      </c>
      <c r="J287" s="374" t="e">
        <f t="shared" si="23"/>
        <v>#DIV/0!</v>
      </c>
      <c r="L287" s="41" t="s">
        <v>192</v>
      </c>
      <c r="M287" s="130">
        <v>1</v>
      </c>
      <c r="P287" s="41" t="s">
        <v>192</v>
      </c>
      <c r="Q287" s="130">
        <v>1</v>
      </c>
      <c r="T287" s="43">
        <v>30</v>
      </c>
      <c r="U287" s="327">
        <f t="shared" si="26"/>
        <v>-3.5501647398813674E-2</v>
      </c>
      <c r="V287" s="327">
        <f t="shared" si="27"/>
        <v>5.5016473988136749E-3</v>
      </c>
      <c r="W287" s="327">
        <f t="shared" si="28"/>
        <v>-8.9810089563670693E-4</v>
      </c>
      <c r="X287" s="328">
        <f t="shared" si="29"/>
        <v>8.9810089563670693E-4</v>
      </c>
    </row>
    <row r="288" spans="1:24">
      <c r="A288" s="374" t="s">
        <v>721</v>
      </c>
      <c r="B288" s="373">
        <v>37.619999999999997</v>
      </c>
      <c r="C288" s="374">
        <v>37.39</v>
      </c>
      <c r="D288" s="374">
        <v>37.950000000000003</v>
      </c>
      <c r="E288" s="374">
        <v>37.229999999999997</v>
      </c>
      <c r="F288" s="374" t="s">
        <v>722</v>
      </c>
      <c r="G288" s="375">
        <v>8.3000000000000001E-3</v>
      </c>
      <c r="H288" s="376">
        <f t="shared" si="24"/>
        <v>3.3235057625301323E-5</v>
      </c>
      <c r="I288" s="376">
        <f t="shared" si="25"/>
        <v>5.5486071631608881E-3</v>
      </c>
      <c r="J288" s="374" t="e">
        <f t="shared" si="23"/>
        <v>#DIV/0!</v>
      </c>
      <c r="L288" s="41" t="s">
        <v>245</v>
      </c>
      <c r="M288" s="127">
        <v>34.5</v>
      </c>
      <c r="P288" s="41" t="s">
        <v>245</v>
      </c>
      <c r="Q288" s="127">
        <v>34.97</v>
      </c>
      <c r="T288" s="43">
        <v>31</v>
      </c>
      <c r="U288" s="327">
        <f t="shared" si="26"/>
        <v>-3.5501647398813674E-2</v>
      </c>
      <c r="V288" s="327">
        <f t="shared" si="27"/>
        <v>5.5016473988136749E-3</v>
      </c>
      <c r="W288" s="327">
        <f t="shared" si="28"/>
        <v>6.9691018991043618</v>
      </c>
      <c r="X288" s="328">
        <f t="shared" si="29"/>
        <v>6.9708981008956359</v>
      </c>
    </row>
    <row r="289" spans="1:24">
      <c r="A289" s="374" t="s">
        <v>723</v>
      </c>
      <c r="B289" s="373">
        <v>37.31</v>
      </c>
      <c r="C289" s="374">
        <v>37.24</v>
      </c>
      <c r="D289" s="374">
        <v>37.979999999999997</v>
      </c>
      <c r="E289" s="374">
        <v>37.15</v>
      </c>
      <c r="F289" s="374" t="s">
        <v>724</v>
      </c>
      <c r="G289" s="375">
        <v>8.3999999999999995E-3</v>
      </c>
      <c r="H289" s="376">
        <f t="shared" si="24"/>
        <v>3.3513513513513615E-5</v>
      </c>
      <c r="I289" s="376">
        <f t="shared" si="25"/>
        <v>3.4675615212528045E-3</v>
      </c>
      <c r="J289" s="374" t="e">
        <f t="shared" si="23"/>
        <v>#DIV/0!</v>
      </c>
      <c r="L289" s="41" t="s">
        <v>423</v>
      </c>
      <c r="M289" s="150">
        <v>34.799999999999997</v>
      </c>
      <c r="P289" s="41" t="s">
        <v>423</v>
      </c>
      <c r="Q289" s="150">
        <v>30</v>
      </c>
      <c r="T289" s="43">
        <v>32</v>
      </c>
      <c r="U289" s="327">
        <f t="shared" si="26"/>
        <v>-3.5501647398813674E-2</v>
      </c>
      <c r="V289" s="327">
        <f t="shared" si="27"/>
        <v>5.5016473988136749E-3</v>
      </c>
      <c r="W289" s="327">
        <f t="shared" si="28"/>
        <v>6.9691018991043618</v>
      </c>
      <c r="X289" s="328">
        <f t="shared" si="29"/>
        <v>6.9708981008956359</v>
      </c>
    </row>
    <row r="290" spans="1:24" ht="16.5">
      <c r="A290" s="374" t="s">
        <v>725</v>
      </c>
      <c r="B290" s="373">
        <v>37</v>
      </c>
      <c r="C290" s="374">
        <v>37.130000000000003</v>
      </c>
      <c r="D290" s="374">
        <v>37.31</v>
      </c>
      <c r="E290" s="374">
        <v>36.729999999999997</v>
      </c>
      <c r="F290" s="374" t="s">
        <v>726</v>
      </c>
      <c r="G290" s="375">
        <v>2.3999999999999998E-3</v>
      </c>
      <c r="H290" s="376">
        <f t="shared" si="24"/>
        <v>9.7534543484156796E-6</v>
      </c>
      <c r="I290" s="376">
        <f t="shared" si="25"/>
        <v>3.0993823694553768E-3</v>
      </c>
      <c r="J290" s="374" t="e">
        <f t="shared" si="23"/>
        <v>#DIV/0!</v>
      </c>
      <c r="L290" s="41" t="s">
        <v>507</v>
      </c>
      <c r="M290" s="127">
        <v>34.97</v>
      </c>
      <c r="P290" s="41" t="s">
        <v>507</v>
      </c>
      <c r="Q290" s="127">
        <v>34.97</v>
      </c>
      <c r="T290" s="43">
        <v>33</v>
      </c>
      <c r="U290" s="327">
        <f t="shared" si="26"/>
        <v>-3.5501647398813674E-2</v>
      </c>
      <c r="V290" s="327">
        <f t="shared" si="27"/>
        <v>5.5016473988136749E-3</v>
      </c>
      <c r="W290" s="327">
        <f t="shared" si="28"/>
        <v>6.9691018991043618</v>
      </c>
      <c r="X290" s="328">
        <f t="shared" si="29"/>
        <v>6.9708981008956359</v>
      </c>
    </row>
    <row r="291" spans="1:24">
      <c r="A291" s="374" t="s">
        <v>727</v>
      </c>
      <c r="B291" s="373">
        <v>36.909999999999997</v>
      </c>
      <c r="C291" s="374">
        <v>36.57</v>
      </c>
      <c r="D291" s="374">
        <v>36.99</v>
      </c>
      <c r="E291" s="374">
        <v>36.549999999999997</v>
      </c>
      <c r="F291" s="374" t="s">
        <v>728</v>
      </c>
      <c r="G291" s="375">
        <v>-5.4000000000000003E-3</v>
      </c>
      <c r="H291" s="376">
        <f t="shared" si="24"/>
        <v>-2.1557531662625085E-5</v>
      </c>
      <c r="I291" s="376">
        <f t="shared" si="25"/>
        <v>2.319487036520762E-3</v>
      </c>
      <c r="J291" s="374" t="e">
        <f t="shared" si="23"/>
        <v>#DIV/0!</v>
      </c>
      <c r="L291" s="41" t="s">
        <v>510</v>
      </c>
      <c r="M291" s="129">
        <v>0</v>
      </c>
      <c r="P291" s="41" t="s">
        <v>510</v>
      </c>
      <c r="Q291" s="129">
        <f>0</f>
        <v>0</v>
      </c>
      <c r="T291" s="43">
        <v>34</v>
      </c>
      <c r="U291" s="327">
        <f t="shared" si="26"/>
        <v>-3.5501647398813674E-2</v>
      </c>
      <c r="V291" s="327">
        <f t="shared" si="27"/>
        <v>5.5016473988136749E-3</v>
      </c>
      <c r="W291" s="327">
        <f t="shared" si="28"/>
        <v>6.9691018991043618</v>
      </c>
      <c r="X291" s="328">
        <f t="shared" si="29"/>
        <v>6.9708981008956359</v>
      </c>
    </row>
    <row r="292" spans="1:24">
      <c r="A292" s="374" t="s">
        <v>729</v>
      </c>
      <c r="B292" s="373">
        <v>37.11</v>
      </c>
      <c r="C292" s="374">
        <v>36.76</v>
      </c>
      <c r="D292" s="374">
        <v>37.159999999999997</v>
      </c>
      <c r="E292" s="374">
        <v>36.520000000000003</v>
      </c>
      <c r="F292" s="374" t="s">
        <v>730</v>
      </c>
      <c r="G292" s="375">
        <v>2.7000000000000001E-3</v>
      </c>
      <c r="H292" s="376">
        <f t="shared" si="24"/>
        <v>1.0807889759524513E-5</v>
      </c>
      <c r="I292" s="376">
        <f t="shared" si="25"/>
        <v>3.1829644158027472E-3</v>
      </c>
      <c r="J292" s="374" t="e">
        <f t="shared" si="23"/>
        <v>#DIV/0!</v>
      </c>
      <c r="L292" s="41" t="s">
        <v>186</v>
      </c>
      <c r="M292" s="129">
        <f>M231</f>
        <v>6.8099999999999994E-2</v>
      </c>
      <c r="P292" s="41" t="s">
        <v>186</v>
      </c>
      <c r="Q292" s="129">
        <f>M292</f>
        <v>6.8099999999999994E-2</v>
      </c>
      <c r="T292" s="43">
        <v>35</v>
      </c>
      <c r="U292" s="327">
        <f t="shared" si="26"/>
        <v>6.4644983526011863</v>
      </c>
      <c r="V292" s="327">
        <f t="shared" si="27"/>
        <v>6.5055016473988134</v>
      </c>
      <c r="W292" s="327">
        <f t="shared" si="28"/>
        <v>6.9691018991043618</v>
      </c>
      <c r="X292" s="328">
        <f t="shared" si="29"/>
        <v>6.9708981008956359</v>
      </c>
    </row>
    <row r="293" spans="1:24" ht="16.5" thickBot="1">
      <c r="A293" s="374" t="s">
        <v>731</v>
      </c>
      <c r="B293" s="373">
        <v>37.01</v>
      </c>
      <c r="C293" s="374">
        <v>36.549999999999997</v>
      </c>
      <c r="D293" s="374">
        <v>37.5</v>
      </c>
      <c r="E293" s="374">
        <v>36.25</v>
      </c>
      <c r="F293" s="374" t="s">
        <v>732</v>
      </c>
      <c r="G293" s="375">
        <v>1.34E-2</v>
      </c>
      <c r="H293" s="376">
        <f t="shared" si="24"/>
        <v>5.3669222343920352E-5</v>
      </c>
      <c r="I293" s="376">
        <f t="shared" si="25"/>
        <v>4.0658716638273694E-3</v>
      </c>
      <c r="J293" s="374" t="e">
        <f t="shared" si="23"/>
        <v>#DIV/0!</v>
      </c>
      <c r="L293" s="151" t="s">
        <v>183</v>
      </c>
      <c r="M293" s="152">
        <f>M232</f>
        <v>4.7975548999999999E-2</v>
      </c>
      <c r="P293" s="151" t="s">
        <v>183</v>
      </c>
      <c r="Q293" s="152">
        <f>M293</f>
        <v>4.7975548999999999E-2</v>
      </c>
      <c r="T293" s="43">
        <v>36</v>
      </c>
      <c r="U293" s="327">
        <f t="shared" si="26"/>
        <v>6.4644983526011863</v>
      </c>
      <c r="V293" s="327">
        <f t="shared" si="27"/>
        <v>6.5055016473988134</v>
      </c>
      <c r="W293" s="327">
        <f t="shared" si="28"/>
        <v>6.9691018991043618</v>
      </c>
      <c r="X293" s="328">
        <f t="shared" si="29"/>
        <v>6.9708981008956359</v>
      </c>
    </row>
    <row r="294" spans="1:24" ht="16.5" thickBot="1">
      <c r="A294" s="374" t="s">
        <v>733</v>
      </c>
      <c r="B294" s="373">
        <v>36.520000000000003</v>
      </c>
      <c r="C294" s="374">
        <v>36.56</v>
      </c>
      <c r="D294" s="374">
        <v>36.83</v>
      </c>
      <c r="E294" s="374">
        <v>36.39</v>
      </c>
      <c r="F294" s="374" t="s">
        <v>734</v>
      </c>
      <c r="G294" s="375">
        <v>1.1000000000000001E-3</v>
      </c>
      <c r="H294" s="376">
        <f t="shared" si="24"/>
        <v>4.3859649122817145E-6</v>
      </c>
      <c r="I294" s="376">
        <f t="shared" si="25"/>
        <v>1.1330186059428015E-3</v>
      </c>
      <c r="J294" s="374" t="e">
        <f t="shared" si="23"/>
        <v>#DIV/0!</v>
      </c>
      <c r="L294" s="62"/>
      <c r="M294" s="62"/>
      <c r="P294" s="62"/>
      <c r="Q294" s="62"/>
      <c r="T294" s="43">
        <v>37</v>
      </c>
      <c r="U294" s="327">
        <f t="shared" si="26"/>
        <v>6.4644983526011863</v>
      </c>
      <c r="V294" s="327">
        <f t="shared" si="27"/>
        <v>6.5055016473988134</v>
      </c>
      <c r="W294" s="327">
        <f t="shared" si="28"/>
        <v>6.9691018991043618</v>
      </c>
      <c r="X294" s="328">
        <f t="shared" si="29"/>
        <v>6.9708981008956359</v>
      </c>
    </row>
    <row r="295" spans="1:24" ht="16.5" thickBot="1">
      <c r="A295" s="374" t="s">
        <v>735</v>
      </c>
      <c r="B295" s="373">
        <v>36.479999999999997</v>
      </c>
      <c r="C295" s="374">
        <v>36.83</v>
      </c>
      <c r="D295" s="374">
        <v>36.96</v>
      </c>
      <c r="E295" s="374">
        <v>36.479999999999997</v>
      </c>
      <c r="F295" s="374" t="s">
        <v>736</v>
      </c>
      <c r="G295" s="375">
        <v>-2.2000000000000001E-3</v>
      </c>
      <c r="H295" s="376">
        <f t="shared" si="24"/>
        <v>-8.7527352297600561E-6</v>
      </c>
      <c r="I295" s="376">
        <f t="shared" si="25"/>
        <v>1.3831567205800255E-3</v>
      </c>
      <c r="J295" s="374" t="e">
        <f t="shared" si="23"/>
        <v>#DIV/0!</v>
      </c>
      <c r="L295" s="153" t="s">
        <v>737</v>
      </c>
      <c r="M295" s="154" t="s">
        <v>738</v>
      </c>
      <c r="P295" s="153" t="s">
        <v>739</v>
      </c>
      <c r="Q295" s="154" t="s">
        <v>740</v>
      </c>
      <c r="T295" s="43">
        <v>38</v>
      </c>
      <c r="U295" s="327">
        <f t="shared" si="26"/>
        <v>6.4644983526011863</v>
      </c>
      <c r="V295" s="327">
        <f t="shared" si="27"/>
        <v>6.5055016473988134</v>
      </c>
      <c r="W295" s="327">
        <f t="shared" si="28"/>
        <v>6.9691018991043618</v>
      </c>
      <c r="X295" s="328">
        <f t="shared" si="29"/>
        <v>6.9708981008956359</v>
      </c>
    </row>
    <row r="296" spans="1:24">
      <c r="A296" s="374" t="s">
        <v>741</v>
      </c>
      <c r="B296" s="373">
        <v>36.56</v>
      </c>
      <c r="C296" s="374">
        <v>36.01</v>
      </c>
      <c r="D296" s="374">
        <v>36.6</v>
      </c>
      <c r="E296" s="374">
        <v>35.700000000000003</v>
      </c>
      <c r="F296" s="374" t="s">
        <v>742</v>
      </c>
      <c r="G296" s="375">
        <v>1.9E-2</v>
      </c>
      <c r="H296" s="376">
        <f t="shared" si="24"/>
        <v>7.5808249721292855E-5</v>
      </c>
      <c r="I296" s="376">
        <f t="shared" si="25"/>
        <v>1.8583823117828224E-3</v>
      </c>
      <c r="J296" s="374" t="e">
        <f t="shared" si="23"/>
        <v>#DIV/0!</v>
      </c>
      <c r="T296" s="43">
        <v>39</v>
      </c>
      <c r="U296" s="327">
        <f t="shared" si="26"/>
        <v>6.4644983526011863</v>
      </c>
      <c r="V296" s="327">
        <f t="shared" si="27"/>
        <v>6.5055016473988134</v>
      </c>
      <c r="W296" s="327">
        <f t="shared" si="28"/>
        <v>6.9691018991043618</v>
      </c>
      <c r="X296" s="328">
        <f t="shared" si="29"/>
        <v>6.9708981008956359</v>
      </c>
    </row>
    <row r="297" spans="1:24" ht="16.5" thickBot="1">
      <c r="A297" s="374" t="s">
        <v>743</v>
      </c>
      <c r="B297" s="373">
        <v>35.880000000000003</v>
      </c>
      <c r="C297" s="374">
        <v>35.450000000000003</v>
      </c>
      <c r="D297" s="374">
        <v>36.340000000000003</v>
      </c>
      <c r="E297" s="374">
        <v>35.270000000000003</v>
      </c>
      <c r="F297" s="374" t="s">
        <v>744</v>
      </c>
      <c r="G297" s="375">
        <v>0</v>
      </c>
      <c r="H297" s="376">
        <f t="shared" si="24"/>
        <v>0</v>
      </c>
      <c r="I297" s="376">
        <f t="shared" si="25"/>
        <v>3.8084570148418708E-4</v>
      </c>
      <c r="J297" s="374" t="e">
        <f t="shared" si="23"/>
        <v>#DIV/0!</v>
      </c>
      <c r="T297" s="43">
        <v>40</v>
      </c>
      <c r="U297" s="327">
        <f t="shared" si="26"/>
        <v>6.4644983526011863</v>
      </c>
      <c r="V297" s="327">
        <f t="shared" si="27"/>
        <v>6.5055016473988134</v>
      </c>
      <c r="W297" s="327">
        <f t="shared" si="28"/>
        <v>6.9691018991043618</v>
      </c>
      <c r="X297" s="328">
        <f t="shared" si="29"/>
        <v>6.9708981008956359</v>
      </c>
    </row>
    <row r="298" spans="1:24">
      <c r="A298" s="374" t="s">
        <v>745</v>
      </c>
      <c r="B298" s="373">
        <v>35.880000000000003</v>
      </c>
      <c r="C298" s="374">
        <v>35.78</v>
      </c>
      <c r="D298" s="374">
        <v>36.42</v>
      </c>
      <c r="E298" s="374">
        <v>35.75</v>
      </c>
      <c r="F298" s="374" t="s">
        <v>746</v>
      </c>
      <c r="G298" s="375">
        <v>4.4999999999999997E-3</v>
      </c>
      <c r="H298" s="376">
        <f t="shared" si="24"/>
        <v>1.7917133258679385E-5</v>
      </c>
      <c r="I298" s="376">
        <f t="shared" si="25"/>
        <v>9.0191657271704534E-4</v>
      </c>
      <c r="J298" s="374" t="e">
        <f t="shared" si="23"/>
        <v>#DIV/0!</v>
      </c>
      <c r="L298" s="155" t="s">
        <v>526</v>
      </c>
      <c r="M298" s="292">
        <f>(M292-0 + (M293^2)/2 ) / (M293^2)</f>
        <v>30.087427413686413</v>
      </c>
      <c r="P298" s="155" t="s">
        <v>526</v>
      </c>
      <c r="Q298" s="292">
        <f>(Q292-0 + (Q293^2)/2 ) / (Q293^2)</f>
        <v>30.087427413686413</v>
      </c>
      <c r="T298" s="43">
        <v>41</v>
      </c>
      <c r="U298" s="327">
        <f t="shared" si="26"/>
        <v>6.4644983526011863</v>
      </c>
      <c r="V298" s="327">
        <f t="shared" si="27"/>
        <v>6.5055016473988134</v>
      </c>
      <c r="W298" s="327">
        <f t="shared" si="28"/>
        <v>6.9691018991043618</v>
      </c>
      <c r="X298" s="328">
        <f t="shared" si="29"/>
        <v>6.9708981008956359</v>
      </c>
    </row>
    <row r="299" spans="1:24">
      <c r="A299" s="374" t="s">
        <v>747</v>
      </c>
      <c r="B299" s="373">
        <v>35.72</v>
      </c>
      <c r="C299" s="374">
        <v>35.479999999999997</v>
      </c>
      <c r="D299" s="374">
        <v>36.35</v>
      </c>
      <c r="E299" s="374">
        <v>35.17</v>
      </c>
      <c r="F299" s="374" t="s">
        <v>261</v>
      </c>
      <c r="G299" s="375">
        <v>3.3999999999999998E-3</v>
      </c>
      <c r="H299" s="376">
        <f t="shared" si="24"/>
        <v>1.3483146067415853E-5</v>
      </c>
      <c r="I299" s="376">
        <f t="shared" si="25"/>
        <v>1.8796561604584561E-3</v>
      </c>
      <c r="J299" s="374" t="e">
        <f t="shared" si="23"/>
        <v>#DIV/0!</v>
      </c>
      <c r="L299" s="266" t="s">
        <v>529</v>
      </c>
      <c r="M299" s="267">
        <f xml:space="preserve"> ( LN(M290/M289) / (M293*SQRT(M287))) + (M298*M293*SQRT(M287))</f>
        <v>1.5450368467025064</v>
      </c>
      <c r="P299" s="266" t="s">
        <v>529</v>
      </c>
      <c r="Q299" s="267">
        <f xml:space="preserve"> ( LN(Q290/Q289) / (Q293*SQRT(Q287))) + (Q298*Q293*SQRT(Q287))</f>
        <v>4.6386961838426224</v>
      </c>
      <c r="T299" s="43">
        <v>42</v>
      </c>
      <c r="U299" s="327">
        <f t="shared" si="26"/>
        <v>6.4644983526011863</v>
      </c>
      <c r="V299" s="327">
        <f t="shared" si="27"/>
        <v>6.5055016473988134</v>
      </c>
      <c r="W299" s="327">
        <f t="shared" si="28"/>
        <v>6.9691018991043618</v>
      </c>
      <c r="X299" s="328">
        <f t="shared" si="29"/>
        <v>6.9708981008956359</v>
      </c>
    </row>
    <row r="300" spans="1:24">
      <c r="A300" s="374" t="s">
        <v>748</v>
      </c>
      <c r="B300" s="373">
        <v>35.6</v>
      </c>
      <c r="C300" s="374">
        <v>35.659999999999997</v>
      </c>
      <c r="D300" s="374">
        <v>35.85</v>
      </c>
      <c r="E300" s="374">
        <v>35.299999999999997</v>
      </c>
      <c r="F300" s="374" t="s">
        <v>749</v>
      </c>
      <c r="G300" s="375">
        <v>-1.9800000000000002E-2</v>
      </c>
      <c r="H300" s="376">
        <f t="shared" si="24"/>
        <v>-7.9295154185021757E-5</v>
      </c>
      <c r="I300" s="376">
        <f t="shared" si="25"/>
        <v>2.1696480092325567E-3</v>
      </c>
      <c r="J300" s="374" t="e">
        <f t="shared" si="23"/>
        <v>#DIV/0!</v>
      </c>
      <c r="L300" s="266" t="s">
        <v>532</v>
      </c>
      <c r="M300" s="317">
        <f xml:space="preserve"> ( LN(M289/M290) / (M293*SQRT(M287))) + (M298*M293*SQRT(M287))</f>
        <v>1.3418848496360045</v>
      </c>
      <c r="P300" s="266" t="s">
        <v>532</v>
      </c>
      <c r="Q300" s="317">
        <f xml:space="preserve"> ( LN(Q289/Q290) / (Q293*SQRT(Q287))) + (Q298*Q293*SQRT(Q287))</f>
        <v>-1.7517744875041119</v>
      </c>
      <c r="T300" s="43">
        <v>43</v>
      </c>
      <c r="U300" s="327">
        <f t="shared" si="26"/>
        <v>6.4644983526011863</v>
      </c>
      <c r="V300" s="327">
        <f t="shared" si="27"/>
        <v>6.5055016473988134</v>
      </c>
      <c r="W300" s="327">
        <f t="shared" si="28"/>
        <v>6.9691018991043618</v>
      </c>
      <c r="X300" s="328">
        <f t="shared" si="29"/>
        <v>6.9708981008956359</v>
      </c>
    </row>
    <row r="301" spans="1:24">
      <c r="A301" s="374" t="s">
        <v>750</v>
      </c>
      <c r="B301" s="373">
        <v>36.32</v>
      </c>
      <c r="C301" s="374">
        <v>36.450000000000003</v>
      </c>
      <c r="D301" s="374">
        <v>36.659999999999997</v>
      </c>
      <c r="E301" s="374">
        <v>35.97</v>
      </c>
      <c r="F301" s="374" t="s">
        <v>751</v>
      </c>
      <c r="G301" s="375">
        <v>-5.7000000000000002E-3</v>
      </c>
      <c r="H301" s="376">
        <f t="shared" si="24"/>
        <v>-2.2994798795510806E-5</v>
      </c>
      <c r="I301" s="376">
        <f t="shared" si="25"/>
        <v>4.1471184477266118E-3</v>
      </c>
      <c r="J301" s="374" t="e">
        <f t="shared" si="23"/>
        <v>#DIV/0!</v>
      </c>
      <c r="L301" s="266" t="s">
        <v>611</v>
      </c>
      <c r="M301" s="317">
        <f xml:space="preserve"> ( (LN(M289^2 / (M290*M288) ) / (M293*SQRT(M287))) + M298*M293*SQRT(M287))</f>
        <v>1.5223530865521568</v>
      </c>
      <c r="P301" s="266" t="s">
        <v>611</v>
      </c>
      <c r="Q301" s="317">
        <f xml:space="preserve"> ( (LN(Q289^2 / (Q290*Q288) ) / (Q293*SQRT(Q287))) + Q298*Q293*SQRT(Q287))</f>
        <v>-4.947009823177476</v>
      </c>
      <c r="T301" s="43">
        <v>44</v>
      </c>
      <c r="U301" s="327">
        <f t="shared" si="26"/>
        <v>6.4644983526011863</v>
      </c>
      <c r="V301" s="327">
        <f t="shared" si="27"/>
        <v>6.5055016473988134</v>
      </c>
      <c r="W301" s="327">
        <f t="shared" si="28"/>
        <v>6.9691018991043618</v>
      </c>
      <c r="X301" s="328">
        <f t="shared" si="29"/>
        <v>6.9708981008956359</v>
      </c>
    </row>
    <row r="302" spans="1:24">
      <c r="A302" s="374" t="s">
        <v>752</v>
      </c>
      <c r="B302" s="373">
        <v>36.53</v>
      </c>
      <c r="C302" s="374">
        <v>36.6</v>
      </c>
      <c r="D302" s="374">
        <v>36.82</v>
      </c>
      <c r="E302" s="374">
        <v>36.28</v>
      </c>
      <c r="F302" s="374" t="s">
        <v>753</v>
      </c>
      <c r="G302" s="375">
        <v>-2.5000000000000001E-3</v>
      </c>
      <c r="H302" s="376">
        <f t="shared" si="24"/>
        <v>-9.8306936100489577E-6</v>
      </c>
      <c r="I302" s="376">
        <f t="shared" si="25"/>
        <v>5.3255474452554808E-3</v>
      </c>
      <c r="J302" s="374" t="e">
        <f t="shared" si="23"/>
        <v>#DIV/0!</v>
      </c>
      <c r="L302" s="266" t="s">
        <v>535</v>
      </c>
      <c r="M302" s="267">
        <f>M300 - M293*SQRT(M287)</f>
        <v>1.2939093006360045</v>
      </c>
      <c r="P302" s="266" t="s">
        <v>535</v>
      </c>
      <c r="Q302" s="267">
        <f>Q300 - Q293*SQRT(Q287)</f>
        <v>-1.7997500365041119</v>
      </c>
      <c r="T302" s="43">
        <v>45</v>
      </c>
      <c r="U302" s="327">
        <f t="shared" si="26"/>
        <v>6.4644983526011863</v>
      </c>
      <c r="V302" s="327">
        <f t="shared" si="27"/>
        <v>6.5055016473988134</v>
      </c>
      <c r="W302" s="327">
        <f t="shared" si="28"/>
        <v>6.9691018991043618</v>
      </c>
      <c r="X302" s="328">
        <f t="shared" si="29"/>
        <v>6.9708981008956359</v>
      </c>
    </row>
    <row r="303" spans="1:24">
      <c r="A303" s="374" t="s">
        <v>754</v>
      </c>
      <c r="B303" s="373">
        <v>36.619999999999997</v>
      </c>
      <c r="C303" s="374">
        <v>36.35</v>
      </c>
      <c r="D303" s="374">
        <v>37.51</v>
      </c>
      <c r="E303" s="374">
        <v>36.21</v>
      </c>
      <c r="F303" s="374" t="s">
        <v>755</v>
      </c>
      <c r="G303" s="375">
        <v>1.78E-2</v>
      </c>
      <c r="H303" s="376">
        <f t="shared" si="24"/>
        <v>7.1150639244024205E-5</v>
      </c>
      <c r="I303" s="376">
        <f t="shared" si="25"/>
        <v>4.8176027793862099E-3</v>
      </c>
      <c r="J303" s="374" t="e">
        <f t="shared" si="23"/>
        <v>#DIV/0!</v>
      </c>
      <c r="L303" s="266" t="s">
        <v>538</v>
      </c>
      <c r="M303" s="267">
        <f>M300 - M293*SQRT(M287)</f>
        <v>1.2939093006360045</v>
      </c>
      <c r="P303" s="266" t="s">
        <v>538</v>
      </c>
      <c r="Q303" s="267">
        <f>Q300 - Q293*SQRT(Q287)</f>
        <v>-1.7997500365041119</v>
      </c>
      <c r="T303" s="43">
        <v>46</v>
      </c>
      <c r="U303" s="327">
        <f t="shared" si="26"/>
        <v>6.4644983526011863</v>
      </c>
      <c r="V303" s="327">
        <f t="shared" si="27"/>
        <v>6.5055016473988134</v>
      </c>
      <c r="W303" s="327">
        <f t="shared" si="28"/>
        <v>6.9691018991043618</v>
      </c>
      <c r="X303" s="328">
        <f t="shared" si="29"/>
        <v>6.9708981008956359</v>
      </c>
    </row>
    <row r="304" spans="1:24">
      <c r="A304" s="374" t="s">
        <v>756</v>
      </c>
      <c r="B304" s="373">
        <v>35.979999999999997</v>
      </c>
      <c r="C304" s="374">
        <v>36.21</v>
      </c>
      <c r="D304" s="374">
        <v>36.4</v>
      </c>
      <c r="E304" s="374">
        <v>35.75</v>
      </c>
      <c r="F304" s="374" t="s">
        <v>757</v>
      </c>
      <c r="G304" s="375">
        <v>-7.7000000000000002E-3</v>
      </c>
      <c r="H304" s="376">
        <f t="shared" si="24"/>
        <v>-3.0888030888030828E-5</v>
      </c>
      <c r="I304" s="376">
        <f t="shared" si="25"/>
        <v>3.1426920854997144E-3</v>
      </c>
      <c r="J304" s="374" t="e">
        <f t="shared" si="23"/>
        <v>#DIV/0!</v>
      </c>
      <c r="L304" s="266" t="s">
        <v>541</v>
      </c>
      <c r="M304" s="53">
        <f>_xlfn.NORM.S.DIST(M299,TRUE)</f>
        <v>0.93883132447301043</v>
      </c>
      <c r="P304" s="266" t="s">
        <v>758</v>
      </c>
      <c r="Q304" s="53">
        <f>_xlfn.NORM.S.DIST(-Q299,TRUE)</f>
        <v>1.7530700984261295E-6</v>
      </c>
      <c r="T304" s="43">
        <v>47</v>
      </c>
      <c r="U304" s="327">
        <f t="shared" si="26"/>
        <v>6.4644983526011863</v>
      </c>
      <c r="V304" s="327">
        <f t="shared" si="27"/>
        <v>6.5055016473988134</v>
      </c>
      <c r="W304" s="327">
        <f t="shared" si="28"/>
        <v>6.9691018991043618</v>
      </c>
      <c r="X304" s="328">
        <f t="shared" si="29"/>
        <v>6.9708981008956359</v>
      </c>
    </row>
    <row r="305" spans="1:24">
      <c r="A305" s="374" t="s">
        <v>759</v>
      </c>
      <c r="B305" s="373">
        <v>36.26</v>
      </c>
      <c r="C305" s="374">
        <v>36.299999999999997</v>
      </c>
      <c r="D305" s="374">
        <v>36.590000000000003</v>
      </c>
      <c r="E305" s="374">
        <v>35.799999999999997</v>
      </c>
      <c r="F305" s="374" t="s">
        <v>760</v>
      </c>
      <c r="G305" s="375">
        <v>-2.5000000000000001E-3</v>
      </c>
      <c r="H305" s="376">
        <f t="shared" si="24"/>
        <v>-9.903713892710275E-6</v>
      </c>
      <c r="I305" s="376">
        <f t="shared" si="25"/>
        <v>4.5467793646167109E-3</v>
      </c>
      <c r="J305" s="374" t="e">
        <f t="shared" si="23"/>
        <v>#DIV/0!</v>
      </c>
      <c r="L305" s="266" t="s">
        <v>544</v>
      </c>
      <c r="M305" s="53">
        <f>_xlfn.NORM.S.DIST(M300,TRUE)</f>
        <v>0.91018333258999073</v>
      </c>
      <c r="P305" s="266" t="s">
        <v>541</v>
      </c>
      <c r="Q305" s="53">
        <f>_xlfn.NORM.S.DIST(Q299,TRUE)</f>
        <v>0.99999824692990158</v>
      </c>
      <c r="T305" s="43">
        <v>48</v>
      </c>
      <c r="U305" s="327">
        <f t="shared" si="26"/>
        <v>6.4644983526011863</v>
      </c>
      <c r="V305" s="327">
        <f t="shared" si="27"/>
        <v>6.5055016473988134</v>
      </c>
      <c r="W305" s="327">
        <f t="shared" si="28"/>
        <v>6.9691018991043618</v>
      </c>
      <c r="X305" s="328">
        <f t="shared" si="29"/>
        <v>6.9708981008956359</v>
      </c>
    </row>
    <row r="306" spans="1:24">
      <c r="A306" s="374" t="s">
        <v>761</v>
      </c>
      <c r="B306" s="373">
        <v>36.35</v>
      </c>
      <c r="C306" s="374">
        <v>35.94</v>
      </c>
      <c r="D306" s="374">
        <v>36.49</v>
      </c>
      <c r="E306" s="374">
        <v>35.94</v>
      </c>
      <c r="F306" s="374" t="s">
        <v>762</v>
      </c>
      <c r="G306" s="375">
        <v>7.1999999999999998E-3</v>
      </c>
      <c r="H306" s="376">
        <f t="shared" si="24"/>
        <v>2.8816846771959171E-5</v>
      </c>
      <c r="I306" s="376">
        <f t="shared" si="25"/>
        <v>5.5294117647058808E-3</v>
      </c>
      <c r="J306" s="374" t="e">
        <f t="shared" si="23"/>
        <v>#DIV/0!</v>
      </c>
      <c r="L306" s="266" t="s">
        <v>547</v>
      </c>
      <c r="M306" s="53">
        <f>_xlfn.NORM.S.DIST(M302,TRUE)</f>
        <v>0.90215162422684725</v>
      </c>
      <c r="P306" s="266" t="s">
        <v>763</v>
      </c>
      <c r="Q306" s="53">
        <f>_xlfn.NORM.S.DIST(-Q299 + Q293*SQRT(Q287),TRUE)</f>
        <v>2.2085912077478283E-6</v>
      </c>
      <c r="T306" s="43">
        <v>49</v>
      </c>
      <c r="U306" s="327">
        <f t="shared" si="26"/>
        <v>6.4644983526011863</v>
      </c>
      <c r="V306" s="327">
        <f t="shared" si="27"/>
        <v>6.5055016473988134</v>
      </c>
      <c r="W306" s="327">
        <f t="shared" si="28"/>
        <v>6.9691018991043618</v>
      </c>
      <c r="X306" s="328">
        <f t="shared" si="29"/>
        <v>6.9708981008956359</v>
      </c>
    </row>
    <row r="307" spans="1:24" ht="16.5" thickBot="1">
      <c r="A307" s="374" t="s">
        <v>764</v>
      </c>
      <c r="B307" s="373">
        <v>36.090000000000003</v>
      </c>
      <c r="C307" s="374">
        <v>35</v>
      </c>
      <c r="D307" s="374">
        <v>36.24</v>
      </c>
      <c r="E307" s="374">
        <v>35</v>
      </c>
      <c r="F307" s="374" t="s">
        <v>765</v>
      </c>
      <c r="G307" s="375">
        <v>2.5899999999999999E-2</v>
      </c>
      <c r="H307" s="376">
        <f t="shared" si="24"/>
        <v>1.034678794769759E-4</v>
      </c>
      <c r="I307" s="376">
        <f t="shared" si="25"/>
        <v>5.2687536916715952E-3</v>
      </c>
      <c r="J307" s="374" t="e">
        <f t="shared" si="23"/>
        <v>#DIV/0!</v>
      </c>
      <c r="L307" s="266" t="s">
        <v>629</v>
      </c>
      <c r="M307" s="53">
        <f>_xlfn.NORM.S.DIST(M301,TRUE)</f>
        <v>0.93603968349229705</v>
      </c>
      <c r="P307" s="266" t="s">
        <v>544</v>
      </c>
      <c r="Q307" s="53">
        <f>_xlfn.NORM.S.DIST(Q300,TRUE)</f>
        <v>3.9906296385675943E-2</v>
      </c>
      <c r="T307" s="329">
        <v>50</v>
      </c>
      <c r="U307" s="330">
        <f t="shared" si="26"/>
        <v>6.4644983526011863</v>
      </c>
      <c r="V307" s="330">
        <f t="shared" si="27"/>
        <v>6.5055016473988134</v>
      </c>
      <c r="W307" s="330">
        <f t="shared" si="28"/>
        <v>6.9691018991043618</v>
      </c>
      <c r="X307" s="331">
        <f t="shared" si="29"/>
        <v>6.9708981008956359</v>
      </c>
    </row>
    <row r="308" spans="1:24">
      <c r="A308" s="374" t="s">
        <v>766</v>
      </c>
      <c r="B308" s="373">
        <v>35.18</v>
      </c>
      <c r="C308" s="374">
        <v>36.020000000000003</v>
      </c>
      <c r="D308" s="374">
        <v>36.1</v>
      </c>
      <c r="E308" s="374">
        <v>34.69</v>
      </c>
      <c r="F308" s="374" t="s">
        <v>767</v>
      </c>
      <c r="G308" s="375">
        <v>-1.6199999999999999E-2</v>
      </c>
      <c r="H308" s="376">
        <f t="shared" si="24"/>
        <v>-6.4876957494406807E-5</v>
      </c>
      <c r="I308" s="376">
        <f t="shared" si="25"/>
        <v>1.458755426917513E-3</v>
      </c>
      <c r="J308" s="374" t="e">
        <f t="shared" si="23"/>
        <v>#DIV/0!</v>
      </c>
      <c r="L308" s="266" t="s">
        <v>768</v>
      </c>
      <c r="M308" s="53">
        <f>_xlfn.NORM.S.DIST(-M301 + M293*SQRT(M287),TRUE)</f>
        <v>7.01899844620191E-2</v>
      </c>
      <c r="P308" s="266" t="s">
        <v>769</v>
      </c>
      <c r="Q308" s="53">
        <f>_xlfn.NORM.S.DIST(-Q300,TRUE)</f>
        <v>0.960093703614324</v>
      </c>
    </row>
    <row r="309" spans="1:24">
      <c r="A309" s="374" t="s">
        <v>770</v>
      </c>
      <c r="B309" s="373">
        <v>35.76</v>
      </c>
      <c r="C309" s="374">
        <v>35.299999999999997</v>
      </c>
      <c r="D309" s="374">
        <v>36.1</v>
      </c>
      <c r="E309" s="374">
        <v>35.19</v>
      </c>
      <c r="F309" s="374" t="s">
        <v>771</v>
      </c>
      <c r="G309" s="375">
        <v>3.8999999999999998E-3</v>
      </c>
      <c r="H309" s="376">
        <f t="shared" si="24"/>
        <v>1.5721504772599815E-5</v>
      </c>
      <c r="I309" s="376">
        <f t="shared" si="25"/>
        <v>3.4539089848308001E-3</v>
      </c>
      <c r="J309" s="374" t="e">
        <f t="shared" si="23"/>
        <v>#DIV/0!</v>
      </c>
      <c r="L309" s="266" t="s">
        <v>635</v>
      </c>
      <c r="M309" s="53">
        <f>_xlfn.NORM.S.DIST(-M301,TRUE)</f>
        <v>6.396031650770298E-2</v>
      </c>
      <c r="P309" s="266" t="s">
        <v>547</v>
      </c>
      <c r="Q309" s="53">
        <f>_xlfn.NORM.S.DIST(Q302,TRUE)</f>
        <v>3.5950058210605533E-2</v>
      </c>
    </row>
    <row r="310" spans="1:24">
      <c r="A310" s="374" t="s">
        <v>772</v>
      </c>
      <c r="B310" s="373">
        <v>35.619999999999997</v>
      </c>
      <c r="C310" s="374">
        <v>35.369999999999997</v>
      </c>
      <c r="D310" s="374">
        <v>36.42</v>
      </c>
      <c r="E310" s="374">
        <v>35.369999999999997</v>
      </c>
      <c r="F310" s="374" t="s">
        <v>773</v>
      </c>
      <c r="G310" s="375">
        <v>-7.0000000000000001E-3</v>
      </c>
      <c r="H310" s="376">
        <f t="shared" si="24"/>
        <v>-2.7878449958182116E-5</v>
      </c>
      <c r="I310" s="376">
        <f t="shared" si="25"/>
        <v>3.9104829210836198E-3</v>
      </c>
      <c r="J310" s="374" t="e">
        <f t="shared" si="23"/>
        <v>#DIV/0!</v>
      </c>
      <c r="L310" s="266" t="s">
        <v>550</v>
      </c>
      <c r="M310" s="53">
        <f>_xlfn.NORM.S.DIST(M303,TRUE)</f>
        <v>0.90215162422684725</v>
      </c>
      <c r="P310" s="266" t="s">
        <v>629</v>
      </c>
      <c r="Q310" s="53">
        <f>_xlfn.NORM.S.DIST(Q301,TRUE)</f>
        <v>3.7681087400815512E-7</v>
      </c>
    </row>
    <row r="311" spans="1:24" ht="16.5" thickBot="1">
      <c r="A311" s="374" t="s">
        <v>774</v>
      </c>
      <c r="B311" s="373">
        <v>35.869999999999997</v>
      </c>
      <c r="C311" s="374">
        <v>35.909999999999997</v>
      </c>
      <c r="D311" s="374">
        <v>36.130000000000003</v>
      </c>
      <c r="E311" s="374">
        <v>35.58</v>
      </c>
      <c r="F311" s="374" t="s">
        <v>775</v>
      </c>
      <c r="G311" s="375">
        <v>5.0000000000000001E-3</v>
      </c>
      <c r="H311" s="376">
        <f t="shared" si="24"/>
        <v>2.0173718128327245E-5</v>
      </c>
      <c r="I311" s="376">
        <f t="shared" si="25"/>
        <v>3.8573933372296845E-3</v>
      </c>
      <c r="J311" s="374" t="e">
        <f t="shared" si="23"/>
        <v>#DIV/0!</v>
      </c>
      <c r="L311" s="54" t="s">
        <v>640</v>
      </c>
      <c r="M311" s="332">
        <f>_xlfn.NORM.S.DIST(-M300 + M293*SQRT(M287),TRUE)</f>
        <v>9.7848375773152724E-2</v>
      </c>
      <c r="P311" s="266" t="s">
        <v>632</v>
      </c>
      <c r="Q311" s="53">
        <f>_xlfn.NORM.S.DIST(-Q301 - Q293*SQRT(Q287),TRUE)</f>
        <v>0.99999951845577473</v>
      </c>
    </row>
    <row r="312" spans="1:24">
      <c r="A312" s="374" t="s">
        <v>776</v>
      </c>
      <c r="B312" s="373">
        <v>35.69</v>
      </c>
      <c r="C312" s="374">
        <v>34.94</v>
      </c>
      <c r="D312" s="374">
        <v>35.79</v>
      </c>
      <c r="E312" s="374">
        <v>34.909999999999997</v>
      </c>
      <c r="F312" s="374" t="s">
        <v>777</v>
      </c>
      <c r="G312" s="375">
        <v>1.3299999999999999E-2</v>
      </c>
      <c r="H312" s="376">
        <f t="shared" si="24"/>
        <v>5.3378762067007205E-5</v>
      </c>
      <c r="I312" s="376">
        <f t="shared" si="25"/>
        <v>1.9282639885222254E-3</v>
      </c>
      <c r="J312" s="374" t="e">
        <f t="shared" si="23"/>
        <v>#DIV/0!</v>
      </c>
      <c r="P312" s="266" t="s">
        <v>635</v>
      </c>
      <c r="Q312" s="53">
        <f>_xlfn.NORM.S.DIST(-Q301,TRUE)</f>
        <v>0.99999962318912594</v>
      </c>
    </row>
    <row r="313" spans="1:24" ht="16.5" thickBot="1">
      <c r="A313" s="374" t="s">
        <v>778</v>
      </c>
      <c r="B313" s="373">
        <v>35.22</v>
      </c>
      <c r="C313" s="374">
        <v>35</v>
      </c>
      <c r="D313" s="374">
        <v>35.700000000000003</v>
      </c>
      <c r="E313" s="374">
        <v>34.700000000000003</v>
      </c>
      <c r="F313" s="374" t="s">
        <v>779</v>
      </c>
      <c r="G313" s="375">
        <v>-2.1899999999999999E-2</v>
      </c>
      <c r="H313" s="376">
        <f t="shared" si="24"/>
        <v>-8.7753401832824093E-5</v>
      </c>
      <c r="I313" s="376">
        <f t="shared" si="25"/>
        <v>-2.2707919386881769E-5</v>
      </c>
      <c r="J313" s="374" t="e">
        <f t="shared" si="23"/>
        <v>#DIV/0!</v>
      </c>
      <c r="P313" s="266" t="s">
        <v>550</v>
      </c>
      <c r="Q313" s="53">
        <f>_xlfn.NORM.S.DIST(Q303,TRUE)</f>
        <v>3.5950058210605533E-2</v>
      </c>
    </row>
    <row r="314" spans="1:24" ht="16.5" thickBot="1">
      <c r="A314" s="374" t="s">
        <v>780</v>
      </c>
      <c r="B314" s="373">
        <v>36.01</v>
      </c>
      <c r="C314" s="374">
        <v>35.92</v>
      </c>
      <c r="D314" s="374">
        <v>36.6</v>
      </c>
      <c r="E314" s="374">
        <v>35.9</v>
      </c>
      <c r="F314" s="374" t="s">
        <v>781</v>
      </c>
      <c r="G314" s="375">
        <v>4.1999999999999997E-3</v>
      </c>
      <c r="H314" s="376">
        <f t="shared" si="24"/>
        <v>1.6731734523145469E-5</v>
      </c>
      <c r="I314" s="376">
        <f t="shared" si="25"/>
        <v>9.6683530073073955E-4</v>
      </c>
      <c r="J314" s="374" t="e">
        <f t="shared" si="23"/>
        <v>#DIV/0!</v>
      </c>
      <c r="L314" s="276" t="s">
        <v>782</v>
      </c>
      <c r="M314" s="320">
        <f>-M290*EXP(-M291*M287)*((M289/M290)^(2*M298))*(M309) + M288*EXP(-M292*M287)*((M289/M290)^(2*M298-2))*(M308)</f>
        <v>3.5501647398813674E-2</v>
      </c>
      <c r="P314" s="54" t="s">
        <v>640</v>
      </c>
      <c r="Q314" s="332">
        <f>_xlfn.NORM.S.DIST(-Q300 + Q293*SQRT(Q287),TRUE)</f>
        <v>0.96404994178939452</v>
      </c>
    </row>
    <row r="315" spans="1:24" ht="16.5" thickBot="1">
      <c r="A315" s="374" t="s">
        <v>783</v>
      </c>
      <c r="B315" s="373">
        <v>35.86</v>
      </c>
      <c r="C315" s="374">
        <v>35.71</v>
      </c>
      <c r="D315" s="374">
        <v>36.1</v>
      </c>
      <c r="E315" s="374">
        <v>35.54</v>
      </c>
      <c r="F315" s="374" t="s">
        <v>784</v>
      </c>
      <c r="G315" s="375">
        <v>3.5999999999999999E-3</v>
      </c>
      <c r="H315" s="376">
        <f t="shared" si="24"/>
        <v>1.4553596417576919E-5</v>
      </c>
      <c r="I315" s="376">
        <f t="shared" si="25"/>
        <v>1.9189034837235753E-3</v>
      </c>
      <c r="J315" s="374" t="e">
        <f t="shared" si="23"/>
        <v>#DIV/0!</v>
      </c>
      <c r="L315" s="280" t="s">
        <v>785</v>
      </c>
      <c r="M315" s="321">
        <v>0.03</v>
      </c>
    </row>
    <row r="316" spans="1:24" ht="16.5" thickBot="1">
      <c r="A316" s="374" t="s">
        <v>786</v>
      </c>
      <c r="B316" s="373">
        <v>35.729999999999997</v>
      </c>
      <c r="C316" s="374">
        <v>35.78</v>
      </c>
      <c r="D316" s="374">
        <v>36.08</v>
      </c>
      <c r="E316" s="374">
        <v>35.549999999999997</v>
      </c>
      <c r="F316" s="374" t="s">
        <v>787</v>
      </c>
      <c r="G316" s="375">
        <v>5.9999999999999995E-4</v>
      </c>
      <c r="H316" s="376">
        <f t="shared" si="24"/>
        <v>2.2402688322591404E-6</v>
      </c>
      <c r="I316" s="376">
        <f t="shared" si="25"/>
        <v>3.1171852282640168E-3</v>
      </c>
      <c r="J316" s="374" t="e">
        <f t="shared" si="23"/>
        <v>#DIV/0!</v>
      </c>
    </row>
    <row r="317" spans="1:24" ht="16.5" thickBot="1">
      <c r="A317" s="374" t="s">
        <v>788</v>
      </c>
      <c r="B317" s="373">
        <v>35.71</v>
      </c>
      <c r="C317" s="374">
        <v>35.36</v>
      </c>
      <c r="D317" s="374">
        <v>35.82</v>
      </c>
      <c r="E317" s="374">
        <v>35.21</v>
      </c>
      <c r="F317" s="374" t="s">
        <v>789</v>
      </c>
      <c r="G317" s="375">
        <v>6.4999999999999997E-3</v>
      </c>
      <c r="H317" s="376">
        <f t="shared" si="24"/>
        <v>2.5930101465615252E-5</v>
      </c>
      <c r="I317" s="376">
        <f t="shared" si="25"/>
        <v>-2.0518417462482932E-3</v>
      </c>
      <c r="J317" s="374" t="e">
        <f t="shared" si="23"/>
        <v>#DIV/0!</v>
      </c>
      <c r="L317" s="318" t="s">
        <v>714</v>
      </c>
      <c r="M317" s="319">
        <f>M315-M314</f>
        <v>-5.5016473988136749E-3</v>
      </c>
      <c r="P317" s="276" t="s">
        <v>714</v>
      </c>
      <c r="Q317" s="320">
        <f>-Q290*Q304*EXP(-Q291*Q287) + Q288*EXP(-Q292*Q287)*Q306 + Q290*EXP(-Q291*Q287)*(Q289/Q290)^(2*Q298)*Q308 - Q288*EXP(-Q292*Q287)*(Q289/Q290)^(2*Q298 -2) *Q314</f>
        <v>-8.9810089563670693E-4</v>
      </c>
    </row>
    <row r="318" spans="1:24" ht="16.5" thickBot="1">
      <c r="A318" s="374" t="s">
        <v>790</v>
      </c>
      <c r="B318" s="373">
        <v>35.479999999999997</v>
      </c>
      <c r="C318" s="374">
        <v>35.049999999999997</v>
      </c>
      <c r="D318" s="374">
        <v>35.65</v>
      </c>
      <c r="E318" s="374">
        <v>34.869999999999997</v>
      </c>
      <c r="F318" s="374" t="s">
        <v>791</v>
      </c>
      <c r="G318" s="375">
        <v>1.66E-2</v>
      </c>
      <c r="H318" s="376">
        <f t="shared" si="24"/>
        <v>6.6475644699139915E-5</v>
      </c>
      <c r="I318" s="376">
        <f t="shared" si="25"/>
        <v>-3.120260021668484E-3</v>
      </c>
      <c r="J318" s="374" t="e">
        <f t="shared" si="23"/>
        <v>#DIV/0!</v>
      </c>
      <c r="P318" s="280" t="s">
        <v>785</v>
      </c>
      <c r="Q318" s="321">
        <v>0</v>
      </c>
    </row>
    <row r="319" spans="1:24" ht="16.5" thickBot="1">
      <c r="A319" s="374" t="s">
        <v>792</v>
      </c>
      <c r="B319" s="373">
        <v>34.9</v>
      </c>
      <c r="C319" s="374">
        <v>34.590000000000003</v>
      </c>
      <c r="D319" s="374">
        <v>35.24</v>
      </c>
      <c r="E319" s="374">
        <v>34.47</v>
      </c>
      <c r="F319" s="374" t="s">
        <v>793</v>
      </c>
      <c r="G319" s="375">
        <v>6.8999999999999999E-3</v>
      </c>
      <c r="H319" s="376">
        <f t="shared" si="24"/>
        <v>2.7697634160415596E-5</v>
      </c>
      <c r="I319" s="376">
        <f t="shared" si="25"/>
        <v>-4.4997295835586737E-3</v>
      </c>
      <c r="J319" s="374" t="e">
        <f t="shared" si="23"/>
        <v>#DIV/0!</v>
      </c>
    </row>
    <row r="320" spans="1:24" ht="16.5" thickBot="1">
      <c r="A320" s="374" t="s">
        <v>794</v>
      </c>
      <c r="B320" s="373">
        <v>34.659999999999997</v>
      </c>
      <c r="C320" s="374">
        <v>34.49</v>
      </c>
      <c r="D320" s="374">
        <v>34.700000000000003</v>
      </c>
      <c r="E320" s="374">
        <v>34.33</v>
      </c>
      <c r="F320" s="374" t="s">
        <v>795</v>
      </c>
      <c r="G320" s="375">
        <v>3.8E-3</v>
      </c>
      <c r="H320" s="376">
        <f t="shared" si="24"/>
        <v>1.505936866492874E-5</v>
      </c>
      <c r="I320" s="376">
        <f t="shared" si="25"/>
        <v>-6.4314141682143867E-3</v>
      </c>
      <c r="J320" s="374" t="e">
        <f t="shared" si="23"/>
        <v>#DIV/0!</v>
      </c>
      <c r="P320" s="318" t="s">
        <v>782</v>
      </c>
      <c r="Q320" s="319">
        <f>Q318-Q317</f>
        <v>8.9810089563670693E-4</v>
      </c>
    </row>
    <row r="321" spans="1:28">
      <c r="A321" s="374" t="s">
        <v>796</v>
      </c>
      <c r="B321" s="373">
        <v>34.53</v>
      </c>
      <c r="C321" s="374">
        <v>34.25</v>
      </c>
      <c r="D321" s="374">
        <v>34.880000000000003</v>
      </c>
      <c r="E321" s="374">
        <v>34.130000000000003</v>
      </c>
      <c r="F321" s="374" t="s">
        <v>797</v>
      </c>
      <c r="G321" s="375">
        <v>8.2000000000000007E-3</v>
      </c>
      <c r="H321" s="376">
        <f t="shared" si="24"/>
        <v>3.2700729927007009E-5</v>
      </c>
      <c r="I321" s="376">
        <f t="shared" si="25"/>
        <v>-5.1382113821138199E-3</v>
      </c>
      <c r="J321" s="374" t="e">
        <f t="shared" si="23"/>
        <v>#DIV/0!</v>
      </c>
    </row>
    <row r="322" spans="1:28">
      <c r="A322" s="374" t="s">
        <v>798</v>
      </c>
      <c r="B322" s="373">
        <v>34.25</v>
      </c>
      <c r="C322" s="374">
        <v>34.619999999999997</v>
      </c>
      <c r="D322" s="374">
        <v>34.74</v>
      </c>
      <c r="E322" s="374">
        <v>34.17</v>
      </c>
      <c r="F322" s="374" t="s">
        <v>799</v>
      </c>
      <c r="G322" s="375">
        <v>-8.3999999999999995E-3</v>
      </c>
      <c r="H322" s="376">
        <f t="shared" si="24"/>
        <v>-3.3584250144759407E-5</v>
      </c>
      <c r="I322" s="376">
        <f t="shared" si="25"/>
        <v>-8.4968684759916518E-3</v>
      </c>
      <c r="J322" s="374" t="e">
        <f t="shared" ref="J322:J385" si="30">(B322/B572 -1)</f>
        <v>#DIV/0!</v>
      </c>
    </row>
    <row r="323" spans="1:28">
      <c r="A323" s="374" t="s">
        <v>800</v>
      </c>
      <c r="B323" s="373">
        <v>34.54</v>
      </c>
      <c r="C323" s="374">
        <v>34.19</v>
      </c>
      <c r="D323" s="374">
        <v>34.840000000000003</v>
      </c>
      <c r="E323" s="374">
        <v>33.75</v>
      </c>
      <c r="F323" s="374" t="s">
        <v>801</v>
      </c>
      <c r="G323" s="375">
        <v>-2.3E-3</v>
      </c>
      <c r="H323" s="376">
        <f t="shared" ref="H323:H386" si="31">(B323/B324 -1)*(1/250)</f>
        <v>-9.2432120161753945E-6</v>
      </c>
      <c r="I323" s="376">
        <f t="shared" ref="I323:I386" si="32">(B323/B343 -1)*(20/250)</f>
        <v>-7.9102530654839506E-3</v>
      </c>
      <c r="J323" s="374" t="e">
        <f t="shared" si="30"/>
        <v>#DIV/0!</v>
      </c>
    </row>
    <row r="324" spans="1:28">
      <c r="A324" s="374" t="s">
        <v>802</v>
      </c>
      <c r="B324" s="373">
        <v>34.619999999999997</v>
      </c>
      <c r="C324" s="374">
        <v>34.200000000000003</v>
      </c>
      <c r="D324" s="374">
        <v>34.619999999999997</v>
      </c>
      <c r="E324" s="374">
        <v>34.090000000000003</v>
      </c>
      <c r="F324" s="374" t="s">
        <v>803</v>
      </c>
      <c r="G324" s="375">
        <v>8.9999999999999993E-3</v>
      </c>
      <c r="H324" s="376">
        <f t="shared" si="31"/>
        <v>3.6141066744388443E-5</v>
      </c>
      <c r="I324" s="376">
        <f t="shared" si="32"/>
        <v>-7.554276746010986E-3</v>
      </c>
      <c r="J324" s="374" t="e">
        <f t="shared" si="30"/>
        <v>#DIV/0!</v>
      </c>
    </row>
    <row r="325" spans="1:28" ht="16.5" thickBot="1">
      <c r="A325" s="374" t="s">
        <v>804</v>
      </c>
      <c r="B325" s="373">
        <v>34.31</v>
      </c>
      <c r="C325" s="374">
        <v>34</v>
      </c>
      <c r="D325" s="374">
        <v>34.44</v>
      </c>
      <c r="E325" s="374">
        <v>33.99</v>
      </c>
      <c r="F325" s="374" t="s">
        <v>805</v>
      </c>
      <c r="G325" s="375">
        <v>9.1000000000000004E-3</v>
      </c>
      <c r="H325" s="376">
        <f t="shared" si="31"/>
        <v>3.6470588235294697E-5</v>
      </c>
      <c r="I325" s="376">
        <f t="shared" si="32"/>
        <v>-8.0146865984788915E-3</v>
      </c>
      <c r="J325" s="374" t="e">
        <f t="shared" si="30"/>
        <v>#DIV/0!</v>
      </c>
    </row>
    <row r="326" spans="1:28">
      <c r="A326" s="374" t="s">
        <v>806</v>
      </c>
      <c r="B326" s="373">
        <v>34</v>
      </c>
      <c r="C326" s="374">
        <v>33.700000000000003</v>
      </c>
      <c r="D326" s="374">
        <v>34</v>
      </c>
      <c r="E326" s="374">
        <v>33.520000000000003</v>
      </c>
      <c r="F326" s="374" t="s">
        <v>807</v>
      </c>
      <c r="G326" s="375">
        <v>4.1000000000000003E-3</v>
      </c>
      <c r="H326" s="376">
        <f t="shared" si="31"/>
        <v>1.6538688718251927E-5</v>
      </c>
      <c r="I326" s="376">
        <f t="shared" si="32"/>
        <v>-9.1297550807712385E-3</v>
      </c>
      <c r="J326" s="374" t="e">
        <f t="shared" si="30"/>
        <v>#DIV/0!</v>
      </c>
      <c r="L326" s="1" t="s">
        <v>808</v>
      </c>
      <c r="Y326" s="37" t="s">
        <v>178</v>
      </c>
      <c r="Z326" s="39" t="s">
        <v>809</v>
      </c>
      <c r="AA326" s="39" t="s">
        <v>810</v>
      </c>
      <c r="AB326" s="298" t="s">
        <v>811</v>
      </c>
    </row>
    <row r="327" spans="1:28">
      <c r="A327" s="374" t="s">
        <v>812</v>
      </c>
      <c r="B327" s="373">
        <v>33.86</v>
      </c>
      <c r="C327" s="374">
        <v>34.130000000000003</v>
      </c>
      <c r="D327" s="374">
        <v>34.270000000000003</v>
      </c>
      <c r="E327" s="374">
        <v>33.58</v>
      </c>
      <c r="F327" s="374" t="s">
        <v>813</v>
      </c>
      <c r="G327" s="375">
        <v>-0.02</v>
      </c>
      <c r="H327" s="376">
        <f t="shared" si="31"/>
        <v>-7.9884225759768054E-5</v>
      </c>
      <c r="I327" s="376">
        <f t="shared" si="32"/>
        <v>-9.531737773152962E-3</v>
      </c>
      <c r="J327" s="374" t="e">
        <f t="shared" si="30"/>
        <v>#DIV/0!</v>
      </c>
      <c r="Y327" s="43">
        <v>30</v>
      </c>
      <c r="Z327" s="45">
        <f>AVERAGE(Y$327:Y327)</f>
        <v>30</v>
      </c>
      <c r="AA327" s="324">
        <f>MAX(Z327-M$332,0)-P$338</f>
        <v>-1.2204393680464072</v>
      </c>
      <c r="AB327" s="301">
        <f>MAX(M$332-Z327,0) -P$335</f>
        <v>3.7495606319535915</v>
      </c>
    </row>
    <row r="328" spans="1:28">
      <c r="A328" s="374" t="s">
        <v>814</v>
      </c>
      <c r="B328" s="373">
        <v>34.549999999999997</v>
      </c>
      <c r="C328" s="374">
        <v>34.5</v>
      </c>
      <c r="D328" s="374">
        <v>34.92</v>
      </c>
      <c r="E328" s="374">
        <v>34.25</v>
      </c>
      <c r="F328" s="374" t="s">
        <v>815</v>
      </c>
      <c r="G328" s="375">
        <v>7.9000000000000008E-3</v>
      </c>
      <c r="H328" s="376">
        <f t="shared" si="31"/>
        <v>3.150525087514566E-5</v>
      </c>
      <c r="I328" s="376">
        <f t="shared" si="32"/>
        <v>-1.0395366406446742E-2</v>
      </c>
      <c r="J328" s="374" t="e">
        <f t="shared" si="30"/>
        <v>#DIV/0!</v>
      </c>
      <c r="L328" s="1" t="s">
        <v>816</v>
      </c>
      <c r="N328" s="1" t="s">
        <v>817</v>
      </c>
      <c r="Y328" s="43">
        <v>31</v>
      </c>
      <c r="Z328" s="45">
        <f>AVERAGE(Y$327:Y328)</f>
        <v>30.5</v>
      </c>
      <c r="AA328" s="324">
        <f t="shared" ref="AA328:AA358" si="33">MAX(Z328-M$332,0)-P$338</f>
        <v>-1.2204393680464072</v>
      </c>
      <c r="AB328" s="301">
        <f t="shared" ref="AB328:AB358" si="34">MAX(M$332-Z328,0) -P$335</f>
        <v>3.2495606319535915</v>
      </c>
    </row>
    <row r="329" spans="1:28" ht="16.5" thickBot="1">
      <c r="A329" s="374" t="s">
        <v>818</v>
      </c>
      <c r="B329" s="373">
        <v>34.28</v>
      </c>
      <c r="C329" s="374">
        <v>34.01</v>
      </c>
      <c r="D329" s="374">
        <v>34.31</v>
      </c>
      <c r="E329" s="374">
        <v>33.4</v>
      </c>
      <c r="F329" s="374" t="s">
        <v>819</v>
      </c>
      <c r="G329" s="375">
        <v>9.4000000000000004E-3</v>
      </c>
      <c r="H329" s="376">
        <f t="shared" si="31"/>
        <v>3.7691401648999089E-5</v>
      </c>
      <c r="I329" s="376">
        <f t="shared" si="32"/>
        <v>-1.2068367599702742E-2</v>
      </c>
      <c r="J329" s="374" t="e">
        <f t="shared" si="30"/>
        <v>#DIV/0!</v>
      </c>
      <c r="Y329" s="43">
        <v>32</v>
      </c>
      <c r="Z329" s="45">
        <f>AVERAGE(Y$327:Y329)</f>
        <v>31</v>
      </c>
      <c r="AA329" s="324">
        <f t="shared" si="33"/>
        <v>-1.2204393680464072</v>
      </c>
      <c r="AB329" s="301">
        <f t="shared" si="34"/>
        <v>2.7495606319535915</v>
      </c>
    </row>
    <row r="330" spans="1:28">
      <c r="A330" s="374" t="s">
        <v>820</v>
      </c>
      <c r="B330" s="373">
        <v>33.96</v>
      </c>
      <c r="C330" s="374">
        <v>34.19</v>
      </c>
      <c r="D330" s="374">
        <v>34.25</v>
      </c>
      <c r="E330" s="374">
        <v>33.56</v>
      </c>
      <c r="F330" s="374" t="s">
        <v>821</v>
      </c>
      <c r="G330" s="375">
        <v>-7.6E-3</v>
      </c>
      <c r="H330" s="376">
        <f t="shared" si="31"/>
        <v>-3.0391583869082251E-5</v>
      </c>
      <c r="I330" s="376">
        <f t="shared" si="32"/>
        <v>-1.2215568862275443E-2</v>
      </c>
      <c r="J330" s="374" t="e">
        <f t="shared" si="30"/>
        <v>#DIV/0!</v>
      </c>
      <c r="L330" s="143" t="s">
        <v>822</v>
      </c>
      <c r="M330" s="333" t="s">
        <v>810</v>
      </c>
      <c r="Y330" s="43">
        <v>33</v>
      </c>
      <c r="Z330" s="45">
        <f>AVERAGE(Y$327:Y330)</f>
        <v>31.5</v>
      </c>
      <c r="AA330" s="324">
        <f t="shared" si="33"/>
        <v>-1.2204393680464072</v>
      </c>
      <c r="AB330" s="301">
        <f t="shared" si="34"/>
        <v>2.2495606319535915</v>
      </c>
    </row>
    <row r="331" spans="1:28" ht="16.5">
      <c r="A331" s="374" t="s">
        <v>823</v>
      </c>
      <c r="B331" s="373">
        <v>34.22</v>
      </c>
      <c r="C331" s="374">
        <v>34.89</v>
      </c>
      <c r="D331" s="374">
        <v>35.01</v>
      </c>
      <c r="E331" s="374">
        <v>34.15</v>
      </c>
      <c r="F331" s="374" t="s">
        <v>824</v>
      </c>
      <c r="G331" s="375">
        <v>-1.8100000000000002E-2</v>
      </c>
      <c r="H331" s="376">
        <f t="shared" si="31"/>
        <v>-7.2309899569584338E-5</v>
      </c>
      <c r="I331" s="376">
        <f t="shared" si="32"/>
        <v>-1.0955863808322822E-2</v>
      </c>
      <c r="J331" s="374" t="e">
        <f t="shared" si="30"/>
        <v>#DIV/0!</v>
      </c>
      <c r="L331" s="144" t="s">
        <v>825</v>
      </c>
      <c r="M331" s="130">
        <v>34.97</v>
      </c>
      <c r="Y331" s="43">
        <v>34</v>
      </c>
      <c r="Z331" s="45">
        <f>AVERAGE(Y$327:Y331)</f>
        <v>32</v>
      </c>
      <c r="AA331" s="324">
        <f t="shared" si="33"/>
        <v>-1.2204393680464072</v>
      </c>
      <c r="AB331" s="301">
        <f t="shared" si="34"/>
        <v>1.7495606319535917</v>
      </c>
    </row>
    <row r="332" spans="1:28">
      <c r="A332" s="374" t="s">
        <v>826</v>
      </c>
      <c r="B332" s="373">
        <v>34.85</v>
      </c>
      <c r="C332" s="374">
        <v>35.159999999999997</v>
      </c>
      <c r="D332" s="374">
        <v>35.39</v>
      </c>
      <c r="E332" s="374">
        <v>34.42</v>
      </c>
      <c r="F332" s="374" t="s">
        <v>827</v>
      </c>
      <c r="G332" s="375">
        <v>-1.0800000000000001E-2</v>
      </c>
      <c r="H332" s="376">
        <f t="shared" si="31"/>
        <v>-4.3145046835083359E-5</v>
      </c>
      <c r="I332" s="376">
        <f t="shared" si="32"/>
        <v>-1.0055193176116407E-2</v>
      </c>
      <c r="J332" s="374" t="e">
        <f t="shared" si="30"/>
        <v>#DIV/0!</v>
      </c>
      <c r="L332" s="144" t="s">
        <v>828</v>
      </c>
      <c r="M332" s="130">
        <v>34.97</v>
      </c>
      <c r="Y332" s="43">
        <v>35</v>
      </c>
      <c r="Z332" s="45">
        <f>AVERAGE(Y$327:Y332)</f>
        <v>32.5</v>
      </c>
      <c r="AA332" s="324">
        <f t="shared" si="33"/>
        <v>-1.2204393680464072</v>
      </c>
      <c r="AB332" s="301">
        <f t="shared" si="34"/>
        <v>1.2495606319535917</v>
      </c>
    </row>
    <row r="333" spans="1:28">
      <c r="A333" s="374" t="s">
        <v>829</v>
      </c>
      <c r="B333" s="373">
        <v>35.229999999999997</v>
      </c>
      <c r="C333" s="374">
        <v>35.159999999999997</v>
      </c>
      <c r="D333" s="374">
        <v>35.44</v>
      </c>
      <c r="E333" s="374">
        <v>34.79</v>
      </c>
      <c r="F333" s="374" t="s">
        <v>830</v>
      </c>
      <c r="G333" s="375">
        <v>-9.7999999999999997E-3</v>
      </c>
      <c r="H333" s="376">
        <f t="shared" si="31"/>
        <v>-3.9347948285553883E-5</v>
      </c>
      <c r="I333" s="376">
        <f t="shared" si="32"/>
        <v>-9.4164788379664452E-3</v>
      </c>
      <c r="J333" s="374" t="e">
        <f t="shared" si="30"/>
        <v>#DIV/0!</v>
      </c>
      <c r="L333" s="144" t="s">
        <v>831</v>
      </c>
      <c r="M333" s="130">
        <v>1</v>
      </c>
      <c r="Y333" s="43">
        <v>36</v>
      </c>
      <c r="Z333" s="45">
        <f>AVERAGE(Y$327:Y333)</f>
        <v>33</v>
      </c>
      <c r="AA333" s="324">
        <f t="shared" si="33"/>
        <v>-1.2204393680464072</v>
      </c>
      <c r="AB333" s="301">
        <f t="shared" si="34"/>
        <v>0.74956063195359168</v>
      </c>
    </row>
    <row r="334" spans="1:28">
      <c r="A334" s="374" t="s">
        <v>832</v>
      </c>
      <c r="B334" s="373">
        <v>35.58</v>
      </c>
      <c r="C334" s="374">
        <v>34.71</v>
      </c>
      <c r="D334" s="374">
        <v>35.75</v>
      </c>
      <c r="E334" s="374">
        <v>34.69</v>
      </c>
      <c r="F334" s="374" t="s">
        <v>833</v>
      </c>
      <c r="G334" s="375">
        <v>1.6E-2</v>
      </c>
      <c r="H334" s="376">
        <f t="shared" si="31"/>
        <v>6.3963449457451912E-5</v>
      </c>
      <c r="I334" s="376">
        <f t="shared" si="32"/>
        <v>-9.2644135188866897E-3</v>
      </c>
      <c r="J334" s="374" t="e">
        <f t="shared" si="30"/>
        <v>#DIV/0!</v>
      </c>
      <c r="L334" s="144" t="s">
        <v>834</v>
      </c>
      <c r="M334" s="128">
        <v>4.9700000000000001E-2</v>
      </c>
      <c r="Y334" s="43">
        <v>37</v>
      </c>
      <c r="Z334" s="45">
        <f>AVERAGE(Y$327:Y334)</f>
        <v>33.5</v>
      </c>
      <c r="AA334" s="324">
        <f t="shared" si="33"/>
        <v>-1.2204393680464072</v>
      </c>
      <c r="AB334" s="301">
        <f t="shared" si="34"/>
        <v>0.24956063195359168</v>
      </c>
    </row>
    <row r="335" spans="1:28">
      <c r="A335" s="374" t="s">
        <v>835</v>
      </c>
      <c r="B335" s="373">
        <v>35.020000000000003</v>
      </c>
      <c r="C335" s="374">
        <v>34.450000000000003</v>
      </c>
      <c r="D335" s="374">
        <v>35.18</v>
      </c>
      <c r="E335" s="374">
        <v>34.049999999999997</v>
      </c>
      <c r="F335" s="374" t="s">
        <v>836</v>
      </c>
      <c r="G335" s="375">
        <v>1.83E-2</v>
      </c>
      <c r="H335" s="376">
        <f t="shared" si="31"/>
        <v>7.3277115440535396E-5</v>
      </c>
      <c r="I335" s="376">
        <f t="shared" si="32"/>
        <v>-9.3773632467859785E-3</v>
      </c>
      <c r="J335" s="374" t="e">
        <f t="shared" si="30"/>
        <v>#DIV/0!</v>
      </c>
      <c r="L335" s="144" t="s">
        <v>186</v>
      </c>
      <c r="M335" s="128">
        <v>7.0000000000000007E-2</v>
      </c>
      <c r="O335" s="476" t="s">
        <v>837</v>
      </c>
      <c r="P335" s="478">
        <f>EXP(-M335*M333)*(P340*P347 - M332*P348)</f>
        <v>1.2204393680464072</v>
      </c>
      <c r="Y335" s="43">
        <v>38</v>
      </c>
      <c r="Z335" s="45">
        <f>AVERAGE(Y$327:Y335)</f>
        <v>34</v>
      </c>
      <c r="AA335" s="324">
        <f t="shared" si="33"/>
        <v>-1.2204393680464072</v>
      </c>
      <c r="AB335" s="301">
        <f t="shared" si="34"/>
        <v>-0.25043936804640832</v>
      </c>
    </row>
    <row r="336" spans="1:28" ht="16.5" thickBot="1">
      <c r="A336" s="374" t="s">
        <v>838</v>
      </c>
      <c r="B336" s="373">
        <v>34.39</v>
      </c>
      <c r="C336" s="374">
        <v>36.119999999999997</v>
      </c>
      <c r="D336" s="374">
        <v>36.340000000000003</v>
      </c>
      <c r="E336" s="374">
        <v>33.83</v>
      </c>
      <c r="F336" s="374" t="s">
        <v>839</v>
      </c>
      <c r="G336" s="375">
        <v>-6.1699999999999998E-2</v>
      </c>
      <c r="H336" s="376">
        <f t="shared" si="31"/>
        <v>-2.4665757162346493E-4</v>
      </c>
      <c r="I336" s="376">
        <f t="shared" si="32"/>
        <v>-1.07177033492823E-2</v>
      </c>
      <c r="J336" s="374" t="e">
        <f t="shared" si="30"/>
        <v>#DIV/0!</v>
      </c>
      <c r="L336" s="162" t="s">
        <v>189</v>
      </c>
      <c r="M336" s="163">
        <v>0</v>
      </c>
      <c r="O336" s="477"/>
      <c r="P336" s="479"/>
      <c r="Y336" s="43">
        <v>39</v>
      </c>
      <c r="Z336" s="45">
        <f>AVERAGE(Y$327:Y336)</f>
        <v>34.5</v>
      </c>
      <c r="AA336" s="324">
        <f t="shared" si="33"/>
        <v>-1.2204393680464072</v>
      </c>
      <c r="AB336" s="301">
        <f t="shared" si="34"/>
        <v>-0.75043936804640832</v>
      </c>
    </row>
    <row r="337" spans="1:28" ht="17" thickBot="1">
      <c r="A337" s="374" t="s">
        <v>840</v>
      </c>
      <c r="B337" s="373">
        <v>36.65</v>
      </c>
      <c r="C337" s="374">
        <v>36.4</v>
      </c>
      <c r="D337" s="374">
        <v>37.08</v>
      </c>
      <c r="E337" s="374">
        <v>36.35</v>
      </c>
      <c r="F337" s="374" t="s">
        <v>841</v>
      </c>
      <c r="G337" s="375">
        <v>-7.3000000000000001E-3</v>
      </c>
      <c r="H337" s="376">
        <f t="shared" si="31"/>
        <v>-2.9252437703142232E-5</v>
      </c>
      <c r="I337" s="376">
        <f t="shared" si="32"/>
        <v>-6.1832829808660603E-3</v>
      </c>
      <c r="J337" s="374" t="e">
        <f t="shared" si="30"/>
        <v>#DIV/0!</v>
      </c>
      <c r="L337" s="62"/>
      <c r="M337" s="62"/>
      <c r="S337" s="489" t="s">
        <v>842</v>
      </c>
      <c r="T337" s="489"/>
      <c r="U337" s="489"/>
      <c r="V337" s="489"/>
      <c r="Y337" s="43">
        <v>40</v>
      </c>
      <c r="Z337" s="45">
        <f>AVERAGE(Y$327:Y337)</f>
        <v>35</v>
      </c>
      <c r="AA337" s="324">
        <f t="shared" si="33"/>
        <v>-1.190439368046406</v>
      </c>
      <c r="AB337" s="301">
        <f t="shared" si="34"/>
        <v>-1.2204393680464072</v>
      </c>
    </row>
    <row r="338" spans="1:28" ht="16.5" thickBot="1">
      <c r="A338" s="374" t="s">
        <v>843</v>
      </c>
      <c r="B338" s="373">
        <v>36.92</v>
      </c>
      <c r="C338" s="374">
        <v>37.229999999999997</v>
      </c>
      <c r="D338" s="374">
        <v>37.32</v>
      </c>
      <c r="E338" s="374">
        <v>36.58</v>
      </c>
      <c r="F338" s="374" t="s">
        <v>844</v>
      </c>
      <c r="G338" s="375">
        <v>-1.6000000000000001E-3</v>
      </c>
      <c r="H338" s="376">
        <f t="shared" si="31"/>
        <v>-6.4899945916705452E-6</v>
      </c>
      <c r="I338" s="376">
        <f t="shared" si="32"/>
        <v>-5.9006522829904637E-3</v>
      </c>
      <c r="J338" s="374" t="e">
        <f t="shared" si="30"/>
        <v>#DIV/0!</v>
      </c>
      <c r="L338" s="164" t="s">
        <v>845</v>
      </c>
      <c r="M338" s="165">
        <f>M331*M342-M332*(EXP(-M335*M333))*M343</f>
        <v>2.424576132482823</v>
      </c>
      <c r="O338" s="334" t="s">
        <v>846</v>
      </c>
      <c r="P338" s="335">
        <f>(EXP(-M335*M333))*(P342*P347-M332*P348)</f>
        <v>1.2204393680464072</v>
      </c>
      <c r="Q338" s="166"/>
      <c r="S338" s="167" t="s">
        <v>847</v>
      </c>
      <c r="T338" s="490" t="s">
        <v>848</v>
      </c>
      <c r="U338" s="491"/>
      <c r="V338" s="492"/>
      <c r="Y338" s="43">
        <v>41</v>
      </c>
      <c r="Z338" s="45">
        <f>AVERAGE(Y$327:Y338)</f>
        <v>35.5</v>
      </c>
      <c r="AA338" s="324">
        <f t="shared" si="33"/>
        <v>-0.69043936804640604</v>
      </c>
      <c r="AB338" s="301">
        <f t="shared" si="34"/>
        <v>-1.2204393680464072</v>
      </c>
    </row>
    <row r="339" spans="1:28" ht="16.5" thickBot="1">
      <c r="A339" s="374" t="s">
        <v>849</v>
      </c>
      <c r="B339" s="373">
        <v>36.979999999999997</v>
      </c>
      <c r="C339" s="374">
        <v>37.56</v>
      </c>
      <c r="D339" s="374">
        <v>37.6</v>
      </c>
      <c r="E339" s="374">
        <v>36.630000000000003</v>
      </c>
      <c r="F339" s="374" t="s">
        <v>169</v>
      </c>
      <c r="G339" s="375">
        <v>-1.8800000000000001E-2</v>
      </c>
      <c r="H339" s="376">
        <f t="shared" si="31"/>
        <v>-7.5351552135844997E-5</v>
      </c>
      <c r="I339" s="376">
        <f t="shared" si="32"/>
        <v>-5.7429718875502099E-3</v>
      </c>
      <c r="J339" s="374" t="e">
        <f t="shared" si="30"/>
        <v>#DIV/0!</v>
      </c>
      <c r="S339" s="168">
        <f>S340/S341</f>
        <v>273157.25192732434</v>
      </c>
      <c r="T339" s="169">
        <f>T340/T341</f>
        <v>34940.025714285708</v>
      </c>
      <c r="U339" s="170">
        <f>U340/U341</f>
        <v>7.0190171143992393</v>
      </c>
      <c r="V339" s="171">
        <f>V340/V341</f>
        <v>14.799321778877555</v>
      </c>
      <c r="Y339" s="43">
        <v>42</v>
      </c>
      <c r="Z339" s="45">
        <f>AVERAGE(Y$327:Y339)</f>
        <v>36</v>
      </c>
      <c r="AA339" s="324">
        <f t="shared" si="33"/>
        <v>-0.19043936804640604</v>
      </c>
      <c r="AB339" s="301">
        <f t="shared" si="34"/>
        <v>-1.2204393680464072</v>
      </c>
    </row>
    <row r="340" spans="1:28" ht="16.5">
      <c r="A340" s="374" t="s">
        <v>850</v>
      </c>
      <c r="B340" s="373">
        <v>37.69</v>
      </c>
      <c r="C340" s="374">
        <v>36.82</v>
      </c>
      <c r="D340" s="374">
        <v>38.26</v>
      </c>
      <c r="E340" s="374">
        <v>36.82</v>
      </c>
      <c r="F340" s="374" t="s">
        <v>625</v>
      </c>
      <c r="G340" s="375">
        <v>2.1399999999999999E-2</v>
      </c>
      <c r="H340" s="376">
        <f t="shared" si="31"/>
        <v>8.5636856368563659E-5</v>
      </c>
      <c r="I340" s="376">
        <f t="shared" si="32"/>
        <v>-4.3362609786700189E-3</v>
      </c>
      <c r="J340" s="374" t="e">
        <f t="shared" si="30"/>
        <v>#DIV/0!</v>
      </c>
      <c r="L340" s="141" t="s">
        <v>201</v>
      </c>
      <c r="M340" s="172">
        <f>(LN(M331/M332)+(M335-M336+0.5*(M334)^2)*M333)/(M334*SQRT(M333))</f>
        <v>1.4333007042253523</v>
      </c>
      <c r="O340" s="141" t="s">
        <v>851</v>
      </c>
      <c r="P340" s="142">
        <f>M331*((EXP((M335-M336)*M333)-1)/((M335-M336)*M333))</f>
        <v>36.223015692285031</v>
      </c>
      <c r="Q340" s="173" t="str">
        <f t="shared" ref="Q340:Q348" ca="1" si="35">_xlfn.FORMULATEXT(P340)</f>
        <v>=M331*((EXP((M335-M336)*M333)-1)/((M335-M336)*M333))</v>
      </c>
      <c r="S340" s="174">
        <f>2*(EXP((2*(M335-M336)+M334^2)*M333))*(M331^2)</f>
        <v>2820.2995246607538</v>
      </c>
      <c r="T340" s="175">
        <f>2*M331^2</f>
        <v>2445.8017999999997</v>
      </c>
      <c r="U340" s="176">
        <v>1</v>
      </c>
      <c r="V340" s="177">
        <f>EXP((M335-M336)*M333)</f>
        <v>1.0725081812542165</v>
      </c>
      <c r="Y340" s="43">
        <v>43</v>
      </c>
      <c r="Z340" s="45">
        <f>AVERAGE(Y$327:Y340)</f>
        <v>36.5</v>
      </c>
      <c r="AA340" s="324">
        <f t="shared" si="33"/>
        <v>0.30956063195359396</v>
      </c>
      <c r="AB340" s="301">
        <f t="shared" si="34"/>
        <v>-1.2204393680464072</v>
      </c>
    </row>
    <row r="341" spans="1:28" ht="17" thickBot="1">
      <c r="A341" s="374" t="s">
        <v>852</v>
      </c>
      <c r="B341" s="373">
        <v>36.9</v>
      </c>
      <c r="C341" s="374">
        <v>37.28</v>
      </c>
      <c r="D341" s="374">
        <v>37.58</v>
      </c>
      <c r="E341" s="374">
        <v>36.11</v>
      </c>
      <c r="F341" s="374" t="s">
        <v>853</v>
      </c>
      <c r="G341" s="375">
        <v>-3.7100000000000001E-2</v>
      </c>
      <c r="H341" s="376">
        <f t="shared" si="31"/>
        <v>-1.482254697286014E-4</v>
      </c>
      <c r="I341" s="376">
        <f t="shared" si="32"/>
        <v>-6.0706235912847545E-3</v>
      </c>
      <c r="J341" s="374" t="e">
        <f t="shared" si="30"/>
        <v>#DIV/0!</v>
      </c>
      <c r="L341" s="31" t="s">
        <v>204</v>
      </c>
      <c r="M341" s="133">
        <f>M340-M334*SQRT(M333)</f>
        <v>1.3836007042253522</v>
      </c>
      <c r="O341" s="31" t="s">
        <v>854</v>
      </c>
      <c r="P341" s="32">
        <f>S339+T339*(U339-V339)</f>
        <v>1313.2068854749086</v>
      </c>
      <c r="Q341" s="173" t="str">
        <f t="shared" ca="1" si="35"/>
        <v>=S339+T339*(U339-V339)</v>
      </c>
      <c r="S341" s="178">
        <f>(M335-M336+(M334^2))*(2*(M335-M336)+(M334^2))*(M333^2)</f>
        <v>1.0324820244608101E-2</v>
      </c>
      <c r="T341" s="179">
        <f>(M335-M336)*(M333^2)</f>
        <v>7.0000000000000007E-2</v>
      </c>
      <c r="U341" s="180">
        <f>(2*(M335-M336)+(M334^2))</f>
        <v>0.14247009000000002</v>
      </c>
      <c r="V341" s="181">
        <f>(M335-M336+(M334^2))</f>
        <v>7.2470090000000001E-2</v>
      </c>
      <c r="Y341" s="43">
        <v>44</v>
      </c>
      <c r="Z341" s="45">
        <f>AVERAGE(Y$327:Y341)</f>
        <v>37</v>
      </c>
      <c r="AA341" s="324">
        <f t="shared" si="33"/>
        <v>0.80956063195359396</v>
      </c>
      <c r="AB341" s="301">
        <f t="shared" si="34"/>
        <v>-1.2204393680464072</v>
      </c>
    </row>
    <row r="342" spans="1:28" ht="16.5">
      <c r="A342" s="374" t="s">
        <v>855</v>
      </c>
      <c r="B342" s="373">
        <v>38.32</v>
      </c>
      <c r="C342" s="374">
        <v>38.47</v>
      </c>
      <c r="D342" s="374">
        <v>38.47</v>
      </c>
      <c r="E342" s="374">
        <v>37.97</v>
      </c>
      <c r="F342" s="374" t="s">
        <v>856</v>
      </c>
      <c r="G342" s="375">
        <v>-2.9999999999999997E-4</v>
      </c>
      <c r="H342" s="376">
        <f t="shared" si="31"/>
        <v>-1.0435690060002224E-6</v>
      </c>
      <c r="I342" s="376">
        <f t="shared" si="32"/>
        <v>-2.6444612667171352E-3</v>
      </c>
      <c r="J342" s="374" t="e">
        <f t="shared" si="30"/>
        <v>#DIV/0!</v>
      </c>
      <c r="L342" s="31" t="s">
        <v>207</v>
      </c>
      <c r="M342" s="133">
        <f>_xlfn.NORM.S.DIST(M340,TRUE)</f>
        <v>0.92411403958563276</v>
      </c>
      <c r="O342" s="31" t="s">
        <v>857</v>
      </c>
      <c r="P342" s="32">
        <f>P340</f>
        <v>36.223015692285031</v>
      </c>
      <c r="Q342" s="173" t="str">
        <f t="shared" ca="1" si="35"/>
        <v>=P340</v>
      </c>
      <c r="Y342" s="43">
        <v>45</v>
      </c>
      <c r="Z342" s="45">
        <f>AVERAGE(Y$327:Y342)</f>
        <v>37.5</v>
      </c>
      <c r="AA342" s="324">
        <f t="shared" si="33"/>
        <v>1.309560631953594</v>
      </c>
      <c r="AB342" s="301">
        <f t="shared" si="34"/>
        <v>-1.2204393680464072</v>
      </c>
    </row>
    <row r="343" spans="1:28" ht="17" thickBot="1">
      <c r="A343" s="374" t="s">
        <v>858</v>
      </c>
      <c r="B343" s="373">
        <v>38.33</v>
      </c>
      <c r="C343" s="374">
        <v>38.15</v>
      </c>
      <c r="D343" s="374">
        <v>38.81</v>
      </c>
      <c r="E343" s="374">
        <v>38.15</v>
      </c>
      <c r="F343" s="374" t="s">
        <v>859</v>
      </c>
      <c r="G343" s="375">
        <v>2.5999999999999999E-3</v>
      </c>
      <c r="H343" s="376">
        <f t="shared" si="31"/>
        <v>1.0462987182840777E-5</v>
      </c>
      <c r="I343" s="376">
        <f t="shared" si="32"/>
        <v>-3.4165834165834144E-3</v>
      </c>
      <c r="J343" s="374" t="e">
        <f t="shared" si="30"/>
        <v>#DIV/0!</v>
      </c>
      <c r="L343" s="68" t="s">
        <v>210</v>
      </c>
      <c r="M343" s="139">
        <f>_xlfn.NORM.S.DIST(M341,TRUE)</f>
        <v>0.91675962371072417</v>
      </c>
      <c r="O343" s="31" t="s">
        <v>860</v>
      </c>
      <c r="P343" s="32">
        <f>(1/M333)*LN(P341/(P340^2))</f>
        <v>8.3801008180719354E-4</v>
      </c>
      <c r="Q343" s="173" t="str">
        <f t="shared" ca="1" si="35"/>
        <v>=(1/M333)*LN(P341/(P340^2))</v>
      </c>
      <c r="S343" s="489" t="s">
        <v>842</v>
      </c>
      <c r="T343" s="489"/>
      <c r="U343" s="489"/>
      <c r="V343" s="489"/>
      <c r="Y343" s="43">
        <v>46</v>
      </c>
      <c r="Z343" s="45">
        <f>AVERAGE(Y$327:Y343)</f>
        <v>38</v>
      </c>
      <c r="AA343" s="324">
        <f t="shared" si="33"/>
        <v>1.809560631953594</v>
      </c>
      <c r="AB343" s="301">
        <f t="shared" si="34"/>
        <v>-1.2204393680464072</v>
      </c>
    </row>
    <row r="344" spans="1:28" ht="16.5" thickBot="1">
      <c r="A344" s="374" t="s">
        <v>861</v>
      </c>
      <c r="B344" s="373">
        <v>38.229999999999997</v>
      </c>
      <c r="C344" s="374">
        <v>38</v>
      </c>
      <c r="D344" s="374">
        <v>38.43</v>
      </c>
      <c r="E344" s="374">
        <v>37.96</v>
      </c>
      <c r="F344" s="374" t="s">
        <v>862</v>
      </c>
      <c r="G344" s="375">
        <v>2.5999999999999999E-3</v>
      </c>
      <c r="H344" s="376">
        <f t="shared" si="31"/>
        <v>1.0490427484919351E-5</v>
      </c>
      <c r="I344" s="376">
        <f t="shared" si="32"/>
        <v>-3.1943746860874003E-3</v>
      </c>
      <c r="J344" s="374" t="e">
        <f t="shared" si="30"/>
        <v>#DIV/0!</v>
      </c>
      <c r="L344" s="62"/>
      <c r="M344" s="62"/>
      <c r="O344" s="31" t="s">
        <v>863</v>
      </c>
      <c r="P344" s="32">
        <f>SQRT(P343)</f>
        <v>2.8948403786861782E-2</v>
      </c>
      <c r="Q344" s="173" t="str">
        <f t="shared" ca="1" si="35"/>
        <v>=SQRT(P343)</v>
      </c>
      <c r="S344" s="167" t="s">
        <v>847</v>
      </c>
      <c r="T344" s="490" t="s">
        <v>848</v>
      </c>
      <c r="U344" s="491"/>
      <c r="V344" s="492"/>
      <c r="Y344" s="43">
        <v>47</v>
      </c>
      <c r="Z344" s="45">
        <f>AVERAGE(Y$327:Y344)</f>
        <v>38.5</v>
      </c>
      <c r="AA344" s="324">
        <f t="shared" si="33"/>
        <v>2.3095606319535937</v>
      </c>
      <c r="AB344" s="301">
        <f t="shared" si="34"/>
        <v>-1.2204393680464072</v>
      </c>
    </row>
    <row r="345" spans="1:28" ht="16.5" thickBot="1">
      <c r="A345" s="374" t="s">
        <v>864</v>
      </c>
      <c r="B345" s="373">
        <v>38.130000000000003</v>
      </c>
      <c r="C345" s="374">
        <v>38</v>
      </c>
      <c r="D345" s="374">
        <v>38.49</v>
      </c>
      <c r="E345" s="374">
        <v>37.909999999999997</v>
      </c>
      <c r="F345" s="374" t="s">
        <v>865</v>
      </c>
      <c r="G345" s="375">
        <v>-6.4999999999999997E-3</v>
      </c>
      <c r="H345" s="376">
        <f t="shared" si="31"/>
        <v>-2.6055237102657448E-5</v>
      </c>
      <c r="I345" s="376">
        <f t="shared" si="32"/>
        <v>-2.0643842616249321E-3</v>
      </c>
      <c r="J345" s="374" t="e">
        <f t="shared" si="30"/>
        <v>#DIV/0!</v>
      </c>
      <c r="L345" s="62"/>
      <c r="M345" s="62"/>
      <c r="O345" s="31" t="s">
        <v>866</v>
      </c>
      <c r="P345" s="32">
        <f>(LN(P342/M332)+(P343/2)*M333)/(P344*SQRT(M333))</f>
        <v>1.2305743568348779</v>
      </c>
      <c r="Q345" s="173" t="str">
        <f t="shared" ca="1" si="35"/>
        <v>=(LN(P342/M332)+(P343/2)*M333)/(P344*SQRT(M333))</v>
      </c>
      <c r="S345" s="168" t="str">
        <f ca="1">_xlfn.FORMULATEXT(S339)</f>
        <v>=S340/S341</v>
      </c>
      <c r="T345" s="169" t="str">
        <f t="shared" ref="T345:V345" ca="1" si="36">_xlfn.FORMULATEXT(T339)</f>
        <v>=T340/T341</v>
      </c>
      <c r="U345" s="170" t="str">
        <f t="shared" ca="1" si="36"/>
        <v>=U340/U341</v>
      </c>
      <c r="V345" s="171" t="str">
        <f t="shared" ca="1" si="36"/>
        <v>=V340/V341</v>
      </c>
      <c r="Y345" s="43">
        <v>48</v>
      </c>
      <c r="Z345" s="45">
        <f>AVERAGE(Y$327:Y345)</f>
        <v>39</v>
      </c>
      <c r="AA345" s="324">
        <f t="shared" si="33"/>
        <v>2.8095606319535937</v>
      </c>
      <c r="AB345" s="301">
        <f t="shared" si="34"/>
        <v>-1.2204393680464072</v>
      </c>
    </row>
    <row r="346" spans="1:28">
      <c r="A346" s="374" t="s">
        <v>867</v>
      </c>
      <c r="B346" s="373">
        <v>38.380000000000003</v>
      </c>
      <c r="C346" s="374">
        <v>38.090000000000003</v>
      </c>
      <c r="D346" s="374">
        <v>38.659999999999997</v>
      </c>
      <c r="E346" s="374">
        <v>37.83</v>
      </c>
      <c r="F346" s="374" t="s">
        <v>868</v>
      </c>
      <c r="G346" s="375">
        <v>-1.6000000000000001E-3</v>
      </c>
      <c r="H346" s="376">
        <f t="shared" si="31"/>
        <v>-6.2434963579600659E-6</v>
      </c>
      <c r="I346" s="376">
        <f t="shared" si="32"/>
        <v>-4.3557526484355779E-3</v>
      </c>
      <c r="J346" s="374" t="e">
        <f t="shared" si="30"/>
        <v>#DIV/0!</v>
      </c>
      <c r="L346" s="62"/>
      <c r="M346" s="62"/>
      <c r="O346" s="31" t="s">
        <v>869</v>
      </c>
      <c r="P346" s="32">
        <f>P345-(P344*SQRT(M333))</f>
        <v>1.2016259530480162</v>
      </c>
      <c r="Q346" s="173" t="str">
        <f t="shared" ca="1" si="35"/>
        <v>=P345-(P344*SQRT(M333))</v>
      </c>
      <c r="S346" s="174" t="str">
        <f t="shared" ref="S346:V347" ca="1" si="37">_xlfn.FORMULATEXT(S340)</f>
        <v>=2*(EXP((2*(M335-M336)+M334^2)*M333))*(M331^2)</v>
      </c>
      <c r="T346" s="175" t="str">
        <f t="shared" ca="1" si="37"/>
        <v>=2*M331^2</v>
      </c>
      <c r="U346" s="176"/>
      <c r="V346" s="177" t="str">
        <f t="shared" ca="1" si="37"/>
        <v>=EXP((M335-M336)*M333)</v>
      </c>
      <c r="Y346" s="43">
        <v>49</v>
      </c>
      <c r="Z346" s="45">
        <f>AVERAGE(Y$327:Y346)</f>
        <v>39.5</v>
      </c>
      <c r="AA346" s="324">
        <f t="shared" si="33"/>
        <v>3.3095606319535937</v>
      </c>
      <c r="AB346" s="301">
        <f t="shared" si="34"/>
        <v>-1.2204393680464072</v>
      </c>
    </row>
    <row r="347" spans="1:28" ht="17" thickBot="1">
      <c r="A347" s="374" t="s">
        <v>870</v>
      </c>
      <c r="B347" s="373">
        <v>38.44</v>
      </c>
      <c r="C347" s="374">
        <v>39.67</v>
      </c>
      <c r="D347" s="374">
        <v>39.83</v>
      </c>
      <c r="E347" s="374">
        <v>38.1</v>
      </c>
      <c r="F347" s="374" t="s">
        <v>871</v>
      </c>
      <c r="G347" s="375">
        <v>-3.2000000000000001E-2</v>
      </c>
      <c r="H347" s="376">
        <f t="shared" si="31"/>
        <v>-1.2792747418786243E-4</v>
      </c>
      <c r="I347" s="376">
        <f t="shared" si="32"/>
        <v>-4.5164457535591665E-3</v>
      </c>
      <c r="J347" s="374" t="e">
        <f t="shared" si="30"/>
        <v>#DIV/0!</v>
      </c>
      <c r="O347" s="31" t="s">
        <v>207</v>
      </c>
      <c r="P347" s="133">
        <f>_xlfn.NORM.S.DIST(P345,TRUE)</f>
        <v>0.89075894953322488</v>
      </c>
      <c r="Q347" s="173" t="str">
        <f t="shared" ca="1" si="35"/>
        <v>=NORM.S.DIST(P345,TRUE)</v>
      </c>
      <c r="S347" s="178" t="str">
        <f t="shared" ca="1" si="37"/>
        <v>=(M335-M336+(M334^2))*(2*(M335-M336)+(M334^2))*(M333^2)</v>
      </c>
      <c r="T347" s="179" t="str">
        <f t="shared" ca="1" si="37"/>
        <v>=(M335-M336)*(M333^2)</v>
      </c>
      <c r="U347" s="180" t="str">
        <f t="shared" ca="1" si="37"/>
        <v>=(2*(M335-M336)+(M334^2))</v>
      </c>
      <c r="V347" s="181" t="str">
        <f t="shared" ca="1" si="37"/>
        <v>=(M335-M336+(M334^2))</v>
      </c>
      <c r="Y347" s="43">
        <v>50</v>
      </c>
      <c r="Z347" s="45">
        <f>AVERAGE(Y$327:Y347)</f>
        <v>40</v>
      </c>
      <c r="AA347" s="324">
        <f t="shared" si="33"/>
        <v>3.8095606319535937</v>
      </c>
      <c r="AB347" s="301">
        <f t="shared" si="34"/>
        <v>-1.2204393680464072</v>
      </c>
    </row>
    <row r="348" spans="1:28" ht="17" thickBot="1">
      <c r="A348" s="374" t="s">
        <v>872</v>
      </c>
      <c r="B348" s="373">
        <v>39.71</v>
      </c>
      <c r="C348" s="374">
        <v>40.6</v>
      </c>
      <c r="D348" s="374">
        <v>40.78</v>
      </c>
      <c r="E348" s="374">
        <v>39.01</v>
      </c>
      <c r="F348" s="374" t="s">
        <v>873</v>
      </c>
      <c r="G348" s="375">
        <v>-1.6299999999999999E-2</v>
      </c>
      <c r="H348" s="376">
        <f t="shared" si="31"/>
        <v>-6.5395095367847049E-5</v>
      </c>
      <c r="I348" s="376">
        <f t="shared" si="32"/>
        <v>-2.6679649464459577E-3</v>
      </c>
      <c r="J348" s="374" t="e">
        <f t="shared" si="30"/>
        <v>#DIV/0!</v>
      </c>
      <c r="O348" s="68" t="s">
        <v>210</v>
      </c>
      <c r="P348" s="139">
        <f>_xlfn.NORM.S.DIST(P346,TRUE)</f>
        <v>0.88524575922307225</v>
      </c>
      <c r="Q348" s="173" t="str">
        <f t="shared" ca="1" si="35"/>
        <v>=NORM.S.DIST(P346,TRUE)</v>
      </c>
      <c r="Y348" s="43">
        <v>51</v>
      </c>
      <c r="Z348" s="45">
        <f>AVERAGE(Y$327:Y348)</f>
        <v>40.5</v>
      </c>
      <c r="AA348" s="324">
        <f t="shared" si="33"/>
        <v>4.3095606319535937</v>
      </c>
      <c r="AB348" s="301">
        <f t="shared" si="34"/>
        <v>-1.2204393680464072</v>
      </c>
    </row>
    <row r="349" spans="1:28">
      <c r="A349" s="374" t="s">
        <v>874</v>
      </c>
      <c r="B349" s="373">
        <v>40.369999999999997</v>
      </c>
      <c r="C349" s="374">
        <v>40.049999999999997</v>
      </c>
      <c r="D349" s="374">
        <v>40.700000000000003</v>
      </c>
      <c r="E349" s="374">
        <v>39.659999999999997</v>
      </c>
      <c r="F349" s="374" t="s">
        <v>875</v>
      </c>
      <c r="G349" s="375">
        <v>7.1999999999999998E-3</v>
      </c>
      <c r="H349" s="376">
        <f t="shared" si="31"/>
        <v>2.8942115768463062E-5</v>
      </c>
      <c r="I349" s="376">
        <f t="shared" si="32"/>
        <v>-3.6320643178056325E-3</v>
      </c>
      <c r="J349" s="374" t="e">
        <f t="shared" si="30"/>
        <v>#DIV/0!</v>
      </c>
      <c r="Y349" s="43">
        <v>52</v>
      </c>
      <c r="Z349" s="45">
        <f>AVERAGE(Y$327:Y349)</f>
        <v>41</v>
      </c>
      <c r="AA349" s="324">
        <f t="shared" si="33"/>
        <v>4.8095606319535937</v>
      </c>
      <c r="AB349" s="301">
        <f t="shared" si="34"/>
        <v>-1.2204393680464072</v>
      </c>
    </row>
    <row r="350" spans="1:28">
      <c r="A350" s="374" t="s">
        <v>876</v>
      </c>
      <c r="B350" s="373">
        <v>40.08</v>
      </c>
      <c r="C350" s="374">
        <v>39.619999999999997</v>
      </c>
      <c r="D350" s="374">
        <v>41.1</v>
      </c>
      <c r="E350" s="374">
        <v>39.619999999999997</v>
      </c>
      <c r="F350" s="374" t="s">
        <v>877</v>
      </c>
      <c r="G350" s="375">
        <v>1.0800000000000001E-2</v>
      </c>
      <c r="H350" s="376">
        <f t="shared" si="31"/>
        <v>4.3379571248423509E-5</v>
      </c>
      <c r="I350" s="376">
        <f t="shared" si="32"/>
        <v>-2.5132914451425846E-3</v>
      </c>
      <c r="J350" s="374" t="e">
        <f t="shared" si="30"/>
        <v>#DIV/0!</v>
      </c>
      <c r="Y350" s="43">
        <v>53</v>
      </c>
      <c r="Z350" s="45">
        <f>AVERAGE(Y$327:Y350)</f>
        <v>41.5</v>
      </c>
      <c r="AA350" s="324">
        <f t="shared" si="33"/>
        <v>5.3095606319535937</v>
      </c>
      <c r="AB350" s="301">
        <f t="shared" si="34"/>
        <v>-1.2204393680464072</v>
      </c>
    </row>
    <row r="351" spans="1:28">
      <c r="A351" s="374" t="s">
        <v>878</v>
      </c>
      <c r="B351" s="373">
        <v>39.65</v>
      </c>
      <c r="C351" s="374">
        <v>40.1</v>
      </c>
      <c r="D351" s="374">
        <v>40.68</v>
      </c>
      <c r="E351" s="374">
        <v>39.65</v>
      </c>
      <c r="F351" s="374" t="s">
        <v>879</v>
      </c>
      <c r="G351" s="375">
        <v>-5.3E-3</v>
      </c>
      <c r="H351" s="376">
        <f t="shared" si="31"/>
        <v>-2.1073758153537627E-5</v>
      </c>
      <c r="I351" s="376">
        <f t="shared" si="32"/>
        <v>-2.2549019607843146E-3</v>
      </c>
      <c r="J351" s="374" t="e">
        <f t="shared" si="30"/>
        <v>#DIV/0!</v>
      </c>
      <c r="Y351" s="43">
        <v>54</v>
      </c>
      <c r="Z351" s="45">
        <f>AVERAGE(Y$327:Y351)</f>
        <v>42</v>
      </c>
      <c r="AA351" s="324">
        <f t="shared" si="33"/>
        <v>5.8095606319535937</v>
      </c>
      <c r="AB351" s="301">
        <f t="shared" si="34"/>
        <v>-1.2204393680464072</v>
      </c>
    </row>
    <row r="352" spans="1:28">
      <c r="A352" s="374" t="s">
        <v>880</v>
      </c>
      <c r="B352" s="373">
        <v>39.86</v>
      </c>
      <c r="C352" s="374">
        <v>39.74</v>
      </c>
      <c r="D352" s="374">
        <v>40.01</v>
      </c>
      <c r="E352" s="374">
        <v>39.67</v>
      </c>
      <c r="F352" s="374" t="s">
        <v>881</v>
      </c>
      <c r="G352" s="375">
        <v>-1.8E-3</v>
      </c>
      <c r="H352" s="376">
        <f t="shared" si="31"/>
        <v>-7.0122714750815444E-6</v>
      </c>
      <c r="I352" s="376">
        <f t="shared" si="32"/>
        <v>-2.63949539058709E-3</v>
      </c>
      <c r="J352" s="374" t="e">
        <f t="shared" si="30"/>
        <v>#DIV/0!</v>
      </c>
      <c r="Y352" s="43">
        <v>55</v>
      </c>
      <c r="Z352" s="45">
        <f>AVERAGE(Y$327:Y352)</f>
        <v>42.5</v>
      </c>
      <c r="AA352" s="324">
        <f t="shared" si="33"/>
        <v>6.3095606319535937</v>
      </c>
      <c r="AB352" s="301">
        <f t="shared" si="34"/>
        <v>-1.2204393680464072</v>
      </c>
    </row>
    <row r="353" spans="1:28">
      <c r="A353" s="374" t="s">
        <v>882</v>
      </c>
      <c r="B353" s="373">
        <v>39.93</v>
      </c>
      <c r="C353" s="374">
        <v>40.130000000000003</v>
      </c>
      <c r="D353" s="374">
        <v>40.4</v>
      </c>
      <c r="E353" s="374">
        <v>39.71</v>
      </c>
      <c r="F353" s="374" t="s">
        <v>883</v>
      </c>
      <c r="G353" s="375">
        <v>-7.7000000000000002E-3</v>
      </c>
      <c r="H353" s="376">
        <f t="shared" si="31"/>
        <v>-3.0815109343936611E-5</v>
      </c>
      <c r="I353" s="376">
        <f t="shared" si="32"/>
        <v>-1.3008130081300885E-3</v>
      </c>
      <c r="J353" s="374" t="e">
        <f t="shared" si="30"/>
        <v>#DIV/0!</v>
      </c>
      <c r="Y353" s="43">
        <v>56</v>
      </c>
      <c r="Z353" s="45">
        <f>AVERAGE(Y$327:Y353)</f>
        <v>43</v>
      </c>
      <c r="AA353" s="324">
        <f t="shared" si="33"/>
        <v>6.8095606319535937</v>
      </c>
      <c r="AB353" s="301">
        <f t="shared" si="34"/>
        <v>-1.2204393680464072</v>
      </c>
    </row>
    <row r="354" spans="1:28">
      <c r="A354" s="374" t="s">
        <v>884</v>
      </c>
      <c r="B354" s="373">
        <v>40.24</v>
      </c>
      <c r="C354" s="374">
        <v>39.69</v>
      </c>
      <c r="D354" s="374">
        <v>40.75</v>
      </c>
      <c r="E354" s="374">
        <v>39.67</v>
      </c>
      <c r="F354" s="374" t="s">
        <v>885</v>
      </c>
      <c r="G354" s="375">
        <v>1.44E-2</v>
      </c>
      <c r="H354" s="376">
        <f t="shared" si="31"/>
        <v>5.7474161835139981E-5</v>
      </c>
      <c r="I354" s="376">
        <f t="shared" si="32"/>
        <v>8.6410449635769386E-4</v>
      </c>
      <c r="J354" s="374" t="e">
        <f t="shared" si="30"/>
        <v>#DIV/0!</v>
      </c>
      <c r="Y354" s="43">
        <v>57</v>
      </c>
      <c r="Z354" s="45">
        <f>AVERAGE(Y$327:Y354)</f>
        <v>43.5</v>
      </c>
      <c r="AA354" s="324">
        <f t="shared" si="33"/>
        <v>7.3095606319535937</v>
      </c>
      <c r="AB354" s="301">
        <f t="shared" si="34"/>
        <v>-1.2204393680464072</v>
      </c>
    </row>
    <row r="355" spans="1:28" ht="16.5" thickBot="1">
      <c r="A355" s="374" t="s">
        <v>886</v>
      </c>
      <c r="B355" s="373">
        <v>39.67</v>
      </c>
      <c r="C355" s="374">
        <v>39.6</v>
      </c>
      <c r="D355" s="374">
        <v>39.83</v>
      </c>
      <c r="E355" s="374">
        <v>39.51</v>
      </c>
      <c r="F355" s="374" t="s">
        <v>887</v>
      </c>
      <c r="G355" s="375">
        <v>-1E-3</v>
      </c>
      <c r="H355" s="376">
        <f t="shared" si="31"/>
        <v>-4.0292117854443537E-6</v>
      </c>
      <c r="I355" s="376">
        <f t="shared" si="32"/>
        <v>-2.5573450463640679E-3</v>
      </c>
      <c r="J355" s="374" t="e">
        <f t="shared" si="30"/>
        <v>#DIV/0!</v>
      </c>
      <c r="Y355" s="43">
        <v>58</v>
      </c>
      <c r="Z355" s="45">
        <f>AVERAGE(Y$327:Y355)</f>
        <v>44</v>
      </c>
      <c r="AA355" s="324">
        <f t="shared" si="33"/>
        <v>7.8095606319535937</v>
      </c>
      <c r="AB355" s="301">
        <f t="shared" si="34"/>
        <v>-1.2204393680464072</v>
      </c>
    </row>
    <row r="356" spans="1:28" ht="16.5">
      <c r="A356" s="374" t="s">
        <v>888</v>
      </c>
      <c r="B356" s="373">
        <v>39.71</v>
      </c>
      <c r="C356" s="374">
        <v>39.47</v>
      </c>
      <c r="D356" s="374">
        <v>39.79</v>
      </c>
      <c r="E356" s="374">
        <v>39.24</v>
      </c>
      <c r="F356" s="374" t="s">
        <v>889</v>
      </c>
      <c r="G356" s="375">
        <v>-2.9999999999999997E-4</v>
      </c>
      <c r="H356" s="376">
        <f t="shared" si="31"/>
        <v>-1.00704934541751E-6</v>
      </c>
      <c r="I356" s="376">
        <f t="shared" si="32"/>
        <v>-1.830708661417324E-3</v>
      </c>
      <c r="J356" s="374" t="e">
        <f t="shared" si="30"/>
        <v>#DIV/0!</v>
      </c>
      <c r="L356" s="345" t="s">
        <v>890</v>
      </c>
      <c r="M356" s="340">
        <v>34.97</v>
      </c>
      <c r="N356" s="182"/>
      <c r="O356" s="182"/>
      <c r="P356" s="182"/>
      <c r="Q356" s="182"/>
      <c r="R356" s="182"/>
      <c r="Y356" s="43">
        <v>59</v>
      </c>
      <c r="Z356" s="45">
        <f>AVERAGE(Y$327:Y356)</f>
        <v>44.5</v>
      </c>
      <c r="AA356" s="324">
        <f t="shared" si="33"/>
        <v>8.3095606319535946</v>
      </c>
      <c r="AB356" s="301">
        <f t="shared" si="34"/>
        <v>-1.2204393680464072</v>
      </c>
    </row>
    <row r="357" spans="1:28">
      <c r="A357" s="374" t="s">
        <v>891</v>
      </c>
      <c r="B357" s="373">
        <v>39.72</v>
      </c>
      <c r="C357" s="374">
        <v>39.85</v>
      </c>
      <c r="D357" s="374">
        <v>39.97</v>
      </c>
      <c r="E357" s="374">
        <v>39.44</v>
      </c>
      <c r="F357" s="374" t="s">
        <v>892</v>
      </c>
      <c r="G357" s="375">
        <v>-3.5000000000000001E-3</v>
      </c>
      <c r="H357" s="376">
        <f t="shared" si="31"/>
        <v>-1.404917210235812E-5</v>
      </c>
      <c r="I357" s="376">
        <f t="shared" si="32"/>
        <v>-1.0337972166998099E-3</v>
      </c>
      <c r="J357" s="374" t="e">
        <f t="shared" si="30"/>
        <v>#DIV/0!</v>
      </c>
      <c r="L357" s="346" t="s">
        <v>828</v>
      </c>
      <c r="M357" s="342">
        <v>34.97</v>
      </c>
      <c r="N357" s="182"/>
      <c r="O357" s="182"/>
      <c r="P357" s="182"/>
      <c r="Q357" s="182"/>
      <c r="R357" s="182"/>
      <c r="Y357" s="43">
        <v>60</v>
      </c>
      <c r="Z357" s="45">
        <f>AVERAGE(Y$327:Y357)</f>
        <v>45</v>
      </c>
      <c r="AA357" s="324">
        <f t="shared" si="33"/>
        <v>8.8095606319535946</v>
      </c>
      <c r="AB357" s="301">
        <f t="shared" si="34"/>
        <v>-1.2204393680464072</v>
      </c>
    </row>
    <row r="358" spans="1:28" ht="16.5" thickBot="1">
      <c r="A358" s="374" t="s">
        <v>893</v>
      </c>
      <c r="B358" s="373">
        <v>39.86</v>
      </c>
      <c r="C358" s="374">
        <v>39.99</v>
      </c>
      <c r="D358" s="374">
        <v>40.04</v>
      </c>
      <c r="E358" s="374">
        <v>39.56</v>
      </c>
      <c r="F358" s="374" t="s">
        <v>894</v>
      </c>
      <c r="G358" s="375">
        <v>5.0000000000000001E-4</v>
      </c>
      <c r="H358" s="376">
        <f t="shared" si="31"/>
        <v>2.0080321285140814E-6</v>
      </c>
      <c r="I358" s="376">
        <f t="shared" si="32"/>
        <v>1.8104098566757543E-4</v>
      </c>
      <c r="J358" s="374" t="e">
        <f t="shared" si="30"/>
        <v>#DIV/0!</v>
      </c>
      <c r="L358" s="346" t="s">
        <v>831</v>
      </c>
      <c r="M358" s="342">
        <v>0.25</v>
      </c>
      <c r="N358" s="182"/>
      <c r="O358" s="182"/>
      <c r="P358" s="182"/>
      <c r="Q358" s="182"/>
      <c r="R358" s="182"/>
      <c r="Y358" s="329">
        <v>61</v>
      </c>
      <c r="Z358" s="49">
        <f>AVERAGE(Y$327:Y358)</f>
        <v>45.5</v>
      </c>
      <c r="AA358" s="326">
        <f t="shared" si="33"/>
        <v>9.3095606319535946</v>
      </c>
      <c r="AB358" s="304">
        <f t="shared" si="34"/>
        <v>-1.2204393680464072</v>
      </c>
    </row>
    <row r="359" spans="1:28">
      <c r="A359" s="374" t="s">
        <v>895</v>
      </c>
      <c r="B359" s="373">
        <v>39.840000000000003</v>
      </c>
      <c r="C359" s="374">
        <v>39.81</v>
      </c>
      <c r="D359" s="374">
        <v>39.92</v>
      </c>
      <c r="E359" s="374">
        <v>39.54</v>
      </c>
      <c r="F359" s="374" t="s">
        <v>896</v>
      </c>
      <c r="G359" s="375">
        <v>-2.9999999999999997E-4</v>
      </c>
      <c r="H359" s="376">
        <f t="shared" si="31"/>
        <v>-1.0037641154325706E-6</v>
      </c>
      <c r="I359" s="376">
        <f t="shared" si="32"/>
        <v>1.0052777079669895E-4</v>
      </c>
      <c r="J359" s="374" t="e">
        <f t="shared" si="30"/>
        <v>#DIV/0!</v>
      </c>
      <c r="L359" s="346" t="s">
        <v>834</v>
      </c>
      <c r="M359" s="353">
        <v>4.9700000000000001E-2</v>
      </c>
      <c r="N359" s="182"/>
      <c r="O359" s="182"/>
      <c r="P359" s="182"/>
      <c r="Q359" s="182"/>
      <c r="R359" s="182"/>
    </row>
    <row r="360" spans="1:28">
      <c r="A360" s="374" t="s">
        <v>897</v>
      </c>
      <c r="B360" s="373">
        <v>39.85</v>
      </c>
      <c r="C360" s="374">
        <v>39.770000000000003</v>
      </c>
      <c r="D360" s="374">
        <v>40.06</v>
      </c>
      <c r="E360" s="374">
        <v>39.6</v>
      </c>
      <c r="F360" s="374" t="s">
        <v>898</v>
      </c>
      <c r="G360" s="375">
        <v>-2E-3</v>
      </c>
      <c r="H360" s="376">
        <f t="shared" si="31"/>
        <v>-8.0140245429500831E-6</v>
      </c>
      <c r="I360" s="376">
        <f t="shared" si="32"/>
        <v>2.1437773769646994E-3</v>
      </c>
      <c r="J360" s="374" t="e">
        <f t="shared" si="30"/>
        <v>#DIV/0!</v>
      </c>
      <c r="L360" s="346" t="s">
        <v>186</v>
      </c>
      <c r="M360" s="353">
        <v>7.0000000000000007E-2</v>
      </c>
      <c r="N360" s="182"/>
      <c r="O360" s="182"/>
      <c r="P360" s="182"/>
      <c r="Q360" s="182"/>
      <c r="R360" s="182"/>
    </row>
    <row r="361" spans="1:28" ht="16.5" thickBot="1">
      <c r="A361" s="374" t="s">
        <v>899</v>
      </c>
      <c r="B361" s="373">
        <v>39.93</v>
      </c>
      <c r="C361" s="374">
        <v>39.700000000000003</v>
      </c>
      <c r="D361" s="374">
        <v>40.090000000000003</v>
      </c>
      <c r="E361" s="374">
        <v>39.46</v>
      </c>
      <c r="F361" s="374" t="s">
        <v>900</v>
      </c>
      <c r="G361" s="375">
        <v>7.6E-3</v>
      </c>
      <c r="H361" s="376">
        <f t="shared" si="31"/>
        <v>3.02800908402725E-5</v>
      </c>
      <c r="I361" s="376">
        <f t="shared" si="32"/>
        <v>2.3723568849922574E-3</v>
      </c>
      <c r="J361" s="374" t="e">
        <f t="shared" si="30"/>
        <v>#DIV/0!</v>
      </c>
      <c r="L361" s="354" t="s">
        <v>189</v>
      </c>
      <c r="M361" s="336">
        <v>0</v>
      </c>
      <c r="N361" s="182"/>
      <c r="O361" s="182"/>
      <c r="P361" s="182"/>
      <c r="Q361" s="182"/>
      <c r="R361" s="182"/>
    </row>
    <row r="362" spans="1:28" ht="16.5" thickBot="1">
      <c r="A362" s="374" t="s">
        <v>901</v>
      </c>
      <c r="B362" s="373">
        <v>39.630000000000003</v>
      </c>
      <c r="C362" s="374">
        <v>39.549999999999997</v>
      </c>
      <c r="D362" s="374">
        <v>39.799999999999997</v>
      </c>
      <c r="E362" s="374">
        <v>39.159999999999997</v>
      </c>
      <c r="F362" s="374" t="s">
        <v>902</v>
      </c>
      <c r="G362" s="375">
        <v>-1.0200000000000001E-2</v>
      </c>
      <c r="H362" s="376">
        <f t="shared" si="31"/>
        <v>-4.0959040959040574E-5</v>
      </c>
      <c r="I362" s="376">
        <f t="shared" si="32"/>
        <v>2.6055237102657713E-3</v>
      </c>
      <c r="J362" s="374" t="e">
        <f t="shared" si="30"/>
        <v>#DIV/0!</v>
      </c>
      <c r="L362" s="182"/>
      <c r="M362" s="182"/>
      <c r="N362" s="182"/>
      <c r="O362" s="182"/>
      <c r="P362" s="182"/>
      <c r="Q362" s="182"/>
      <c r="R362" s="182"/>
    </row>
    <row r="363" spans="1:28" ht="16.5">
      <c r="A363" s="374" t="s">
        <v>903</v>
      </c>
      <c r="B363" s="373">
        <v>40.04</v>
      </c>
      <c r="C363" s="374">
        <v>39.979999999999997</v>
      </c>
      <c r="D363" s="374">
        <v>40.06</v>
      </c>
      <c r="E363" s="374">
        <v>39.51</v>
      </c>
      <c r="F363" s="374" t="s">
        <v>904</v>
      </c>
      <c r="G363" s="375">
        <v>5.4999999999999997E-3</v>
      </c>
      <c r="H363" s="376">
        <f t="shared" si="31"/>
        <v>2.2099447513811655E-5</v>
      </c>
      <c r="I363" s="376">
        <f t="shared" si="32"/>
        <v>1.0116337885685311E-3</v>
      </c>
      <c r="J363" s="374" t="e">
        <f t="shared" si="30"/>
        <v>#DIV/0!</v>
      </c>
      <c r="L363" s="337" t="s">
        <v>905</v>
      </c>
      <c r="M363" s="338">
        <v>0.11550000000000001</v>
      </c>
      <c r="N363" s="339"/>
      <c r="O363" s="340"/>
      <c r="P363" s="182"/>
      <c r="Q363" s="182"/>
      <c r="R363" s="182"/>
    </row>
    <row r="364" spans="1:28" ht="17" thickBot="1">
      <c r="A364" s="374" t="s">
        <v>906</v>
      </c>
      <c r="B364" s="373">
        <v>39.82</v>
      </c>
      <c r="C364" s="374">
        <v>39.14</v>
      </c>
      <c r="D364" s="374">
        <v>40.24</v>
      </c>
      <c r="E364" s="374">
        <v>39.090000000000003</v>
      </c>
      <c r="F364" s="374" t="s">
        <v>907</v>
      </c>
      <c r="G364" s="375">
        <v>1.7399999999999999E-2</v>
      </c>
      <c r="H364" s="376">
        <f t="shared" si="31"/>
        <v>6.9494123658660808E-5</v>
      </c>
      <c r="I364" s="376">
        <f t="shared" si="32"/>
        <v>1.2238653748087814E-3</v>
      </c>
      <c r="J364" s="374" t="e">
        <f t="shared" si="30"/>
        <v>#DIV/0!</v>
      </c>
      <c r="L364" s="341" t="s">
        <v>908</v>
      </c>
      <c r="M364" s="182">
        <v>-1.8333333E-2</v>
      </c>
      <c r="N364" s="182"/>
      <c r="O364" s="342"/>
      <c r="P364" s="182"/>
      <c r="Q364" s="182"/>
      <c r="R364" s="182"/>
    </row>
    <row r="365" spans="1:28" ht="16.5">
      <c r="A365" s="374" t="s">
        <v>909</v>
      </c>
      <c r="B365" s="373">
        <v>39.14</v>
      </c>
      <c r="C365" s="374">
        <v>40.200000000000003</v>
      </c>
      <c r="D365" s="374">
        <v>40.24</v>
      </c>
      <c r="E365" s="374">
        <v>38.83</v>
      </c>
      <c r="F365" s="374" t="s">
        <v>910</v>
      </c>
      <c r="G365" s="375">
        <v>-3.5700000000000003E-2</v>
      </c>
      <c r="H365" s="376">
        <f t="shared" si="31"/>
        <v>-1.4289233801428969E-4</v>
      </c>
      <c r="I365" s="376">
        <f t="shared" si="32"/>
        <v>-1.8372441337993007E-3</v>
      </c>
      <c r="J365" s="374" t="e">
        <f t="shared" si="30"/>
        <v>#DIV/0!</v>
      </c>
      <c r="L365" s="346" t="s">
        <v>911</v>
      </c>
      <c r="M365" s="182">
        <v>-1.1005674000000001</v>
      </c>
      <c r="N365" s="182" t="s">
        <v>912</v>
      </c>
      <c r="O365" s="342">
        <v>0.13554248999999999</v>
      </c>
      <c r="P365" s="182"/>
      <c r="Q365" s="182"/>
      <c r="R365" s="182"/>
      <c r="Y365" s="37" t="s">
        <v>178</v>
      </c>
      <c r="Z365" s="39" t="s">
        <v>809</v>
      </c>
      <c r="AA365" s="39" t="s">
        <v>810</v>
      </c>
      <c r="AB365" s="298" t="s">
        <v>811</v>
      </c>
    </row>
    <row r="366" spans="1:28" ht="17" thickBot="1">
      <c r="A366" s="374" t="s">
        <v>913</v>
      </c>
      <c r="B366" s="373">
        <v>40.590000000000003</v>
      </c>
      <c r="C366" s="374">
        <v>40.630000000000003</v>
      </c>
      <c r="D366" s="374">
        <v>40.97</v>
      </c>
      <c r="E366" s="374">
        <v>40.450000000000003</v>
      </c>
      <c r="F366" s="374" t="s">
        <v>914</v>
      </c>
      <c r="G366" s="375">
        <v>-3.7000000000000002E-3</v>
      </c>
      <c r="H366" s="376">
        <f t="shared" si="31"/>
        <v>-1.4727540500736326E-5</v>
      </c>
      <c r="I366" s="376">
        <f t="shared" si="32"/>
        <v>1.3834586466165532E-3</v>
      </c>
      <c r="J366" s="374" t="e">
        <f t="shared" si="30"/>
        <v>#DIV/0!</v>
      </c>
      <c r="L366" s="354" t="s">
        <v>915</v>
      </c>
      <c r="M366" s="343">
        <v>-1.1583019999999999</v>
      </c>
      <c r="N366" s="355" t="s">
        <v>916</v>
      </c>
      <c r="O366" s="344">
        <v>0.12337032000000001</v>
      </c>
      <c r="P366" s="182"/>
      <c r="Q366" s="182"/>
      <c r="R366" s="182"/>
      <c r="Y366" s="43">
        <v>30</v>
      </c>
      <c r="Z366" s="45">
        <f>GEOMEAN(Y$366:Y366)</f>
        <v>30</v>
      </c>
      <c r="AA366" s="324">
        <f>MAX(Z366-M$332,0)-P$338</f>
        <v>-1.2204393680464072</v>
      </c>
      <c r="AB366" s="301">
        <f>MAX(M$332-Z366,0) -P$335</f>
        <v>3.7495606319535915</v>
      </c>
    </row>
    <row r="367" spans="1:28" ht="16.5" thickBot="1">
      <c r="A367" s="374" t="s">
        <v>917</v>
      </c>
      <c r="B367" s="373">
        <v>40.74</v>
      </c>
      <c r="C367" s="374">
        <v>41.12</v>
      </c>
      <c r="D367" s="374">
        <v>41.45</v>
      </c>
      <c r="E367" s="374">
        <v>40.56</v>
      </c>
      <c r="F367" s="374" t="s">
        <v>918</v>
      </c>
      <c r="G367" s="375">
        <v>-8.3000000000000001E-3</v>
      </c>
      <c r="H367" s="376">
        <f t="shared" si="31"/>
        <v>-3.3106134371956756E-5</v>
      </c>
      <c r="I367" s="376">
        <f t="shared" si="32"/>
        <v>8.3333333333333924E-4</v>
      </c>
      <c r="J367" s="374" t="e">
        <f t="shared" si="30"/>
        <v>#DIV/0!</v>
      </c>
      <c r="L367" s="182"/>
      <c r="M367" s="182"/>
      <c r="N367" s="182"/>
      <c r="O367" s="182"/>
      <c r="P367" s="182"/>
      <c r="Q367" s="182"/>
      <c r="R367" s="182"/>
      <c r="Y367" s="43">
        <v>31</v>
      </c>
      <c r="Z367" s="45">
        <f>GEOMEAN(Y$366:Y367)</f>
        <v>30.495901363953813</v>
      </c>
      <c r="AA367" s="324">
        <f t="shared" ref="AA367:AA397" si="38">MAX(Z367-M$332,0)-P$338</f>
        <v>-1.2204393680464072</v>
      </c>
      <c r="AB367" s="301">
        <f t="shared" ref="AB367:AB397" si="39">MAX(M$332-Z367,0) -P$335</f>
        <v>3.2536592679997787</v>
      </c>
    </row>
    <row r="368" spans="1:28">
      <c r="A368" s="374" t="s">
        <v>919</v>
      </c>
      <c r="B368" s="373">
        <v>41.08</v>
      </c>
      <c r="C368" s="374">
        <v>41.64</v>
      </c>
      <c r="D368" s="374">
        <v>41.64</v>
      </c>
      <c r="E368" s="374">
        <v>40.54</v>
      </c>
      <c r="F368" s="374" t="s">
        <v>920</v>
      </c>
      <c r="G368" s="375">
        <v>-2.86E-2</v>
      </c>
      <c r="H368" s="376">
        <f t="shared" si="31"/>
        <v>-1.1444786001418805E-4</v>
      </c>
      <c r="I368" s="376">
        <f t="shared" si="32"/>
        <v>3.7172902910246111E-4</v>
      </c>
      <c r="J368" s="374" t="e">
        <f t="shared" si="30"/>
        <v>#DIV/0!</v>
      </c>
      <c r="L368" s="356" t="s">
        <v>461</v>
      </c>
      <c r="M368" s="357">
        <v>0.30349999999999999</v>
      </c>
      <c r="N368" s="182"/>
      <c r="O368" s="182"/>
      <c r="P368" s="182"/>
      <c r="Q368" s="182"/>
      <c r="R368" s="182"/>
      <c r="Y368" s="43">
        <v>32</v>
      </c>
      <c r="Z368" s="45">
        <f>GEOMEAN(Y$366:Y368)</f>
        <v>30.989243579983128</v>
      </c>
      <c r="AA368" s="324">
        <f t="shared" si="38"/>
        <v>-1.2204393680464072</v>
      </c>
      <c r="AB368" s="301">
        <f t="shared" si="39"/>
        <v>2.7603170519704632</v>
      </c>
    </row>
    <row r="369" spans="1:28" ht="16.5" thickBot="1">
      <c r="A369" s="374" t="s">
        <v>921</v>
      </c>
      <c r="B369" s="373">
        <v>42.29</v>
      </c>
      <c r="C369" s="374">
        <v>41.61</v>
      </c>
      <c r="D369" s="374">
        <v>42.62</v>
      </c>
      <c r="E369" s="374">
        <v>41.53</v>
      </c>
      <c r="F369" s="374" t="s">
        <v>666</v>
      </c>
      <c r="G369" s="375">
        <v>2.1999999999999999E-2</v>
      </c>
      <c r="H369" s="376">
        <f t="shared" si="31"/>
        <v>8.7965200579989577E-5</v>
      </c>
      <c r="I369" s="376">
        <f t="shared" si="32"/>
        <v>3.1866240472092321E-3</v>
      </c>
      <c r="J369" s="374" t="e">
        <f t="shared" si="30"/>
        <v>#DIV/0!</v>
      </c>
      <c r="L369" s="358" t="s">
        <v>922</v>
      </c>
      <c r="M369" s="359">
        <v>5.6026999999999996</v>
      </c>
      <c r="N369" s="182"/>
      <c r="O369" s="182"/>
      <c r="P369" s="182"/>
      <c r="Q369" s="182"/>
      <c r="R369" s="182"/>
      <c r="Y369" s="43">
        <v>33</v>
      </c>
      <c r="Z369" s="45">
        <f>GEOMEAN(Y$366:Y369)</f>
        <v>31.480144463756893</v>
      </c>
      <c r="AA369" s="324">
        <f t="shared" si="38"/>
        <v>-1.2204393680464072</v>
      </c>
      <c r="AB369" s="301">
        <f t="shared" si="39"/>
        <v>2.269416168196698</v>
      </c>
    </row>
    <row r="370" spans="1:28" ht="16.5" thickBot="1">
      <c r="A370" s="374" t="s">
        <v>923</v>
      </c>
      <c r="B370" s="373">
        <v>41.38</v>
      </c>
      <c r="C370" s="374">
        <v>41.2</v>
      </c>
      <c r="D370" s="374">
        <v>41.77</v>
      </c>
      <c r="E370" s="374">
        <v>41.09</v>
      </c>
      <c r="F370" s="374" t="s">
        <v>924</v>
      </c>
      <c r="G370" s="375">
        <v>1.4200000000000001E-2</v>
      </c>
      <c r="H370" s="376">
        <f t="shared" si="31"/>
        <v>5.6862745098039906E-5</v>
      </c>
      <c r="I370" s="376">
        <f t="shared" si="32"/>
        <v>1.2368098159509166E-3</v>
      </c>
      <c r="J370" s="374" t="e">
        <f t="shared" si="30"/>
        <v>#DIV/0!</v>
      </c>
      <c r="L370" s="182"/>
      <c r="M370" s="182"/>
      <c r="N370" s="182"/>
      <c r="O370" s="182"/>
      <c r="P370" s="182"/>
      <c r="Q370" s="182"/>
      <c r="R370" s="182"/>
      <c r="Y370" s="43">
        <v>34</v>
      </c>
      <c r="Z370" s="45">
        <f>GEOMEAN(Y$366:Y370)</f>
        <v>31.968713295229723</v>
      </c>
      <c r="AA370" s="324">
        <f t="shared" si="38"/>
        <v>-1.2204393680464072</v>
      </c>
      <c r="AB370" s="301">
        <f t="shared" si="39"/>
        <v>1.7808473367238691</v>
      </c>
    </row>
    <row r="371" spans="1:28">
      <c r="A371" s="374" t="s">
        <v>925</v>
      </c>
      <c r="B371" s="373">
        <v>40.799999999999997</v>
      </c>
      <c r="C371" s="374">
        <v>41.29</v>
      </c>
      <c r="D371" s="374">
        <v>41.57</v>
      </c>
      <c r="E371" s="374">
        <v>40.65</v>
      </c>
      <c r="F371" s="374" t="s">
        <v>926</v>
      </c>
      <c r="G371" s="375">
        <v>-1.0200000000000001E-2</v>
      </c>
      <c r="H371" s="376">
        <f t="shared" si="31"/>
        <v>-4.0756914119359778E-5</v>
      </c>
      <c r="I371" s="376">
        <f t="shared" si="32"/>
        <v>4.3371118777722371E-4</v>
      </c>
      <c r="J371" s="374" t="e">
        <f t="shared" si="30"/>
        <v>#DIV/0!</v>
      </c>
      <c r="L371" s="345" t="s">
        <v>927</v>
      </c>
      <c r="M371" s="339"/>
      <c r="N371" s="339"/>
      <c r="O371" s="340"/>
      <c r="P371" s="182"/>
      <c r="Q371" s="182"/>
      <c r="R371" s="182"/>
      <c r="Y371" s="43">
        <v>35</v>
      </c>
      <c r="Z371" s="45">
        <f>GEOMEAN(Y$366:Y371)</f>
        <v>32.455051655454227</v>
      </c>
      <c r="AA371" s="324">
        <f t="shared" si="38"/>
        <v>-1.2204393680464072</v>
      </c>
      <c r="AB371" s="301">
        <f t="shared" si="39"/>
        <v>1.2945089764993647</v>
      </c>
    </row>
    <row r="372" spans="1:28" ht="16.5">
      <c r="A372" s="374" t="s">
        <v>928</v>
      </c>
      <c r="B372" s="373">
        <v>41.22</v>
      </c>
      <c r="C372" s="374">
        <v>41.3</v>
      </c>
      <c r="D372" s="374">
        <v>41.59</v>
      </c>
      <c r="E372" s="374">
        <v>41.03</v>
      </c>
      <c r="F372" s="374" t="s">
        <v>929</v>
      </c>
      <c r="G372" s="375">
        <v>1.55E-2</v>
      </c>
      <c r="H372" s="376">
        <f t="shared" si="31"/>
        <v>6.2084257206207922E-5</v>
      </c>
      <c r="I372" s="376">
        <f t="shared" si="32"/>
        <v>8.8300220750550554E-4</v>
      </c>
      <c r="J372" s="374" t="e">
        <f t="shared" si="30"/>
        <v>#DIV/0!</v>
      </c>
      <c r="L372" s="346" t="s">
        <v>911</v>
      </c>
      <c r="M372" s="347">
        <v>-0.23125000000000001</v>
      </c>
      <c r="N372" s="182" t="s">
        <v>912</v>
      </c>
      <c r="O372" s="342">
        <v>0.40856176</v>
      </c>
      <c r="P372" s="182"/>
      <c r="Q372" s="182"/>
      <c r="R372" s="182"/>
      <c r="Y372" s="43">
        <v>36</v>
      </c>
      <c r="Z372" s="45">
        <f>GEOMEAN(Y$366:Y372)</f>
        <v>32.939254160864543</v>
      </c>
      <c r="AA372" s="324">
        <f t="shared" si="38"/>
        <v>-1.2204393680464072</v>
      </c>
      <c r="AB372" s="301">
        <f t="shared" si="39"/>
        <v>0.81030647108904863</v>
      </c>
    </row>
    <row r="373" spans="1:28" ht="17" thickBot="1">
      <c r="A373" s="374" t="s">
        <v>930</v>
      </c>
      <c r="B373" s="373">
        <v>40.590000000000003</v>
      </c>
      <c r="C373" s="374">
        <v>39.659999999999997</v>
      </c>
      <c r="D373" s="374">
        <v>40.729999999999997</v>
      </c>
      <c r="E373" s="374">
        <v>39.43</v>
      </c>
      <c r="F373" s="374" t="s">
        <v>931</v>
      </c>
      <c r="G373" s="375">
        <v>1.9599999999999999E-2</v>
      </c>
      <c r="H373" s="376">
        <f t="shared" si="31"/>
        <v>7.837226827430311E-5</v>
      </c>
      <c r="I373" s="376">
        <f t="shared" si="32"/>
        <v>-4.3126684636118461E-4</v>
      </c>
      <c r="J373" s="374" t="e">
        <f t="shared" si="30"/>
        <v>#DIV/0!</v>
      </c>
      <c r="L373" s="354" t="s">
        <v>915</v>
      </c>
      <c r="M373" s="348">
        <v>-0.33124999999999999</v>
      </c>
      <c r="N373" s="355" t="s">
        <v>916</v>
      </c>
      <c r="O373" s="344">
        <v>0.37022926</v>
      </c>
      <c r="P373" s="182"/>
      <c r="Q373" s="182"/>
      <c r="R373" s="182"/>
      <c r="Y373" s="43">
        <v>37</v>
      </c>
      <c r="Z373" s="45">
        <f>GEOMEAN(Y$366:Y373)</f>
        <v>33.421409109986492</v>
      </c>
      <c r="AA373" s="324">
        <f t="shared" si="38"/>
        <v>-1.2204393680464072</v>
      </c>
      <c r="AB373" s="301">
        <f t="shared" si="39"/>
        <v>0.32815152196710007</v>
      </c>
    </row>
    <row r="374" spans="1:28" ht="16.5" thickBot="1">
      <c r="A374" s="374" t="s">
        <v>932</v>
      </c>
      <c r="B374" s="373">
        <v>39.81</v>
      </c>
      <c r="C374" s="374">
        <v>40.28</v>
      </c>
      <c r="D374" s="374">
        <v>40.409999999999997</v>
      </c>
      <c r="E374" s="374">
        <v>39.64</v>
      </c>
      <c r="F374" s="374" t="s">
        <v>619</v>
      </c>
      <c r="G374" s="375">
        <v>-2.86E-2</v>
      </c>
      <c r="H374" s="376">
        <f t="shared" si="31"/>
        <v>-1.1420204978037996E-4</v>
      </c>
      <c r="I374" s="376">
        <f t="shared" si="32"/>
        <v>-1.8837380426784379E-3</v>
      </c>
      <c r="J374" s="374" t="e">
        <f t="shared" si="30"/>
        <v>#DIV/0!</v>
      </c>
      <c r="L374" s="182"/>
      <c r="M374" s="182"/>
      <c r="N374" s="182"/>
      <c r="O374" s="182"/>
      <c r="P374" s="182"/>
      <c r="Q374" s="182"/>
      <c r="R374" s="182"/>
      <c r="Y374" s="43">
        <v>38</v>
      </c>
      <c r="Z374" s="45">
        <f>GEOMEAN(Y$366:Y374)</f>
        <v>33.901599055015751</v>
      </c>
      <c r="AA374" s="324">
        <f t="shared" si="38"/>
        <v>-1.2204393680464072</v>
      </c>
      <c r="AB374" s="301">
        <f t="shared" si="39"/>
        <v>-0.15203842306215942</v>
      </c>
    </row>
    <row r="375" spans="1:28">
      <c r="A375" s="374" t="s">
        <v>933</v>
      </c>
      <c r="B375" s="373">
        <v>40.98</v>
      </c>
      <c r="C375" s="374">
        <v>41.15</v>
      </c>
      <c r="D375" s="374">
        <v>41.52</v>
      </c>
      <c r="E375" s="374">
        <v>40.92</v>
      </c>
      <c r="F375" s="374" t="s">
        <v>934</v>
      </c>
      <c r="G375" s="375">
        <v>8.3999999999999995E-3</v>
      </c>
      <c r="H375" s="376">
        <f t="shared" si="31"/>
        <v>3.3464566929133356E-5</v>
      </c>
      <c r="I375" s="376">
        <f t="shared" si="32"/>
        <v>9.0819348469890933E-4</v>
      </c>
      <c r="J375" s="374" t="e">
        <f t="shared" si="30"/>
        <v>#DIV/0!</v>
      </c>
      <c r="L375" s="349" t="s">
        <v>461</v>
      </c>
      <c r="M375" s="350">
        <v>2.7103999999999999</v>
      </c>
      <c r="N375" s="182"/>
      <c r="O375" s="182"/>
      <c r="P375" s="182"/>
      <c r="Q375" s="182"/>
      <c r="R375" s="182"/>
      <c r="Y375" s="43">
        <v>39</v>
      </c>
      <c r="Z375" s="45">
        <f>GEOMEAN(Y$366:Y375)</f>
        <v>34.379901308667556</v>
      </c>
      <c r="AA375" s="324">
        <f t="shared" si="38"/>
        <v>-1.2204393680464072</v>
      </c>
      <c r="AB375" s="301">
        <f t="shared" si="39"/>
        <v>-0.6303406767139641</v>
      </c>
    </row>
    <row r="376" spans="1:28" ht="16.5" thickBot="1">
      <c r="A376" s="374" t="s">
        <v>935</v>
      </c>
      <c r="B376" s="373">
        <v>40.64</v>
      </c>
      <c r="C376" s="374">
        <v>40.22</v>
      </c>
      <c r="D376" s="374">
        <v>40.76</v>
      </c>
      <c r="E376" s="374">
        <v>40.11</v>
      </c>
      <c r="F376" s="374" t="s">
        <v>936</v>
      </c>
      <c r="G376" s="375">
        <v>9.9000000000000008E-3</v>
      </c>
      <c r="H376" s="376">
        <f t="shared" si="31"/>
        <v>3.9761431411530883E-5</v>
      </c>
      <c r="I376" s="376">
        <f t="shared" si="32"/>
        <v>4.5533283840633489E-4</v>
      </c>
      <c r="J376" s="374" t="e">
        <f t="shared" si="30"/>
        <v>#DIV/0!</v>
      </c>
      <c r="L376" s="351" t="s">
        <v>922</v>
      </c>
      <c r="M376" s="352">
        <v>-7.9799999999999996E-2</v>
      </c>
      <c r="N376" s="182"/>
      <c r="O376" s="182"/>
      <c r="P376" s="182"/>
      <c r="Q376" s="182"/>
      <c r="R376" s="182"/>
      <c r="Y376" s="43">
        <v>40</v>
      </c>
      <c r="Z376" s="45">
        <f>GEOMEAN(Y$366:Y376)</f>
        <v>34.856388395039311</v>
      </c>
      <c r="AA376" s="324">
        <f t="shared" si="38"/>
        <v>-1.2204393680464072</v>
      </c>
      <c r="AB376" s="301">
        <f t="shared" si="39"/>
        <v>-1.1068277630857188</v>
      </c>
    </row>
    <row r="377" spans="1:28">
      <c r="A377" s="374" t="s">
        <v>937</v>
      </c>
      <c r="B377" s="373">
        <v>40.24</v>
      </c>
      <c r="C377" s="374">
        <v>39.9</v>
      </c>
      <c r="D377" s="374">
        <v>40.74</v>
      </c>
      <c r="E377" s="374">
        <v>39.81</v>
      </c>
      <c r="F377" s="374" t="s">
        <v>938</v>
      </c>
      <c r="G377" s="375">
        <v>1.18E-2</v>
      </c>
      <c r="H377" s="376">
        <f t="shared" si="31"/>
        <v>4.7271812924314814E-5</v>
      </c>
      <c r="I377" s="376">
        <f t="shared" si="32"/>
        <v>1.9930244145491827E-4</v>
      </c>
      <c r="J377" s="374" t="e">
        <f t="shared" si="30"/>
        <v>#DIV/0!</v>
      </c>
      <c r="L377" s="182"/>
      <c r="M377" s="182"/>
      <c r="N377" s="182"/>
      <c r="O377" s="182"/>
      <c r="P377" s="182"/>
      <c r="Q377" s="182"/>
      <c r="R377" s="182"/>
      <c r="Y377" s="43">
        <v>41</v>
      </c>
      <c r="Z377" s="45">
        <f>GEOMEAN(Y$366:Y377)</f>
        <v>35.331128451864863</v>
      </c>
      <c r="AA377" s="324">
        <f t="shared" si="38"/>
        <v>-0.85931091618154265</v>
      </c>
      <c r="AB377" s="301">
        <f t="shared" si="39"/>
        <v>-1.2204393680464072</v>
      </c>
    </row>
    <row r="378" spans="1:28">
      <c r="A378" s="374" t="s">
        <v>939</v>
      </c>
      <c r="B378" s="373">
        <v>39.770000000000003</v>
      </c>
      <c r="C378" s="374">
        <v>39.79</v>
      </c>
      <c r="D378" s="374">
        <v>39.82</v>
      </c>
      <c r="E378" s="374">
        <v>39.369999999999997</v>
      </c>
      <c r="F378" s="374" t="s">
        <v>940</v>
      </c>
      <c r="G378" s="375">
        <v>-5.0000000000000001E-4</v>
      </c>
      <c r="H378" s="376">
        <f t="shared" si="31"/>
        <v>-2.0105554159330907E-6</v>
      </c>
      <c r="I378" s="376">
        <f t="shared" si="32"/>
        <v>-1.1108356062484415E-3</v>
      </c>
      <c r="J378" s="374" t="e">
        <f t="shared" si="30"/>
        <v>#DIV/0!</v>
      </c>
      <c r="Y378" s="43">
        <v>42</v>
      </c>
      <c r="Z378" s="45">
        <f>GEOMEAN(Y$366:Y378)</f>
        <v>35.804185590416019</v>
      </c>
      <c r="AA378" s="324">
        <f t="shared" si="38"/>
        <v>-0.38625377763038737</v>
      </c>
      <c r="AB378" s="301">
        <f t="shared" si="39"/>
        <v>-1.2204393680464072</v>
      </c>
    </row>
    <row r="379" spans="1:28">
      <c r="A379" s="374" t="s">
        <v>941</v>
      </c>
      <c r="B379" s="373">
        <v>39.79</v>
      </c>
      <c r="C379" s="374">
        <v>38.92</v>
      </c>
      <c r="D379" s="374">
        <v>40.25</v>
      </c>
      <c r="E379" s="374">
        <v>38.92</v>
      </c>
      <c r="F379" s="374" t="s">
        <v>942</v>
      </c>
      <c r="G379" s="375">
        <v>2.53E-2</v>
      </c>
      <c r="H379" s="376">
        <f t="shared" si="31"/>
        <v>1.0100489564545168E-4</v>
      </c>
      <c r="I379" s="376">
        <f t="shared" si="32"/>
        <v>-2.8049085900325291E-4</v>
      </c>
      <c r="J379" s="374" t="e">
        <f t="shared" si="30"/>
        <v>#DIV/0!</v>
      </c>
      <c r="Y379" s="43">
        <v>43</v>
      </c>
      <c r="Z379" s="45">
        <f>GEOMEAN(Y$366:Y379)</f>
        <v>36.275620218376709</v>
      </c>
      <c r="AA379" s="324">
        <f t="shared" si="38"/>
        <v>8.5180850330302649E-2</v>
      </c>
      <c r="AB379" s="301">
        <f t="shared" si="39"/>
        <v>-1.2204393680464072</v>
      </c>
    </row>
    <row r="380" spans="1:28">
      <c r="A380" s="374" t="s">
        <v>943</v>
      </c>
      <c r="B380" s="373">
        <v>38.81</v>
      </c>
      <c r="C380" s="374">
        <v>39.130000000000003</v>
      </c>
      <c r="D380" s="374">
        <v>39.270000000000003</v>
      </c>
      <c r="E380" s="374">
        <v>38.53</v>
      </c>
      <c r="F380" s="374" t="s">
        <v>944</v>
      </c>
      <c r="G380" s="375">
        <v>8.0000000000000004E-4</v>
      </c>
      <c r="H380" s="376">
        <f t="shared" si="31"/>
        <v>3.0943785456418739E-6</v>
      </c>
      <c r="I380" s="376">
        <f t="shared" si="32"/>
        <v>-1.9507290095525411E-3</v>
      </c>
      <c r="J380" s="374" t="e">
        <f t="shared" si="30"/>
        <v>#DIV/0!</v>
      </c>
      <c r="Y380" s="43">
        <v>44</v>
      </c>
      <c r="Z380" s="45">
        <f>GEOMEAN(Y$366:Y380)</f>
        <v>36.745489330241099</v>
      </c>
      <c r="AA380" s="324">
        <f t="shared" si="38"/>
        <v>0.55504996219469338</v>
      </c>
      <c r="AB380" s="301">
        <f t="shared" si="39"/>
        <v>-1.2204393680464072</v>
      </c>
    </row>
    <row r="381" spans="1:28">
      <c r="A381" s="374" t="s">
        <v>945</v>
      </c>
      <c r="B381" s="373">
        <v>38.78</v>
      </c>
      <c r="C381" s="374">
        <v>38.450000000000003</v>
      </c>
      <c r="D381" s="374">
        <v>39.18</v>
      </c>
      <c r="E381" s="374">
        <v>38.4</v>
      </c>
      <c r="F381" s="374" t="s">
        <v>946</v>
      </c>
      <c r="G381" s="375">
        <v>1.04E-2</v>
      </c>
      <c r="H381" s="376">
        <f t="shared" si="31"/>
        <v>4.1688379364251741E-5</v>
      </c>
      <c r="I381" s="376">
        <f t="shared" si="32"/>
        <v>-5.7347670250896599E-4</v>
      </c>
      <c r="J381" s="374" t="e">
        <f t="shared" si="30"/>
        <v>#DIV/0!</v>
      </c>
      <c r="Y381" s="43">
        <v>45</v>
      </c>
      <c r="Z381" s="45">
        <f>GEOMEAN(Y$366:Y381)</f>
        <v>37.213846769139941</v>
      </c>
      <c r="AA381" s="324">
        <f t="shared" si="38"/>
        <v>1.0234074010935352</v>
      </c>
      <c r="AB381" s="301">
        <f t="shared" si="39"/>
        <v>-1.2204393680464072</v>
      </c>
    </row>
    <row r="382" spans="1:28">
      <c r="A382" s="374" t="s">
        <v>947</v>
      </c>
      <c r="B382" s="373">
        <v>38.380000000000003</v>
      </c>
      <c r="C382" s="374">
        <v>39.42</v>
      </c>
      <c r="D382" s="374">
        <v>39.57</v>
      </c>
      <c r="E382" s="374">
        <v>37.47</v>
      </c>
      <c r="F382" s="374" t="s">
        <v>948</v>
      </c>
      <c r="G382" s="375">
        <v>-2.93E-2</v>
      </c>
      <c r="H382" s="376">
        <f t="shared" si="31"/>
        <v>-1.1734951947395001E-4</v>
      </c>
      <c r="I382" s="376">
        <f t="shared" si="32"/>
        <v>-7.024793388429718E-4</v>
      </c>
      <c r="J382" s="374" t="e">
        <f t="shared" si="30"/>
        <v>#DIV/0!</v>
      </c>
      <c r="Y382" s="43">
        <v>46</v>
      </c>
      <c r="Z382" s="45">
        <f>GEOMEAN(Y$366:Y382)</f>
        <v>37.680743463456388</v>
      </c>
      <c r="AA382" s="324">
        <f t="shared" si="38"/>
        <v>1.4903040954099815</v>
      </c>
      <c r="AB382" s="301">
        <f t="shared" si="39"/>
        <v>-1.2204393680464072</v>
      </c>
    </row>
    <row r="383" spans="1:28">
      <c r="A383" s="374" t="s">
        <v>949</v>
      </c>
      <c r="B383" s="373">
        <v>39.54</v>
      </c>
      <c r="C383" s="374">
        <v>39.25</v>
      </c>
      <c r="D383" s="374">
        <v>39.68</v>
      </c>
      <c r="E383" s="374">
        <v>39.229999999999997</v>
      </c>
      <c r="F383" s="374" t="s">
        <v>950</v>
      </c>
      <c r="G383" s="375">
        <v>8.2000000000000007E-3</v>
      </c>
      <c r="H383" s="376">
        <f t="shared" si="31"/>
        <v>3.2636409994900359E-5</v>
      </c>
      <c r="I383" s="376">
        <f t="shared" si="32"/>
        <v>2.2464898595943874E-3</v>
      </c>
      <c r="J383" s="374" t="e">
        <f t="shared" si="30"/>
        <v>#DIV/0!</v>
      </c>
      <c r="Y383" s="43">
        <v>47</v>
      </c>
      <c r="Z383" s="45">
        <f>GEOMEAN(Y$366:Y383)</f>
        <v>38.146227641134814</v>
      </c>
      <c r="AA383" s="324">
        <f t="shared" si="38"/>
        <v>1.9557882730884082</v>
      </c>
      <c r="AB383" s="301">
        <f t="shared" si="39"/>
        <v>-1.2204393680464072</v>
      </c>
    </row>
    <row r="384" spans="1:28">
      <c r="A384" s="374" t="s">
        <v>951</v>
      </c>
      <c r="B384" s="373">
        <v>39.22</v>
      </c>
      <c r="C384" s="374">
        <v>40.03</v>
      </c>
      <c r="D384" s="374">
        <v>40.03</v>
      </c>
      <c r="E384" s="374">
        <v>38.96</v>
      </c>
      <c r="F384" s="374" t="s">
        <v>952</v>
      </c>
      <c r="G384" s="375">
        <v>-2.1000000000000001E-2</v>
      </c>
      <c r="H384" s="376">
        <f t="shared" si="31"/>
        <v>-8.3874188716924985E-5</v>
      </c>
      <c r="I384" s="376">
        <f t="shared" si="32"/>
        <v>1.1168562564632901E-3</v>
      </c>
      <c r="J384" s="374" t="e">
        <f t="shared" si="30"/>
        <v>#DIV/0!</v>
      </c>
      <c r="Y384" s="43">
        <v>48</v>
      </c>
      <c r="Z384" s="45">
        <f>GEOMEAN(Y$366:Y384)</f>
        <v>38.610345024198992</v>
      </c>
      <c r="AA384" s="324">
        <f t="shared" si="38"/>
        <v>2.4199056561525856</v>
      </c>
      <c r="AB384" s="301">
        <f t="shared" si="39"/>
        <v>-1.2204393680464072</v>
      </c>
    </row>
    <row r="385" spans="1:28">
      <c r="A385" s="374" t="s">
        <v>953</v>
      </c>
      <c r="B385" s="373">
        <v>40.06</v>
      </c>
      <c r="C385" s="374">
        <v>39.659999999999997</v>
      </c>
      <c r="D385" s="374">
        <v>40.81</v>
      </c>
      <c r="E385" s="374">
        <v>39.61</v>
      </c>
      <c r="F385" s="374" t="s">
        <v>954</v>
      </c>
      <c r="G385" s="375">
        <v>4.0000000000000001E-3</v>
      </c>
      <c r="H385" s="376">
        <f t="shared" si="31"/>
        <v>1.6040100250626745E-5</v>
      </c>
      <c r="I385" s="376">
        <f t="shared" si="32"/>
        <v>2.6831785345717307E-3</v>
      </c>
      <c r="J385" s="374" t="e">
        <f t="shared" si="30"/>
        <v>#DIV/0!</v>
      </c>
      <c r="Y385" s="43">
        <v>49</v>
      </c>
      <c r="Z385" s="45">
        <f>GEOMEAN(Y$366:Y385)</f>
        <v>39.073139005667151</v>
      </c>
      <c r="AA385" s="324">
        <f t="shared" si="38"/>
        <v>2.8826996376207452</v>
      </c>
      <c r="AB385" s="301">
        <f t="shared" si="39"/>
        <v>-1.2204393680464072</v>
      </c>
    </row>
    <row r="386" spans="1:28">
      <c r="A386" s="374" t="s">
        <v>955</v>
      </c>
      <c r="B386" s="373">
        <v>39.9</v>
      </c>
      <c r="C386" s="374">
        <v>39.61</v>
      </c>
      <c r="D386" s="374">
        <v>40.090000000000003</v>
      </c>
      <c r="E386" s="374">
        <v>39.51</v>
      </c>
      <c r="F386" s="374" t="s">
        <v>956</v>
      </c>
      <c r="G386" s="375">
        <v>-1.04E-2</v>
      </c>
      <c r="H386" s="376">
        <f t="shared" si="31"/>
        <v>-4.1666666666666963E-5</v>
      </c>
      <c r="I386" s="376">
        <f t="shared" si="32"/>
        <v>2.2044810713365949E-3</v>
      </c>
      <c r="J386" s="374" t="e">
        <f t="shared" ref="J386:J449" si="40">(B386/B636 -1)</f>
        <v>#DIV/0!</v>
      </c>
      <c r="Y386" s="43">
        <v>50</v>
      </c>
      <c r="Z386" s="45">
        <f>GEOMEAN(Y$366:Y386)</f>
        <v>39.534650810771275</v>
      </c>
      <c r="AA386" s="324">
        <f t="shared" si="38"/>
        <v>3.3442114427248688</v>
      </c>
      <c r="AB386" s="301">
        <f t="shared" si="39"/>
        <v>-1.2204393680464072</v>
      </c>
    </row>
    <row r="387" spans="1:28">
      <c r="A387" s="374" t="s">
        <v>957</v>
      </c>
      <c r="B387" s="373">
        <v>40.32</v>
      </c>
      <c r="C387" s="374">
        <v>40.92</v>
      </c>
      <c r="D387" s="374">
        <v>41.05</v>
      </c>
      <c r="E387" s="374">
        <v>39.96</v>
      </c>
      <c r="F387" s="374" t="s">
        <v>958</v>
      </c>
      <c r="G387" s="375">
        <v>-1.3899999999999999E-2</v>
      </c>
      <c r="H387" s="376">
        <f t="shared" ref="H387:H450" si="41">(B387/B388 -1)*(1/250)</f>
        <v>-5.5759354365370495E-5</v>
      </c>
      <c r="I387" s="376">
        <f t="shared" ref="I387:I450" si="42">(B387/B407 -1)*(20/250)</f>
        <v>3.9781306951314835E-3</v>
      </c>
      <c r="J387" s="374" t="e">
        <f t="shared" si="40"/>
        <v>#DIV/0!</v>
      </c>
      <c r="Y387" s="43">
        <v>51</v>
      </c>
      <c r="Z387" s="45">
        <f>GEOMEAN(Y$366:Y387)</f>
        <v>39.994919644148425</v>
      </c>
      <c r="AA387" s="324">
        <f t="shared" si="38"/>
        <v>3.8044802761020184</v>
      </c>
      <c r="AB387" s="301">
        <f t="shared" si="39"/>
        <v>-1.2204393680464072</v>
      </c>
    </row>
    <row r="388" spans="1:28">
      <c r="A388" s="374" t="s">
        <v>959</v>
      </c>
      <c r="B388" s="373">
        <v>40.89</v>
      </c>
      <c r="C388" s="374">
        <v>40.79</v>
      </c>
      <c r="D388" s="374">
        <v>41.23</v>
      </c>
      <c r="E388" s="374">
        <v>40.270000000000003</v>
      </c>
      <c r="F388" s="374" t="s">
        <v>960</v>
      </c>
      <c r="G388" s="375">
        <v>5.4000000000000003E-3</v>
      </c>
      <c r="H388" s="376">
        <f t="shared" si="41"/>
        <v>2.1637570690926644E-5</v>
      </c>
      <c r="I388" s="376">
        <f t="shared" si="42"/>
        <v>4.2007722007721959E-3</v>
      </c>
      <c r="J388" s="374" t="e">
        <f t="shared" si="40"/>
        <v>#DIV/0!</v>
      </c>
      <c r="Y388" s="43">
        <v>52</v>
      </c>
      <c r="Z388" s="45">
        <f>GEOMEAN(Y$366:Y388)</f>
        <v>40.453982824466436</v>
      </c>
      <c r="AA388" s="324">
        <f t="shared" si="38"/>
        <v>4.2635434564200301</v>
      </c>
      <c r="AB388" s="301">
        <f t="shared" si="39"/>
        <v>-1.2204393680464072</v>
      </c>
    </row>
    <row r="389" spans="1:28">
      <c r="A389" s="374" t="s">
        <v>961</v>
      </c>
      <c r="B389" s="373">
        <v>40.67</v>
      </c>
      <c r="C389" s="374">
        <v>40.75</v>
      </c>
      <c r="D389" s="374">
        <v>40.98</v>
      </c>
      <c r="E389" s="374">
        <v>40.67</v>
      </c>
      <c r="F389" s="374" t="s">
        <v>962</v>
      </c>
      <c r="G389" s="375">
        <v>-2E-3</v>
      </c>
      <c r="H389" s="376">
        <f t="shared" si="41"/>
        <v>-7.8527607361960071E-6</v>
      </c>
      <c r="I389" s="376">
        <f t="shared" si="42"/>
        <v>1.5438596491228118E-3</v>
      </c>
      <c r="J389" s="374" t="e">
        <f t="shared" si="40"/>
        <v>#DIV/0!</v>
      </c>
      <c r="Y389" s="43">
        <v>53</v>
      </c>
      <c r="Z389" s="45">
        <f>GEOMEAN(Y$366:Y389)</f>
        <v>40.91187590776952</v>
      </c>
      <c r="AA389" s="324">
        <f t="shared" si="38"/>
        <v>4.7214365397231139</v>
      </c>
      <c r="AB389" s="301">
        <f t="shared" si="39"/>
        <v>-1.2204393680464072</v>
      </c>
    </row>
    <row r="390" spans="1:28">
      <c r="A390" s="374" t="s">
        <v>963</v>
      </c>
      <c r="B390" s="373">
        <v>40.75</v>
      </c>
      <c r="C390" s="374">
        <v>40.61</v>
      </c>
      <c r="D390" s="374">
        <v>40.98</v>
      </c>
      <c r="E390" s="374">
        <v>40.44</v>
      </c>
      <c r="F390" s="374" t="s">
        <v>964</v>
      </c>
      <c r="G390" s="375">
        <v>4.1999999999999997E-3</v>
      </c>
      <c r="H390" s="376">
        <f t="shared" si="41"/>
        <v>1.6757023164120533E-5</v>
      </c>
      <c r="I390" s="376">
        <f t="shared" si="42"/>
        <v>6.1325420375865744E-4</v>
      </c>
      <c r="J390" s="374" t="e">
        <f t="shared" si="40"/>
        <v>#DIV/0!</v>
      </c>
      <c r="Y390" s="43">
        <v>54</v>
      </c>
      <c r="Z390" s="45">
        <f>GEOMEAN(Y$366:Y390)</f>
        <v>41.368632800676671</v>
      </c>
      <c r="AA390" s="324">
        <f t="shared" si="38"/>
        <v>5.1781934326302652</v>
      </c>
      <c r="AB390" s="301">
        <f t="shared" si="39"/>
        <v>-1.2204393680464072</v>
      </c>
    </row>
    <row r="391" spans="1:28">
      <c r="A391" s="374" t="s">
        <v>965</v>
      </c>
      <c r="B391" s="373">
        <v>40.58</v>
      </c>
      <c r="C391" s="374">
        <v>40.619999999999997</v>
      </c>
      <c r="D391" s="374">
        <v>40.89</v>
      </c>
      <c r="E391" s="374">
        <v>40.39</v>
      </c>
      <c r="F391" s="374" t="s">
        <v>966</v>
      </c>
      <c r="G391" s="375">
        <v>-4.7000000000000002E-3</v>
      </c>
      <c r="H391" s="376">
        <f t="shared" si="41"/>
        <v>-1.8641157714005985E-5</v>
      </c>
      <c r="I391" s="376">
        <f t="shared" si="42"/>
        <v>-1.4517299782240479E-3</v>
      </c>
      <c r="J391" s="374" t="e">
        <f t="shared" si="40"/>
        <v>#DIV/0!</v>
      </c>
      <c r="Y391" s="43">
        <v>55</v>
      </c>
      <c r="Z391" s="45">
        <f>GEOMEAN(Y$366:Y391)</f>
        <v>41.824285864433811</v>
      </c>
      <c r="AA391" s="324">
        <f t="shared" si="38"/>
        <v>5.6338464963874051</v>
      </c>
      <c r="AB391" s="301">
        <f t="shared" si="39"/>
        <v>-1.2204393680464072</v>
      </c>
    </row>
    <row r="392" spans="1:28">
      <c r="A392" s="374" t="s">
        <v>967</v>
      </c>
      <c r="B392" s="373">
        <v>40.770000000000003</v>
      </c>
      <c r="C392" s="374">
        <v>40.97</v>
      </c>
      <c r="D392" s="374">
        <v>41.34</v>
      </c>
      <c r="E392" s="374">
        <v>40.770000000000003</v>
      </c>
      <c r="F392" s="374" t="s">
        <v>968</v>
      </c>
      <c r="G392" s="375">
        <v>-1E-3</v>
      </c>
      <c r="H392" s="376">
        <f t="shared" si="41"/>
        <v>-3.9206076941926682E-6</v>
      </c>
      <c r="I392" s="376">
        <f t="shared" si="42"/>
        <v>-1.217391304347819E-3</v>
      </c>
      <c r="J392" s="374" t="e">
        <f t="shared" si="40"/>
        <v>#DIV/0!</v>
      </c>
      <c r="Y392" s="43">
        <v>56</v>
      </c>
      <c r="Z392" s="45">
        <f>GEOMEAN(Y$366:Y392)</f>
        <v>42.278866010705919</v>
      </c>
      <c r="AA392" s="324">
        <f t="shared" si="38"/>
        <v>6.0884266426595124</v>
      </c>
      <c r="AB392" s="301">
        <f t="shared" si="39"/>
        <v>-1.2204393680464072</v>
      </c>
    </row>
    <row r="393" spans="1:28">
      <c r="A393" s="374" t="s">
        <v>969</v>
      </c>
      <c r="B393" s="373">
        <v>40.81</v>
      </c>
      <c r="C393" s="374">
        <v>40.71</v>
      </c>
      <c r="D393" s="374">
        <v>41</v>
      </c>
      <c r="E393" s="374">
        <v>40.619999999999997</v>
      </c>
      <c r="F393" s="374" t="s">
        <v>970</v>
      </c>
      <c r="G393" s="375">
        <v>1E-3</v>
      </c>
      <c r="H393" s="376">
        <f t="shared" si="41"/>
        <v>3.9244542555803006E-6</v>
      </c>
      <c r="I393" s="376">
        <f t="shared" si="42"/>
        <v>-1.2542209358417722E-3</v>
      </c>
      <c r="J393" s="374" t="e">
        <f t="shared" si="40"/>
        <v>#DIV/0!</v>
      </c>
      <c r="Y393" s="43">
        <v>57</v>
      </c>
      <c r="Z393" s="45">
        <f>GEOMEAN(Y$366:Y393)</f>
        <v>42.732402789895737</v>
      </c>
      <c r="AA393" s="324">
        <f t="shared" si="38"/>
        <v>6.5419634218493306</v>
      </c>
      <c r="AB393" s="301">
        <f t="shared" si="39"/>
        <v>-1.2204393680464072</v>
      </c>
    </row>
    <row r="394" spans="1:28">
      <c r="A394" s="374" t="s">
        <v>971</v>
      </c>
      <c r="B394" s="373">
        <v>40.770000000000003</v>
      </c>
      <c r="C394" s="374">
        <v>40.65</v>
      </c>
      <c r="D394" s="374">
        <v>41.07</v>
      </c>
      <c r="E394" s="374">
        <v>40.65</v>
      </c>
      <c r="F394" s="374" t="s">
        <v>972</v>
      </c>
      <c r="G394" s="375">
        <v>6.1999999999999998E-3</v>
      </c>
      <c r="H394" s="376">
        <f t="shared" si="41"/>
        <v>2.4679170779862147E-5</v>
      </c>
      <c r="I394" s="376">
        <f t="shared" si="42"/>
        <v>-1.2554321583775963E-3</v>
      </c>
      <c r="J394" s="374" t="e">
        <f t="shared" si="40"/>
        <v>#DIV/0!</v>
      </c>
      <c r="Y394" s="43">
        <v>58</v>
      </c>
      <c r="Z394" s="45">
        <f>GEOMEAN(Y$366:Y394)</f>
        <v>43.184924472688614</v>
      </c>
      <c r="AA394" s="324">
        <f t="shared" si="38"/>
        <v>6.9944851046422079</v>
      </c>
      <c r="AB394" s="301">
        <f t="shared" si="39"/>
        <v>-1.2204393680464072</v>
      </c>
    </row>
    <row r="395" spans="1:28">
      <c r="A395" s="374" t="s">
        <v>973</v>
      </c>
      <c r="B395" s="373">
        <v>40.520000000000003</v>
      </c>
      <c r="C395" s="374">
        <v>40.409999999999997</v>
      </c>
      <c r="D395" s="374">
        <v>40.67</v>
      </c>
      <c r="E395" s="374">
        <v>40.380000000000003</v>
      </c>
      <c r="F395" s="374" t="s">
        <v>974</v>
      </c>
      <c r="G395" s="375">
        <v>2.7000000000000001E-3</v>
      </c>
      <c r="H395" s="376">
        <f t="shared" si="41"/>
        <v>1.088839396189112E-5</v>
      </c>
      <c r="I395" s="376">
        <f t="shared" si="42"/>
        <v>-1.8137964302942589E-3</v>
      </c>
      <c r="J395" s="374" t="e">
        <f t="shared" si="40"/>
        <v>#DIV/0!</v>
      </c>
      <c r="Y395" s="43">
        <v>59</v>
      </c>
      <c r="Z395" s="45">
        <f>GEOMEAN(Y$366:Y395)</f>
        <v>43.636458125447028</v>
      </c>
      <c r="AA395" s="324">
        <f t="shared" si="38"/>
        <v>7.4460187574006218</v>
      </c>
      <c r="AB395" s="301">
        <f t="shared" si="39"/>
        <v>-1.2204393680464072</v>
      </c>
    </row>
    <row r="396" spans="1:28">
      <c r="A396" s="374" t="s">
        <v>975</v>
      </c>
      <c r="B396" s="373">
        <v>40.409999999999997</v>
      </c>
      <c r="C396" s="374">
        <v>40.04</v>
      </c>
      <c r="D396" s="374">
        <v>40.700000000000003</v>
      </c>
      <c r="E396" s="374">
        <v>40.04</v>
      </c>
      <c r="F396" s="374" t="s">
        <v>976</v>
      </c>
      <c r="G396" s="375">
        <v>6.7000000000000002E-3</v>
      </c>
      <c r="H396" s="376">
        <f t="shared" si="41"/>
        <v>2.690582959641219E-5</v>
      </c>
      <c r="I396" s="376">
        <f t="shared" si="42"/>
        <v>-1.5530211113807368E-3</v>
      </c>
      <c r="J396" s="374" t="e">
        <f t="shared" si="40"/>
        <v>#DIV/0!</v>
      </c>
      <c r="Y396" s="43">
        <v>60</v>
      </c>
      <c r="Z396" s="45">
        <f>GEOMEAN(Y$366:Y396)</f>
        <v>44.087029680011547</v>
      </c>
      <c r="AA396" s="324">
        <f t="shared" si="38"/>
        <v>7.8965903119651406</v>
      </c>
      <c r="AB396" s="301">
        <f t="shared" si="39"/>
        <v>-1.2204393680464072</v>
      </c>
    </row>
    <row r="397" spans="1:28" ht="16.5" thickBot="1">
      <c r="A397" s="374" t="s">
        <v>977</v>
      </c>
      <c r="B397" s="373">
        <v>40.14</v>
      </c>
      <c r="C397" s="374">
        <v>40.4</v>
      </c>
      <c r="D397" s="374">
        <v>40.64</v>
      </c>
      <c r="E397" s="374">
        <v>40.07</v>
      </c>
      <c r="F397" s="374" t="s">
        <v>978</v>
      </c>
      <c r="G397" s="375">
        <v>-4.7000000000000002E-3</v>
      </c>
      <c r="H397" s="376">
        <f t="shared" si="41"/>
        <v>-1.8844532606000276E-5</v>
      </c>
      <c r="I397" s="376">
        <f t="shared" si="42"/>
        <v>-2.5470332850940649E-3</v>
      </c>
      <c r="J397" s="374" t="e">
        <f t="shared" si="40"/>
        <v>#DIV/0!</v>
      </c>
      <c r="Y397" s="329">
        <v>61</v>
      </c>
      <c r="Z397" s="49">
        <f>GEOMEAN(Y$366:Y397)</f>
        <v>44.536663998406461</v>
      </c>
      <c r="AA397" s="326">
        <f t="shared" si="38"/>
        <v>8.3462246303600551</v>
      </c>
      <c r="AB397" s="304">
        <f t="shared" si="39"/>
        <v>-1.2204393680464072</v>
      </c>
    </row>
    <row r="398" spans="1:28">
      <c r="A398" s="374" t="s">
        <v>979</v>
      </c>
      <c r="B398" s="373">
        <v>40.33</v>
      </c>
      <c r="C398" s="374">
        <v>40.049999999999997</v>
      </c>
      <c r="D398" s="374">
        <v>40.630000000000003</v>
      </c>
      <c r="E398" s="374">
        <v>40.049999999999997</v>
      </c>
      <c r="F398" s="374" t="s">
        <v>980</v>
      </c>
      <c r="G398" s="375">
        <v>0.01</v>
      </c>
      <c r="H398" s="376">
        <f t="shared" si="41"/>
        <v>4.0070122714750411E-5</v>
      </c>
      <c r="I398" s="376">
        <f t="shared" si="42"/>
        <v>-4.4402810304449772E-3</v>
      </c>
      <c r="J398" s="374" t="e">
        <f t="shared" si="40"/>
        <v>#DIV/0!</v>
      </c>
    </row>
    <row r="399" spans="1:28">
      <c r="A399" s="374" t="s">
        <v>981</v>
      </c>
      <c r="B399" s="373">
        <v>39.93</v>
      </c>
      <c r="C399" s="374">
        <v>39.97</v>
      </c>
      <c r="D399" s="374">
        <v>40.17</v>
      </c>
      <c r="E399" s="374">
        <v>39.76</v>
      </c>
      <c r="F399" s="374" t="s">
        <v>982</v>
      </c>
      <c r="G399" s="375">
        <v>3.8E-3</v>
      </c>
      <c r="H399" s="376">
        <f t="shared" si="41"/>
        <v>1.5082956259426794E-5</v>
      </c>
      <c r="I399" s="376">
        <f t="shared" si="42"/>
        <v>-4.8906654126498949E-3</v>
      </c>
      <c r="J399" s="374" t="e">
        <f t="shared" si="40"/>
        <v>#DIV/0!</v>
      </c>
    </row>
    <row r="400" spans="1:28">
      <c r="A400" s="374" t="s">
        <v>983</v>
      </c>
      <c r="B400" s="373">
        <v>39.78</v>
      </c>
      <c r="C400" s="374">
        <v>39.31</v>
      </c>
      <c r="D400" s="374">
        <v>40.020000000000003</v>
      </c>
      <c r="E400" s="374">
        <v>39.24</v>
      </c>
      <c r="F400" s="374" t="s">
        <v>984</v>
      </c>
      <c r="G400" s="375">
        <v>1.84E-2</v>
      </c>
      <c r="H400" s="376">
        <f t="shared" si="41"/>
        <v>7.3732718894008902E-5</v>
      </c>
      <c r="I400" s="376">
        <f t="shared" si="42"/>
        <v>-6.4355062413314814E-3</v>
      </c>
      <c r="J400" s="374" t="e">
        <f t="shared" si="40"/>
        <v>#DIV/0!</v>
      </c>
    </row>
    <row r="401" spans="1:23">
      <c r="A401" s="374" t="s">
        <v>985</v>
      </c>
      <c r="B401" s="373">
        <v>39.06</v>
      </c>
      <c r="C401" s="374">
        <v>38.979999999999997</v>
      </c>
      <c r="D401" s="374">
        <v>39.5</v>
      </c>
      <c r="E401" s="374">
        <v>38.86</v>
      </c>
      <c r="F401" s="374" t="s">
        <v>986</v>
      </c>
      <c r="G401" s="375">
        <v>8.8000000000000005E-3</v>
      </c>
      <c r="H401" s="376">
        <f t="shared" si="41"/>
        <v>3.5123966942149033E-5</v>
      </c>
      <c r="I401" s="376">
        <f t="shared" si="42"/>
        <v>-7.092860475968266E-3</v>
      </c>
      <c r="J401" s="374" t="e">
        <f t="shared" si="40"/>
        <v>#DIV/0!</v>
      </c>
    </row>
    <row r="402" spans="1:23">
      <c r="A402" s="374" t="s">
        <v>987</v>
      </c>
      <c r="B402" s="373">
        <v>38.72</v>
      </c>
      <c r="C402" s="374">
        <v>38.51</v>
      </c>
      <c r="D402" s="374">
        <v>38.89</v>
      </c>
      <c r="E402" s="374">
        <v>38.369999999999997</v>
      </c>
      <c r="F402" s="374" t="s">
        <v>988</v>
      </c>
      <c r="G402" s="375">
        <v>6.7999999999999996E-3</v>
      </c>
      <c r="H402" s="376">
        <f t="shared" si="41"/>
        <v>2.704108164326513E-5</v>
      </c>
      <c r="I402" s="376">
        <f t="shared" si="42"/>
        <v>-7.9795396419437298E-3</v>
      </c>
      <c r="J402" s="374" t="e">
        <f t="shared" si="40"/>
        <v>#DIV/0!</v>
      </c>
    </row>
    <row r="403" spans="1:23">
      <c r="A403" s="374" t="s">
        <v>989</v>
      </c>
      <c r="B403" s="373">
        <v>38.46</v>
      </c>
      <c r="C403" s="374">
        <v>38.729999999999997</v>
      </c>
      <c r="D403" s="374">
        <v>38.9</v>
      </c>
      <c r="E403" s="374">
        <v>38.369999999999997</v>
      </c>
      <c r="F403" s="374" t="s">
        <v>990</v>
      </c>
      <c r="G403" s="375">
        <v>-5.7000000000000002E-3</v>
      </c>
      <c r="H403" s="376">
        <f t="shared" si="41"/>
        <v>-2.2750775594622574E-5</v>
      </c>
      <c r="I403" s="376">
        <f t="shared" si="42"/>
        <v>-9.1223220456116035E-3</v>
      </c>
      <c r="J403" s="374" t="e">
        <f t="shared" si="40"/>
        <v>#DIV/0!</v>
      </c>
    </row>
    <row r="404" spans="1:23">
      <c r="A404" s="374" t="s">
        <v>991</v>
      </c>
      <c r="B404" s="373">
        <v>38.68</v>
      </c>
      <c r="C404" s="374">
        <v>38.82</v>
      </c>
      <c r="D404" s="374">
        <v>39.15</v>
      </c>
      <c r="E404" s="374">
        <v>38.630000000000003</v>
      </c>
      <c r="F404" s="374" t="s">
        <v>992</v>
      </c>
      <c r="G404" s="375">
        <v>-2.0999999999999999E-3</v>
      </c>
      <c r="H404" s="376">
        <f t="shared" si="41"/>
        <v>-8.2559339525283278E-6</v>
      </c>
      <c r="I404" s="376">
        <f t="shared" si="42"/>
        <v>-8.7988955361251713E-3</v>
      </c>
      <c r="J404" s="374" t="e">
        <f t="shared" si="40"/>
        <v>#DIV/0!</v>
      </c>
      <c r="L404" s="1" t="s">
        <v>993</v>
      </c>
    </row>
    <row r="405" spans="1:23" ht="16.5" thickBot="1">
      <c r="A405" s="374" t="s">
        <v>994</v>
      </c>
      <c r="B405" s="373">
        <v>38.76</v>
      </c>
      <c r="C405" s="374">
        <v>38.619999999999997</v>
      </c>
      <c r="D405" s="374">
        <v>38.78</v>
      </c>
      <c r="E405" s="374">
        <v>38.39</v>
      </c>
      <c r="F405" s="374" t="s">
        <v>995</v>
      </c>
      <c r="G405" s="375">
        <v>-1.8E-3</v>
      </c>
      <c r="H405" s="376">
        <f t="shared" si="41"/>
        <v>-7.2109193922225146E-6</v>
      </c>
      <c r="I405" s="376">
        <f t="shared" si="42"/>
        <v>-8.3052023121387292E-3</v>
      </c>
      <c r="J405" s="374" t="e">
        <f t="shared" si="40"/>
        <v>#DIV/0!</v>
      </c>
    </row>
    <row r="406" spans="1:23">
      <c r="A406" s="374" t="s">
        <v>996</v>
      </c>
      <c r="B406" s="373">
        <v>38.83</v>
      </c>
      <c r="C406" s="374">
        <v>38.67</v>
      </c>
      <c r="D406" s="374">
        <v>39.51</v>
      </c>
      <c r="E406" s="374">
        <v>38.619999999999997</v>
      </c>
      <c r="F406" s="374" t="s">
        <v>997</v>
      </c>
      <c r="G406" s="375">
        <v>1.09E-2</v>
      </c>
      <c r="H406" s="376">
        <f t="shared" si="41"/>
        <v>4.3738609737047799E-5</v>
      </c>
      <c r="I406" s="376">
        <f t="shared" si="42"/>
        <v>-7.3696516249707857E-3</v>
      </c>
      <c r="J406" s="374" t="e">
        <f t="shared" si="40"/>
        <v>#DIV/0!</v>
      </c>
      <c r="L406" s="474" t="s">
        <v>998</v>
      </c>
      <c r="M406" s="475"/>
      <c r="N406" s="184"/>
      <c r="O406" s="185" t="s">
        <v>999</v>
      </c>
      <c r="P406" s="186">
        <f>M407*EXP(-M413*M409)*R407</f>
        <v>32.316267964309574</v>
      </c>
      <c r="Q406" s="187" t="s">
        <v>1000</v>
      </c>
      <c r="R406" s="186">
        <f>M407*EXP(-M413*M409)*M414*T407</f>
        <v>4.6821121171703936E-2</v>
      </c>
      <c r="S406" s="187" t="s">
        <v>1001</v>
      </c>
      <c r="T406" s="188">
        <f>M408*EXP(-M412*M409)*(R408-M414*EXP(P410)*T409)</f>
        <v>29.364297766991914</v>
      </c>
      <c r="U406" s="184"/>
      <c r="V406" s="184"/>
      <c r="W406" s="184"/>
    </row>
    <row r="407" spans="1:23" ht="16.5">
      <c r="A407" s="374" t="s">
        <v>1002</v>
      </c>
      <c r="B407" s="373">
        <v>38.409999999999997</v>
      </c>
      <c r="C407" s="374">
        <v>39.270000000000003</v>
      </c>
      <c r="D407" s="374">
        <v>39.29</v>
      </c>
      <c r="E407" s="374">
        <v>38.28</v>
      </c>
      <c r="F407" s="374" t="s">
        <v>1003</v>
      </c>
      <c r="G407" s="375">
        <v>-1.1299999999999999E-2</v>
      </c>
      <c r="H407" s="376">
        <f t="shared" si="41"/>
        <v>-4.530244530244598E-5</v>
      </c>
      <c r="I407" s="376">
        <f t="shared" si="42"/>
        <v>-7.9868760253105284E-3</v>
      </c>
      <c r="J407" s="374" t="e">
        <f t="shared" si="40"/>
        <v>#DIV/0!</v>
      </c>
      <c r="L407" s="189" t="s">
        <v>177</v>
      </c>
      <c r="M407" s="190">
        <v>34.97</v>
      </c>
      <c r="N407" s="184"/>
      <c r="O407" s="191" t="s">
        <v>1004</v>
      </c>
      <c r="P407" s="192">
        <f>(LN(M407/M408)+(M412-M413+0.5*M411)*M409)/(M410*SQRT(M409))</f>
        <v>1.4333007042253523</v>
      </c>
      <c r="Q407" s="193" t="s">
        <v>1005</v>
      </c>
      <c r="R407" s="192">
        <f>_xlfn.NORM.S.DIST(P407,TRUE)</f>
        <v>0.92411403958563276</v>
      </c>
      <c r="S407" s="193" t="s">
        <v>1006</v>
      </c>
      <c r="T407" s="194">
        <f>_xlfn.NORM.S.DIST(-P407,TRUE)</f>
        <v>7.5885960414367196E-2</v>
      </c>
      <c r="U407" s="184"/>
      <c r="V407" s="184"/>
      <c r="W407" s="184"/>
    </row>
    <row r="408" spans="1:23" ht="16.5">
      <c r="A408" s="374" t="s">
        <v>1007</v>
      </c>
      <c r="B408" s="373">
        <v>38.85</v>
      </c>
      <c r="C408" s="374">
        <v>38.89</v>
      </c>
      <c r="D408" s="374">
        <v>38.89</v>
      </c>
      <c r="E408" s="374">
        <v>37.99</v>
      </c>
      <c r="F408" s="374" t="s">
        <v>1008</v>
      </c>
      <c r="G408" s="375">
        <v>-2.63E-2</v>
      </c>
      <c r="H408" s="376">
        <f t="shared" si="41"/>
        <v>-1.0526315789473673E-4</v>
      </c>
      <c r="I408" s="376">
        <f t="shared" si="42"/>
        <v>-7.4170948155067688E-3</v>
      </c>
      <c r="J408" s="374" t="e">
        <f t="shared" si="40"/>
        <v>#DIV/0!</v>
      </c>
      <c r="L408" s="41" t="s">
        <v>1009</v>
      </c>
      <c r="M408" s="190">
        <v>34.97</v>
      </c>
      <c r="N408" s="184"/>
      <c r="O408" s="191" t="s">
        <v>1010</v>
      </c>
      <c r="P408" s="192">
        <f>P407-M410*SQRT(M409)</f>
        <v>1.3836007042253522</v>
      </c>
      <c r="Q408" s="193" t="s">
        <v>1011</v>
      </c>
      <c r="R408" s="192">
        <f t="shared" ref="R408:R409" si="43">_xlfn.NORM.S.DIST(P408,TRUE)</f>
        <v>0.91675962371072417</v>
      </c>
      <c r="S408" s="193" t="s">
        <v>1012</v>
      </c>
      <c r="T408" s="194">
        <f>_xlfn.NORM.S.DIST(-P408,TRUE)</f>
        <v>8.3240376289275789E-2</v>
      </c>
      <c r="U408" s="184"/>
      <c r="V408" s="184"/>
      <c r="W408" s="184"/>
    </row>
    <row r="409" spans="1:23" ht="16.5">
      <c r="A409" s="374" t="s">
        <v>1013</v>
      </c>
      <c r="B409" s="373">
        <v>39.9</v>
      </c>
      <c r="C409" s="374">
        <v>40.18</v>
      </c>
      <c r="D409" s="374">
        <v>40.25</v>
      </c>
      <c r="E409" s="374">
        <v>39.64</v>
      </c>
      <c r="F409" s="374" t="s">
        <v>1014</v>
      </c>
      <c r="G409" s="375">
        <v>-1.34E-2</v>
      </c>
      <c r="H409" s="376">
        <f t="shared" si="41"/>
        <v>-5.3412462908011717E-5</v>
      </c>
      <c r="I409" s="376">
        <f t="shared" si="42"/>
        <v>-5.4553946753853394E-3</v>
      </c>
      <c r="J409" s="374" t="e">
        <f t="shared" si="40"/>
        <v>#DIV/0!</v>
      </c>
      <c r="L409" s="189" t="s">
        <v>1015</v>
      </c>
      <c r="M409" s="190">
        <v>1</v>
      </c>
      <c r="N409" s="184"/>
      <c r="O409" s="191" t="s">
        <v>1016</v>
      </c>
      <c r="P409" s="192">
        <f>(LN(M407/M408)+(-M412+M413+0.5*M410^2)*M409)/(M410*SQRT(M409))</f>
        <v>-1.3836007042253522</v>
      </c>
      <c r="Q409" s="193" t="s">
        <v>1017</v>
      </c>
      <c r="R409" s="192">
        <f t="shared" si="43"/>
        <v>8.3240376289275789E-2</v>
      </c>
      <c r="S409" s="193" t="s">
        <v>1018</v>
      </c>
      <c r="T409" s="194">
        <f>_xlfn.NORM.S.DIST(-P409,TRUE)</f>
        <v>0.91675962371072417</v>
      </c>
      <c r="U409" s="184"/>
      <c r="V409" s="184"/>
      <c r="W409" s="184"/>
    </row>
    <row r="410" spans="1:23" ht="17" thickBot="1">
      <c r="A410" s="374" t="s">
        <v>1019</v>
      </c>
      <c r="B410" s="373">
        <v>40.44</v>
      </c>
      <c r="C410" s="374">
        <v>41.07</v>
      </c>
      <c r="D410" s="374">
        <v>41.12</v>
      </c>
      <c r="E410" s="374">
        <v>40.03</v>
      </c>
      <c r="F410" s="374" t="s">
        <v>1020</v>
      </c>
      <c r="G410" s="375">
        <v>-2.1499999999999998E-2</v>
      </c>
      <c r="H410" s="376">
        <f t="shared" si="41"/>
        <v>-8.6135978707960529E-5</v>
      </c>
      <c r="I410" s="376">
        <f t="shared" si="42"/>
        <v>-4.6049871824749471E-3</v>
      </c>
      <c r="J410" s="374" t="e">
        <f t="shared" si="40"/>
        <v>#DIV/0!</v>
      </c>
      <c r="L410" s="189" t="s">
        <v>1021</v>
      </c>
      <c r="M410" s="195">
        <v>4.9700000000000001E-2</v>
      </c>
      <c r="N410" s="184"/>
      <c r="O410" s="196" t="s">
        <v>1022</v>
      </c>
      <c r="P410" s="197">
        <f>-2*(M412-M413-0.5*M410^2)*LN(M407/M408)/(M410^2)</f>
        <v>0</v>
      </c>
      <c r="Q410" s="198"/>
      <c r="R410" s="197"/>
      <c r="S410" s="198"/>
      <c r="T410" s="199"/>
      <c r="U410" s="184"/>
      <c r="V410" s="184"/>
      <c r="W410" s="184"/>
    </row>
    <row r="411" spans="1:23" ht="17">
      <c r="A411" s="374" t="s">
        <v>1023</v>
      </c>
      <c r="B411" s="373">
        <v>41.33</v>
      </c>
      <c r="C411" s="374">
        <v>41.63</v>
      </c>
      <c r="D411" s="374">
        <v>41.65</v>
      </c>
      <c r="E411" s="374">
        <v>41.1</v>
      </c>
      <c r="F411" s="374" t="s">
        <v>1024</v>
      </c>
      <c r="G411" s="375">
        <v>-1.6999999999999999E-3</v>
      </c>
      <c r="H411" s="376">
        <f t="shared" si="41"/>
        <v>-6.763285024154797E-6</v>
      </c>
      <c r="I411" s="376">
        <f t="shared" si="42"/>
        <v>-2.5486062309674385E-3</v>
      </c>
      <c r="J411" s="374" t="e">
        <f t="shared" si="40"/>
        <v>#DIV/0!</v>
      </c>
      <c r="L411" s="189" t="s">
        <v>1025</v>
      </c>
      <c r="M411" s="200">
        <f>M410^2</f>
        <v>2.4700900000000003E-3</v>
      </c>
      <c r="N411" s="184"/>
      <c r="O411" s="184"/>
      <c r="P411" s="184"/>
      <c r="Q411" s="184"/>
      <c r="R411" s="184"/>
      <c r="S411" s="184"/>
      <c r="T411" s="184"/>
      <c r="U411" s="184"/>
      <c r="V411" s="184"/>
      <c r="W411" s="184"/>
    </row>
    <row r="412" spans="1:23">
      <c r="A412" s="374" t="s">
        <v>1026</v>
      </c>
      <c r="B412" s="373">
        <v>41.4</v>
      </c>
      <c r="C412" s="374">
        <v>41.56</v>
      </c>
      <c r="D412" s="374">
        <v>41.8</v>
      </c>
      <c r="E412" s="374">
        <v>41.4</v>
      </c>
      <c r="F412" s="374" t="s">
        <v>1027</v>
      </c>
      <c r="G412" s="375">
        <v>-1.4E-3</v>
      </c>
      <c r="H412" s="376">
        <f t="shared" si="41"/>
        <v>-5.7887120115776017E-6</v>
      </c>
      <c r="I412" s="376">
        <f t="shared" si="42"/>
        <v>-1.5723419370115988E-3</v>
      </c>
      <c r="J412" s="374" t="e">
        <f t="shared" si="40"/>
        <v>#DIV/0!</v>
      </c>
      <c r="L412" s="189" t="s">
        <v>186</v>
      </c>
      <c r="M412" s="195">
        <v>7.0000000000000007E-2</v>
      </c>
      <c r="N412" s="184"/>
      <c r="O412" s="184"/>
      <c r="P412" s="184"/>
      <c r="Q412" s="184"/>
      <c r="R412" s="184"/>
      <c r="S412" s="184"/>
      <c r="T412" s="184"/>
      <c r="U412" s="184"/>
      <c r="V412" s="184"/>
      <c r="W412" s="184"/>
    </row>
    <row r="413" spans="1:23">
      <c r="A413" s="374" t="s">
        <v>1028</v>
      </c>
      <c r="B413" s="373">
        <v>41.46</v>
      </c>
      <c r="C413" s="374">
        <v>41.54</v>
      </c>
      <c r="D413" s="374">
        <v>41.75</v>
      </c>
      <c r="E413" s="374">
        <v>41.28</v>
      </c>
      <c r="F413" s="374" t="s">
        <v>1029</v>
      </c>
      <c r="G413" s="375">
        <v>1E-3</v>
      </c>
      <c r="H413" s="376">
        <f t="shared" si="41"/>
        <v>3.8628681796231136E-6</v>
      </c>
      <c r="I413" s="376">
        <f t="shared" si="42"/>
        <v>-1.64422395464209E-3</v>
      </c>
      <c r="J413" s="374" t="e">
        <f t="shared" si="40"/>
        <v>#DIV/0!</v>
      </c>
      <c r="L413" s="189" t="s">
        <v>189</v>
      </c>
      <c r="M413" s="201">
        <v>0</v>
      </c>
      <c r="N413" s="184"/>
      <c r="O413" s="184"/>
      <c r="P413" s="184"/>
      <c r="Q413" s="184"/>
      <c r="R413" s="184"/>
      <c r="S413" s="184"/>
      <c r="T413" s="184"/>
      <c r="U413" s="184"/>
      <c r="V413" s="184"/>
      <c r="W413" s="184"/>
    </row>
    <row r="414" spans="1:23" ht="17.5" thickBot="1">
      <c r="A414" s="374" t="s">
        <v>1030</v>
      </c>
      <c r="B414" s="373">
        <v>41.42</v>
      </c>
      <c r="C414" s="374">
        <v>41.22</v>
      </c>
      <c r="D414" s="374">
        <v>41.78</v>
      </c>
      <c r="E414" s="374">
        <v>41.02</v>
      </c>
      <c r="F414" s="374" t="s">
        <v>1031</v>
      </c>
      <c r="G414" s="375">
        <v>-1E-3</v>
      </c>
      <c r="H414" s="376">
        <f t="shared" si="41"/>
        <v>-3.859141341051586E-6</v>
      </c>
      <c r="I414" s="376">
        <f t="shared" si="42"/>
        <v>-1.4972755271262716E-3</v>
      </c>
      <c r="J414" s="374" t="e">
        <f t="shared" si="40"/>
        <v>#DIV/0!</v>
      </c>
      <c r="L414" s="202" t="s">
        <v>1032</v>
      </c>
      <c r="M414" s="203">
        <f>M411/(2*(M412-M413))</f>
        <v>1.7643499999999999E-2</v>
      </c>
      <c r="N414" s="184"/>
      <c r="O414" s="184"/>
      <c r="P414" s="184"/>
      <c r="Q414" s="184"/>
      <c r="R414" s="184"/>
      <c r="S414" s="184"/>
      <c r="T414" s="184"/>
      <c r="U414" s="184"/>
      <c r="V414" s="184"/>
      <c r="W414" s="184"/>
    </row>
    <row r="415" spans="1:23" ht="16.5" thickBot="1">
      <c r="A415" s="374" t="s">
        <v>1033</v>
      </c>
      <c r="B415" s="373">
        <v>41.46</v>
      </c>
      <c r="C415" s="374">
        <v>40.97</v>
      </c>
      <c r="D415" s="374">
        <v>41.62</v>
      </c>
      <c r="E415" s="374">
        <v>40.14</v>
      </c>
      <c r="F415" s="374" t="s">
        <v>1034</v>
      </c>
      <c r="G415" s="375">
        <v>6.1000000000000004E-3</v>
      </c>
      <c r="H415" s="376">
        <f t="shared" si="41"/>
        <v>2.4265954865324348E-5</v>
      </c>
      <c r="I415" s="376">
        <f t="shared" si="42"/>
        <v>-6.5071770334927952E-4</v>
      </c>
      <c r="J415" s="374" t="e">
        <f t="shared" si="40"/>
        <v>#DIV/0!</v>
      </c>
      <c r="L415" s="184"/>
      <c r="M415" s="184"/>
      <c r="N415" s="184"/>
      <c r="O415" s="184"/>
      <c r="P415" s="184"/>
      <c r="Q415" s="184"/>
      <c r="R415" s="184"/>
      <c r="S415" s="184"/>
      <c r="T415" s="184"/>
      <c r="U415" s="184"/>
      <c r="V415" s="184"/>
      <c r="W415" s="184"/>
    </row>
    <row r="416" spans="1:23" ht="16.5" thickBot="1">
      <c r="A416" s="374" t="s">
        <v>1035</v>
      </c>
      <c r="B416" s="373">
        <v>41.21</v>
      </c>
      <c r="C416" s="374">
        <v>41.1</v>
      </c>
      <c r="D416" s="374">
        <v>41.5</v>
      </c>
      <c r="E416" s="374">
        <v>41.05</v>
      </c>
      <c r="F416" s="374" t="s">
        <v>1036</v>
      </c>
      <c r="G416" s="375">
        <v>-6.0000000000000001E-3</v>
      </c>
      <c r="H416" s="376">
        <f t="shared" si="41"/>
        <v>-2.4119633381572746E-5</v>
      </c>
      <c r="I416" s="376">
        <f t="shared" si="42"/>
        <v>-1.895285477375026E-3</v>
      </c>
      <c r="J416" s="374" t="e">
        <f t="shared" si="40"/>
        <v>#DIV/0!</v>
      </c>
      <c r="L416" s="474" t="s">
        <v>1037</v>
      </c>
      <c r="M416" s="475"/>
      <c r="N416" s="184"/>
      <c r="O416" s="184"/>
      <c r="P416" s="184"/>
      <c r="Q416" s="184"/>
      <c r="R416" s="184"/>
      <c r="S416" s="184"/>
      <c r="T416" s="184"/>
      <c r="U416" s="184"/>
      <c r="V416" s="184"/>
      <c r="W416" s="184"/>
    </row>
    <row r="417" spans="1:29" ht="16.5">
      <c r="A417" s="374" t="s">
        <v>1038</v>
      </c>
      <c r="B417" s="373">
        <v>41.46</v>
      </c>
      <c r="C417" s="374">
        <v>41.86</v>
      </c>
      <c r="D417" s="374">
        <v>42.01</v>
      </c>
      <c r="E417" s="374">
        <v>40.98</v>
      </c>
      <c r="F417" s="374" t="s">
        <v>1039</v>
      </c>
      <c r="G417" s="375">
        <v>-2.9000000000000001E-2</v>
      </c>
      <c r="H417" s="376">
        <f t="shared" si="41"/>
        <v>-1.1615925058548049E-4</v>
      </c>
      <c r="I417" s="376">
        <f t="shared" si="42"/>
        <v>-2.32318501170961E-3</v>
      </c>
      <c r="J417" s="374" t="e">
        <f t="shared" si="40"/>
        <v>#DIV/0!</v>
      </c>
      <c r="L417" s="189" t="s">
        <v>177</v>
      </c>
      <c r="M417" s="204">
        <f>M407</f>
        <v>34.97</v>
      </c>
      <c r="N417" s="184"/>
      <c r="O417" s="35" t="s">
        <v>201</v>
      </c>
      <c r="P417" s="40">
        <f>(LN(M417/M418)+(M421-M422+0.5*(M420)^2)*M419)/(M420*SQRT(M419))</f>
        <v>1.4333007042253523</v>
      </c>
      <c r="Q417" s="184"/>
      <c r="R417" s="184"/>
      <c r="S417" s="184"/>
      <c r="T417" s="184"/>
      <c r="U417" s="184"/>
      <c r="V417" s="184"/>
      <c r="W417" s="184"/>
    </row>
    <row r="418" spans="1:29" ht="16.5">
      <c r="A418" s="374" t="s">
        <v>1040</v>
      </c>
      <c r="B418" s="373">
        <v>42.7</v>
      </c>
      <c r="C418" s="374">
        <v>42.6</v>
      </c>
      <c r="D418" s="374">
        <v>43.07</v>
      </c>
      <c r="E418" s="374">
        <v>42.6</v>
      </c>
      <c r="F418" s="374" t="s">
        <v>1041</v>
      </c>
      <c r="G418" s="375">
        <v>4.0000000000000001E-3</v>
      </c>
      <c r="H418" s="376">
        <f t="shared" si="41"/>
        <v>1.5988713849047541E-5</v>
      </c>
      <c r="I418" s="376">
        <f t="shared" si="42"/>
        <v>-4.4713553795993732E-4</v>
      </c>
      <c r="J418" s="374" t="e">
        <f t="shared" si="40"/>
        <v>#DIV/0!</v>
      </c>
      <c r="L418" s="41" t="s">
        <v>1009</v>
      </c>
      <c r="M418" s="204">
        <f>M408</f>
        <v>34.97</v>
      </c>
      <c r="N418" s="184"/>
      <c r="O418" s="41" t="s">
        <v>204</v>
      </c>
      <c r="P418" s="46">
        <f>P417-M420*SQRT(M419)</f>
        <v>1.3836007042253522</v>
      </c>
      <c r="Q418" s="184"/>
      <c r="R418" s="184"/>
      <c r="S418" s="184"/>
      <c r="T418" s="184"/>
      <c r="U418" s="184"/>
      <c r="V418" s="184"/>
      <c r="W418" s="184"/>
    </row>
    <row r="419" spans="1:29" ht="16.5">
      <c r="A419" s="374" t="s">
        <v>1042</v>
      </c>
      <c r="B419" s="373">
        <v>42.53</v>
      </c>
      <c r="C419" s="374">
        <v>42.96</v>
      </c>
      <c r="D419" s="374">
        <v>42.97</v>
      </c>
      <c r="E419" s="374">
        <v>42.33</v>
      </c>
      <c r="F419" s="374" t="s">
        <v>1043</v>
      </c>
      <c r="G419" s="375">
        <v>-1.6899999999999998E-2</v>
      </c>
      <c r="H419" s="376">
        <f t="shared" si="41"/>
        <v>-6.7498844197872994E-5</v>
      </c>
      <c r="I419" s="376">
        <f t="shared" si="42"/>
        <v>-5.6390977443614431E-5</v>
      </c>
      <c r="J419" s="374" t="e">
        <f t="shared" si="40"/>
        <v>#DIV/0!</v>
      </c>
      <c r="L419" s="189" t="s">
        <v>1015</v>
      </c>
      <c r="M419" s="204">
        <f>M409</f>
        <v>1</v>
      </c>
      <c r="N419" s="184"/>
      <c r="O419" s="41" t="s">
        <v>1044</v>
      </c>
      <c r="P419" s="46">
        <f>_xlfn.NORM.S.DIST(P417,TRUE)</f>
        <v>0.92411403958563276</v>
      </c>
      <c r="Q419" s="184"/>
      <c r="R419" s="184"/>
      <c r="S419" s="184"/>
      <c r="T419" s="184"/>
      <c r="U419" s="184"/>
      <c r="V419" s="184"/>
      <c r="W419" s="184"/>
    </row>
    <row r="420" spans="1:29" ht="17" thickBot="1">
      <c r="A420" s="374" t="s">
        <v>1045</v>
      </c>
      <c r="B420" s="373">
        <v>43.26</v>
      </c>
      <c r="C420" s="374">
        <v>43.1</v>
      </c>
      <c r="D420" s="374">
        <v>43.64</v>
      </c>
      <c r="E420" s="374">
        <v>42.93</v>
      </c>
      <c r="F420" s="374" t="s">
        <v>1046</v>
      </c>
      <c r="G420" s="375">
        <v>9.2999999999999992E-3</v>
      </c>
      <c r="H420" s="376">
        <f t="shared" si="41"/>
        <v>3.7330844610359296E-5</v>
      </c>
      <c r="I420" s="376">
        <f t="shared" si="42"/>
        <v>3.9024390243902474E-4</v>
      </c>
      <c r="J420" s="374" t="e">
        <f t="shared" si="40"/>
        <v>#DIV/0!</v>
      </c>
      <c r="L420" s="189" t="s">
        <v>1021</v>
      </c>
      <c r="M420" s="205">
        <f>M410</f>
        <v>4.9700000000000001E-2</v>
      </c>
      <c r="N420" s="184"/>
      <c r="O420" s="59" t="s">
        <v>1047</v>
      </c>
      <c r="P420" s="50">
        <f>_xlfn.NORM.S.DIST(P418,TRUE)</f>
        <v>0.91675962371072417</v>
      </c>
      <c r="Q420" s="184"/>
      <c r="R420" s="184"/>
      <c r="S420" s="184"/>
      <c r="T420" s="184"/>
      <c r="U420" s="184"/>
      <c r="V420" s="184"/>
      <c r="W420" s="184"/>
    </row>
    <row r="421" spans="1:29" ht="16.5" thickBot="1">
      <c r="A421" s="374" t="s">
        <v>1048</v>
      </c>
      <c r="B421" s="373">
        <v>42.86</v>
      </c>
      <c r="C421" s="374">
        <v>42.8</v>
      </c>
      <c r="D421" s="374">
        <v>43.16</v>
      </c>
      <c r="E421" s="374">
        <v>42.45</v>
      </c>
      <c r="F421" s="374" t="s">
        <v>1049</v>
      </c>
      <c r="G421" s="375">
        <v>-3.5000000000000001E-3</v>
      </c>
      <c r="H421" s="376">
        <f t="shared" si="41"/>
        <v>-1.395024412927226E-5</v>
      </c>
      <c r="I421" s="376">
        <f t="shared" si="42"/>
        <v>4.8826291079810956E-4</v>
      </c>
      <c r="J421" s="374" t="e">
        <f t="shared" si="40"/>
        <v>#DIV/0!</v>
      </c>
      <c r="L421" s="189" t="s">
        <v>186</v>
      </c>
      <c r="M421" s="57">
        <f>M412</f>
        <v>7.0000000000000007E-2</v>
      </c>
      <c r="N421" s="184"/>
      <c r="O421" s="184"/>
      <c r="P421" s="184"/>
      <c r="Q421" s="184"/>
      <c r="R421" s="184"/>
      <c r="S421" s="184"/>
      <c r="T421" s="184"/>
      <c r="U421" s="184"/>
      <c r="V421" s="184"/>
      <c r="W421" s="184"/>
    </row>
    <row r="422" spans="1:29" ht="16.5" thickBot="1">
      <c r="A422" s="374" t="s">
        <v>1050</v>
      </c>
      <c r="B422" s="373">
        <v>43.01</v>
      </c>
      <c r="C422" s="374">
        <v>43.24</v>
      </c>
      <c r="D422" s="374">
        <v>43.33</v>
      </c>
      <c r="E422" s="374">
        <v>42.76</v>
      </c>
      <c r="F422" s="374" t="s">
        <v>1051</v>
      </c>
      <c r="G422" s="375">
        <v>-9.1999999999999998E-3</v>
      </c>
      <c r="H422" s="376">
        <f t="shared" si="41"/>
        <v>-3.6857866850955826E-5</v>
      </c>
      <c r="I422" s="376">
        <f t="shared" si="42"/>
        <v>1.8643672803541733E-4</v>
      </c>
      <c r="J422" s="374" t="e">
        <f t="shared" si="40"/>
        <v>#DIV/0!</v>
      </c>
      <c r="L422" s="206" t="s">
        <v>189</v>
      </c>
      <c r="M422" s="207">
        <f>M413</f>
        <v>0</v>
      </c>
      <c r="N422" s="184"/>
      <c r="O422" s="184"/>
      <c r="P422" s="184"/>
      <c r="Q422" s="184"/>
      <c r="R422" s="184"/>
      <c r="S422" s="184"/>
      <c r="T422" s="184"/>
      <c r="U422" s="184"/>
      <c r="V422" s="184"/>
      <c r="W422" s="184"/>
      <c r="AA422" s="37" t="s">
        <v>178</v>
      </c>
      <c r="AB422" s="39" t="s">
        <v>1052</v>
      </c>
      <c r="AC422" s="298" t="s">
        <v>1053</v>
      </c>
    </row>
    <row r="423" spans="1:29">
      <c r="A423" s="374" t="s">
        <v>1054</v>
      </c>
      <c r="B423" s="373">
        <v>43.41</v>
      </c>
      <c r="C423" s="374">
        <v>43.47</v>
      </c>
      <c r="D423" s="374">
        <v>43.55</v>
      </c>
      <c r="E423" s="374">
        <v>43.1</v>
      </c>
      <c r="F423" s="374" t="s">
        <v>1055</v>
      </c>
      <c r="G423" s="375">
        <v>-1.1999999999999999E-3</v>
      </c>
      <c r="H423" s="376">
        <f t="shared" si="41"/>
        <v>-4.6019328117812283E-6</v>
      </c>
      <c r="I423" s="376">
        <f t="shared" si="42"/>
        <v>1.2921348314606717E-3</v>
      </c>
      <c r="J423" s="374" t="e">
        <f t="shared" si="40"/>
        <v>#DIV/0!</v>
      </c>
      <c r="L423" s="184"/>
      <c r="M423" s="184"/>
      <c r="N423" s="184"/>
      <c r="O423" s="184"/>
      <c r="P423" s="184"/>
      <c r="Q423" s="184"/>
      <c r="R423" s="184"/>
      <c r="S423" s="184"/>
      <c r="T423" s="184"/>
      <c r="U423" s="184"/>
      <c r="V423" s="184"/>
      <c r="W423" s="184"/>
      <c r="AA423" s="43">
        <v>28</v>
      </c>
      <c r="AB423" s="366">
        <f>MAX(AA423-M$407,0) -M$427</f>
        <v>-2.9051490761459569</v>
      </c>
      <c r="AC423" s="367">
        <f>MAX(M$438-AA423,0) - M$457</f>
        <v>6.3873264886850531</v>
      </c>
    </row>
    <row r="424" spans="1:29">
      <c r="A424" s="374" t="s">
        <v>1056</v>
      </c>
      <c r="B424" s="373">
        <v>43.46</v>
      </c>
      <c r="C424" s="374">
        <v>43.34</v>
      </c>
      <c r="D424" s="374">
        <v>43.68</v>
      </c>
      <c r="E424" s="374">
        <v>43.19</v>
      </c>
      <c r="F424" s="374" t="s">
        <v>1057</v>
      </c>
      <c r="G424" s="375">
        <v>4.8999999999999998E-3</v>
      </c>
      <c r="H424" s="376">
        <f t="shared" si="41"/>
        <v>1.9421965317919287E-5</v>
      </c>
      <c r="I424" s="376">
        <f t="shared" si="42"/>
        <v>1.8841262364578349E-3</v>
      </c>
      <c r="J424" s="374" t="e">
        <f t="shared" si="40"/>
        <v>#DIV/0!</v>
      </c>
      <c r="L424" s="184"/>
      <c r="M424" s="184"/>
      <c r="N424" s="184"/>
      <c r="O424" s="184"/>
      <c r="P424" s="184"/>
      <c r="Q424" s="184"/>
      <c r="R424" s="184"/>
      <c r="S424" s="184"/>
      <c r="T424" s="184"/>
      <c r="U424" s="184"/>
      <c r="V424" s="184"/>
      <c r="W424" s="184"/>
      <c r="AA424" s="43">
        <v>29</v>
      </c>
      <c r="AB424" s="366">
        <f t="shared" ref="AB424:AB453" si="44">MAX(AA424-M$407,0) -M$427</f>
        <v>-2.9051490761459569</v>
      </c>
      <c r="AC424" s="367">
        <f t="shared" ref="AC424:AC453" si="45">MAX(M$438-AA424,0) - M$457</f>
        <v>5.3873264886850531</v>
      </c>
    </row>
    <row r="425" spans="1:29" ht="16.5" thickBot="1">
      <c r="A425" s="374" t="s">
        <v>1058</v>
      </c>
      <c r="B425" s="373">
        <v>43.25</v>
      </c>
      <c r="C425" s="374">
        <v>42.95</v>
      </c>
      <c r="D425" s="374">
        <v>43.33</v>
      </c>
      <c r="E425" s="374">
        <v>42.8</v>
      </c>
      <c r="F425" s="374" t="s">
        <v>1059</v>
      </c>
      <c r="G425" s="375">
        <v>1.12E-2</v>
      </c>
      <c r="H425" s="376">
        <f t="shared" si="41"/>
        <v>4.4891278933832271E-5</v>
      </c>
      <c r="I425" s="376">
        <f t="shared" si="42"/>
        <v>4.6511627906976828E-4</v>
      </c>
      <c r="J425" s="374" t="e">
        <f t="shared" si="40"/>
        <v>#DIV/0!</v>
      </c>
      <c r="M425" s="184"/>
      <c r="N425" s="184"/>
      <c r="O425" s="184"/>
      <c r="P425" s="184"/>
      <c r="Q425" s="184"/>
      <c r="R425" s="184"/>
      <c r="S425" s="184"/>
      <c r="T425" s="184"/>
      <c r="U425" s="184"/>
      <c r="V425" s="184"/>
      <c r="W425" s="184"/>
      <c r="AA425" s="43">
        <v>30</v>
      </c>
      <c r="AB425" s="366">
        <f t="shared" si="44"/>
        <v>-2.9051490761459569</v>
      </c>
      <c r="AC425" s="367">
        <f t="shared" si="45"/>
        <v>4.3873264886850531</v>
      </c>
    </row>
    <row r="426" spans="1:29">
      <c r="A426" s="374" t="s">
        <v>1060</v>
      </c>
      <c r="B426" s="373">
        <v>42.77</v>
      </c>
      <c r="C426" s="374">
        <v>42.74</v>
      </c>
      <c r="D426" s="374">
        <v>43.15</v>
      </c>
      <c r="E426" s="374">
        <v>42.36</v>
      </c>
      <c r="F426" s="374" t="s">
        <v>1061</v>
      </c>
      <c r="G426" s="375">
        <v>2.3E-3</v>
      </c>
      <c r="H426" s="376">
        <f t="shared" si="41"/>
        <v>9.3742676353407713E-6</v>
      </c>
      <c r="I426" s="376">
        <f t="shared" si="42"/>
        <v>-5.0635129215943842E-3</v>
      </c>
      <c r="J426" s="374" t="e">
        <f t="shared" si="40"/>
        <v>#DIV/0!</v>
      </c>
      <c r="L426" s="208" t="s">
        <v>1062</v>
      </c>
      <c r="M426" s="209" t="s">
        <v>1063</v>
      </c>
      <c r="N426" s="184"/>
      <c r="O426" s="184"/>
      <c r="P426" s="184"/>
      <c r="Q426" s="184"/>
      <c r="R426" s="184"/>
      <c r="S426" s="184"/>
      <c r="T426" s="184"/>
      <c r="U426" s="184"/>
      <c r="V426" s="184"/>
      <c r="W426" s="184"/>
      <c r="AA426" s="43">
        <v>31</v>
      </c>
      <c r="AB426" s="366">
        <f t="shared" si="44"/>
        <v>-2.9051490761459569</v>
      </c>
      <c r="AC426" s="367">
        <f t="shared" si="45"/>
        <v>3.3873264886850536</v>
      </c>
    </row>
    <row r="427" spans="1:29">
      <c r="A427" s="374" t="s">
        <v>1064</v>
      </c>
      <c r="B427" s="373">
        <v>42.67</v>
      </c>
      <c r="C427" s="374">
        <v>42.56</v>
      </c>
      <c r="D427" s="374">
        <v>42.84</v>
      </c>
      <c r="E427" s="374">
        <v>42.36</v>
      </c>
      <c r="F427" s="374" t="s">
        <v>1065</v>
      </c>
      <c r="G427" s="375">
        <v>-3.5000000000000001E-3</v>
      </c>
      <c r="H427" s="376">
        <f t="shared" si="41"/>
        <v>-1.4012143858010084E-5</v>
      </c>
      <c r="I427" s="376">
        <f t="shared" si="42"/>
        <v>-1.0603781256352916E-2</v>
      </c>
      <c r="J427" s="374" t="e">
        <f t="shared" si="40"/>
        <v>#DIV/0!</v>
      </c>
      <c r="L427" s="360" t="s">
        <v>1066</v>
      </c>
      <c r="M427" s="361">
        <f>P406-R406-T406</f>
        <v>2.9051490761459569</v>
      </c>
      <c r="N427" s="184"/>
      <c r="O427" s="184"/>
      <c r="P427" s="184"/>
      <c r="Q427" s="184"/>
      <c r="R427" s="184"/>
      <c r="S427" s="184"/>
      <c r="T427" s="184"/>
      <c r="U427" s="184"/>
      <c r="V427" s="184"/>
      <c r="W427" s="184"/>
      <c r="AA427" s="43">
        <v>32</v>
      </c>
      <c r="AB427" s="366">
        <f t="shared" si="44"/>
        <v>-2.9051490761459569</v>
      </c>
      <c r="AC427" s="367">
        <f t="shared" si="45"/>
        <v>2.3873264886850536</v>
      </c>
    </row>
    <row r="428" spans="1:29">
      <c r="A428" s="374" t="s">
        <v>1067</v>
      </c>
      <c r="B428" s="373">
        <v>42.82</v>
      </c>
      <c r="C428" s="374">
        <v>42.73</v>
      </c>
      <c r="D428" s="374">
        <v>43.09</v>
      </c>
      <c r="E428" s="374">
        <v>42.54</v>
      </c>
      <c r="F428" s="374" t="s">
        <v>1068</v>
      </c>
      <c r="G428" s="375">
        <v>0</v>
      </c>
      <c r="H428" s="376">
        <f t="shared" si="41"/>
        <v>0</v>
      </c>
      <c r="I428" s="376">
        <f t="shared" si="42"/>
        <v>-1.0893685696994152E-2</v>
      </c>
      <c r="J428" s="374" t="e">
        <f t="shared" si="40"/>
        <v>#DIV/0!</v>
      </c>
      <c r="L428" s="41" t="s">
        <v>1069</v>
      </c>
      <c r="M428" s="210">
        <f>M417*EXP(-M422*M419)*P419-M418*EXP(-M421*M419)*P420</f>
        <v>2.424576132482823</v>
      </c>
      <c r="N428" s="184"/>
      <c r="O428" s="184"/>
      <c r="P428" s="184"/>
      <c r="Q428" s="184"/>
      <c r="R428" s="184"/>
      <c r="S428" s="184"/>
      <c r="T428" s="184"/>
      <c r="U428" s="184"/>
      <c r="V428" s="184"/>
      <c r="W428" s="184"/>
      <c r="AA428" s="43">
        <v>33</v>
      </c>
      <c r="AB428" s="366">
        <f t="shared" si="44"/>
        <v>-2.9051490761459569</v>
      </c>
      <c r="AC428" s="367">
        <f t="shared" si="45"/>
        <v>1.3873264886850536</v>
      </c>
    </row>
    <row r="429" spans="1:29" ht="16.5" thickBot="1">
      <c r="A429" s="374" t="s">
        <v>1070</v>
      </c>
      <c r="B429" s="373">
        <v>42.82</v>
      </c>
      <c r="C429" s="374">
        <v>42.97</v>
      </c>
      <c r="D429" s="374">
        <v>43.4</v>
      </c>
      <c r="E429" s="374">
        <v>42.69</v>
      </c>
      <c r="F429" s="374" t="s">
        <v>1071</v>
      </c>
      <c r="G429" s="375">
        <v>-2.0999999999999999E-3</v>
      </c>
      <c r="H429" s="376">
        <f t="shared" si="41"/>
        <v>-8.3896527615938696E-6</v>
      </c>
      <c r="I429" s="376">
        <f t="shared" si="42"/>
        <v>-1.0711974110032356E-2</v>
      </c>
      <c r="J429" s="374" t="e">
        <f t="shared" si="40"/>
        <v>#DIV/0!</v>
      </c>
      <c r="L429" s="59" t="s">
        <v>1072</v>
      </c>
      <c r="M429" s="211">
        <f>M427/M428</f>
        <v>1.1982090548631343</v>
      </c>
      <c r="N429" s="184"/>
      <c r="O429" s="184"/>
      <c r="P429" s="184"/>
      <c r="Q429" s="184"/>
      <c r="R429" s="184"/>
      <c r="S429" s="184"/>
      <c r="T429" s="184"/>
      <c r="U429" s="184"/>
      <c r="V429" s="184"/>
      <c r="W429" s="184"/>
      <c r="AA429" s="43">
        <v>34</v>
      </c>
      <c r="AB429" s="366">
        <f t="shared" si="44"/>
        <v>-2.9051490761459569</v>
      </c>
      <c r="AC429" s="367">
        <f t="shared" si="45"/>
        <v>0.38732648868505359</v>
      </c>
    </row>
    <row r="430" spans="1:29">
      <c r="A430" s="374" t="s">
        <v>1073</v>
      </c>
      <c r="B430" s="373">
        <v>42.91</v>
      </c>
      <c r="C430" s="374">
        <v>42.93</v>
      </c>
      <c r="D430" s="374">
        <v>43.32</v>
      </c>
      <c r="E430" s="374">
        <v>42.75</v>
      </c>
      <c r="F430" s="374" t="s">
        <v>1074</v>
      </c>
      <c r="G430" s="375">
        <v>5.1999999999999998E-3</v>
      </c>
      <c r="H430" s="376">
        <f t="shared" si="41"/>
        <v>2.0613726868118575E-5</v>
      </c>
      <c r="I430" s="376">
        <f t="shared" si="42"/>
        <v>-1.1453674121405752E-2</v>
      </c>
      <c r="J430" s="374" t="e">
        <f t="shared" si="40"/>
        <v>#DIV/0!</v>
      </c>
      <c r="AA430" s="43">
        <v>35</v>
      </c>
      <c r="AB430" s="366">
        <f t="shared" si="44"/>
        <v>-2.8751490761459557</v>
      </c>
      <c r="AC430" s="367">
        <f t="shared" si="45"/>
        <v>-0.58267351131494527</v>
      </c>
    </row>
    <row r="431" spans="1:29">
      <c r="A431" s="374" t="s">
        <v>1075</v>
      </c>
      <c r="B431" s="373">
        <v>42.69</v>
      </c>
      <c r="C431" s="374">
        <v>42.41</v>
      </c>
      <c r="D431" s="374">
        <v>43.03</v>
      </c>
      <c r="E431" s="374">
        <v>42.41</v>
      </c>
      <c r="F431" s="374" t="s">
        <v>1076</v>
      </c>
      <c r="G431" s="375">
        <v>1.09E-2</v>
      </c>
      <c r="H431" s="376">
        <f t="shared" si="41"/>
        <v>4.3570921146105056E-5</v>
      </c>
      <c r="I431" s="376">
        <f t="shared" si="42"/>
        <v>-1.1832335329341319E-2</v>
      </c>
      <c r="J431" s="374" t="e">
        <f t="shared" si="40"/>
        <v>#DIV/0!</v>
      </c>
      <c r="AA431" s="43">
        <v>36</v>
      </c>
      <c r="AB431" s="366">
        <f t="shared" si="44"/>
        <v>-1.8751490761459557</v>
      </c>
      <c r="AC431" s="367">
        <f t="shared" si="45"/>
        <v>-0.58267351131494527</v>
      </c>
    </row>
    <row r="432" spans="1:29">
      <c r="A432" s="374" t="s">
        <v>1077</v>
      </c>
      <c r="B432" s="373">
        <v>42.23</v>
      </c>
      <c r="C432" s="374">
        <v>42.2</v>
      </c>
      <c r="D432" s="374">
        <v>42.3</v>
      </c>
      <c r="E432" s="374">
        <v>41.8</v>
      </c>
      <c r="F432" s="374" t="s">
        <v>1078</v>
      </c>
      <c r="G432" s="375">
        <v>-2.3999999999999998E-3</v>
      </c>
      <c r="H432" s="376">
        <f t="shared" si="41"/>
        <v>-9.4495629577133766E-6</v>
      </c>
      <c r="I432" s="376">
        <f t="shared" si="42"/>
        <v>-1.2674372259864492E-2</v>
      </c>
      <c r="J432" s="374" t="e">
        <f t="shared" si="40"/>
        <v>#DIV/0!</v>
      </c>
      <c r="AA432" s="43">
        <v>37</v>
      </c>
      <c r="AB432" s="366">
        <f t="shared" si="44"/>
        <v>-0.87514907614595572</v>
      </c>
      <c r="AC432" s="367">
        <f t="shared" si="45"/>
        <v>-0.58267351131494527</v>
      </c>
    </row>
    <row r="433" spans="1:29">
      <c r="A433" s="374" t="s">
        <v>1079</v>
      </c>
      <c r="B433" s="373">
        <v>42.33</v>
      </c>
      <c r="C433" s="374">
        <v>42.77</v>
      </c>
      <c r="D433" s="374">
        <v>42.9</v>
      </c>
      <c r="E433" s="374">
        <v>42.26</v>
      </c>
      <c r="F433" s="374" t="s">
        <v>1080</v>
      </c>
      <c r="G433" s="375">
        <v>2.8E-3</v>
      </c>
      <c r="H433" s="376">
        <f t="shared" si="41"/>
        <v>1.1371712864249872E-5</v>
      </c>
      <c r="I433" s="376">
        <f t="shared" si="42"/>
        <v>-1.2862807295796986E-2</v>
      </c>
      <c r="J433" s="374" t="e">
        <f t="shared" si="40"/>
        <v>#DIV/0!</v>
      </c>
      <c r="AA433" s="43">
        <v>38</v>
      </c>
      <c r="AB433" s="366">
        <f t="shared" si="44"/>
        <v>0.12485092385404428</v>
      </c>
      <c r="AC433" s="367">
        <f t="shared" si="45"/>
        <v>-0.58267351131494527</v>
      </c>
    </row>
    <row r="434" spans="1:29">
      <c r="A434" s="374" t="s">
        <v>1081</v>
      </c>
      <c r="B434" s="373">
        <v>42.21</v>
      </c>
      <c r="C434" s="374">
        <v>42.05</v>
      </c>
      <c r="D434" s="374">
        <v>42.49</v>
      </c>
      <c r="E434" s="374">
        <v>41.94</v>
      </c>
      <c r="F434" s="374" t="s">
        <v>1082</v>
      </c>
      <c r="G434" s="375">
        <v>9.7999999999999997E-3</v>
      </c>
      <c r="H434" s="376">
        <f t="shared" si="41"/>
        <v>3.9234449760765954E-5</v>
      </c>
      <c r="I434" s="376">
        <f t="shared" si="42"/>
        <v>-1.3159144893111643E-2</v>
      </c>
      <c r="J434" s="374" t="e">
        <f t="shared" si="40"/>
        <v>#DIV/0!</v>
      </c>
      <c r="AA434" s="43">
        <v>39</v>
      </c>
      <c r="AB434" s="366">
        <f t="shared" si="44"/>
        <v>1.1248509238540443</v>
      </c>
      <c r="AC434" s="367">
        <f t="shared" si="45"/>
        <v>-0.58267351131494527</v>
      </c>
    </row>
    <row r="435" spans="1:29" ht="16.5" thickBot="1">
      <c r="A435" s="374" t="s">
        <v>1083</v>
      </c>
      <c r="B435" s="373">
        <v>41.8</v>
      </c>
      <c r="C435" s="374">
        <v>42.25</v>
      </c>
      <c r="D435" s="374">
        <v>42.31</v>
      </c>
      <c r="E435" s="374">
        <v>41.8</v>
      </c>
      <c r="F435" s="374" t="s">
        <v>1084</v>
      </c>
      <c r="G435" s="375">
        <v>-9.7000000000000003E-3</v>
      </c>
      <c r="H435" s="376">
        <f t="shared" si="41"/>
        <v>-3.8853352286188247E-5</v>
      </c>
      <c r="I435" s="376">
        <f t="shared" si="42"/>
        <v>-1.3253493013972059E-2</v>
      </c>
      <c r="J435" s="374" t="e">
        <f t="shared" si="40"/>
        <v>#DIV/0!</v>
      </c>
      <c r="AA435" s="43">
        <v>40</v>
      </c>
      <c r="AB435" s="366">
        <f t="shared" si="44"/>
        <v>2.1248509238540443</v>
      </c>
      <c r="AC435" s="367">
        <f t="shared" si="45"/>
        <v>-0.58267351131494527</v>
      </c>
    </row>
    <row r="436" spans="1:29">
      <c r="A436" s="374" t="s">
        <v>1085</v>
      </c>
      <c r="B436" s="373">
        <v>42.21</v>
      </c>
      <c r="C436" s="374">
        <v>42.77</v>
      </c>
      <c r="D436" s="374">
        <v>42.84</v>
      </c>
      <c r="E436" s="374">
        <v>41.98</v>
      </c>
      <c r="F436" s="374" t="s">
        <v>1086</v>
      </c>
      <c r="G436" s="375">
        <v>-1.15E-2</v>
      </c>
      <c r="H436" s="376">
        <f t="shared" si="41"/>
        <v>-4.5901639344262611E-5</v>
      </c>
      <c r="I436" s="376">
        <f t="shared" si="42"/>
        <v>-1.1781818181818178E-2</v>
      </c>
      <c r="J436" s="374" t="e">
        <f t="shared" si="40"/>
        <v>#DIV/0!</v>
      </c>
      <c r="L436" s="474" t="s">
        <v>1087</v>
      </c>
      <c r="M436" s="475"/>
      <c r="N436" s="184"/>
      <c r="O436" s="212" t="s">
        <v>999</v>
      </c>
      <c r="P436" s="186">
        <f>M438*EXP(-M442*M439)*(R437-(M441/(2*(M442-M443))*(EXP(P440))*T439))</f>
        <v>2.6662334731770696</v>
      </c>
      <c r="Q436" s="213" t="s">
        <v>1000</v>
      </c>
      <c r="R436" s="186">
        <f>M437*(EXP(-M443*M439))*(M444*T438)</f>
        <v>0.57017207382829604</v>
      </c>
      <c r="S436" s="213" t="s">
        <v>1001</v>
      </c>
      <c r="T436" s="188">
        <f>M437*(EXP(-M443*M439))*R438</f>
        <v>2.6537320356904206</v>
      </c>
      <c r="U436" s="184"/>
      <c r="V436" s="184"/>
      <c r="AA436" s="43">
        <v>41</v>
      </c>
      <c r="AB436" s="366">
        <f t="shared" si="44"/>
        <v>3.1248509238540443</v>
      </c>
      <c r="AC436" s="367">
        <f t="shared" si="45"/>
        <v>-0.58267351131494527</v>
      </c>
    </row>
    <row r="437" spans="1:29" ht="16.5">
      <c r="A437" s="374" t="s">
        <v>1088</v>
      </c>
      <c r="B437" s="373">
        <v>42.7</v>
      </c>
      <c r="C437" s="374">
        <v>42.9</v>
      </c>
      <c r="D437" s="374">
        <v>43.15</v>
      </c>
      <c r="E437" s="374">
        <v>42.62</v>
      </c>
      <c r="F437" s="374" t="s">
        <v>1089</v>
      </c>
      <c r="G437" s="375">
        <v>-5.5999999999999999E-3</v>
      </c>
      <c r="H437" s="376">
        <f t="shared" si="41"/>
        <v>-2.2356776897996867E-5</v>
      </c>
      <c r="I437" s="376">
        <f t="shared" si="42"/>
        <v>-1.2141438220103301E-2</v>
      </c>
      <c r="J437" s="374" t="e">
        <f t="shared" si="40"/>
        <v>#DIV/0!</v>
      </c>
      <c r="L437" s="189" t="s">
        <v>177</v>
      </c>
      <c r="M437" s="190">
        <v>34.97</v>
      </c>
      <c r="N437" s="184"/>
      <c r="O437" s="189" t="s">
        <v>1090</v>
      </c>
      <c r="P437" s="192">
        <f>(LN(M437/M438)+(-M442+M443+0.5*M441)*M439)/(M440*SQRT(M439))</f>
        <v>-1.3836007042253522</v>
      </c>
      <c r="Q437" s="214" t="s">
        <v>1091</v>
      </c>
      <c r="R437" s="192">
        <f>_xlfn.NORM.S.DIST(P437,TRUE)</f>
        <v>8.3240376289275789E-2</v>
      </c>
      <c r="S437" s="214" t="s">
        <v>1092</v>
      </c>
      <c r="T437" s="194">
        <f>_xlfn.NORM.S.DIST(-P437,TRUE)</f>
        <v>0.91675962371072417</v>
      </c>
      <c r="U437" s="184"/>
      <c r="V437" s="184"/>
      <c r="AA437" s="43">
        <v>42</v>
      </c>
      <c r="AB437" s="366">
        <f t="shared" si="44"/>
        <v>4.1248509238540443</v>
      </c>
      <c r="AC437" s="367">
        <f t="shared" si="45"/>
        <v>-0.58267351131494527</v>
      </c>
    </row>
    <row r="438" spans="1:29" ht="16.5">
      <c r="A438" s="374" t="s">
        <v>1093</v>
      </c>
      <c r="B438" s="373">
        <v>42.94</v>
      </c>
      <c r="C438" s="374">
        <v>42.62</v>
      </c>
      <c r="D438" s="374">
        <v>43.66</v>
      </c>
      <c r="E438" s="374">
        <v>42.62</v>
      </c>
      <c r="F438" s="374" t="s">
        <v>1094</v>
      </c>
      <c r="G438" s="375">
        <v>8.8999999999999999E-3</v>
      </c>
      <c r="H438" s="376">
        <f t="shared" si="41"/>
        <v>3.5714285714285588E-5</v>
      </c>
      <c r="I438" s="376">
        <f t="shared" si="42"/>
        <v>-1.1185897435897445E-2</v>
      </c>
      <c r="J438" s="374" t="e">
        <f t="shared" si="40"/>
        <v>#DIV/0!</v>
      </c>
      <c r="L438" s="41" t="s">
        <v>1095</v>
      </c>
      <c r="M438" s="190">
        <v>34.97</v>
      </c>
      <c r="N438" s="184"/>
      <c r="O438" s="189" t="s">
        <v>1096</v>
      </c>
      <c r="P438" s="192">
        <f>P437-M440*SQRT(M439)</f>
        <v>-1.4333007042253523</v>
      </c>
      <c r="Q438" s="214" t="s">
        <v>1097</v>
      </c>
      <c r="R438" s="192">
        <f t="shared" ref="R438:R439" si="46">_xlfn.NORM.S.DIST(P438,TRUE)</f>
        <v>7.5885960414367196E-2</v>
      </c>
      <c r="S438" s="214" t="s">
        <v>1098</v>
      </c>
      <c r="T438" s="194">
        <f>_xlfn.NORM.S.DIST(-P438,TRUE)</f>
        <v>0.92411403958563276</v>
      </c>
      <c r="U438" s="184"/>
      <c r="V438" s="184"/>
      <c r="AA438" s="43">
        <v>43</v>
      </c>
      <c r="AB438" s="366">
        <f t="shared" si="44"/>
        <v>5.1248509238540443</v>
      </c>
      <c r="AC438" s="367">
        <f t="shared" si="45"/>
        <v>-0.58267351131494527</v>
      </c>
    </row>
    <row r="439" spans="1:29" ht="16.5">
      <c r="A439" s="374" t="s">
        <v>1099</v>
      </c>
      <c r="B439" s="373">
        <v>42.56</v>
      </c>
      <c r="C439" s="374">
        <v>42.93</v>
      </c>
      <c r="D439" s="374">
        <v>42.96</v>
      </c>
      <c r="E439" s="374">
        <v>42.27</v>
      </c>
      <c r="F439" s="374" t="s">
        <v>1100</v>
      </c>
      <c r="G439" s="375">
        <v>-1.14E-2</v>
      </c>
      <c r="H439" s="376">
        <f t="shared" si="41"/>
        <v>-4.5528455284552296E-5</v>
      </c>
      <c r="I439" s="376">
        <f t="shared" si="42"/>
        <v>-9.8991146798435188E-3</v>
      </c>
      <c r="J439" s="374" t="e">
        <f t="shared" si="40"/>
        <v>#DIV/0!</v>
      </c>
      <c r="L439" s="189" t="s">
        <v>1015</v>
      </c>
      <c r="M439" s="190">
        <v>1</v>
      </c>
      <c r="N439" s="184"/>
      <c r="O439" s="189" t="s">
        <v>1101</v>
      </c>
      <c r="P439" s="192">
        <f>(LN(M438/M437)+(M442-M443-0.5*M441)*M439)/(M440*SQRT(M439))</f>
        <v>1.3836007042253522</v>
      </c>
      <c r="Q439" s="214" t="s">
        <v>1102</v>
      </c>
      <c r="R439" s="192">
        <f t="shared" si="46"/>
        <v>0.91675962371072417</v>
      </c>
      <c r="S439" s="214" t="s">
        <v>1103</v>
      </c>
      <c r="T439" s="194">
        <f>_xlfn.NORM.S.DIST(-P439,TRUE)</f>
        <v>8.3240376289275789E-2</v>
      </c>
      <c r="U439" s="184"/>
      <c r="V439" s="184"/>
      <c r="AA439" s="43">
        <v>44</v>
      </c>
      <c r="AB439" s="366">
        <f t="shared" si="44"/>
        <v>6.1248509238540443</v>
      </c>
      <c r="AC439" s="367">
        <f t="shared" si="45"/>
        <v>-0.58267351131494527</v>
      </c>
    </row>
    <row r="440" spans="1:29" ht="17" thickBot="1">
      <c r="A440" s="374" t="s">
        <v>1104</v>
      </c>
      <c r="B440" s="373">
        <v>43.05</v>
      </c>
      <c r="C440" s="374">
        <v>42.6</v>
      </c>
      <c r="D440" s="374">
        <v>43.15</v>
      </c>
      <c r="E440" s="374">
        <v>42.6</v>
      </c>
      <c r="F440" s="374" t="s">
        <v>1105</v>
      </c>
      <c r="G440" s="375">
        <v>1.06E-2</v>
      </c>
      <c r="H440" s="376">
        <f t="shared" si="41"/>
        <v>4.2253521126760061E-5</v>
      </c>
      <c r="I440" s="376">
        <f t="shared" si="42"/>
        <v>-8.354483045558565E-3</v>
      </c>
      <c r="J440" s="374" t="e">
        <f t="shared" si="40"/>
        <v>#DIV/0!</v>
      </c>
      <c r="L440" s="189" t="s">
        <v>1021</v>
      </c>
      <c r="M440" s="195">
        <v>4.9700000000000001E-2</v>
      </c>
      <c r="N440" s="184"/>
      <c r="O440" s="206" t="s">
        <v>1106</v>
      </c>
      <c r="P440" s="197">
        <f>2*(M442-M443-0.5*M441)*LN(M438/M437)/(M441)</f>
        <v>0</v>
      </c>
      <c r="Q440" s="198"/>
      <c r="R440" s="197"/>
      <c r="S440" s="198"/>
      <c r="T440" s="199"/>
      <c r="U440" s="184"/>
      <c r="V440" s="184"/>
      <c r="AA440" s="43">
        <v>45</v>
      </c>
      <c r="AB440" s="366">
        <f t="shared" si="44"/>
        <v>7.1248509238540443</v>
      </c>
      <c r="AC440" s="367">
        <f t="shared" si="45"/>
        <v>-0.58267351131494527</v>
      </c>
    </row>
    <row r="441" spans="1:29" ht="17">
      <c r="A441" s="374" t="s">
        <v>1107</v>
      </c>
      <c r="B441" s="373">
        <v>42.6</v>
      </c>
      <c r="C441" s="374">
        <v>42.93</v>
      </c>
      <c r="D441" s="374">
        <v>42.96</v>
      </c>
      <c r="E441" s="374">
        <v>42.56</v>
      </c>
      <c r="F441" s="374" t="s">
        <v>1108</v>
      </c>
      <c r="G441" s="375">
        <v>-7.1999999999999998E-3</v>
      </c>
      <c r="H441" s="376">
        <f t="shared" si="41"/>
        <v>-2.8897692845490044E-5</v>
      </c>
      <c r="I441" s="376">
        <f t="shared" si="42"/>
        <v>-9.9053887289181387E-3</v>
      </c>
      <c r="J441" s="374" t="e">
        <f t="shared" si="40"/>
        <v>#DIV/0!</v>
      </c>
      <c r="L441" s="189" t="s">
        <v>1025</v>
      </c>
      <c r="M441" s="200">
        <f>M440^2</f>
        <v>2.4700900000000003E-3</v>
      </c>
      <c r="N441" s="184"/>
      <c r="O441" s="184"/>
      <c r="P441" s="184"/>
      <c r="Q441" s="184"/>
      <c r="R441" s="184"/>
      <c r="S441" s="184"/>
      <c r="T441" s="184"/>
      <c r="U441" s="184"/>
      <c r="V441" s="184"/>
      <c r="AA441" s="43">
        <v>46</v>
      </c>
      <c r="AB441" s="366">
        <f t="shared" si="44"/>
        <v>8.1248509238540443</v>
      </c>
      <c r="AC441" s="367">
        <f t="shared" si="45"/>
        <v>-0.58267351131494527</v>
      </c>
    </row>
    <row r="442" spans="1:29">
      <c r="A442" s="374" t="s">
        <v>1109</v>
      </c>
      <c r="B442" s="373">
        <v>42.91</v>
      </c>
      <c r="C442" s="374">
        <v>43.03</v>
      </c>
      <c r="D442" s="374">
        <v>43.25</v>
      </c>
      <c r="E442" s="374">
        <v>42.49</v>
      </c>
      <c r="F442" s="374" t="s">
        <v>98</v>
      </c>
      <c r="G442" s="375">
        <v>4.4000000000000003E-3</v>
      </c>
      <c r="H442" s="376">
        <f t="shared" si="41"/>
        <v>1.779026217228452E-5</v>
      </c>
      <c r="I442" s="376">
        <f t="shared" si="42"/>
        <v>-1.0552296176411095E-2</v>
      </c>
      <c r="J442" s="374" t="e">
        <f t="shared" si="40"/>
        <v>#DIV/0!</v>
      </c>
      <c r="L442" s="189" t="s">
        <v>186</v>
      </c>
      <c r="M442" s="195">
        <v>7.0000000000000007E-2</v>
      </c>
      <c r="N442" s="184"/>
      <c r="O442" s="184"/>
      <c r="P442" s="184"/>
      <c r="Q442" s="184"/>
      <c r="R442" s="184"/>
      <c r="S442" s="184"/>
      <c r="T442" s="184"/>
      <c r="U442" s="184"/>
      <c r="V442" s="184"/>
      <c r="AA442" s="43">
        <v>47</v>
      </c>
      <c r="AB442" s="366">
        <f t="shared" si="44"/>
        <v>9.1248509238540443</v>
      </c>
      <c r="AC442" s="367">
        <f t="shared" si="45"/>
        <v>-0.58267351131494527</v>
      </c>
    </row>
    <row r="443" spans="1:29">
      <c r="A443" s="374" t="s">
        <v>1110</v>
      </c>
      <c r="B443" s="373">
        <v>42.72</v>
      </c>
      <c r="C443" s="374">
        <v>42.6</v>
      </c>
      <c r="D443" s="374">
        <v>42.82</v>
      </c>
      <c r="E443" s="374">
        <v>41.6</v>
      </c>
      <c r="F443" s="374" t="s">
        <v>601</v>
      </c>
      <c r="G443" s="375">
        <v>6.1000000000000004E-3</v>
      </c>
      <c r="H443" s="376">
        <f t="shared" si="41"/>
        <v>2.4493641073951801E-5</v>
      </c>
      <c r="I443" s="376">
        <f t="shared" si="42"/>
        <v>-1.0831815421979352E-2</v>
      </c>
      <c r="J443" s="374" t="e">
        <f t="shared" si="40"/>
        <v>#DIV/0!</v>
      </c>
      <c r="L443" s="189" t="s">
        <v>189</v>
      </c>
      <c r="M443" s="201">
        <v>0</v>
      </c>
      <c r="N443" s="184"/>
      <c r="O443" s="184"/>
      <c r="P443" s="184"/>
      <c r="Q443" s="184"/>
      <c r="R443" s="184"/>
      <c r="S443" s="184"/>
      <c r="T443" s="184"/>
      <c r="U443" s="184"/>
      <c r="V443" s="184"/>
      <c r="AA443" s="43">
        <v>48</v>
      </c>
      <c r="AB443" s="366">
        <f t="shared" si="44"/>
        <v>10.124850923854044</v>
      </c>
      <c r="AC443" s="367">
        <f t="shared" si="45"/>
        <v>-0.58267351131494527</v>
      </c>
    </row>
    <row r="444" spans="1:29" ht="17.5" thickBot="1">
      <c r="A444" s="374" t="s">
        <v>1111</v>
      </c>
      <c r="B444" s="373">
        <v>42.46</v>
      </c>
      <c r="C444" s="374">
        <v>43.12</v>
      </c>
      <c r="D444" s="374">
        <v>43.18</v>
      </c>
      <c r="E444" s="374">
        <v>42.08</v>
      </c>
      <c r="F444" s="374" t="s">
        <v>1112</v>
      </c>
      <c r="G444" s="375">
        <v>-1.26E-2</v>
      </c>
      <c r="H444" s="376">
        <f t="shared" si="41"/>
        <v>-5.0232558139534871E-5</v>
      </c>
      <c r="I444" s="376">
        <f t="shared" si="42"/>
        <v>-1.1571313456889607E-2</v>
      </c>
      <c r="J444" s="374" t="e">
        <f t="shared" si="40"/>
        <v>#DIV/0!</v>
      </c>
      <c r="L444" s="202" t="s">
        <v>1032</v>
      </c>
      <c r="M444" s="203">
        <f>M441/(2*(M442-M443))</f>
        <v>1.7643499999999999E-2</v>
      </c>
      <c r="N444" s="184"/>
      <c r="O444" s="184"/>
      <c r="P444" s="184"/>
      <c r="Q444" s="184"/>
      <c r="R444" s="184"/>
      <c r="S444" s="184"/>
      <c r="T444" s="184"/>
      <c r="U444" s="184"/>
      <c r="V444" s="184"/>
      <c r="AA444" s="43">
        <v>49</v>
      </c>
      <c r="AB444" s="366">
        <f t="shared" si="44"/>
        <v>11.124850923854044</v>
      </c>
      <c r="AC444" s="367">
        <f t="shared" si="45"/>
        <v>-0.58267351131494527</v>
      </c>
    </row>
    <row r="445" spans="1:29" ht="16.5" thickBot="1">
      <c r="A445" s="374" t="s">
        <v>1113</v>
      </c>
      <c r="B445" s="373">
        <v>43</v>
      </c>
      <c r="C445" s="374">
        <v>45.5</v>
      </c>
      <c r="D445" s="374">
        <v>45.5</v>
      </c>
      <c r="E445" s="374">
        <v>42.91</v>
      </c>
      <c r="F445" s="374" t="s">
        <v>1114</v>
      </c>
      <c r="G445" s="375">
        <v>-5.8299999999999998E-2</v>
      </c>
      <c r="H445" s="376">
        <f t="shared" si="41"/>
        <v>-2.3302671922908447E-4</v>
      </c>
      <c r="I445" s="376">
        <f t="shared" si="42"/>
        <v>-1.1048306273802364E-2</v>
      </c>
      <c r="J445" s="374" t="e">
        <f t="shared" si="40"/>
        <v>#DIV/0!</v>
      </c>
      <c r="L445" s="184"/>
      <c r="M445" s="184"/>
      <c r="N445" s="184"/>
      <c r="O445" s="184"/>
      <c r="P445" s="184"/>
      <c r="Q445" s="184"/>
      <c r="R445" s="184"/>
      <c r="S445" s="184"/>
      <c r="T445" s="184"/>
      <c r="U445" s="184"/>
      <c r="V445" s="184"/>
      <c r="AA445" s="43">
        <v>50</v>
      </c>
      <c r="AB445" s="366">
        <f t="shared" si="44"/>
        <v>12.124850923854044</v>
      </c>
      <c r="AC445" s="367">
        <f t="shared" si="45"/>
        <v>-0.58267351131494527</v>
      </c>
    </row>
    <row r="446" spans="1:29" ht="16.5" thickBot="1">
      <c r="A446" s="374" t="s">
        <v>1115</v>
      </c>
      <c r="B446" s="373">
        <v>45.66</v>
      </c>
      <c r="C446" s="374">
        <v>46.84</v>
      </c>
      <c r="D446" s="374">
        <v>46.94</v>
      </c>
      <c r="E446" s="374">
        <v>45.64</v>
      </c>
      <c r="F446" s="374" t="s">
        <v>1116</v>
      </c>
      <c r="G446" s="375">
        <v>-7.1800000000000003E-2</v>
      </c>
      <c r="H446" s="376">
        <f t="shared" si="41"/>
        <v>-2.8705021345801993E-4</v>
      </c>
      <c r="I446" s="376">
        <f t="shared" si="42"/>
        <v>-7.0607028753993627E-3</v>
      </c>
      <c r="J446" s="374" t="e">
        <f t="shared" si="40"/>
        <v>#DIV/0!</v>
      </c>
      <c r="L446" s="474" t="s">
        <v>1069</v>
      </c>
      <c r="M446" s="475"/>
      <c r="N446" s="184"/>
      <c r="O446" s="184"/>
      <c r="P446" s="184"/>
      <c r="Q446" s="184"/>
      <c r="R446" s="184"/>
      <c r="S446" s="184"/>
      <c r="T446" s="184"/>
      <c r="U446" s="184"/>
      <c r="V446" s="184"/>
      <c r="AA446" s="43">
        <v>51</v>
      </c>
      <c r="AB446" s="366">
        <f t="shared" si="44"/>
        <v>13.124850923854044</v>
      </c>
      <c r="AC446" s="367">
        <f t="shared" si="45"/>
        <v>-0.58267351131494527</v>
      </c>
    </row>
    <row r="447" spans="1:29" ht="16.5">
      <c r="A447" s="374" t="s">
        <v>1117</v>
      </c>
      <c r="B447" s="373">
        <v>49.19</v>
      </c>
      <c r="C447" s="374">
        <v>49.73</v>
      </c>
      <c r="D447" s="374">
        <v>49.74</v>
      </c>
      <c r="E447" s="374">
        <v>48.57</v>
      </c>
      <c r="F447" s="374" t="s">
        <v>277</v>
      </c>
      <c r="G447" s="375">
        <v>-7.7000000000000002E-3</v>
      </c>
      <c r="H447" s="376">
        <f t="shared" si="41"/>
        <v>-3.066370788783557E-5</v>
      </c>
      <c r="I447" s="376">
        <f t="shared" si="42"/>
        <v>-2.1369212504946588E-3</v>
      </c>
      <c r="J447" s="374" t="e">
        <f t="shared" si="40"/>
        <v>#DIV/0!</v>
      </c>
      <c r="L447" s="189" t="s">
        <v>177</v>
      </c>
      <c r="M447" s="204">
        <f>M437</f>
        <v>34.97</v>
      </c>
      <c r="N447" s="184"/>
      <c r="O447" s="35" t="s">
        <v>201</v>
      </c>
      <c r="P447" s="40">
        <f>(LN(M447/M448)+(M451-M452+0.5*(M450)^2)*M449)/(M450*SQRT(M449))</f>
        <v>1.4333007042253523</v>
      </c>
      <c r="Q447" s="184"/>
      <c r="R447" s="184"/>
      <c r="S447" s="184"/>
      <c r="T447" s="184"/>
      <c r="U447" s="184"/>
      <c r="V447" s="184"/>
      <c r="AA447" s="43">
        <v>52</v>
      </c>
      <c r="AB447" s="366">
        <f t="shared" si="44"/>
        <v>14.124850923854044</v>
      </c>
      <c r="AC447" s="367">
        <f t="shared" si="45"/>
        <v>-0.58267351131494527</v>
      </c>
    </row>
    <row r="448" spans="1:29" ht="16.5">
      <c r="A448" s="374" t="s">
        <v>1118</v>
      </c>
      <c r="B448" s="373">
        <v>49.57</v>
      </c>
      <c r="C448" s="374">
        <v>49.38</v>
      </c>
      <c r="D448" s="374">
        <v>49.7</v>
      </c>
      <c r="E448" s="374">
        <v>48.62</v>
      </c>
      <c r="F448" s="374" t="s">
        <v>1119</v>
      </c>
      <c r="G448" s="375">
        <v>2.5999999999999999E-3</v>
      </c>
      <c r="H448" s="376">
        <f t="shared" si="41"/>
        <v>1.0517799352751211E-5</v>
      </c>
      <c r="I448" s="376">
        <f t="shared" si="42"/>
        <v>-7.1971211515394092E-4</v>
      </c>
      <c r="J448" s="374" t="e">
        <f t="shared" si="40"/>
        <v>#DIV/0!</v>
      </c>
      <c r="L448" s="41" t="s">
        <v>1095</v>
      </c>
      <c r="M448" s="204">
        <f>M438</f>
        <v>34.97</v>
      </c>
      <c r="N448" s="184"/>
      <c r="O448" s="41" t="s">
        <v>204</v>
      </c>
      <c r="P448" s="46">
        <f>P447-M450*SQRT(M449)</f>
        <v>1.3836007042253522</v>
      </c>
      <c r="Q448" s="184"/>
      <c r="R448" s="184"/>
      <c r="S448" s="184"/>
      <c r="T448" s="184"/>
      <c r="U448" s="184"/>
      <c r="V448" s="184"/>
      <c r="AA448" s="43">
        <v>53</v>
      </c>
      <c r="AB448" s="366">
        <f t="shared" si="44"/>
        <v>15.124850923854044</v>
      </c>
      <c r="AC448" s="367">
        <f t="shared" si="45"/>
        <v>-0.58267351131494527</v>
      </c>
    </row>
    <row r="449" spans="1:29" ht="16.5">
      <c r="A449" s="374" t="s">
        <v>1120</v>
      </c>
      <c r="B449" s="373">
        <v>49.44</v>
      </c>
      <c r="C449" s="374">
        <v>50.08</v>
      </c>
      <c r="D449" s="374">
        <v>50.16</v>
      </c>
      <c r="E449" s="374">
        <v>49.25</v>
      </c>
      <c r="F449" s="374" t="s">
        <v>1121</v>
      </c>
      <c r="G449" s="375">
        <v>-1.2800000000000001E-2</v>
      </c>
      <c r="H449" s="376">
        <f t="shared" si="41"/>
        <v>-5.1118210862620029E-5</v>
      </c>
      <c r="I449" s="376">
        <f t="shared" si="42"/>
        <v>1.9464720194646291E-4</v>
      </c>
      <c r="J449" s="374" t="e">
        <f t="shared" si="40"/>
        <v>#DIV/0!</v>
      </c>
      <c r="L449" s="189" t="s">
        <v>1015</v>
      </c>
      <c r="M449" s="204">
        <f>M439</f>
        <v>1</v>
      </c>
      <c r="N449" s="184"/>
      <c r="O449" s="41" t="s">
        <v>1044</v>
      </c>
      <c r="P449" s="46">
        <f>_xlfn.NORM.S.DIST(P447,TRUE)</f>
        <v>0.92411403958563276</v>
      </c>
      <c r="Q449" s="184"/>
      <c r="R449" s="184"/>
      <c r="S449" s="184"/>
      <c r="T449" s="184"/>
      <c r="U449" s="184"/>
      <c r="V449" s="184"/>
      <c r="AA449" s="43">
        <v>54</v>
      </c>
      <c r="AB449" s="366">
        <f t="shared" si="44"/>
        <v>16.124850923854044</v>
      </c>
      <c r="AC449" s="367">
        <f t="shared" si="45"/>
        <v>-0.58267351131494527</v>
      </c>
    </row>
    <row r="450" spans="1:29" ht="16.5">
      <c r="A450" s="374" t="s">
        <v>1122</v>
      </c>
      <c r="B450" s="373">
        <v>50.08</v>
      </c>
      <c r="C450" s="374">
        <v>50.4</v>
      </c>
      <c r="D450" s="374">
        <v>50.42</v>
      </c>
      <c r="E450" s="374">
        <v>49.75</v>
      </c>
      <c r="F450" s="374" t="s">
        <v>1123</v>
      </c>
      <c r="G450" s="375">
        <v>-4.0000000000000002E-4</v>
      </c>
      <c r="H450" s="376">
        <f t="shared" si="41"/>
        <v>-1.5968063872255912E-6</v>
      </c>
      <c r="I450" s="376">
        <f t="shared" si="42"/>
        <v>7.2536772113640069E-4</v>
      </c>
      <c r="J450" s="374" t="e">
        <f t="shared" ref="J450:J508" si="47">(B450/B700 -1)</f>
        <v>#DIV/0!</v>
      </c>
      <c r="L450" s="189" t="s">
        <v>1021</v>
      </c>
      <c r="M450" s="205">
        <f>M440</f>
        <v>4.9700000000000001E-2</v>
      </c>
      <c r="N450" s="184"/>
      <c r="O450" s="41" t="s">
        <v>1047</v>
      </c>
      <c r="P450" s="46">
        <f>_xlfn.NORM.S.DIST(P448,TRUE)</f>
        <v>0.91675962371072417</v>
      </c>
      <c r="Q450" s="184"/>
      <c r="R450" s="184"/>
      <c r="S450" s="184"/>
      <c r="T450" s="184"/>
      <c r="U450" s="184"/>
      <c r="V450" s="184"/>
      <c r="AA450" s="43">
        <v>55</v>
      </c>
      <c r="AB450" s="366">
        <f t="shared" si="44"/>
        <v>17.124850923854044</v>
      </c>
      <c r="AC450" s="367">
        <f t="shared" si="45"/>
        <v>-0.58267351131494527</v>
      </c>
    </row>
    <row r="451" spans="1:29" ht="16.5">
      <c r="A451" s="374" t="s">
        <v>1124</v>
      </c>
      <c r="B451" s="373">
        <v>50.1</v>
      </c>
      <c r="C451" s="374">
        <v>50.46</v>
      </c>
      <c r="D451" s="374">
        <v>50.74</v>
      </c>
      <c r="E451" s="374">
        <v>50</v>
      </c>
      <c r="F451" s="374" t="s">
        <v>1125</v>
      </c>
      <c r="G451" s="375">
        <v>-1.6000000000000001E-3</v>
      </c>
      <c r="H451" s="376">
        <f t="shared" ref="H451:H508" si="48">(B451/B452 -1)*(1/250)</f>
        <v>-6.3770426464726529E-6</v>
      </c>
      <c r="I451" s="376">
        <f t="shared" ref="I451:I508" si="49">(B451/B471 -1)*(20/250)</f>
        <v>1.4634146341463428E-3</v>
      </c>
      <c r="J451" s="374" t="e">
        <f t="shared" si="47"/>
        <v>#DIV/0!</v>
      </c>
      <c r="L451" s="189" t="s">
        <v>186</v>
      </c>
      <c r="M451" s="57">
        <f>M442</f>
        <v>7.0000000000000007E-2</v>
      </c>
      <c r="N451" s="184"/>
      <c r="O451" s="41" t="s">
        <v>1126</v>
      </c>
      <c r="P451" s="46">
        <f>_xlfn.NORM.S.DIST(-P447,TRUE)</f>
        <v>7.5885960414367196E-2</v>
      </c>
      <c r="Q451" s="184"/>
      <c r="R451" s="184"/>
      <c r="S451" s="184"/>
      <c r="T451" s="184"/>
      <c r="U451" s="184"/>
      <c r="V451" s="184"/>
      <c r="AA451" s="43">
        <v>56</v>
      </c>
      <c r="AB451" s="366">
        <f t="shared" si="44"/>
        <v>18.124850923854044</v>
      </c>
      <c r="AC451" s="367">
        <f t="shared" si="45"/>
        <v>-0.58267351131494527</v>
      </c>
    </row>
    <row r="452" spans="1:29" ht="17" thickBot="1">
      <c r="A452" s="374" t="s">
        <v>1127</v>
      </c>
      <c r="B452" s="373">
        <v>50.18</v>
      </c>
      <c r="C452" s="374">
        <v>50.46</v>
      </c>
      <c r="D452" s="374">
        <v>50.5</v>
      </c>
      <c r="E452" s="374">
        <v>49.7</v>
      </c>
      <c r="F452" s="374" t="s">
        <v>1128</v>
      </c>
      <c r="G452" s="375">
        <v>-5.1999999999999998E-3</v>
      </c>
      <c r="H452" s="376">
        <f t="shared" si="48"/>
        <v>-2.0618556701030856E-5</v>
      </c>
      <c r="I452" s="376">
        <f t="shared" si="49"/>
        <v>9.3548387096774376E-4</v>
      </c>
      <c r="J452" s="374" t="e">
        <f t="shared" si="47"/>
        <v>#DIV/0!</v>
      </c>
      <c r="L452" s="206" t="s">
        <v>189</v>
      </c>
      <c r="M452" s="207">
        <f>M443</f>
        <v>0</v>
      </c>
      <c r="N452" s="184"/>
      <c r="O452" s="59" t="s">
        <v>1129</v>
      </c>
      <c r="P452" s="50">
        <f>_xlfn.NORM.S.DIST(-P448,TRUE)</f>
        <v>8.3240376289275789E-2</v>
      </c>
      <c r="Q452" s="184"/>
      <c r="R452" s="184"/>
      <c r="S452" s="184"/>
      <c r="T452" s="184"/>
      <c r="U452" s="184"/>
      <c r="V452" s="184"/>
      <c r="AA452" s="43">
        <v>57</v>
      </c>
      <c r="AB452" s="366">
        <f t="shared" si="44"/>
        <v>19.124850923854044</v>
      </c>
      <c r="AC452" s="367">
        <f t="shared" si="45"/>
        <v>-0.58267351131494527</v>
      </c>
    </row>
    <row r="453" spans="1:29" ht="16.5" thickBot="1">
      <c r="A453" s="374" t="s">
        <v>1130</v>
      </c>
      <c r="B453" s="373">
        <v>50.44</v>
      </c>
      <c r="C453" s="374">
        <v>51.1</v>
      </c>
      <c r="D453" s="374">
        <v>51.26</v>
      </c>
      <c r="E453" s="374">
        <v>50.38</v>
      </c>
      <c r="F453" s="374" t="s">
        <v>1131</v>
      </c>
      <c r="G453" s="375">
        <v>-1.6000000000000001E-3</v>
      </c>
      <c r="H453" s="376">
        <f t="shared" si="48"/>
        <v>-6.3341250989710219E-6</v>
      </c>
      <c r="I453" s="376">
        <f t="shared" si="49"/>
        <v>2.1331162222674393E-3</v>
      </c>
      <c r="J453" s="374" t="e">
        <f t="shared" si="47"/>
        <v>#DIV/0!</v>
      </c>
      <c r="L453" s="184"/>
      <c r="M453" s="184"/>
      <c r="N453" s="184"/>
      <c r="O453" s="184"/>
      <c r="P453" s="184"/>
      <c r="Q453" s="184"/>
      <c r="R453" s="184"/>
      <c r="S453" s="184"/>
      <c r="T453" s="184"/>
      <c r="U453" s="184"/>
      <c r="V453" s="184"/>
      <c r="AA453" s="329">
        <v>58</v>
      </c>
      <c r="AB453" s="368">
        <f t="shared" si="44"/>
        <v>20.124850923854044</v>
      </c>
      <c r="AC453" s="369">
        <f t="shared" si="45"/>
        <v>-0.58267351131494527</v>
      </c>
    </row>
    <row r="454" spans="1:29">
      <c r="A454" s="374" t="s">
        <v>1132</v>
      </c>
      <c r="B454" s="373">
        <v>50.52</v>
      </c>
      <c r="C454" s="374">
        <v>50.2</v>
      </c>
      <c r="D454" s="374">
        <v>50.62</v>
      </c>
      <c r="E454" s="374">
        <v>49.9</v>
      </c>
      <c r="F454" s="374" t="s">
        <v>1133</v>
      </c>
      <c r="G454" s="375">
        <v>8.3999999999999995E-3</v>
      </c>
      <c r="H454" s="376">
        <f t="shared" si="48"/>
        <v>3.3532934131736525E-5</v>
      </c>
      <c r="I454" s="376">
        <f t="shared" si="49"/>
        <v>2.938641493946239E-3</v>
      </c>
      <c r="J454" s="374" t="e">
        <f t="shared" si="47"/>
        <v>#DIV/0!</v>
      </c>
      <c r="L454" s="184"/>
      <c r="M454" s="184"/>
      <c r="N454" s="184"/>
      <c r="O454" s="184"/>
      <c r="P454" s="184"/>
      <c r="Q454" s="184"/>
      <c r="R454" s="184"/>
      <c r="S454" s="184"/>
      <c r="T454" s="184"/>
      <c r="U454" s="184"/>
      <c r="V454" s="184"/>
    </row>
    <row r="455" spans="1:29" ht="16.5" thickBot="1">
      <c r="A455" s="374" t="s">
        <v>1134</v>
      </c>
      <c r="B455" s="373">
        <v>50.1</v>
      </c>
      <c r="C455" s="374">
        <v>49.33</v>
      </c>
      <c r="D455" s="374">
        <v>50.5</v>
      </c>
      <c r="E455" s="374">
        <v>49.3</v>
      </c>
      <c r="F455" s="374" t="s">
        <v>1135</v>
      </c>
      <c r="G455" s="375">
        <v>1.21E-2</v>
      </c>
      <c r="H455" s="376">
        <f t="shared" si="48"/>
        <v>4.8484848484848799E-5</v>
      </c>
      <c r="I455" s="376">
        <f t="shared" si="49"/>
        <v>3.4304746044962545E-3</v>
      </c>
      <c r="J455" s="374" t="e">
        <f t="shared" si="47"/>
        <v>#DIV/0!</v>
      </c>
      <c r="M455" s="184"/>
      <c r="N455" s="184"/>
      <c r="O455" s="184"/>
      <c r="P455" s="184"/>
      <c r="Q455" s="184"/>
      <c r="R455" s="184"/>
      <c r="S455" s="184"/>
      <c r="T455" s="184"/>
      <c r="U455" s="184"/>
      <c r="V455" s="184"/>
    </row>
    <row r="456" spans="1:29">
      <c r="A456" s="374" t="s">
        <v>1136</v>
      </c>
      <c r="B456" s="373">
        <v>49.5</v>
      </c>
      <c r="C456" s="374">
        <v>50.2</v>
      </c>
      <c r="D456" s="374">
        <v>50.38</v>
      </c>
      <c r="E456" s="374">
        <v>49.32</v>
      </c>
      <c r="F456" s="374" t="s">
        <v>1137</v>
      </c>
      <c r="G456" s="375">
        <v>-1.67E-2</v>
      </c>
      <c r="H456" s="376">
        <f t="shared" si="48"/>
        <v>-6.6746126340882391E-5</v>
      </c>
      <c r="I456" s="376">
        <f t="shared" si="49"/>
        <v>2.6204882119757935E-3</v>
      </c>
      <c r="J456" s="374" t="e">
        <f t="shared" si="47"/>
        <v>#DIV/0!</v>
      </c>
      <c r="L456" s="208" t="s">
        <v>1062</v>
      </c>
      <c r="M456" s="209" t="s">
        <v>1138</v>
      </c>
      <c r="N456" s="184"/>
      <c r="O456" s="184"/>
      <c r="P456" s="184"/>
      <c r="Q456" s="184"/>
      <c r="R456" s="184"/>
      <c r="S456" s="184"/>
      <c r="T456" s="184"/>
      <c r="U456" s="184"/>
      <c r="V456" s="184"/>
    </row>
    <row r="457" spans="1:29">
      <c r="A457" s="374" t="s">
        <v>1139</v>
      </c>
      <c r="B457" s="373">
        <v>50.34</v>
      </c>
      <c r="C457" s="374">
        <v>50.16</v>
      </c>
      <c r="D457" s="374">
        <v>50.78</v>
      </c>
      <c r="E457" s="374">
        <v>50.06</v>
      </c>
      <c r="F457" s="374" t="s">
        <v>1140</v>
      </c>
      <c r="G457" s="375">
        <v>8.3999999999999995E-3</v>
      </c>
      <c r="H457" s="376">
        <f t="shared" si="48"/>
        <v>3.3653846153846701E-5</v>
      </c>
      <c r="I457" s="376">
        <f t="shared" si="49"/>
        <v>1.753958587088924E-3</v>
      </c>
      <c r="J457" s="374" t="e">
        <f t="shared" si="47"/>
        <v>#DIV/0!</v>
      </c>
      <c r="L457" s="360" t="s">
        <v>1066</v>
      </c>
      <c r="M457" s="361">
        <f>P436+R436-T436</f>
        <v>0.58267351131494527</v>
      </c>
      <c r="N457" s="184"/>
      <c r="O457" s="184"/>
      <c r="P457" s="184"/>
      <c r="Q457" s="184"/>
      <c r="R457" s="184"/>
      <c r="S457" s="184"/>
      <c r="T457" s="184"/>
      <c r="U457" s="184"/>
      <c r="V457" s="184"/>
    </row>
    <row r="458" spans="1:29">
      <c r="A458" s="374" t="s">
        <v>1141</v>
      </c>
      <c r="B458" s="373">
        <v>49.92</v>
      </c>
      <c r="C458" s="374">
        <v>48.65</v>
      </c>
      <c r="D458" s="374">
        <v>50.5</v>
      </c>
      <c r="E458" s="374">
        <v>48.59</v>
      </c>
      <c r="F458" s="374" t="s">
        <v>1142</v>
      </c>
      <c r="G458" s="375">
        <v>2.7799999999999998E-2</v>
      </c>
      <c r="H458" s="376">
        <f t="shared" si="48"/>
        <v>1.1117974058060564E-4</v>
      </c>
      <c r="I458" s="376">
        <f t="shared" si="49"/>
        <v>9.2401215805471893E-4</v>
      </c>
      <c r="J458" s="374" t="e">
        <f t="shared" si="47"/>
        <v>#DIV/0!</v>
      </c>
      <c r="L458" s="41" t="s">
        <v>1069</v>
      </c>
      <c r="M458" s="210">
        <f>M448*(EXP(-M451*M449))*P452-M447*P451</f>
        <v>6.0388014593839578E-2</v>
      </c>
      <c r="N458" s="184"/>
      <c r="O458" s="184"/>
      <c r="P458" s="184"/>
      <c r="Q458" s="184"/>
      <c r="R458" s="184"/>
      <c r="S458" s="184"/>
      <c r="T458" s="184"/>
      <c r="U458" s="184"/>
      <c r="V458" s="184"/>
    </row>
    <row r="459" spans="1:29" ht="16.5" thickBot="1">
      <c r="A459" s="374" t="s">
        <v>1143</v>
      </c>
      <c r="B459" s="373">
        <v>48.57</v>
      </c>
      <c r="C459" s="374">
        <v>47.7</v>
      </c>
      <c r="D459" s="374">
        <v>48.76</v>
      </c>
      <c r="E459" s="374">
        <v>47.58</v>
      </c>
      <c r="F459" s="374" t="s">
        <v>1144</v>
      </c>
      <c r="G459" s="375">
        <v>1.04E-2</v>
      </c>
      <c r="H459" s="376">
        <f t="shared" si="48"/>
        <v>4.1605991262741783E-5</v>
      </c>
      <c r="I459" s="376">
        <f t="shared" si="49"/>
        <v>-6.0482223130363443E-4</v>
      </c>
      <c r="J459" s="374" t="e">
        <f t="shared" si="47"/>
        <v>#DIV/0!</v>
      </c>
      <c r="L459" s="59" t="s">
        <v>1072</v>
      </c>
      <c r="M459" s="211">
        <f>M457/M458</f>
        <v>9.6488270931561004</v>
      </c>
      <c r="N459" s="184"/>
      <c r="O459" s="184"/>
      <c r="P459" s="184"/>
      <c r="Q459" s="184"/>
      <c r="R459" s="184"/>
      <c r="S459" s="184"/>
      <c r="T459" s="184"/>
      <c r="U459" s="184"/>
      <c r="V459" s="184"/>
    </row>
    <row r="460" spans="1:29">
      <c r="A460" s="374" t="s">
        <v>1145</v>
      </c>
      <c r="B460" s="373">
        <v>48.07</v>
      </c>
      <c r="C460" s="374">
        <v>48.61</v>
      </c>
      <c r="D460" s="374">
        <v>48.77</v>
      </c>
      <c r="E460" s="374">
        <v>48</v>
      </c>
      <c r="F460" s="374" t="s">
        <v>1146</v>
      </c>
      <c r="G460" s="375">
        <v>-1.1299999999999999E-2</v>
      </c>
      <c r="H460" s="376">
        <f t="shared" si="48"/>
        <v>-4.5248868778280386E-5</v>
      </c>
      <c r="I460" s="376">
        <f t="shared" si="49"/>
        <v>-2.0591811917308523E-3</v>
      </c>
      <c r="J460" s="374" t="e">
        <f t="shared" si="47"/>
        <v>#DIV/0!</v>
      </c>
    </row>
    <row r="461" spans="1:29">
      <c r="A461" s="374" t="s">
        <v>1147</v>
      </c>
      <c r="B461" s="373">
        <v>48.62</v>
      </c>
      <c r="C461" s="374">
        <v>49</v>
      </c>
      <c r="D461" s="374">
        <v>49.1</v>
      </c>
      <c r="E461" s="374">
        <v>48.2</v>
      </c>
      <c r="F461" s="374" t="s">
        <v>1148</v>
      </c>
      <c r="G461" s="375">
        <v>-1.6400000000000001E-2</v>
      </c>
      <c r="H461" s="376">
        <f t="shared" si="48"/>
        <v>-6.5547238519118262E-5</v>
      </c>
      <c r="I461" s="376">
        <f t="shared" si="49"/>
        <v>-1.4222222222222225E-3</v>
      </c>
      <c r="J461" s="374" t="e">
        <f t="shared" si="47"/>
        <v>#DIV/0!</v>
      </c>
    </row>
    <row r="462" spans="1:29">
      <c r="A462" s="374" t="s">
        <v>1149</v>
      </c>
      <c r="B462" s="373">
        <v>49.43</v>
      </c>
      <c r="C462" s="374">
        <v>49.23</v>
      </c>
      <c r="D462" s="374">
        <v>49.65</v>
      </c>
      <c r="E462" s="374">
        <v>48.92</v>
      </c>
      <c r="F462" s="374" t="s">
        <v>1150</v>
      </c>
      <c r="G462" s="375">
        <v>4.0000000000000002E-4</v>
      </c>
      <c r="H462" s="376">
        <f t="shared" si="48"/>
        <v>1.6191054442424858E-6</v>
      </c>
      <c r="I462" s="376">
        <f t="shared" si="49"/>
        <v>3.2500507820435235E-4</v>
      </c>
      <c r="J462" s="374" t="e">
        <f t="shared" si="47"/>
        <v>#DIV/0!</v>
      </c>
    </row>
    <row r="463" spans="1:29">
      <c r="A463" s="374" t="s">
        <v>1151</v>
      </c>
      <c r="B463" s="373">
        <v>49.41</v>
      </c>
      <c r="C463" s="374">
        <v>49.33</v>
      </c>
      <c r="D463" s="374">
        <v>49.74</v>
      </c>
      <c r="E463" s="374">
        <v>49.22</v>
      </c>
      <c r="F463" s="374" t="s">
        <v>1152</v>
      </c>
      <c r="G463" s="375">
        <v>-4.5999999999999999E-3</v>
      </c>
      <c r="H463" s="376">
        <f t="shared" si="48"/>
        <v>-1.8533440773570221E-5</v>
      </c>
      <c r="I463" s="376">
        <f t="shared" si="49"/>
        <v>7.1880743312231494E-4</v>
      </c>
      <c r="J463" s="374" t="e">
        <f t="shared" si="47"/>
        <v>#DIV/0!</v>
      </c>
    </row>
    <row r="464" spans="1:29">
      <c r="A464" s="374" t="s">
        <v>1153</v>
      </c>
      <c r="B464" s="373">
        <v>49.64</v>
      </c>
      <c r="C464" s="374">
        <v>49.8</v>
      </c>
      <c r="D464" s="374">
        <v>50.34</v>
      </c>
      <c r="E464" s="374">
        <v>49.42</v>
      </c>
      <c r="F464" s="374" t="s">
        <v>1154</v>
      </c>
      <c r="G464" s="375">
        <v>-5.0000000000000001E-3</v>
      </c>
      <c r="H464" s="376">
        <f t="shared" si="48"/>
        <v>-2.0044097013429686E-5</v>
      </c>
      <c r="I464" s="376">
        <f t="shared" si="49"/>
        <v>4.2122316727420282E-4</v>
      </c>
      <c r="J464" s="374" t="e">
        <f t="shared" si="47"/>
        <v>#DIV/0!</v>
      </c>
      <c r="L464" s="1" t="s">
        <v>1155</v>
      </c>
    </row>
    <row r="465" spans="1:22">
      <c r="A465" s="374" t="s">
        <v>1156</v>
      </c>
      <c r="B465" s="373">
        <v>49.89</v>
      </c>
      <c r="C465" s="374">
        <v>49.99</v>
      </c>
      <c r="D465" s="374">
        <v>50.14</v>
      </c>
      <c r="E465" s="374">
        <v>49.63</v>
      </c>
      <c r="F465" s="374" t="s">
        <v>1157</v>
      </c>
      <c r="G465" s="375">
        <v>-3.8E-3</v>
      </c>
      <c r="H465" s="376">
        <f t="shared" si="48"/>
        <v>-1.5175718849840259E-5</v>
      </c>
      <c r="I465" s="376">
        <f t="shared" si="49"/>
        <v>1.403222516826439E-3</v>
      </c>
      <c r="J465" s="374" t="e">
        <f t="shared" si="47"/>
        <v>#DIV/0!</v>
      </c>
    </row>
    <row r="466" spans="1:22">
      <c r="A466" s="374" t="s">
        <v>1158</v>
      </c>
      <c r="B466" s="373">
        <v>50.08</v>
      </c>
      <c r="C466" s="374">
        <v>50.74</v>
      </c>
      <c r="D466" s="374">
        <v>51.14</v>
      </c>
      <c r="E466" s="374">
        <v>49.92</v>
      </c>
      <c r="F466" s="374" t="s">
        <v>1159</v>
      </c>
      <c r="G466" s="375">
        <v>-9.1000000000000004E-3</v>
      </c>
      <c r="H466" s="376">
        <f t="shared" si="48"/>
        <v>-3.6406806489909018E-5</v>
      </c>
      <c r="I466" s="376">
        <f t="shared" si="49"/>
        <v>8.3938660209845748E-4</v>
      </c>
      <c r="J466" s="374" t="e">
        <f t="shared" si="47"/>
        <v>#DIV/0!</v>
      </c>
      <c r="L466" s="1" t="s">
        <v>85</v>
      </c>
    </row>
    <row r="467" spans="1:22" ht="16.5" thickBot="1">
      <c r="A467" s="374" t="s">
        <v>1160</v>
      </c>
      <c r="B467" s="373">
        <v>50.54</v>
      </c>
      <c r="C467" s="374">
        <v>50.2</v>
      </c>
      <c r="D467" s="374">
        <v>50.9</v>
      </c>
      <c r="E467" s="374">
        <v>49.97</v>
      </c>
      <c r="F467" s="374" t="s">
        <v>1161</v>
      </c>
      <c r="G467" s="375">
        <v>1.04E-2</v>
      </c>
      <c r="H467" s="376">
        <f t="shared" si="48"/>
        <v>4.158336665333806E-5</v>
      </c>
      <c r="I467" s="376">
        <f t="shared" si="49"/>
        <v>-3.1645569620257774E-5</v>
      </c>
      <c r="J467" s="374" t="e">
        <f t="shared" si="47"/>
        <v>#DIV/0!</v>
      </c>
    </row>
    <row r="468" spans="1:22">
      <c r="A468" s="374" t="s">
        <v>1162</v>
      </c>
      <c r="B468" s="373">
        <v>50.02</v>
      </c>
      <c r="C468" s="374">
        <v>49.5</v>
      </c>
      <c r="D468" s="374">
        <v>50.24</v>
      </c>
      <c r="E468" s="374">
        <v>49.5</v>
      </c>
      <c r="F468" s="374" t="s">
        <v>1163</v>
      </c>
      <c r="G468" s="375">
        <v>1.4200000000000001E-2</v>
      </c>
      <c r="H468" s="376">
        <f t="shared" si="48"/>
        <v>5.6772100567720863E-5</v>
      </c>
      <c r="I468" s="376">
        <f t="shared" si="49"/>
        <v>-9.482418016594174E-4</v>
      </c>
      <c r="J468" s="374" t="e">
        <f t="shared" si="47"/>
        <v>#DIV/0!</v>
      </c>
      <c r="K468" s="184"/>
      <c r="L468" s="474" t="s">
        <v>1164</v>
      </c>
      <c r="M468" s="475"/>
      <c r="N468" s="184"/>
      <c r="O468" s="212" t="s">
        <v>999</v>
      </c>
      <c r="P468" s="186">
        <f>M470*EXP(-M474*M471)*(R469-(M473/(2*(M474-M475))*(EXP(P472))*T471))</f>
        <v>2.7080959269006524</v>
      </c>
      <c r="Q468" s="213" t="s">
        <v>1000</v>
      </c>
      <c r="R468" s="186">
        <f>M469*(EXP(-M475*M471))*(M476*T470)</f>
        <v>0.5763314524766795</v>
      </c>
      <c r="S468" s="213" t="s">
        <v>1001</v>
      </c>
      <c r="T468" s="188">
        <f>M469*(EXP(-M475*M471))*R470</f>
        <v>2.6954386613059533</v>
      </c>
      <c r="U468" s="184"/>
      <c r="V468" s="184"/>
    </row>
    <row r="469" spans="1:22" ht="16.5">
      <c r="A469" s="374" t="s">
        <v>1165</v>
      </c>
      <c r="B469" s="373">
        <v>49.32</v>
      </c>
      <c r="C469" s="374">
        <v>49.86</v>
      </c>
      <c r="D469" s="374">
        <v>50.12</v>
      </c>
      <c r="E469" s="374">
        <v>49.32</v>
      </c>
      <c r="F469" s="374" t="s">
        <v>1166</v>
      </c>
      <c r="G469" s="375">
        <v>-6.1999999999999998E-3</v>
      </c>
      <c r="H469" s="376">
        <f t="shared" si="48"/>
        <v>-2.4984888172476351E-5</v>
      </c>
      <c r="I469" s="376">
        <f t="shared" si="49"/>
        <v>-2.8169014084507005E-3</v>
      </c>
      <c r="J469" s="374" t="e">
        <f t="shared" si="47"/>
        <v>#DIV/0!</v>
      </c>
      <c r="K469" s="184"/>
      <c r="L469" s="189" t="s">
        <v>177</v>
      </c>
      <c r="M469" s="215">
        <v>34.97</v>
      </c>
      <c r="N469" s="184"/>
      <c r="O469" s="189" t="s">
        <v>1090</v>
      </c>
      <c r="P469" s="192">
        <f>(LN(M469/M470)+(-M474+M475+0.5*M473)*M471)/(M472*SQRT(M471))</f>
        <v>-1.375</v>
      </c>
      <c r="Q469" s="214" t="s">
        <v>1091</v>
      </c>
      <c r="R469" s="192">
        <f>_xlfn.NORM.S.DIST(P469,TRUE)</f>
        <v>8.4565722351335693E-2</v>
      </c>
      <c r="S469" s="214" t="s">
        <v>1092</v>
      </c>
      <c r="T469" s="194">
        <f>_xlfn.NORM.S.DIST(-P469,TRUE)</f>
        <v>0.91543427764866436</v>
      </c>
      <c r="U469" s="184"/>
      <c r="V469" s="184"/>
    </row>
    <row r="470" spans="1:22" ht="16.5">
      <c r="A470" s="374" t="s">
        <v>1167</v>
      </c>
      <c r="B470" s="373">
        <v>49.63</v>
      </c>
      <c r="C470" s="374">
        <v>49.17</v>
      </c>
      <c r="D470" s="374">
        <v>49.91</v>
      </c>
      <c r="E470" s="374">
        <v>49.13</v>
      </c>
      <c r="F470" s="374" t="s">
        <v>1168</v>
      </c>
      <c r="G470" s="375">
        <v>8.6999999999999994E-3</v>
      </c>
      <c r="H470" s="376">
        <f t="shared" si="48"/>
        <v>3.4959349593496115E-5</v>
      </c>
      <c r="I470" s="376">
        <f t="shared" si="49"/>
        <v>-2.9646876212650322E-3</v>
      </c>
      <c r="J470" s="374" t="e">
        <f t="shared" si="47"/>
        <v>#DIV/0!</v>
      </c>
      <c r="K470" s="184"/>
      <c r="L470" s="41" t="s">
        <v>1095</v>
      </c>
      <c r="M470" s="215">
        <v>34.97</v>
      </c>
      <c r="N470" s="184"/>
      <c r="O470" s="189" t="s">
        <v>1096</v>
      </c>
      <c r="P470" s="192">
        <f>P469-M472*SQRT(M471)</f>
        <v>-1.425</v>
      </c>
      <c r="Q470" s="214" t="s">
        <v>1097</v>
      </c>
      <c r="R470" s="192">
        <f t="shared" ref="R470:R471" si="50">_xlfn.NORM.S.DIST(P470,TRUE)</f>
        <v>7.7078600552071871E-2</v>
      </c>
      <c r="S470" s="214" t="s">
        <v>1098</v>
      </c>
      <c r="T470" s="194">
        <f>_xlfn.NORM.S.DIST(-P470,TRUE)</f>
        <v>0.92292139944792817</v>
      </c>
      <c r="U470" s="184"/>
      <c r="V470" s="184"/>
    </row>
    <row r="471" spans="1:22" ht="16.5">
      <c r="A471" s="374" t="s">
        <v>1169</v>
      </c>
      <c r="B471" s="373">
        <v>49.2</v>
      </c>
      <c r="C471" s="374">
        <v>49.56</v>
      </c>
      <c r="D471" s="374">
        <v>49.62</v>
      </c>
      <c r="E471" s="374">
        <v>49.02</v>
      </c>
      <c r="F471" s="374" t="s">
        <v>1170</v>
      </c>
      <c r="G471" s="375">
        <v>-8.0999999999999996E-3</v>
      </c>
      <c r="H471" s="376">
        <f t="shared" si="48"/>
        <v>-3.2258064516129006E-5</v>
      </c>
      <c r="I471" s="376">
        <f t="shared" si="49"/>
        <v>-3.3943168548073201E-3</v>
      </c>
      <c r="J471" s="374" t="e">
        <f t="shared" si="47"/>
        <v>#DIV/0!</v>
      </c>
      <c r="K471" s="184"/>
      <c r="L471" s="189" t="s">
        <v>1015</v>
      </c>
      <c r="M471" s="190">
        <v>1</v>
      </c>
      <c r="N471" s="184"/>
      <c r="O471" s="189" t="s">
        <v>1101</v>
      </c>
      <c r="P471" s="192">
        <f>(LN(M470/M469)+(M474-M475-0.5*M473)*M471)/(M472*SQRT(M471))</f>
        <v>1.375</v>
      </c>
      <c r="Q471" s="214" t="s">
        <v>1102</v>
      </c>
      <c r="R471" s="192">
        <f t="shared" si="50"/>
        <v>0.91543427764866436</v>
      </c>
      <c r="S471" s="214" t="s">
        <v>1103</v>
      </c>
      <c r="T471" s="194">
        <f>_xlfn.NORM.S.DIST(-P471,TRUE)</f>
        <v>8.4565722351335693E-2</v>
      </c>
      <c r="U471" s="184"/>
      <c r="V471" s="184"/>
    </row>
    <row r="472" spans="1:22" ht="17" thickBot="1">
      <c r="A472" s="374" t="s">
        <v>1171</v>
      </c>
      <c r="B472" s="373">
        <v>49.6</v>
      </c>
      <c r="C472" s="374">
        <v>49.4</v>
      </c>
      <c r="D472" s="374">
        <v>49.79</v>
      </c>
      <c r="E472" s="374">
        <v>49.27</v>
      </c>
      <c r="F472" s="374" t="s">
        <v>1172</v>
      </c>
      <c r="G472" s="375">
        <v>9.5999999999999992E-3</v>
      </c>
      <c r="H472" s="376">
        <f t="shared" si="48"/>
        <v>3.8265825361285977E-5</v>
      </c>
      <c r="I472" s="376">
        <f t="shared" si="49"/>
        <v>-2.8015564202334619E-3</v>
      </c>
      <c r="J472" s="374" t="e">
        <f t="shared" si="47"/>
        <v>#DIV/0!</v>
      </c>
      <c r="K472" s="184"/>
      <c r="L472" s="189" t="s">
        <v>1021</v>
      </c>
      <c r="M472" s="195">
        <v>0.05</v>
      </c>
      <c r="N472" s="184"/>
      <c r="O472" s="206" t="s">
        <v>1106</v>
      </c>
      <c r="P472" s="197">
        <f>2*(M474-M475-0.5*M473)*LN(M470/M469)/(M473)</f>
        <v>0</v>
      </c>
      <c r="Q472" s="198"/>
      <c r="R472" s="197"/>
      <c r="S472" s="198"/>
      <c r="T472" s="199"/>
      <c r="U472" s="184"/>
      <c r="V472" s="184"/>
    </row>
    <row r="473" spans="1:22" ht="17">
      <c r="A473" s="374" t="s">
        <v>1173</v>
      </c>
      <c r="B473" s="373">
        <v>49.13</v>
      </c>
      <c r="C473" s="374">
        <v>49</v>
      </c>
      <c r="D473" s="374">
        <v>49.61</v>
      </c>
      <c r="E473" s="374">
        <v>48.78</v>
      </c>
      <c r="F473" s="374" t="s">
        <v>1174</v>
      </c>
      <c r="G473" s="375">
        <v>8.2000000000000007E-3</v>
      </c>
      <c r="H473" s="376">
        <f t="shared" si="48"/>
        <v>3.283398317258435E-5</v>
      </c>
      <c r="I473" s="376">
        <f t="shared" si="49"/>
        <v>-2.5384312179739864E-3</v>
      </c>
      <c r="J473" s="374" t="e">
        <f t="shared" si="47"/>
        <v>#DIV/0!</v>
      </c>
      <c r="K473" s="184"/>
      <c r="L473" s="189" t="s">
        <v>1025</v>
      </c>
      <c r="M473" s="200">
        <f>M472^2</f>
        <v>2.5000000000000005E-3</v>
      </c>
      <c r="N473" s="184"/>
      <c r="O473" s="184"/>
      <c r="P473" s="184"/>
      <c r="Q473" s="184"/>
      <c r="R473" s="184"/>
      <c r="S473" s="184"/>
      <c r="T473" s="184"/>
      <c r="U473" s="184"/>
      <c r="V473" s="184"/>
    </row>
    <row r="474" spans="1:22">
      <c r="A474" s="374" t="s">
        <v>1175</v>
      </c>
      <c r="B474" s="373">
        <v>48.73</v>
      </c>
      <c r="C474" s="374">
        <v>48.5</v>
      </c>
      <c r="D474" s="374">
        <v>49.25</v>
      </c>
      <c r="E474" s="374">
        <v>48.26</v>
      </c>
      <c r="F474" s="374" t="s">
        <v>1176</v>
      </c>
      <c r="G474" s="375">
        <v>1.44E-2</v>
      </c>
      <c r="H474" s="376">
        <f t="shared" si="48"/>
        <v>5.7452123230641306E-5</v>
      </c>
      <c r="I474" s="376">
        <f t="shared" si="49"/>
        <v>-3.948497854077253E-3</v>
      </c>
      <c r="J474" s="374" t="e">
        <f t="shared" si="47"/>
        <v>#DIV/0!</v>
      </c>
      <c r="K474" s="184"/>
      <c r="L474" s="189" t="s">
        <v>186</v>
      </c>
      <c r="M474" s="195">
        <v>7.0000000000000007E-2</v>
      </c>
      <c r="N474" s="184"/>
      <c r="O474" s="184"/>
      <c r="P474" s="184"/>
      <c r="Q474" s="184"/>
      <c r="R474" s="184"/>
      <c r="S474" s="184"/>
      <c r="T474" s="184"/>
      <c r="U474" s="184"/>
      <c r="V474" s="184"/>
    </row>
    <row r="475" spans="1:22">
      <c r="A475" s="374" t="s">
        <v>1177</v>
      </c>
      <c r="B475" s="373">
        <v>48.04</v>
      </c>
      <c r="C475" s="374">
        <v>48.07</v>
      </c>
      <c r="D475" s="374">
        <v>48.35</v>
      </c>
      <c r="E475" s="374">
        <v>47.67</v>
      </c>
      <c r="F475" s="374" t="s">
        <v>1178</v>
      </c>
      <c r="G475" s="375">
        <v>2.3E-3</v>
      </c>
      <c r="H475" s="376">
        <f t="shared" si="48"/>
        <v>9.1800542457747272E-6</v>
      </c>
      <c r="I475" s="376">
        <f t="shared" si="49"/>
        <v>-4.0173981810992477E-3</v>
      </c>
      <c r="J475" s="374" t="e">
        <f t="shared" si="47"/>
        <v>#DIV/0!</v>
      </c>
      <c r="K475" s="184"/>
      <c r="L475" s="189" t="s">
        <v>189</v>
      </c>
      <c r="M475" s="195">
        <v>0</v>
      </c>
      <c r="N475" s="184"/>
      <c r="O475" s="184"/>
      <c r="P475" s="184"/>
      <c r="Q475" s="184"/>
      <c r="R475" s="184"/>
      <c r="S475" s="184"/>
      <c r="T475" s="184"/>
      <c r="U475" s="184"/>
      <c r="V475" s="184"/>
    </row>
    <row r="476" spans="1:22" ht="17.5" thickBot="1">
      <c r="A476" s="374" t="s">
        <v>1179</v>
      </c>
      <c r="B476" s="373">
        <v>47.93</v>
      </c>
      <c r="C476" s="374">
        <v>49.21</v>
      </c>
      <c r="D476" s="374">
        <v>49.24</v>
      </c>
      <c r="E476" s="374">
        <v>47.62</v>
      </c>
      <c r="F476" s="374" t="s">
        <v>1180</v>
      </c>
      <c r="G476" s="375">
        <v>-2.7E-2</v>
      </c>
      <c r="H476" s="376">
        <f t="shared" si="48"/>
        <v>-1.0799837596427109E-4</v>
      </c>
      <c r="I476" s="376">
        <f t="shared" si="49"/>
        <v>-1.6989993873800292E-3</v>
      </c>
      <c r="J476" s="374" t="e">
        <f t="shared" si="47"/>
        <v>#DIV/0!</v>
      </c>
      <c r="K476" s="184"/>
      <c r="L476" s="202" t="s">
        <v>1032</v>
      </c>
      <c r="M476" s="203">
        <f>M473/(2*(M474-M475))</f>
        <v>1.785714285714286E-2</v>
      </c>
      <c r="N476" s="184"/>
      <c r="O476" s="184"/>
      <c r="P476" s="184"/>
      <c r="Q476" s="184"/>
      <c r="R476" s="184"/>
      <c r="S476" s="184"/>
      <c r="T476" s="184"/>
      <c r="U476" s="184"/>
      <c r="V476" s="184"/>
    </row>
    <row r="477" spans="1:22" ht="16.5" thickBot="1">
      <c r="A477" s="374" t="s">
        <v>1181</v>
      </c>
      <c r="B477" s="373">
        <v>49.26</v>
      </c>
      <c r="C477" s="374">
        <v>49.5</v>
      </c>
      <c r="D477" s="374">
        <v>49.82</v>
      </c>
      <c r="E477" s="374">
        <v>49.15</v>
      </c>
      <c r="F477" s="374" t="s">
        <v>1182</v>
      </c>
      <c r="G477" s="375">
        <v>-1.8E-3</v>
      </c>
      <c r="H477" s="376">
        <f t="shared" si="48"/>
        <v>-7.2948328267479211E-6</v>
      </c>
      <c r="I477" s="376">
        <f t="shared" si="49"/>
        <v>2.2801302931595656E-4</v>
      </c>
      <c r="J477" s="374" t="e">
        <f t="shared" si="47"/>
        <v>#DIV/0!</v>
      </c>
      <c r="K477" s="184"/>
      <c r="L477" s="184"/>
      <c r="M477" s="184"/>
      <c r="N477" s="184"/>
      <c r="O477" s="184"/>
      <c r="P477" s="184"/>
      <c r="Q477" s="184"/>
      <c r="R477" s="184"/>
      <c r="S477" s="184"/>
      <c r="T477" s="184"/>
      <c r="U477" s="184"/>
      <c r="V477" s="184"/>
    </row>
    <row r="478" spans="1:22" ht="16.5" thickBot="1">
      <c r="A478" s="374" t="s">
        <v>1183</v>
      </c>
      <c r="B478" s="373">
        <v>49.35</v>
      </c>
      <c r="C478" s="374">
        <v>49.31</v>
      </c>
      <c r="D478" s="374">
        <v>49.78</v>
      </c>
      <c r="E478" s="374">
        <v>49.22</v>
      </c>
      <c r="F478" s="374" t="s">
        <v>1184</v>
      </c>
      <c r="G478" s="375">
        <v>8.3999999999999995E-3</v>
      </c>
      <c r="H478" s="376">
        <f t="shared" si="48"/>
        <v>3.351042092358014E-5</v>
      </c>
      <c r="I478" s="376">
        <f t="shared" si="49"/>
        <v>5.0570962479609346E-4</v>
      </c>
      <c r="J478" s="374" t="e">
        <f t="shared" si="47"/>
        <v>#DIV/0!</v>
      </c>
      <c r="K478" s="184"/>
      <c r="L478" s="474" t="s">
        <v>1069</v>
      </c>
      <c r="M478" s="475"/>
      <c r="N478" s="184"/>
      <c r="O478" s="184"/>
      <c r="P478" s="184"/>
      <c r="Q478" s="184"/>
      <c r="R478" s="184"/>
      <c r="S478" s="184"/>
      <c r="T478" s="184"/>
      <c r="U478" s="184"/>
      <c r="V478" s="184"/>
    </row>
    <row r="479" spans="1:22" ht="16.5">
      <c r="A479" s="374" t="s">
        <v>1185</v>
      </c>
      <c r="B479" s="373">
        <v>48.94</v>
      </c>
      <c r="C479" s="374">
        <v>49.34</v>
      </c>
      <c r="D479" s="374">
        <v>49.52</v>
      </c>
      <c r="E479" s="374">
        <v>48.6</v>
      </c>
      <c r="F479" s="374" t="s">
        <v>1186</v>
      </c>
      <c r="G479" s="375">
        <v>-8.0999999999999996E-3</v>
      </c>
      <c r="H479" s="376">
        <f t="shared" si="48"/>
        <v>-3.2428050263478169E-5</v>
      </c>
      <c r="I479" s="376">
        <f t="shared" si="49"/>
        <v>-3.7421191783608697E-4</v>
      </c>
      <c r="J479" s="374" t="e">
        <f t="shared" si="47"/>
        <v>#DIV/0!</v>
      </c>
      <c r="K479" s="184"/>
      <c r="L479" s="189" t="s">
        <v>177</v>
      </c>
      <c r="M479" s="204">
        <f>M469</f>
        <v>34.97</v>
      </c>
      <c r="N479" s="184"/>
      <c r="O479" s="35" t="s">
        <v>201</v>
      </c>
      <c r="P479" s="40">
        <f>(LN(M479/M480)+(M483-M484+0.5*(M482)^2)*M481)/(M482*SQRT(M481))</f>
        <v>1.425</v>
      </c>
      <c r="Q479" s="184"/>
      <c r="R479" s="184"/>
      <c r="S479" s="184"/>
      <c r="T479" s="184"/>
      <c r="U479" s="184"/>
      <c r="V479" s="184"/>
    </row>
    <row r="480" spans="1:22" ht="16.5">
      <c r="A480" s="374" t="s">
        <v>1187</v>
      </c>
      <c r="B480" s="373">
        <v>49.34</v>
      </c>
      <c r="C480" s="374">
        <v>49.46</v>
      </c>
      <c r="D480" s="374">
        <v>49.69</v>
      </c>
      <c r="E480" s="374">
        <v>49.05</v>
      </c>
      <c r="F480" s="374" t="s">
        <v>1188</v>
      </c>
      <c r="G480" s="375">
        <v>-3.2000000000000002E-3</v>
      </c>
      <c r="H480" s="376">
        <f t="shared" si="48"/>
        <v>-1.2929292929292569E-5</v>
      </c>
      <c r="I480" s="376">
        <f t="shared" si="49"/>
        <v>1.0846343467543207E-3</v>
      </c>
      <c r="J480" s="374" t="e">
        <f t="shared" si="47"/>
        <v>#DIV/0!</v>
      </c>
      <c r="K480" s="184"/>
      <c r="L480" s="41" t="s">
        <v>1095</v>
      </c>
      <c r="M480" s="204">
        <f>M470</f>
        <v>34.97</v>
      </c>
      <c r="N480" s="184"/>
      <c r="O480" s="41" t="s">
        <v>204</v>
      </c>
      <c r="P480" s="46">
        <f>P479-M482*SQRT(M481)</f>
        <v>1.375</v>
      </c>
      <c r="Q480" s="184"/>
      <c r="R480" s="184"/>
      <c r="S480" s="184"/>
      <c r="T480" s="184"/>
      <c r="U480" s="184"/>
      <c r="V480" s="184"/>
    </row>
    <row r="481" spans="1:28" ht="16.5">
      <c r="A481" s="374" t="s">
        <v>1189</v>
      </c>
      <c r="B481" s="373">
        <v>49.5</v>
      </c>
      <c r="C481" s="374">
        <v>49.49</v>
      </c>
      <c r="D481" s="374">
        <v>49.58</v>
      </c>
      <c r="E481" s="374">
        <v>48.91</v>
      </c>
      <c r="F481" s="374" t="s">
        <v>1190</v>
      </c>
      <c r="G481" s="375">
        <v>5.4999999999999997E-3</v>
      </c>
      <c r="H481" s="376">
        <f t="shared" si="48"/>
        <v>2.1937842778793737E-5</v>
      </c>
      <c r="I481" s="376">
        <f t="shared" si="49"/>
        <v>8.1632653061223691E-4</v>
      </c>
      <c r="J481" s="374" t="e">
        <f t="shared" si="47"/>
        <v>#DIV/0!</v>
      </c>
      <c r="K481" s="184"/>
      <c r="L481" s="189" t="s">
        <v>1015</v>
      </c>
      <c r="M481" s="204">
        <f>M471</f>
        <v>1</v>
      </c>
      <c r="N481" s="184"/>
      <c r="O481" s="41" t="s">
        <v>1044</v>
      </c>
      <c r="P481" s="46">
        <f>_xlfn.NORM.S.DIST(P479,TRUE)</f>
        <v>0.92292139944792817</v>
      </c>
      <c r="Q481" s="184"/>
      <c r="R481" s="184"/>
      <c r="S481" s="184"/>
      <c r="T481" s="184"/>
      <c r="U481" s="184"/>
      <c r="V481" s="184"/>
    </row>
    <row r="482" spans="1:28" ht="16.5">
      <c r="A482" s="374" t="s">
        <v>1191</v>
      </c>
      <c r="B482" s="373">
        <v>49.23</v>
      </c>
      <c r="C482" s="374">
        <v>49.2</v>
      </c>
      <c r="D482" s="374">
        <v>49.48</v>
      </c>
      <c r="E482" s="374">
        <v>48.81</v>
      </c>
      <c r="F482" s="374" t="s">
        <v>1192</v>
      </c>
      <c r="G482" s="375">
        <v>5.3E-3</v>
      </c>
      <c r="H482" s="376">
        <f t="shared" si="48"/>
        <v>2.1237492342249808E-5</v>
      </c>
      <c r="I482" s="376">
        <f t="shared" si="49"/>
        <v>1.1204943357363462E-3</v>
      </c>
      <c r="J482" s="374" t="e">
        <f t="shared" si="47"/>
        <v>#DIV/0!</v>
      </c>
      <c r="K482" s="184"/>
      <c r="L482" s="189" t="s">
        <v>1021</v>
      </c>
      <c r="M482" s="205">
        <f>M472</f>
        <v>0.05</v>
      </c>
      <c r="N482" s="184"/>
      <c r="O482" s="41" t="s">
        <v>1047</v>
      </c>
      <c r="P482" s="46">
        <f>_xlfn.NORM.S.DIST(P480,TRUE)</f>
        <v>0.91543427764866436</v>
      </c>
      <c r="Q482" s="184"/>
      <c r="R482" s="184"/>
      <c r="S482" s="184"/>
      <c r="T482" s="184"/>
      <c r="U482" s="184"/>
      <c r="V482" s="184"/>
    </row>
    <row r="483" spans="1:28" ht="16.5">
      <c r="A483" s="374" t="s">
        <v>1193</v>
      </c>
      <c r="B483" s="373">
        <v>48.97</v>
      </c>
      <c r="C483" s="374">
        <v>48.89</v>
      </c>
      <c r="D483" s="374">
        <v>49.12</v>
      </c>
      <c r="E483" s="374">
        <v>48.28</v>
      </c>
      <c r="F483" s="374" t="s">
        <v>1194</v>
      </c>
      <c r="G483" s="375">
        <v>-8.3000000000000001E-3</v>
      </c>
      <c r="H483" s="376">
        <f t="shared" si="48"/>
        <v>-3.3211826650465959E-5</v>
      </c>
      <c r="I483" s="376">
        <f t="shared" si="49"/>
        <v>3.1160311603116496E-4</v>
      </c>
      <c r="J483" s="374" t="e">
        <f t="shared" si="47"/>
        <v>#DIV/0!</v>
      </c>
      <c r="K483" s="184"/>
      <c r="L483" s="189" t="s">
        <v>186</v>
      </c>
      <c r="M483" s="57">
        <f>M474</f>
        <v>7.0000000000000007E-2</v>
      </c>
      <c r="N483" s="184"/>
      <c r="O483" s="41" t="s">
        <v>1126</v>
      </c>
      <c r="P483" s="46">
        <f>_xlfn.NORM.S.DIST(-P479,TRUE)</f>
        <v>7.7078600552071871E-2</v>
      </c>
      <c r="Q483" s="184"/>
      <c r="R483" s="184"/>
      <c r="S483" s="184"/>
      <c r="T483" s="184"/>
      <c r="U483" s="184"/>
      <c r="V483" s="184"/>
    </row>
    <row r="484" spans="1:28" ht="17" thickBot="1">
      <c r="A484" s="374" t="s">
        <v>1195</v>
      </c>
      <c r="B484" s="373">
        <v>49.38</v>
      </c>
      <c r="C484" s="374">
        <v>49.24</v>
      </c>
      <c r="D484" s="374">
        <v>49.51</v>
      </c>
      <c r="E484" s="374">
        <v>48.93</v>
      </c>
      <c r="F484" s="374" t="s">
        <v>1196</v>
      </c>
      <c r="G484" s="375">
        <v>7.1000000000000004E-3</v>
      </c>
      <c r="H484" s="376">
        <f t="shared" si="48"/>
        <v>2.8553946563328657E-5</v>
      </c>
      <c r="I484" s="376">
        <f t="shared" si="49"/>
        <v>1.5187783739166428E-3</v>
      </c>
      <c r="J484" s="374" t="e">
        <f t="shared" si="47"/>
        <v>#DIV/0!</v>
      </c>
      <c r="K484" s="184"/>
      <c r="L484" s="206" t="s">
        <v>189</v>
      </c>
      <c r="M484" s="207">
        <f>M475</f>
        <v>0</v>
      </c>
      <c r="N484" s="184"/>
      <c r="O484" s="59" t="s">
        <v>1129</v>
      </c>
      <c r="P484" s="50">
        <f>_xlfn.NORM.S.DIST(-P480,TRUE)</f>
        <v>8.4565722351335693E-2</v>
      </c>
      <c r="Q484" s="184"/>
      <c r="R484" s="184"/>
      <c r="S484" s="184"/>
      <c r="T484" s="184"/>
      <c r="U484" s="184"/>
      <c r="V484" s="184"/>
    </row>
    <row r="485" spans="1:28">
      <c r="A485" s="374" t="s">
        <v>1197</v>
      </c>
      <c r="B485" s="373">
        <v>49.03</v>
      </c>
      <c r="C485" s="374">
        <v>49.4</v>
      </c>
      <c r="D485" s="374">
        <v>49.6</v>
      </c>
      <c r="E485" s="374">
        <v>48.94</v>
      </c>
      <c r="F485" s="374" t="s">
        <v>1198</v>
      </c>
      <c r="G485" s="375">
        <v>-1.0699999999999999E-2</v>
      </c>
      <c r="H485" s="376">
        <f t="shared" si="48"/>
        <v>-4.2776432606941309E-5</v>
      </c>
      <c r="I485" s="376">
        <f t="shared" si="49"/>
        <v>1.1419114604882096E-3</v>
      </c>
      <c r="J485" s="374" t="e">
        <f t="shared" si="47"/>
        <v>#DIV/0!</v>
      </c>
      <c r="K485" s="184"/>
      <c r="L485" s="184"/>
      <c r="M485" s="184"/>
      <c r="N485" s="184"/>
      <c r="O485" s="184"/>
      <c r="P485" s="184"/>
      <c r="Q485" s="184"/>
      <c r="R485" s="184"/>
      <c r="S485" s="184"/>
      <c r="T485" s="184"/>
      <c r="U485" s="184"/>
      <c r="V485" s="184"/>
      <c r="Z485" s="37" t="s">
        <v>178</v>
      </c>
      <c r="AA485" s="39" t="s">
        <v>1199</v>
      </c>
      <c r="AB485" s="298" t="s">
        <v>1200</v>
      </c>
    </row>
    <row r="486" spans="1:28">
      <c r="A486" s="374" t="s">
        <v>1201</v>
      </c>
      <c r="B486" s="373">
        <v>49.56</v>
      </c>
      <c r="C486" s="374">
        <v>49.93</v>
      </c>
      <c r="D486" s="374">
        <v>49.94</v>
      </c>
      <c r="E486" s="374">
        <v>49.09</v>
      </c>
      <c r="F486" s="374" t="s">
        <v>1202</v>
      </c>
      <c r="G486" s="375">
        <v>-1.9800000000000002E-2</v>
      </c>
      <c r="H486" s="376">
        <f t="shared" si="48"/>
        <v>-7.9113924050632886E-5</v>
      </c>
      <c r="I486" s="376">
        <f t="shared" si="49"/>
        <v>3.8756082081658504E-3</v>
      </c>
      <c r="J486" s="374" t="e">
        <f t="shared" si="47"/>
        <v>#DIV/0!</v>
      </c>
      <c r="K486" s="184"/>
      <c r="L486" s="184"/>
      <c r="M486" s="184"/>
      <c r="N486" s="184"/>
      <c r="O486" s="184"/>
      <c r="P486" s="184"/>
      <c r="Q486" s="184"/>
      <c r="R486" s="184"/>
      <c r="S486" s="184"/>
      <c r="T486" s="184"/>
      <c r="U486" s="184"/>
      <c r="V486" s="184"/>
      <c r="Z486" s="43">
        <v>28</v>
      </c>
      <c r="AA486" s="366">
        <f>MAX(Z486-M$500,0) - M$489</f>
        <v>-2.9531768359603632</v>
      </c>
      <c r="AB486" s="367">
        <f>MAX(M$500-Z486,0) - M$489</f>
        <v>4.0168231640396357</v>
      </c>
    </row>
    <row r="487" spans="1:28" ht="16.5" thickBot="1">
      <c r="A487" s="374" t="s">
        <v>1203</v>
      </c>
      <c r="B487" s="373">
        <v>50.56</v>
      </c>
      <c r="C487" s="374">
        <v>50.68</v>
      </c>
      <c r="D487" s="374">
        <v>51.48</v>
      </c>
      <c r="E487" s="374">
        <v>50.56</v>
      </c>
      <c r="F487" s="374" t="s">
        <v>1204</v>
      </c>
      <c r="G487" s="375">
        <v>-1.1999999999999999E-3</v>
      </c>
      <c r="H487" s="376">
        <f t="shared" si="48"/>
        <v>-4.7412090082965539E-6</v>
      </c>
      <c r="I487" s="376">
        <f t="shared" si="49"/>
        <v>6.1145411965084226E-3</v>
      </c>
      <c r="J487" s="374" t="e">
        <f t="shared" si="47"/>
        <v>#DIV/0!</v>
      </c>
      <c r="K487" s="184"/>
      <c r="M487" s="184"/>
      <c r="N487" s="184"/>
      <c r="O487" s="184"/>
      <c r="P487" s="184"/>
      <c r="Q487" s="184"/>
      <c r="R487" s="184"/>
      <c r="S487" s="184"/>
      <c r="T487" s="184"/>
      <c r="U487" s="184"/>
      <c r="V487" s="184"/>
      <c r="Z487" s="43">
        <v>29</v>
      </c>
      <c r="AA487" s="366">
        <f t="shared" ref="AA487:AA516" si="51">MAX(Z487-M$500,0) - M$489</f>
        <v>-2.9531768359603632</v>
      </c>
      <c r="AB487" s="367">
        <f t="shared" ref="AB487:AB516" si="52">MAX(M$500-Z487,0) - M$489</f>
        <v>3.0168231640396357</v>
      </c>
    </row>
    <row r="488" spans="1:28">
      <c r="A488" s="374" t="s">
        <v>1205</v>
      </c>
      <c r="B488" s="373">
        <v>50.62</v>
      </c>
      <c r="C488" s="374">
        <v>51.58</v>
      </c>
      <c r="D488" s="374">
        <v>51.66</v>
      </c>
      <c r="E488" s="374">
        <v>50.32</v>
      </c>
      <c r="F488" s="374" t="s">
        <v>1206</v>
      </c>
      <c r="G488" s="375">
        <v>-9.7999999999999997E-3</v>
      </c>
      <c r="H488" s="376">
        <f t="shared" si="48"/>
        <v>-3.912363067292635E-5</v>
      </c>
      <c r="I488" s="376">
        <f t="shared" si="49"/>
        <v>5.183003786285223E-3</v>
      </c>
      <c r="J488" s="374" t="e">
        <f t="shared" si="47"/>
        <v>#DIV/0!</v>
      </c>
      <c r="K488" s="184"/>
      <c r="L488" s="208" t="s">
        <v>1062</v>
      </c>
      <c r="M488" s="209" t="s">
        <v>1063</v>
      </c>
      <c r="N488" s="184"/>
      <c r="O488" s="184"/>
      <c r="P488" s="184"/>
      <c r="Q488" s="184"/>
      <c r="R488" s="184"/>
      <c r="S488" s="184"/>
      <c r="T488" s="184"/>
      <c r="U488" s="184"/>
      <c r="V488" s="184"/>
      <c r="Z488" s="43">
        <v>30</v>
      </c>
      <c r="AA488" s="366">
        <f t="shared" si="51"/>
        <v>-2.9531768359603632</v>
      </c>
      <c r="AB488" s="367">
        <f t="shared" si="52"/>
        <v>2.0168231640396357</v>
      </c>
    </row>
    <row r="489" spans="1:28">
      <c r="A489" s="374" t="s">
        <v>1207</v>
      </c>
      <c r="B489" s="373">
        <v>51.12</v>
      </c>
      <c r="C489" s="374">
        <v>51.48</v>
      </c>
      <c r="D489" s="374">
        <v>51.64</v>
      </c>
      <c r="E489" s="374">
        <v>50.74</v>
      </c>
      <c r="F489" s="374" t="s">
        <v>1208</v>
      </c>
      <c r="G489" s="375">
        <v>-8.0999999999999996E-3</v>
      </c>
      <c r="H489" s="376">
        <f t="shared" si="48"/>
        <v>-3.2596041909196847E-5</v>
      </c>
      <c r="I489" s="376" t="e">
        <f t="shared" si="49"/>
        <v>#DIV/0!</v>
      </c>
      <c r="J489" s="374" t="e">
        <f t="shared" si="47"/>
        <v>#DIV/0!</v>
      </c>
      <c r="K489" s="184"/>
      <c r="L489" s="360" t="s">
        <v>1209</v>
      </c>
      <c r="M489" s="361">
        <f>P468+R468-T468+(M469*EXP(-M475*M471))-(M470*EXP(-M474*M471))</f>
        <v>2.9531768359603632</v>
      </c>
      <c r="N489" s="184"/>
      <c r="O489" s="184"/>
      <c r="P489" s="184"/>
      <c r="Q489" s="184"/>
      <c r="R489" s="184"/>
      <c r="S489" s="184"/>
      <c r="T489" s="184"/>
      <c r="U489" s="184"/>
      <c r="V489" s="184"/>
      <c r="Z489" s="43">
        <v>31</v>
      </c>
      <c r="AA489" s="366">
        <f t="shared" si="51"/>
        <v>-2.9531768359603632</v>
      </c>
      <c r="AB489" s="367">
        <f t="shared" si="52"/>
        <v>1.0168231640396357</v>
      </c>
    </row>
    <row r="490" spans="1:28">
      <c r="A490" s="374" t="s">
        <v>1210</v>
      </c>
      <c r="B490" s="373">
        <v>51.54</v>
      </c>
      <c r="C490" s="374">
        <v>51.7</v>
      </c>
      <c r="D490" s="374">
        <v>52.32</v>
      </c>
      <c r="E490" s="374">
        <v>51.18</v>
      </c>
      <c r="F490" s="374" t="s">
        <v>1211</v>
      </c>
      <c r="G490" s="375">
        <v>3.0999999999999999E-3</v>
      </c>
      <c r="H490" s="376">
        <f t="shared" si="48"/>
        <v>1.2456208641494549E-5</v>
      </c>
      <c r="I490" s="376" t="e">
        <f t="shared" si="49"/>
        <v>#DIV/0!</v>
      </c>
      <c r="J490" s="374" t="e">
        <f t="shared" si="47"/>
        <v>#DIV/0!</v>
      </c>
      <c r="K490" s="184"/>
      <c r="L490" s="41" t="s">
        <v>1069</v>
      </c>
      <c r="M490" s="210">
        <f>M480*(EXP(-M483*M481))*P484-M479*(EXP(-M484*M481))*P483</f>
        <v>6.189537335652906E-2</v>
      </c>
      <c r="N490" s="184"/>
      <c r="O490" s="184"/>
      <c r="P490" s="184"/>
      <c r="Q490" s="184"/>
      <c r="R490" s="184"/>
      <c r="S490" s="184"/>
      <c r="T490" s="184"/>
      <c r="U490" s="184"/>
      <c r="V490" s="184"/>
      <c r="Z490" s="43">
        <v>32</v>
      </c>
      <c r="AA490" s="366">
        <f t="shared" si="51"/>
        <v>-2.9531768359603632</v>
      </c>
      <c r="AB490" s="367">
        <f t="shared" si="52"/>
        <v>1.6823164039635685E-2</v>
      </c>
    </row>
    <row r="491" spans="1:28" ht="16.5" thickBot="1">
      <c r="A491" s="374" t="s">
        <v>1212</v>
      </c>
      <c r="B491" s="373">
        <v>51.38</v>
      </c>
      <c r="C491" s="374">
        <v>51.4</v>
      </c>
      <c r="D491" s="374">
        <v>51.78</v>
      </c>
      <c r="E491" s="374">
        <v>51.14</v>
      </c>
      <c r="F491" s="374" t="s">
        <v>1213</v>
      </c>
      <c r="G491" s="375">
        <v>-4.0000000000000002E-4</v>
      </c>
      <c r="H491" s="376">
        <f t="shared" si="48"/>
        <v>-1.5564202334625855E-6</v>
      </c>
      <c r="I491" s="376" t="e">
        <f t="shared" si="49"/>
        <v>#DIV/0!</v>
      </c>
      <c r="J491" s="374" t="e">
        <f t="shared" si="47"/>
        <v>#DIV/0!</v>
      </c>
      <c r="K491" s="184"/>
      <c r="L491" s="59" t="s">
        <v>1072</v>
      </c>
      <c r="M491" s="211">
        <f>M489/M490</f>
        <v>47.71240039137507</v>
      </c>
      <c r="N491" s="184"/>
      <c r="O491" s="184"/>
      <c r="P491" s="184"/>
      <c r="Q491" s="184"/>
      <c r="R491" s="184"/>
      <c r="S491" s="184"/>
      <c r="T491" s="184"/>
      <c r="U491" s="184"/>
      <c r="V491" s="184"/>
      <c r="Z491" s="43">
        <v>33</v>
      </c>
      <c r="AA491" s="366">
        <f t="shared" si="51"/>
        <v>-2.9531768359603632</v>
      </c>
      <c r="AB491" s="367">
        <f t="shared" si="52"/>
        <v>-0.98317683596036431</v>
      </c>
    </row>
    <row r="492" spans="1:28">
      <c r="A492" s="374" t="s">
        <v>1214</v>
      </c>
      <c r="B492" s="373">
        <v>51.4</v>
      </c>
      <c r="C492" s="374">
        <v>51.04</v>
      </c>
      <c r="D492" s="374">
        <v>51.66</v>
      </c>
      <c r="E492" s="374">
        <v>50.96</v>
      </c>
      <c r="F492" s="374" t="s">
        <v>1215</v>
      </c>
      <c r="G492" s="375">
        <v>1.2999999999999999E-2</v>
      </c>
      <c r="H492" s="376">
        <f t="shared" si="48"/>
        <v>5.2029956641702845E-5</v>
      </c>
      <c r="I492" s="376" t="e">
        <f t="shared" si="49"/>
        <v>#DIV/0!</v>
      </c>
      <c r="J492" s="374" t="e">
        <f t="shared" si="47"/>
        <v>#DIV/0!</v>
      </c>
      <c r="K492" s="184"/>
      <c r="L492" s="184"/>
      <c r="M492" s="184"/>
      <c r="N492" s="184"/>
      <c r="O492" s="184"/>
      <c r="P492" s="184"/>
      <c r="Q492" s="184"/>
      <c r="R492" s="184"/>
      <c r="S492" s="184"/>
      <c r="T492" s="184"/>
      <c r="U492" s="184"/>
      <c r="V492" s="184"/>
      <c r="Z492" s="43">
        <v>34</v>
      </c>
      <c r="AA492" s="366">
        <f t="shared" si="51"/>
        <v>-2.9531768359603632</v>
      </c>
      <c r="AB492" s="367">
        <f t="shared" si="52"/>
        <v>-1.9831768359603643</v>
      </c>
    </row>
    <row r="493" spans="1:28">
      <c r="A493" s="374" t="s">
        <v>1216</v>
      </c>
      <c r="B493" s="373">
        <v>50.74</v>
      </c>
      <c r="C493" s="374">
        <v>51.18</v>
      </c>
      <c r="D493" s="374">
        <v>51.22</v>
      </c>
      <c r="E493" s="374">
        <v>50.3</v>
      </c>
      <c r="F493" s="374" t="s">
        <v>1217</v>
      </c>
      <c r="G493" s="375">
        <v>-1.01E-2</v>
      </c>
      <c r="H493" s="376">
        <f t="shared" si="48"/>
        <v>-4.0577448302769881E-5</v>
      </c>
      <c r="I493" s="376" t="e">
        <f t="shared" si="49"/>
        <v>#DIV/0!</v>
      </c>
      <c r="J493" s="374" t="e">
        <f t="shared" si="47"/>
        <v>#DIV/0!</v>
      </c>
      <c r="K493" s="184"/>
      <c r="L493" s="184"/>
      <c r="M493" s="184"/>
      <c r="N493" s="184"/>
      <c r="O493" s="184"/>
      <c r="P493" s="184"/>
      <c r="Q493" s="184"/>
      <c r="R493" s="184"/>
      <c r="S493" s="184"/>
      <c r="T493" s="184"/>
      <c r="U493" s="184"/>
      <c r="V493" s="184"/>
      <c r="Z493" s="43">
        <v>35</v>
      </c>
      <c r="AA493" s="366">
        <f t="shared" si="51"/>
        <v>-2.923176835960362</v>
      </c>
      <c r="AB493" s="367">
        <f t="shared" si="52"/>
        <v>-2.9531768359603632</v>
      </c>
    </row>
    <row r="494" spans="1:28">
      <c r="A494" s="374" t="s">
        <v>1218</v>
      </c>
      <c r="B494" s="373">
        <v>51.26</v>
      </c>
      <c r="C494" s="374">
        <v>50.78</v>
      </c>
      <c r="D494" s="374">
        <v>51.58</v>
      </c>
      <c r="E494" s="374">
        <v>50.7</v>
      </c>
      <c r="F494" s="374" t="s">
        <v>1219</v>
      </c>
      <c r="G494" s="375">
        <v>1.34E-2</v>
      </c>
      <c r="H494" s="376">
        <f t="shared" si="48"/>
        <v>5.3776196124950991E-5</v>
      </c>
      <c r="I494" s="376" t="e">
        <f t="shared" si="49"/>
        <v>#DIV/0!</v>
      </c>
      <c r="J494" s="374" t="e">
        <f t="shared" si="47"/>
        <v>#DIV/0!</v>
      </c>
      <c r="K494" s="184"/>
      <c r="L494" s="184"/>
      <c r="M494" s="184"/>
      <c r="N494" s="184"/>
      <c r="O494" s="184"/>
      <c r="P494" s="184"/>
      <c r="Q494" s="184"/>
      <c r="R494" s="184"/>
      <c r="S494" s="184"/>
      <c r="T494" s="184"/>
      <c r="Z494" s="43">
        <v>36</v>
      </c>
      <c r="AA494" s="366">
        <f t="shared" si="51"/>
        <v>-1.923176835960362</v>
      </c>
      <c r="AB494" s="367">
        <f t="shared" si="52"/>
        <v>-2.9531768359603632</v>
      </c>
    </row>
    <row r="495" spans="1:28">
      <c r="A495" s="374" t="s">
        <v>1220</v>
      </c>
      <c r="B495" s="373">
        <v>50.58</v>
      </c>
      <c r="C495" s="374">
        <v>49.01</v>
      </c>
      <c r="D495" s="374">
        <v>50.72</v>
      </c>
      <c r="E495" s="374">
        <v>48.87</v>
      </c>
      <c r="F495" s="374" t="s">
        <v>920</v>
      </c>
      <c r="G495" s="375">
        <v>3.2899999999999999E-2</v>
      </c>
      <c r="H495" s="376">
        <f t="shared" si="48"/>
        <v>1.3150908719624255E-4</v>
      </c>
      <c r="I495" s="376" t="e">
        <f t="shared" si="49"/>
        <v>#DIV/0!</v>
      </c>
      <c r="J495" s="374" t="e">
        <f t="shared" si="47"/>
        <v>#DIV/0!</v>
      </c>
      <c r="K495" s="184"/>
      <c r="L495" s="184" t="s">
        <v>86</v>
      </c>
      <c r="M495" s="184"/>
      <c r="N495" s="184"/>
      <c r="O495" s="184"/>
      <c r="P495" s="184"/>
      <c r="Q495" s="184"/>
      <c r="R495" s="184"/>
      <c r="S495" s="184"/>
      <c r="T495" s="184"/>
      <c r="Z495" s="43">
        <v>37</v>
      </c>
      <c r="AA495" s="366">
        <f t="shared" si="51"/>
        <v>-0.92317683596036204</v>
      </c>
      <c r="AB495" s="367">
        <f t="shared" si="52"/>
        <v>-2.9531768359603632</v>
      </c>
    </row>
    <row r="496" spans="1:28">
      <c r="A496" s="374" t="s">
        <v>1221</v>
      </c>
      <c r="B496" s="373">
        <v>48.97</v>
      </c>
      <c r="C496" s="374">
        <v>48.72</v>
      </c>
      <c r="D496" s="374">
        <v>49.02</v>
      </c>
      <c r="E496" s="374">
        <v>48.48</v>
      </c>
      <c r="F496" s="374" t="s">
        <v>1222</v>
      </c>
      <c r="G496" s="375">
        <v>-3.0999999999999999E-3</v>
      </c>
      <c r="H496" s="376">
        <f t="shared" si="48"/>
        <v>-1.2214983713354944E-5</v>
      </c>
      <c r="I496" s="376" t="e">
        <f t="shared" si="49"/>
        <v>#DIV/0!</v>
      </c>
      <c r="J496" s="374" t="e">
        <f t="shared" si="47"/>
        <v>#DIV/0!</v>
      </c>
      <c r="K496" s="184"/>
      <c r="L496" s="184"/>
      <c r="M496" s="184"/>
      <c r="N496" s="184"/>
      <c r="O496" s="184"/>
      <c r="P496" s="184"/>
      <c r="Q496" s="184"/>
      <c r="R496" s="184"/>
      <c r="S496" s="184"/>
      <c r="T496" s="184"/>
      <c r="Z496" s="43">
        <v>38</v>
      </c>
      <c r="AA496" s="366">
        <f t="shared" si="51"/>
        <v>7.6823164039637959E-2</v>
      </c>
      <c r="AB496" s="367">
        <f t="shared" si="52"/>
        <v>-2.9531768359603632</v>
      </c>
    </row>
    <row r="497" spans="1:28" ht="16.5" thickBot="1">
      <c r="A497" s="374" t="s">
        <v>1223</v>
      </c>
      <c r="B497" s="373">
        <v>49.12</v>
      </c>
      <c r="C497" s="374">
        <v>49.12</v>
      </c>
      <c r="D497" s="374">
        <v>49.47</v>
      </c>
      <c r="E497" s="374">
        <v>48.89</v>
      </c>
      <c r="F497" s="374" t="s">
        <v>1224</v>
      </c>
      <c r="G497" s="375">
        <v>1.6000000000000001E-3</v>
      </c>
      <c r="H497" s="376">
        <f t="shared" si="48"/>
        <v>6.5252854812394293E-6</v>
      </c>
      <c r="I497" s="376" t="e">
        <f t="shared" si="49"/>
        <v>#DIV/0!</v>
      </c>
      <c r="J497" s="374" t="e">
        <f t="shared" si="47"/>
        <v>#DIV/0!</v>
      </c>
      <c r="K497" s="184"/>
      <c r="L497" s="182"/>
      <c r="M497" s="182"/>
      <c r="N497" s="182"/>
      <c r="O497" s="182"/>
      <c r="P497" s="182"/>
      <c r="Q497" s="182"/>
      <c r="R497" s="182"/>
      <c r="S497" s="182"/>
      <c r="T497" s="182"/>
      <c r="Z497" s="43">
        <v>39</v>
      </c>
      <c r="AA497" s="366">
        <f t="shared" si="51"/>
        <v>1.076823164039638</v>
      </c>
      <c r="AB497" s="367">
        <f t="shared" si="52"/>
        <v>-2.9531768359603632</v>
      </c>
    </row>
    <row r="498" spans="1:28">
      <c r="A498" s="374" t="s">
        <v>1225</v>
      </c>
      <c r="B498" s="373">
        <v>49.04</v>
      </c>
      <c r="C498" s="374">
        <v>49.12</v>
      </c>
      <c r="D498" s="374">
        <v>49.52</v>
      </c>
      <c r="E498" s="374">
        <v>48.65</v>
      </c>
      <c r="F498" s="374" t="s">
        <v>666</v>
      </c>
      <c r="G498" s="375">
        <v>-2.5999999999999999E-3</v>
      </c>
      <c r="H498" s="376">
        <f t="shared" si="48"/>
        <v>-1.0575554199715676E-5</v>
      </c>
      <c r="I498" s="376" t="e">
        <f t="shared" si="49"/>
        <v>#DIV/0!</v>
      </c>
      <c r="J498" s="374" t="e">
        <f t="shared" si="47"/>
        <v>#DIV/0!</v>
      </c>
      <c r="K498" s="184"/>
      <c r="L498" s="474" t="s">
        <v>1087</v>
      </c>
      <c r="M498" s="475"/>
      <c r="N498" s="184"/>
      <c r="O498" s="212" t="s">
        <v>999</v>
      </c>
      <c r="P498" s="186">
        <f>M500*EXP(-M504*M501)*(R499-(M503/(2*(M504-M505))*(EXP(P502))*T501))</f>
        <v>2.6662334731770696</v>
      </c>
      <c r="Q498" s="213" t="s">
        <v>1000</v>
      </c>
      <c r="R498" s="186">
        <f>M499*(EXP(-M505*M501))*(M506*T500)</f>
        <v>0.57017207382829604</v>
      </c>
      <c r="S498" s="213" t="s">
        <v>1001</v>
      </c>
      <c r="T498" s="188">
        <f>M499*(EXP(-M505*M501))*R500</f>
        <v>2.6537320356904206</v>
      </c>
      <c r="U498" s="184"/>
      <c r="V498" s="184"/>
      <c r="Z498" s="43">
        <v>40</v>
      </c>
      <c r="AA498" s="366">
        <f t="shared" si="51"/>
        <v>2.076823164039638</v>
      </c>
      <c r="AB498" s="367">
        <f t="shared" si="52"/>
        <v>-2.9531768359603632</v>
      </c>
    </row>
    <row r="499" spans="1:28" ht="16.5">
      <c r="A499" s="374" t="s">
        <v>1226</v>
      </c>
      <c r="B499" s="373">
        <v>49.17</v>
      </c>
      <c r="C499" s="374">
        <v>49.15</v>
      </c>
      <c r="D499" s="374">
        <v>49.38</v>
      </c>
      <c r="E499" s="374">
        <v>48.38</v>
      </c>
      <c r="F499" s="374" t="s">
        <v>1227</v>
      </c>
      <c r="G499" s="375">
        <v>1.01E-2</v>
      </c>
      <c r="H499" s="376">
        <f t="shared" si="48"/>
        <v>4.0262941659819695E-5</v>
      </c>
      <c r="I499" s="376" t="e">
        <f t="shared" si="49"/>
        <v>#DIV/0!</v>
      </c>
      <c r="J499" s="374" t="e">
        <f t="shared" si="47"/>
        <v>#DIV/0!</v>
      </c>
      <c r="K499" s="184"/>
      <c r="L499" s="189" t="s">
        <v>177</v>
      </c>
      <c r="M499" s="190">
        <v>34.97</v>
      </c>
      <c r="N499" s="184"/>
      <c r="O499" s="189" t="s">
        <v>1090</v>
      </c>
      <c r="P499" s="192">
        <f>(LN(M499/M500)+(-M504+M505+0.5*M503)*M501)/(M502*SQRT(M501))</f>
        <v>-1.3836007042253522</v>
      </c>
      <c r="Q499" s="214" t="s">
        <v>1091</v>
      </c>
      <c r="R499" s="192">
        <f>_xlfn.NORM.S.DIST(P499,TRUE)</f>
        <v>8.3240376289275789E-2</v>
      </c>
      <c r="S499" s="214" t="s">
        <v>1092</v>
      </c>
      <c r="T499" s="194">
        <f>_xlfn.NORM.S.DIST(-P499,TRUE)</f>
        <v>0.91675962371072417</v>
      </c>
      <c r="U499" s="184"/>
      <c r="V499" s="184"/>
      <c r="Z499" s="43">
        <v>41</v>
      </c>
      <c r="AA499" s="366">
        <f t="shared" si="51"/>
        <v>3.076823164039638</v>
      </c>
      <c r="AB499" s="367">
        <f t="shared" si="52"/>
        <v>-2.9531768359603632</v>
      </c>
    </row>
    <row r="500" spans="1:28" ht="16.5">
      <c r="A500" s="374" t="s">
        <v>1228</v>
      </c>
      <c r="B500" s="373">
        <v>48.68</v>
      </c>
      <c r="C500" s="374">
        <v>49.07</v>
      </c>
      <c r="D500" s="374">
        <v>49.54</v>
      </c>
      <c r="E500" s="374">
        <v>48.28</v>
      </c>
      <c r="F500" s="374" t="s">
        <v>1229</v>
      </c>
      <c r="G500" s="375">
        <v>-6.4999999999999997E-3</v>
      </c>
      <c r="H500" s="376">
        <f t="shared" si="48"/>
        <v>-2.6122448979591707E-5</v>
      </c>
      <c r="I500" s="376" t="e">
        <f t="shared" si="49"/>
        <v>#DIV/0!</v>
      </c>
      <c r="J500" s="374" t="e">
        <f t="shared" si="47"/>
        <v>#DIV/0!</v>
      </c>
      <c r="K500" s="184"/>
      <c r="L500" s="41" t="s">
        <v>1095</v>
      </c>
      <c r="M500" s="190">
        <v>34.97</v>
      </c>
      <c r="N500" s="184"/>
      <c r="O500" s="189" t="s">
        <v>1096</v>
      </c>
      <c r="P500" s="192">
        <f>P499-M502*SQRT(M501)</f>
        <v>-1.4333007042253523</v>
      </c>
      <c r="Q500" s="214" t="s">
        <v>1097</v>
      </c>
      <c r="R500" s="192">
        <f t="shared" ref="R500:R501" si="53">_xlfn.NORM.S.DIST(P500,TRUE)</f>
        <v>7.5885960414367196E-2</v>
      </c>
      <c r="S500" s="214" t="s">
        <v>1098</v>
      </c>
      <c r="T500" s="194">
        <f>_xlfn.NORM.S.DIST(-P500,TRUE)</f>
        <v>0.92411403958563276</v>
      </c>
      <c r="U500" s="184"/>
      <c r="V500" s="184"/>
      <c r="Z500" s="43">
        <v>42</v>
      </c>
      <c r="AA500" s="366">
        <f t="shared" si="51"/>
        <v>4.076823164039638</v>
      </c>
      <c r="AB500" s="367">
        <f t="shared" si="52"/>
        <v>-2.9531768359603632</v>
      </c>
    </row>
    <row r="501" spans="1:28" ht="16.5">
      <c r="A501" s="374" t="s">
        <v>1230</v>
      </c>
      <c r="B501" s="373">
        <v>49</v>
      </c>
      <c r="C501" s="374">
        <v>48.5</v>
      </c>
      <c r="D501" s="374">
        <v>49.94</v>
      </c>
      <c r="E501" s="374">
        <v>48.18</v>
      </c>
      <c r="F501" s="374" t="s">
        <v>1231</v>
      </c>
      <c r="G501" s="375">
        <v>9.2999999999999992E-3</v>
      </c>
      <c r="H501" s="376">
        <f t="shared" si="48"/>
        <v>3.7075180226571195E-5</v>
      </c>
      <c r="I501" s="376" t="e">
        <f t="shared" si="49"/>
        <v>#DIV/0!</v>
      </c>
      <c r="J501" s="374" t="e">
        <f t="shared" si="47"/>
        <v>#DIV/0!</v>
      </c>
      <c r="L501" s="189" t="s">
        <v>1015</v>
      </c>
      <c r="M501" s="190">
        <v>1</v>
      </c>
      <c r="N501" s="184"/>
      <c r="O501" s="189" t="s">
        <v>1101</v>
      </c>
      <c r="P501" s="192">
        <f>(LN(M500/M499)+(M504-M505-0.5*M503)*M501)/(M502*SQRT(M501))</f>
        <v>1.3836007042253522</v>
      </c>
      <c r="Q501" s="214" t="s">
        <v>1102</v>
      </c>
      <c r="R501" s="192">
        <f t="shared" si="53"/>
        <v>0.91675962371072417</v>
      </c>
      <c r="S501" s="214" t="s">
        <v>1103</v>
      </c>
      <c r="T501" s="194">
        <f>_xlfn.NORM.S.DIST(-P501,TRUE)</f>
        <v>8.3240376289275789E-2</v>
      </c>
      <c r="U501" s="184"/>
      <c r="V501" s="184"/>
      <c r="Z501" s="43">
        <v>43</v>
      </c>
      <c r="AA501" s="366">
        <f t="shared" si="51"/>
        <v>5.076823164039638</v>
      </c>
      <c r="AB501" s="367">
        <f t="shared" si="52"/>
        <v>-2.9531768359603632</v>
      </c>
    </row>
    <row r="502" spans="1:28" ht="17" thickBot="1">
      <c r="A502" s="374" t="s">
        <v>1232</v>
      </c>
      <c r="B502" s="373">
        <v>48.55</v>
      </c>
      <c r="C502" s="374">
        <v>48.9</v>
      </c>
      <c r="D502" s="374">
        <v>49.34</v>
      </c>
      <c r="E502" s="374">
        <v>47.94</v>
      </c>
      <c r="F502" s="374" t="s">
        <v>773</v>
      </c>
      <c r="G502" s="375">
        <v>-4.7000000000000002E-3</v>
      </c>
      <c r="H502" s="376">
        <f t="shared" si="48"/>
        <v>-1.8860188601886206E-5</v>
      </c>
      <c r="I502" s="376" t="e">
        <f t="shared" si="49"/>
        <v>#DIV/0!</v>
      </c>
      <c r="J502" s="374" t="e">
        <f t="shared" si="47"/>
        <v>#DIV/0!</v>
      </c>
      <c r="L502" s="189" t="s">
        <v>1021</v>
      </c>
      <c r="M502" s="195">
        <v>4.9700000000000001E-2</v>
      </c>
      <c r="N502" s="184"/>
      <c r="O502" s="206" t="s">
        <v>1106</v>
      </c>
      <c r="P502" s="197">
        <f>2*(M504-M505-0.5*M503)*LN(M500/M499)/(M503)</f>
        <v>0</v>
      </c>
      <c r="Q502" s="198"/>
      <c r="R502" s="197"/>
      <c r="S502" s="198"/>
      <c r="T502" s="199"/>
      <c r="U502" s="184"/>
      <c r="V502" s="184"/>
      <c r="Z502" s="43">
        <v>44</v>
      </c>
      <c r="AA502" s="366">
        <f t="shared" si="51"/>
        <v>6.076823164039638</v>
      </c>
      <c r="AB502" s="367">
        <f t="shared" si="52"/>
        <v>-2.9531768359603632</v>
      </c>
    </row>
    <row r="503" spans="1:28" ht="17">
      <c r="A503" s="374" t="s">
        <v>1233</v>
      </c>
      <c r="B503" s="373">
        <v>48.78</v>
      </c>
      <c r="C503" s="374">
        <v>48.47</v>
      </c>
      <c r="D503" s="374">
        <v>48.8</v>
      </c>
      <c r="E503" s="374">
        <v>48.05</v>
      </c>
      <c r="F503" s="374" t="s">
        <v>1234</v>
      </c>
      <c r="G503" s="375">
        <v>6.6E-3</v>
      </c>
      <c r="H503" s="376">
        <f t="shared" si="48"/>
        <v>2.6413536937680782E-5</v>
      </c>
      <c r="I503" s="376" t="e">
        <f t="shared" si="49"/>
        <v>#DIV/0!</v>
      </c>
      <c r="J503" s="374" t="e">
        <f t="shared" si="47"/>
        <v>#DIV/0!</v>
      </c>
      <c r="L503" s="189" t="s">
        <v>1025</v>
      </c>
      <c r="M503" s="200">
        <f>M502^2</f>
        <v>2.4700900000000003E-3</v>
      </c>
      <c r="N503" s="184"/>
      <c r="O503" s="184"/>
      <c r="P503" s="184"/>
      <c r="Q503" s="184"/>
      <c r="R503" s="184"/>
      <c r="S503" s="184"/>
      <c r="T503" s="184"/>
      <c r="U503" s="184"/>
      <c r="V503" s="184"/>
      <c r="Z503" s="43">
        <v>45</v>
      </c>
      <c r="AA503" s="366">
        <f t="shared" si="51"/>
        <v>7.076823164039638</v>
      </c>
      <c r="AB503" s="367">
        <f t="shared" si="52"/>
        <v>-2.9531768359603632</v>
      </c>
    </row>
    <row r="504" spans="1:28">
      <c r="A504" s="374" t="s">
        <v>1235</v>
      </c>
      <c r="B504" s="373">
        <v>48.46</v>
      </c>
      <c r="C504" s="374">
        <v>48.4</v>
      </c>
      <c r="D504" s="374">
        <v>48.74</v>
      </c>
      <c r="E504" s="374">
        <v>48.09</v>
      </c>
      <c r="F504" s="374" t="s">
        <v>1236</v>
      </c>
      <c r="G504" s="375">
        <v>2.5000000000000001E-3</v>
      </c>
      <c r="H504" s="376">
        <f t="shared" si="48"/>
        <v>9.9296648738098634E-6</v>
      </c>
      <c r="I504" s="376" t="e">
        <f t="shared" si="49"/>
        <v>#DIV/0!</v>
      </c>
      <c r="J504" s="374" t="e">
        <f t="shared" si="47"/>
        <v>#DIV/0!</v>
      </c>
      <c r="L504" s="189" t="s">
        <v>186</v>
      </c>
      <c r="M504" s="195">
        <v>7.0000000000000007E-2</v>
      </c>
      <c r="N504" s="184"/>
      <c r="O504" s="184"/>
      <c r="P504" s="184"/>
      <c r="Q504" s="184"/>
      <c r="R504" s="184"/>
      <c r="S504" s="184"/>
      <c r="T504" s="184"/>
      <c r="U504" s="184"/>
      <c r="V504" s="184"/>
      <c r="Z504" s="43">
        <v>46</v>
      </c>
      <c r="AA504" s="366">
        <f t="shared" si="51"/>
        <v>8.076823164039638</v>
      </c>
      <c r="AB504" s="367">
        <f t="shared" si="52"/>
        <v>-2.9531768359603632</v>
      </c>
    </row>
    <row r="505" spans="1:28">
      <c r="A505" s="374" t="s">
        <v>1237</v>
      </c>
      <c r="B505" s="373">
        <v>48.34</v>
      </c>
      <c r="C505" s="374">
        <v>47.5</v>
      </c>
      <c r="D505" s="374">
        <v>48.47</v>
      </c>
      <c r="E505" s="374">
        <v>47.42</v>
      </c>
      <c r="F505" s="374" t="s">
        <v>619</v>
      </c>
      <c r="G505" s="375">
        <v>2.2599999999999999E-2</v>
      </c>
      <c r="H505" s="376">
        <f t="shared" si="48"/>
        <v>9.0543685212608689E-5</v>
      </c>
      <c r="I505" s="376" t="e">
        <f t="shared" si="49"/>
        <v>#DIV/0!</v>
      </c>
      <c r="J505" s="374" t="e">
        <f t="shared" si="47"/>
        <v>#DIV/0!</v>
      </c>
      <c r="L505" s="189" t="s">
        <v>189</v>
      </c>
      <c r="M505" s="201">
        <v>0</v>
      </c>
      <c r="N505" s="184"/>
      <c r="O505" s="184"/>
      <c r="P505" s="184"/>
      <c r="Q505" s="184"/>
      <c r="R505" s="184"/>
      <c r="S505" s="184"/>
      <c r="T505" s="184"/>
      <c r="U505" s="184"/>
      <c r="V505" s="184"/>
      <c r="Z505" s="43">
        <v>47</v>
      </c>
      <c r="AA505" s="366">
        <f t="shared" si="51"/>
        <v>9.076823164039638</v>
      </c>
      <c r="AB505" s="367">
        <f t="shared" si="52"/>
        <v>-2.9531768359603632</v>
      </c>
    </row>
    <row r="506" spans="1:28" ht="17.5" thickBot="1">
      <c r="A506" s="374" t="s">
        <v>1238</v>
      </c>
      <c r="B506" s="373">
        <v>47.27</v>
      </c>
      <c r="C506" s="374">
        <v>47.07</v>
      </c>
      <c r="D506" s="374">
        <v>47.92</v>
      </c>
      <c r="E506" s="374">
        <v>47.07</v>
      </c>
      <c r="F506" s="374" t="s">
        <v>1239</v>
      </c>
      <c r="G506" s="375">
        <v>6.4000000000000003E-3</v>
      </c>
      <c r="H506" s="376">
        <f t="shared" si="48"/>
        <v>2.5548222269534016E-5</v>
      </c>
      <c r="I506" s="376" t="e">
        <f t="shared" si="49"/>
        <v>#DIV/0!</v>
      </c>
      <c r="J506" s="374" t="e">
        <f t="shared" si="47"/>
        <v>#DIV/0!</v>
      </c>
      <c r="L506" s="202" t="s">
        <v>1032</v>
      </c>
      <c r="M506" s="203">
        <f>M503/(2*(M504-M505))</f>
        <v>1.7643499999999999E-2</v>
      </c>
      <c r="N506" s="184"/>
      <c r="O506" s="184"/>
      <c r="P506" s="184"/>
      <c r="Q506" s="184"/>
      <c r="R506" s="184"/>
      <c r="S506" s="184"/>
      <c r="T506" s="184"/>
      <c r="U506" s="184"/>
      <c r="V506" s="184"/>
      <c r="Z506" s="43">
        <v>48</v>
      </c>
      <c r="AA506" s="366">
        <f t="shared" si="51"/>
        <v>10.076823164039638</v>
      </c>
      <c r="AB506" s="367">
        <f t="shared" si="52"/>
        <v>-2.9531768359603632</v>
      </c>
    </row>
    <row r="507" spans="1:28" ht="16.5" thickBot="1">
      <c r="A507" s="374" t="s">
        <v>1240</v>
      </c>
      <c r="B507" s="373">
        <v>46.97</v>
      </c>
      <c r="C507" s="374">
        <v>47.57</v>
      </c>
      <c r="D507" s="374">
        <v>48.11</v>
      </c>
      <c r="E507" s="374">
        <v>46.88</v>
      </c>
      <c r="F507" s="374" t="s">
        <v>1241</v>
      </c>
      <c r="G507" s="375">
        <v>-1.2E-2</v>
      </c>
      <c r="H507" s="376">
        <f t="shared" si="48"/>
        <v>-4.795961295750928E-5</v>
      </c>
      <c r="I507" s="376" t="e">
        <f t="shared" si="49"/>
        <v>#DIV/0!</v>
      </c>
      <c r="J507" s="374" t="e">
        <f t="shared" si="47"/>
        <v>#DIV/0!</v>
      </c>
      <c r="L507" s="184"/>
      <c r="M507" s="184"/>
      <c r="N507" s="184"/>
      <c r="O507" s="184"/>
      <c r="P507" s="184"/>
      <c r="Q507" s="184"/>
      <c r="R507" s="184"/>
      <c r="S507" s="184"/>
      <c r="T507" s="184"/>
      <c r="U507" s="184"/>
      <c r="V507" s="184"/>
      <c r="Z507" s="43">
        <v>49</v>
      </c>
      <c r="AA507" s="366">
        <f t="shared" si="51"/>
        <v>11.076823164039638</v>
      </c>
      <c r="AB507" s="367">
        <f t="shared" si="52"/>
        <v>-2.9531768359603632</v>
      </c>
    </row>
    <row r="508" spans="1:28" ht="16.5" thickBot="1">
      <c r="A508" s="374" t="s">
        <v>1242</v>
      </c>
      <c r="B508" s="373">
        <v>47.54</v>
      </c>
      <c r="C508" s="374">
        <v>48.85</v>
      </c>
      <c r="D508" s="374">
        <v>49.12</v>
      </c>
      <c r="E508" s="374">
        <v>47.25</v>
      </c>
      <c r="F508" s="374" t="s">
        <v>619</v>
      </c>
      <c r="G508" s="375">
        <v>-2.6200000000000001E-2</v>
      </c>
      <c r="H508" s="376" t="e">
        <f t="shared" si="48"/>
        <v>#DIV/0!</v>
      </c>
      <c r="I508" s="376" t="e">
        <f t="shared" si="49"/>
        <v>#DIV/0!</v>
      </c>
      <c r="J508" s="374" t="e">
        <f t="shared" si="47"/>
        <v>#DIV/0!</v>
      </c>
      <c r="L508" s="474" t="s">
        <v>1069</v>
      </c>
      <c r="M508" s="475"/>
      <c r="N508" s="184"/>
      <c r="O508" s="184"/>
      <c r="P508" s="184"/>
      <c r="Q508" s="184"/>
      <c r="R508" s="184"/>
      <c r="S508" s="184"/>
      <c r="T508" s="184"/>
      <c r="U508" s="184"/>
      <c r="V508" s="184"/>
      <c r="Z508" s="43">
        <v>50</v>
      </c>
      <c r="AA508" s="366">
        <f t="shared" si="51"/>
        <v>12.076823164039638</v>
      </c>
      <c r="AB508" s="367">
        <f t="shared" si="52"/>
        <v>-2.9531768359603632</v>
      </c>
    </row>
    <row r="509" spans="1:28" ht="16.5">
      <c r="L509" s="189" t="s">
        <v>177</v>
      </c>
      <c r="M509" s="204">
        <f>M499</f>
        <v>34.97</v>
      </c>
      <c r="N509" s="184"/>
      <c r="O509" s="35" t="s">
        <v>201</v>
      </c>
      <c r="P509" s="40">
        <f>(LN(M509/M510)+(M513-M514+0.5*(M512)^2)*M511)/(M512*SQRT(M511))</f>
        <v>1.4333007042253523</v>
      </c>
      <c r="Q509" s="184"/>
      <c r="R509" s="184"/>
      <c r="S509" s="184"/>
      <c r="T509" s="184"/>
      <c r="U509" s="184"/>
      <c r="V509" s="184"/>
      <c r="Z509" s="43">
        <v>51</v>
      </c>
      <c r="AA509" s="366">
        <f t="shared" si="51"/>
        <v>13.076823164039638</v>
      </c>
      <c r="AB509" s="367">
        <f t="shared" si="52"/>
        <v>-2.9531768359603632</v>
      </c>
    </row>
    <row r="510" spans="1:28" ht="16.5">
      <c r="L510" s="41" t="s">
        <v>1095</v>
      </c>
      <c r="M510" s="204">
        <f>M500</f>
        <v>34.97</v>
      </c>
      <c r="N510" s="184"/>
      <c r="O510" s="41" t="s">
        <v>204</v>
      </c>
      <c r="P510" s="46">
        <f>P509-M512*SQRT(M511)</f>
        <v>1.3836007042253522</v>
      </c>
      <c r="Q510" s="184"/>
      <c r="R510" s="184"/>
      <c r="S510" s="184"/>
      <c r="T510" s="184"/>
      <c r="U510" s="184"/>
      <c r="V510" s="184"/>
      <c r="Z510" s="43">
        <v>52</v>
      </c>
      <c r="AA510" s="366">
        <f t="shared" si="51"/>
        <v>14.076823164039638</v>
      </c>
      <c r="AB510" s="367">
        <f t="shared" si="52"/>
        <v>-2.9531768359603632</v>
      </c>
    </row>
    <row r="511" spans="1:28" ht="16.5">
      <c r="L511" s="189" t="s">
        <v>1015</v>
      </c>
      <c r="M511" s="204">
        <f>M501</f>
        <v>1</v>
      </c>
      <c r="N511" s="184"/>
      <c r="O511" s="41" t="s">
        <v>1044</v>
      </c>
      <c r="P511" s="46">
        <f>_xlfn.NORM.S.DIST(P509,TRUE)</f>
        <v>0.92411403958563276</v>
      </c>
      <c r="Q511" s="184"/>
      <c r="R511" s="184"/>
      <c r="S511" s="184"/>
      <c r="T511" s="184"/>
      <c r="U511" s="184"/>
      <c r="V511" s="184"/>
      <c r="Z511" s="43">
        <v>53</v>
      </c>
      <c r="AA511" s="366">
        <f t="shared" si="51"/>
        <v>15.076823164039638</v>
      </c>
      <c r="AB511" s="367">
        <f t="shared" si="52"/>
        <v>-2.9531768359603632</v>
      </c>
    </row>
    <row r="512" spans="1:28" ht="16.5">
      <c r="L512" s="189" t="s">
        <v>1021</v>
      </c>
      <c r="M512" s="205">
        <f>M502</f>
        <v>4.9700000000000001E-2</v>
      </c>
      <c r="N512" s="184"/>
      <c r="O512" s="41" t="s">
        <v>1047</v>
      </c>
      <c r="P512" s="46">
        <f>_xlfn.NORM.S.DIST(P510,TRUE)</f>
        <v>0.91675962371072417</v>
      </c>
      <c r="Q512" s="184"/>
      <c r="R512" s="184"/>
      <c r="S512" s="184"/>
      <c r="T512" s="184"/>
      <c r="U512" s="184"/>
      <c r="V512" s="184"/>
      <c r="Z512" s="43">
        <v>54</v>
      </c>
      <c r="AA512" s="366">
        <f t="shared" si="51"/>
        <v>16.076823164039638</v>
      </c>
      <c r="AB512" s="367">
        <f t="shared" si="52"/>
        <v>-2.9531768359603632</v>
      </c>
    </row>
    <row r="513" spans="12:28" ht="16.5">
      <c r="L513" s="189" t="s">
        <v>186</v>
      </c>
      <c r="M513" s="57">
        <f>M504</f>
        <v>7.0000000000000007E-2</v>
      </c>
      <c r="N513" s="184"/>
      <c r="O513" s="41" t="s">
        <v>1126</v>
      </c>
      <c r="P513" s="46">
        <f>_xlfn.NORM.S.DIST(-P509,TRUE)</f>
        <v>7.5885960414367196E-2</v>
      </c>
      <c r="Q513" s="184"/>
      <c r="R513" s="184"/>
      <c r="S513" s="184"/>
      <c r="T513" s="184"/>
      <c r="U513" s="184"/>
      <c r="V513" s="184"/>
      <c r="Z513" s="43">
        <v>55</v>
      </c>
      <c r="AA513" s="366">
        <f t="shared" si="51"/>
        <v>17.076823164039638</v>
      </c>
      <c r="AB513" s="367">
        <f t="shared" si="52"/>
        <v>-2.9531768359603632</v>
      </c>
    </row>
    <row r="514" spans="12:28" ht="17" thickBot="1">
      <c r="L514" s="206" t="s">
        <v>189</v>
      </c>
      <c r="M514" s="207">
        <f>M505</f>
        <v>0</v>
      </c>
      <c r="N514" s="184"/>
      <c r="O514" s="59" t="s">
        <v>1129</v>
      </c>
      <c r="P514" s="50">
        <f>_xlfn.NORM.S.DIST(-P510,TRUE)</f>
        <v>8.3240376289275789E-2</v>
      </c>
      <c r="Q514" s="184"/>
      <c r="R514" s="184"/>
      <c r="S514" s="184"/>
      <c r="T514" s="184"/>
      <c r="U514" s="184"/>
      <c r="V514" s="184"/>
      <c r="Z514" s="43">
        <v>56</v>
      </c>
      <c r="AA514" s="366">
        <f t="shared" si="51"/>
        <v>18.076823164039638</v>
      </c>
      <c r="AB514" s="367">
        <f t="shared" si="52"/>
        <v>-2.9531768359603632</v>
      </c>
    </row>
    <row r="515" spans="12:28">
      <c r="L515" s="184"/>
      <c r="M515" s="184"/>
      <c r="N515" s="184"/>
      <c r="O515" s="184"/>
      <c r="P515" s="184"/>
      <c r="Q515" s="184"/>
      <c r="R515" s="184"/>
      <c r="S515" s="184"/>
      <c r="T515" s="184"/>
      <c r="U515" s="184"/>
      <c r="V515" s="184"/>
      <c r="Z515" s="43">
        <v>57</v>
      </c>
      <c r="AA515" s="366">
        <f t="shared" si="51"/>
        <v>19.076823164039638</v>
      </c>
      <c r="AB515" s="367">
        <f t="shared" si="52"/>
        <v>-2.9531768359603632</v>
      </c>
    </row>
    <row r="516" spans="12:28" ht="16.5" thickBot="1">
      <c r="L516" s="184"/>
      <c r="M516" s="184"/>
      <c r="N516" s="184"/>
      <c r="O516" s="184"/>
      <c r="P516" s="184"/>
      <c r="Q516" s="184"/>
      <c r="R516" s="184"/>
      <c r="S516" s="184"/>
      <c r="T516" s="184"/>
      <c r="U516" s="184"/>
      <c r="V516" s="184"/>
      <c r="Z516" s="329">
        <v>58</v>
      </c>
      <c r="AA516" s="368">
        <f t="shared" si="51"/>
        <v>20.076823164039638</v>
      </c>
      <c r="AB516" s="369">
        <f t="shared" si="52"/>
        <v>-2.9531768359603632</v>
      </c>
    </row>
    <row r="517" spans="12:28" ht="16.5" thickBot="1">
      <c r="M517" s="184"/>
      <c r="N517" s="184"/>
      <c r="O517" s="184"/>
      <c r="P517" s="184"/>
      <c r="Q517" s="184"/>
      <c r="R517" s="184"/>
      <c r="S517" s="184"/>
      <c r="T517" s="184"/>
      <c r="U517" s="184"/>
      <c r="V517" s="184"/>
    </row>
    <row r="518" spans="12:28" ht="93">
      <c r="L518" s="208" t="s">
        <v>1062</v>
      </c>
      <c r="M518" s="209" t="s">
        <v>1138</v>
      </c>
      <c r="N518" s="184"/>
      <c r="O518" s="126" t="s">
        <v>1243</v>
      </c>
      <c r="P518" s="184"/>
      <c r="Q518" s="184"/>
      <c r="R518" s="184"/>
      <c r="S518" s="184"/>
      <c r="T518" s="184"/>
      <c r="U518" s="184"/>
      <c r="V518" s="184"/>
    </row>
    <row r="519" spans="12:28">
      <c r="L519" s="360" t="s">
        <v>1066</v>
      </c>
      <c r="M519" s="361">
        <f>P498+R498-T498 +M500*EXP(-M504*M501) - M499*EXP(-M505*M501)</f>
        <v>-1.7815146065740421</v>
      </c>
      <c r="N519" s="184"/>
      <c r="O519" s="184"/>
      <c r="P519" s="184"/>
      <c r="Q519" s="184"/>
      <c r="R519" s="184"/>
      <c r="S519" s="184"/>
      <c r="T519" s="184"/>
      <c r="U519" s="184"/>
      <c r="V519" s="184"/>
    </row>
    <row r="520" spans="12:28">
      <c r="L520" s="41" t="s">
        <v>1069</v>
      </c>
      <c r="M520" s="210">
        <f>M510*(EXP(-M513*M511))*P514-M509*P513</f>
        <v>6.0388014593839578E-2</v>
      </c>
      <c r="N520" s="184"/>
      <c r="O520" s="184"/>
      <c r="P520" s="184"/>
      <c r="Q520" s="184"/>
      <c r="R520" s="184"/>
      <c r="S520" s="184"/>
      <c r="T520" s="184"/>
      <c r="U520" s="184"/>
      <c r="V520" s="184"/>
    </row>
    <row r="521" spans="12:28" ht="16.5" thickBot="1">
      <c r="L521" s="59" t="s">
        <v>1072</v>
      </c>
      <c r="M521" s="211">
        <f>M519/M520</f>
        <v>-29.501128966670507</v>
      </c>
      <c r="N521" s="184"/>
      <c r="O521" s="184"/>
      <c r="P521" s="184"/>
      <c r="Q521" s="184"/>
      <c r="R521" s="184"/>
      <c r="S521" s="184"/>
      <c r="T521" s="184"/>
      <c r="U521" s="184"/>
      <c r="V521" s="184"/>
    </row>
    <row r="522" spans="12:28">
      <c r="L522" s="216"/>
      <c r="M522" s="216"/>
      <c r="N522" s="216"/>
      <c r="O522" s="216"/>
      <c r="P522" s="216"/>
      <c r="Q522" s="216"/>
      <c r="R522" s="216"/>
      <c r="S522" s="216"/>
      <c r="T522" s="216"/>
    </row>
    <row r="523" spans="12:28">
      <c r="L523" s="216"/>
      <c r="M523" s="216"/>
      <c r="N523" s="216"/>
      <c r="O523" s="216"/>
      <c r="P523" s="216"/>
      <c r="Q523" s="216"/>
      <c r="R523" s="216"/>
      <c r="S523" s="216"/>
      <c r="T523" s="216"/>
    </row>
    <row r="524" spans="12:28">
      <c r="L524" s="216"/>
      <c r="M524" s="216"/>
      <c r="N524" s="216"/>
      <c r="O524" s="216"/>
      <c r="P524" s="216"/>
      <c r="Q524" s="216"/>
      <c r="R524" s="216"/>
      <c r="S524" s="216"/>
      <c r="T524" s="216"/>
    </row>
    <row r="525" spans="12:28">
      <c r="L525" s="216"/>
      <c r="M525" s="216"/>
      <c r="N525" s="216"/>
      <c r="O525" s="216"/>
      <c r="P525" s="216"/>
      <c r="Q525" s="216"/>
      <c r="R525" s="216"/>
      <c r="S525" s="216"/>
      <c r="T525" s="216"/>
    </row>
    <row r="526" spans="12:28">
      <c r="L526" s="216" t="s">
        <v>1244</v>
      </c>
      <c r="M526" s="216"/>
      <c r="N526" s="216" t="s">
        <v>1245</v>
      </c>
      <c r="O526" s="216"/>
      <c r="P526" s="216"/>
      <c r="Q526" s="216"/>
      <c r="R526" s="216"/>
      <c r="S526" s="216"/>
      <c r="T526" s="216"/>
    </row>
    <row r="527" spans="12:28">
      <c r="L527" s="216"/>
      <c r="M527" s="216"/>
      <c r="N527" s="216"/>
      <c r="O527" s="216"/>
      <c r="P527" s="216"/>
      <c r="Q527" s="216"/>
      <c r="R527" s="216"/>
      <c r="S527" s="216"/>
      <c r="T527" s="216"/>
    </row>
    <row r="528" spans="12:28" ht="16.5" thickBot="1">
      <c r="L528" s="1" t="s">
        <v>1246</v>
      </c>
      <c r="T528" s="183"/>
      <c r="U528" s="183"/>
      <c r="V528" s="183"/>
      <c r="W528" s="183"/>
      <c r="X528" s="183"/>
      <c r="Y528" s="183"/>
    </row>
    <row r="529" spans="12:25" ht="16.5">
      <c r="L529" s="35" t="s">
        <v>1247</v>
      </c>
      <c r="M529" s="36">
        <v>34.97</v>
      </c>
      <c r="O529" s="37" t="s">
        <v>1248</v>
      </c>
      <c r="P529" s="38">
        <f>(LN(M529/M538)+(M534-M537+0.5*M536)*M530)/(M535*SQRT(M530))</f>
        <v>-36.557796998409081</v>
      </c>
      <c r="Q529" s="39" t="s">
        <v>1249</v>
      </c>
      <c r="R529" s="40">
        <f>P529-M535*SQRT(M530)</f>
        <v>-36.58279699840908</v>
      </c>
      <c r="T529" s="183"/>
      <c r="U529" s="183"/>
      <c r="V529" s="183"/>
      <c r="W529" s="183"/>
      <c r="X529" s="183"/>
      <c r="Y529" s="183"/>
    </row>
    <row r="530" spans="12:25" ht="16.5">
      <c r="L530" s="41" t="s">
        <v>1250</v>
      </c>
      <c r="M530" s="42">
        <f>3/12</f>
        <v>0.25</v>
      </c>
      <c r="O530" s="43" t="s">
        <v>1090</v>
      </c>
      <c r="P530" s="44">
        <f>(LN(M529/M533)+(M534-M537+0.5*M536)*M531)/(M535*SQRT(M531))</f>
        <v>-8.963496399258986</v>
      </c>
      <c r="Q530" s="45" t="s">
        <v>1096</v>
      </c>
      <c r="R530" s="46">
        <f>P530-M535*SQRT(M531)</f>
        <v>-8.9988517383183133</v>
      </c>
      <c r="T530" s="183"/>
    </row>
    <row r="531" spans="12:25" ht="17" thickBot="1">
      <c r="L531" s="41" t="s">
        <v>352</v>
      </c>
      <c r="M531" s="42">
        <f>6/12</f>
        <v>0.5</v>
      </c>
      <c r="O531" s="47" t="s">
        <v>186</v>
      </c>
      <c r="P531" s="48">
        <f>SQRT(M530/M531)</f>
        <v>0.70710678118654757</v>
      </c>
      <c r="Q531" s="49" t="s">
        <v>1251</v>
      </c>
      <c r="R531" s="50">
        <f>NORMSDIST(-R529)</f>
        <v>1</v>
      </c>
      <c r="T531" s="183"/>
    </row>
    <row r="532" spans="12:25" ht="17" thickBot="1">
      <c r="L532" s="41" t="s">
        <v>195</v>
      </c>
      <c r="M532" s="51">
        <v>40</v>
      </c>
      <c r="T532" s="183"/>
    </row>
    <row r="533" spans="12:25" ht="16.5">
      <c r="L533" s="41" t="s">
        <v>198</v>
      </c>
      <c r="M533" s="51">
        <v>50</v>
      </c>
      <c r="O533" s="35"/>
      <c r="P533" s="52" t="s">
        <v>1252</v>
      </c>
      <c r="Q533" s="217">
        <v>0</v>
      </c>
      <c r="T533" s="183"/>
    </row>
    <row r="534" spans="12:25" ht="17" thickBot="1">
      <c r="L534" s="41" t="s">
        <v>186</v>
      </c>
      <c r="M534" s="53">
        <v>0.08</v>
      </c>
      <c r="O534" s="54"/>
      <c r="P534" s="55" t="s">
        <v>1253</v>
      </c>
      <c r="Q534" s="218">
        <v>0</v>
      </c>
      <c r="T534" s="183"/>
    </row>
    <row r="535" spans="12:25" ht="16.5" thickBot="1">
      <c r="L535" s="56" t="s">
        <v>183</v>
      </c>
      <c r="M535" s="57">
        <v>0.05</v>
      </c>
      <c r="T535" s="183"/>
    </row>
    <row r="536" spans="12:25" ht="17.5" thickBot="1">
      <c r="L536" s="56" t="s">
        <v>1254</v>
      </c>
      <c r="M536" s="57">
        <f>M535^2</f>
        <v>2.5000000000000005E-3</v>
      </c>
      <c r="N536" s="58"/>
      <c r="O536" s="219" t="s">
        <v>1255</v>
      </c>
      <c r="P536" s="220">
        <f>M533*(EXP(-M534*M531))*Q533-M529*(EXP(-M537*M531))*Q534+M532*(EXP(-M534*M530))*NORMSDIST(-R529)</f>
        <v>39.207946932270211</v>
      </c>
      <c r="T536" s="183"/>
    </row>
    <row r="537" spans="12:25">
      <c r="L537" s="41" t="s">
        <v>189</v>
      </c>
      <c r="M537" s="57">
        <v>0</v>
      </c>
      <c r="T537" s="183"/>
    </row>
    <row r="538" spans="12:25" ht="16.5" thickBot="1">
      <c r="L538" s="59" t="s">
        <v>1256</v>
      </c>
      <c r="M538" s="60">
        <f>M541</f>
        <v>89.009933515311218</v>
      </c>
      <c r="T538" s="183"/>
    </row>
    <row r="539" spans="12:25">
      <c r="T539" s="183"/>
    </row>
    <row r="540" spans="12:25" ht="93.5" thickBot="1">
      <c r="L540" s="183" t="s">
        <v>1257</v>
      </c>
      <c r="M540" s="183"/>
      <c r="N540" s="183"/>
      <c r="O540" s="183"/>
      <c r="P540" s="183"/>
      <c r="Q540" s="183"/>
      <c r="R540" s="183"/>
      <c r="S540" s="183"/>
      <c r="T540" s="183"/>
      <c r="U540" s="221"/>
      <c r="V540" s="183"/>
      <c r="W540" s="183"/>
      <c r="X540" s="183"/>
      <c r="Y540" s="183"/>
    </row>
    <row r="541" spans="12:25">
      <c r="L541" s="35" t="s">
        <v>1256</v>
      </c>
      <c r="M541" s="222">
        <v>89.009933515311218</v>
      </c>
      <c r="N541" s="61"/>
      <c r="O541" s="62"/>
      <c r="X541" s="183"/>
      <c r="Y541" s="183"/>
    </row>
    <row r="542" spans="12:25">
      <c r="L542" s="31" t="s">
        <v>245</v>
      </c>
      <c r="M542" s="63">
        <f>M533</f>
        <v>50</v>
      </c>
      <c r="N542" s="62"/>
      <c r="O542" s="62"/>
      <c r="X542" s="183"/>
      <c r="Y542" s="183"/>
    </row>
    <row r="543" spans="12:25" ht="16.5">
      <c r="L543" s="41" t="s">
        <v>1258</v>
      </c>
      <c r="M543" s="64">
        <f>M531-M530</f>
        <v>0.25</v>
      </c>
      <c r="N543" s="62"/>
      <c r="O543" s="62"/>
      <c r="X543" s="183"/>
      <c r="Y543" s="183"/>
    </row>
    <row r="544" spans="12:25">
      <c r="L544" s="65" t="s">
        <v>183</v>
      </c>
      <c r="M544" s="66">
        <f>+M535</f>
        <v>0.05</v>
      </c>
      <c r="N544" s="62"/>
      <c r="O544" s="62"/>
      <c r="X544" s="183"/>
      <c r="Y544" s="183"/>
    </row>
    <row r="545" spans="12:37">
      <c r="L545" s="31" t="s">
        <v>186</v>
      </c>
      <c r="M545" s="67">
        <f>+M534</f>
        <v>0.08</v>
      </c>
      <c r="N545" s="62"/>
      <c r="X545" s="183"/>
      <c r="Y545" s="183"/>
    </row>
    <row r="546" spans="12:37" ht="16.5" thickBot="1">
      <c r="L546" s="68" t="s">
        <v>189</v>
      </c>
      <c r="M546" s="69">
        <f>+M537</f>
        <v>0</v>
      </c>
      <c r="N546" s="62"/>
      <c r="X546" s="183"/>
      <c r="Y546" s="183"/>
    </row>
    <row r="547" spans="12:37">
      <c r="X547" s="183"/>
      <c r="Y547" s="183"/>
    </row>
    <row r="548" spans="12:37" ht="16.5" thickBot="1">
      <c r="L548" s="62"/>
      <c r="M548" s="61"/>
      <c r="N548" s="62"/>
      <c r="X548" s="183"/>
      <c r="Y548" s="183"/>
    </row>
    <row r="549" spans="12:37" ht="16.5">
      <c r="L549" s="35" t="s">
        <v>201</v>
      </c>
      <c r="M549" s="70">
        <f>+(LN(M541/M542)+(M545-M546+M544^2/2)*M543)/(M544*SQRT(M543))</f>
        <v>23.881498824294606</v>
      </c>
      <c r="N549" s="71"/>
      <c r="X549" s="183"/>
      <c r="Y549" s="183"/>
    </row>
    <row r="550" spans="12:37" ht="17" thickBot="1">
      <c r="L550" s="41" t="s">
        <v>204</v>
      </c>
      <c r="M550" s="72">
        <f>+M549-M544*SQRT(M543)</f>
        <v>23.856498824294608</v>
      </c>
      <c r="N550" s="62"/>
      <c r="X550" s="183"/>
      <c r="Y550" s="183"/>
    </row>
    <row r="551" spans="12:37" ht="16.5">
      <c r="L551" s="41" t="s">
        <v>1259</v>
      </c>
      <c r="M551" s="72">
        <f>+NORMSDIST(M549)</f>
        <v>1</v>
      </c>
      <c r="N551" s="62"/>
      <c r="X551" s="183"/>
      <c r="Y551" s="183"/>
      <c r="AG551" s="155" t="s">
        <v>178</v>
      </c>
      <c r="AH551" s="322" t="s">
        <v>1260</v>
      </c>
      <c r="AI551" s="322" t="s">
        <v>1261</v>
      </c>
      <c r="AJ551" s="322" t="s">
        <v>1262</v>
      </c>
      <c r="AK551" s="292" t="s">
        <v>1263</v>
      </c>
    </row>
    <row r="552" spans="12:37" ht="17" thickBot="1">
      <c r="L552" s="59" t="s">
        <v>1264</v>
      </c>
      <c r="M552" s="73">
        <f>+NORMSDIST(M550)</f>
        <v>1</v>
      </c>
      <c r="N552" s="62"/>
      <c r="O552" s="62"/>
      <c r="X552" s="183"/>
      <c r="Y552" s="183"/>
      <c r="AG552" s="266">
        <v>40</v>
      </c>
      <c r="AH552" s="362">
        <f>MAX(AG552-M$554,0) -P$536</f>
        <v>-39.207946782243667</v>
      </c>
      <c r="AI552" s="362">
        <f>MAX(M$554 -AG552,0) -P$536</f>
        <v>-39.207946932270211</v>
      </c>
      <c r="AJ552" s="362">
        <f>MAX(AG552 - M$615,0 ) -P$597</f>
        <v>-384.91885011566035</v>
      </c>
      <c r="AK552" s="363">
        <f>MAX(M$645 -AG552,0) -P$627</f>
        <v>9.7039105733970743</v>
      </c>
    </row>
    <row r="553" spans="12:37" ht="16.5" thickBot="1">
      <c r="L553" s="62"/>
      <c r="M553" s="61"/>
      <c r="N553" s="62"/>
      <c r="O553" s="62"/>
      <c r="X553" s="183"/>
      <c r="Y553" s="183"/>
      <c r="AG553" s="266">
        <v>41</v>
      </c>
      <c r="AH553" s="362">
        <f t="shared" ref="AH553:AH584" si="54">MAX(AG553-M$554,0) -P$536</f>
        <v>-38.207946782243667</v>
      </c>
      <c r="AI553" s="362">
        <f t="shared" ref="AI553:AI584" si="55">MAX(M$554 -AG553,0) -P$536</f>
        <v>-39.207946932270211</v>
      </c>
      <c r="AJ553" s="362">
        <f t="shared" ref="AJ553:AJ584" si="56">MAX(AG553 - M$615,0 ) -P$597</f>
        <v>-384.91885011566035</v>
      </c>
      <c r="AK553" s="363">
        <f t="shared" ref="AK553:AK584" si="57">MAX(M$645 -AG553,0) -P$627</f>
        <v>8.7039105733970743</v>
      </c>
    </row>
    <row r="554" spans="12:37" ht="16.5" thickBot="1">
      <c r="L554" s="74" t="s">
        <v>1265</v>
      </c>
      <c r="M554" s="75">
        <f>M541*EXP(-M546*M543)*M551-M542*EXP(-M545*M543)*M552</f>
        <v>39.999999849973456</v>
      </c>
      <c r="N554" s="62"/>
      <c r="O554" s="76"/>
      <c r="X554" s="183"/>
      <c r="Y554" s="183"/>
      <c r="AG554" s="266">
        <v>42</v>
      </c>
      <c r="AH554" s="362">
        <f t="shared" si="54"/>
        <v>-37.207946782243667</v>
      </c>
      <c r="AI554" s="362">
        <f t="shared" si="55"/>
        <v>-39.207946932270211</v>
      </c>
      <c r="AJ554" s="362">
        <f t="shared" si="56"/>
        <v>-384.91885011566035</v>
      </c>
      <c r="AK554" s="363">
        <f t="shared" si="57"/>
        <v>7.7039105733970743</v>
      </c>
    </row>
    <row r="555" spans="12:37">
      <c r="AG555" s="266">
        <v>43</v>
      </c>
      <c r="AH555" s="362">
        <f t="shared" si="54"/>
        <v>-36.207946782243667</v>
      </c>
      <c r="AI555" s="362">
        <f t="shared" si="55"/>
        <v>-39.207946932270211</v>
      </c>
      <c r="AJ555" s="362">
        <f t="shared" si="56"/>
        <v>-384.91885011566035</v>
      </c>
      <c r="AK555" s="363">
        <f t="shared" si="57"/>
        <v>6.7039105733970743</v>
      </c>
    </row>
    <row r="556" spans="12:37">
      <c r="AG556" s="266">
        <v>44</v>
      </c>
      <c r="AH556" s="362">
        <f t="shared" si="54"/>
        <v>-35.207946782243667</v>
      </c>
      <c r="AI556" s="362">
        <f t="shared" si="55"/>
        <v>-39.207946932270211</v>
      </c>
      <c r="AJ556" s="362">
        <f t="shared" si="56"/>
        <v>-384.91885011566035</v>
      </c>
      <c r="AK556" s="363">
        <f t="shared" si="57"/>
        <v>5.7039105733970743</v>
      </c>
    </row>
    <row r="557" spans="12:37">
      <c r="AG557" s="266">
        <v>45</v>
      </c>
      <c r="AH557" s="362">
        <f t="shared" si="54"/>
        <v>-34.207946782243667</v>
      </c>
      <c r="AI557" s="362">
        <f t="shared" si="55"/>
        <v>-39.207946932270211</v>
      </c>
      <c r="AJ557" s="362">
        <f t="shared" si="56"/>
        <v>-384.91885011566035</v>
      </c>
      <c r="AK557" s="363">
        <f t="shared" si="57"/>
        <v>4.7039105733970743</v>
      </c>
    </row>
    <row r="558" spans="12:37">
      <c r="L558" s="1" t="s">
        <v>1266</v>
      </c>
      <c r="AG558" s="266">
        <v>46</v>
      </c>
      <c r="AH558" s="362">
        <f t="shared" si="54"/>
        <v>-33.207946782243667</v>
      </c>
      <c r="AI558" s="362">
        <f t="shared" si="55"/>
        <v>-39.207946932270211</v>
      </c>
      <c r="AJ558" s="362">
        <f t="shared" si="56"/>
        <v>-384.91885011566035</v>
      </c>
      <c r="AK558" s="363">
        <f t="shared" si="57"/>
        <v>3.7039105733970743</v>
      </c>
    </row>
    <row r="559" spans="12:37" ht="16.5" thickBot="1">
      <c r="AG559" s="266">
        <v>47</v>
      </c>
      <c r="AH559" s="362">
        <f t="shared" si="54"/>
        <v>-32.207946782243667</v>
      </c>
      <c r="AI559" s="362">
        <f t="shared" si="55"/>
        <v>-39.207946932270211</v>
      </c>
      <c r="AJ559" s="362">
        <f t="shared" si="56"/>
        <v>-384.91885011566035</v>
      </c>
      <c r="AK559" s="363">
        <f t="shared" si="57"/>
        <v>2.7039105733970743</v>
      </c>
    </row>
    <row r="560" spans="12:37" ht="16.5">
      <c r="L560" s="223" t="s">
        <v>1267</v>
      </c>
      <c r="M560" s="224">
        <v>34.97</v>
      </c>
      <c r="N560" s="225"/>
      <c r="O560" s="226" t="s">
        <v>1268</v>
      </c>
      <c r="P560" s="38">
        <f>(LN(M560/M569)+(M565-M568+0.5*M567)*M561)/(M566*SQRT(M561))</f>
        <v>-108.64578219583213</v>
      </c>
      <c r="Q560" s="227" t="s">
        <v>1269</v>
      </c>
      <c r="R560" s="40">
        <f>P560-M566*SQRT(M561)</f>
        <v>-108.67078219583213</v>
      </c>
      <c r="S560" s="225"/>
      <c r="AG560" s="266">
        <v>48</v>
      </c>
      <c r="AH560" s="362">
        <f t="shared" si="54"/>
        <v>-31.207946782243667</v>
      </c>
      <c r="AI560" s="362">
        <f t="shared" si="55"/>
        <v>-39.207946932270211</v>
      </c>
      <c r="AJ560" s="362">
        <f t="shared" si="56"/>
        <v>-384.91885011566035</v>
      </c>
      <c r="AK560" s="363">
        <f t="shared" si="57"/>
        <v>1.7039105733970743</v>
      </c>
    </row>
    <row r="561" spans="12:37" ht="16.5">
      <c r="L561" s="228" t="s">
        <v>1270</v>
      </c>
      <c r="M561" s="229">
        <v>0.25</v>
      </c>
      <c r="N561" s="225"/>
      <c r="O561" s="230" t="s">
        <v>1271</v>
      </c>
      <c r="P561" s="44">
        <f>(LN(M560/M564)+(M565-M568+0.5*M567)*M562)/(M566*SQRT(M562))</f>
        <v>-9.1049177554962952</v>
      </c>
      <c r="Q561" s="231" t="s">
        <v>1272</v>
      </c>
      <c r="R561" s="46">
        <f>P561-M566*SQRT(M562)</f>
        <v>-9.1402730945556225</v>
      </c>
      <c r="S561" s="225"/>
      <c r="AG561" s="266">
        <v>49</v>
      </c>
      <c r="AH561" s="362">
        <f t="shared" si="54"/>
        <v>-30.207946782243667</v>
      </c>
      <c r="AI561" s="362">
        <f t="shared" si="55"/>
        <v>-39.207946932270211</v>
      </c>
      <c r="AJ561" s="362">
        <f t="shared" si="56"/>
        <v>-384.91885011566035</v>
      </c>
      <c r="AK561" s="363">
        <f t="shared" si="57"/>
        <v>0.7039105733970743</v>
      </c>
    </row>
    <row r="562" spans="12:37" ht="17" thickBot="1">
      <c r="L562" s="228" t="s">
        <v>1273</v>
      </c>
      <c r="M562" s="229">
        <v>0.5</v>
      </c>
      <c r="N562" s="225"/>
      <c r="O562" s="232" t="s">
        <v>186</v>
      </c>
      <c r="P562" s="48">
        <f>SQRT(M561/M562)</f>
        <v>0.70710678118654757</v>
      </c>
      <c r="Q562" s="233" t="s">
        <v>1274</v>
      </c>
      <c r="R562" s="50">
        <f>NORMSDIST(R560)</f>
        <v>0</v>
      </c>
      <c r="S562" s="225"/>
      <c r="AG562" s="266">
        <v>50</v>
      </c>
      <c r="AH562" s="362">
        <f t="shared" si="54"/>
        <v>-29.207946782243667</v>
      </c>
      <c r="AI562" s="362">
        <f t="shared" si="55"/>
        <v>-39.207946932270211</v>
      </c>
      <c r="AJ562" s="362">
        <f t="shared" si="56"/>
        <v>-384.62276068905743</v>
      </c>
      <c r="AK562" s="363">
        <f t="shared" si="57"/>
        <v>0</v>
      </c>
    </row>
    <row r="563" spans="12:37" ht="17" thickBot="1">
      <c r="L563" s="228" t="s">
        <v>1275</v>
      </c>
      <c r="M563" s="229">
        <v>40</v>
      </c>
      <c r="N563" s="225"/>
      <c r="O563" s="225"/>
      <c r="P563" s="225"/>
      <c r="Q563" s="225"/>
      <c r="R563" s="225"/>
      <c r="S563" s="225"/>
      <c r="AG563" s="266">
        <v>51</v>
      </c>
      <c r="AH563" s="362">
        <f t="shared" si="54"/>
        <v>-28.207946782243667</v>
      </c>
      <c r="AI563" s="362">
        <f t="shared" si="55"/>
        <v>-39.207946932270211</v>
      </c>
      <c r="AJ563" s="362">
        <f t="shared" si="56"/>
        <v>-383.62276068905743</v>
      </c>
      <c r="AK563" s="363">
        <f t="shared" si="57"/>
        <v>0</v>
      </c>
    </row>
    <row r="564" spans="12:37" ht="16.5">
      <c r="L564" s="228" t="s">
        <v>1276</v>
      </c>
      <c r="M564" s="229">
        <v>50</v>
      </c>
      <c r="N564" s="225"/>
      <c r="O564" s="223"/>
      <c r="P564" s="234" t="s">
        <v>1277</v>
      </c>
      <c r="Q564" s="235">
        <v>1</v>
      </c>
      <c r="R564" s="225"/>
      <c r="S564" s="225"/>
      <c r="AG564" s="266">
        <v>52</v>
      </c>
      <c r="AH564" s="362">
        <f t="shared" si="54"/>
        <v>-27.207946782243667</v>
      </c>
      <c r="AI564" s="362">
        <f t="shared" si="55"/>
        <v>-39.207946932270211</v>
      </c>
      <c r="AJ564" s="362">
        <f t="shared" si="56"/>
        <v>-382.62276068905743</v>
      </c>
      <c r="AK564" s="363">
        <f t="shared" si="57"/>
        <v>0</v>
      </c>
    </row>
    <row r="565" spans="12:37" ht="17" thickBot="1">
      <c r="L565" s="228" t="s">
        <v>186</v>
      </c>
      <c r="M565" s="236">
        <v>7.0000000000000007E-2</v>
      </c>
      <c r="N565" s="225"/>
      <c r="O565" s="237"/>
      <c r="P565" s="238" t="s">
        <v>1278</v>
      </c>
      <c r="Q565" s="239">
        <v>1</v>
      </c>
      <c r="R565" s="225"/>
      <c r="S565" s="225"/>
      <c r="AG565" s="266">
        <v>53</v>
      </c>
      <c r="AH565" s="362">
        <f t="shared" si="54"/>
        <v>-26.207946782243667</v>
      </c>
      <c r="AI565" s="362">
        <f t="shared" si="55"/>
        <v>-39.207946932270211</v>
      </c>
      <c r="AJ565" s="362">
        <f t="shared" si="56"/>
        <v>-381.62276068905743</v>
      </c>
      <c r="AK565" s="363">
        <f t="shared" si="57"/>
        <v>0</v>
      </c>
    </row>
    <row r="566" spans="12:37" ht="16.5" thickBot="1">
      <c r="L566" s="240" t="s">
        <v>183</v>
      </c>
      <c r="M566" s="241">
        <v>0.05</v>
      </c>
      <c r="N566" s="121"/>
      <c r="O566" s="225"/>
      <c r="P566" s="225"/>
      <c r="Q566" s="225"/>
      <c r="R566" s="225"/>
      <c r="S566" s="225"/>
      <c r="AG566" s="266">
        <v>54</v>
      </c>
      <c r="AH566" s="362">
        <f t="shared" si="54"/>
        <v>-25.207946782243667</v>
      </c>
      <c r="AI566" s="362">
        <f t="shared" si="55"/>
        <v>-39.207946932270211</v>
      </c>
      <c r="AJ566" s="362">
        <f t="shared" si="56"/>
        <v>-380.62276068905743</v>
      </c>
      <c r="AK566" s="363">
        <f t="shared" si="57"/>
        <v>0</v>
      </c>
    </row>
    <row r="567" spans="12:37" ht="17.5" thickBot="1">
      <c r="L567" s="240" t="s">
        <v>1279</v>
      </c>
      <c r="M567" s="241">
        <f>M566^2</f>
        <v>2.5000000000000005E-3</v>
      </c>
      <c r="N567" s="242"/>
      <c r="O567" s="370" t="s">
        <v>1266</v>
      </c>
      <c r="P567" s="371">
        <f>M572*EXP(-M568*M562)*Q564 - M564*EXP(-M565*M562)*Q565 - M563*EXP(-M565*M561)*R562</f>
        <v>40.729729187121684</v>
      </c>
      <c r="Q567" s="225"/>
      <c r="R567" s="225"/>
      <c r="S567" s="225"/>
      <c r="AG567" s="266">
        <v>55</v>
      </c>
      <c r="AH567" s="362">
        <f t="shared" si="54"/>
        <v>-24.207946782243667</v>
      </c>
      <c r="AI567" s="362">
        <f t="shared" si="55"/>
        <v>-39.207946932270211</v>
      </c>
      <c r="AJ567" s="362">
        <f t="shared" si="56"/>
        <v>-379.62276068905743</v>
      </c>
      <c r="AK567" s="363">
        <f t="shared" si="57"/>
        <v>0</v>
      </c>
    </row>
    <row r="568" spans="12:37">
      <c r="L568" s="228" t="s">
        <v>189</v>
      </c>
      <c r="M568" s="241">
        <v>0</v>
      </c>
      <c r="N568" s="225"/>
      <c r="O568" s="225"/>
      <c r="P568" s="225"/>
      <c r="Q568" s="225"/>
      <c r="R568" s="225"/>
      <c r="S568" s="225"/>
      <c r="AG568" s="266">
        <v>56</v>
      </c>
      <c r="AH568" s="362">
        <f t="shared" si="54"/>
        <v>-23.207946782243667</v>
      </c>
      <c r="AI568" s="362">
        <f t="shared" si="55"/>
        <v>-39.207946932270211</v>
      </c>
      <c r="AJ568" s="362">
        <f t="shared" si="56"/>
        <v>-378.62276068905743</v>
      </c>
      <c r="AK568" s="363">
        <f t="shared" si="57"/>
        <v>0</v>
      </c>
    </row>
    <row r="569" spans="12:37" ht="16.5" thickBot="1">
      <c r="L569" s="243" t="s">
        <v>1256</v>
      </c>
      <c r="M569" s="244">
        <v>538.31700000000001</v>
      </c>
      <c r="N569" s="225"/>
      <c r="O569" s="225"/>
      <c r="P569" s="225"/>
      <c r="Q569" s="225"/>
      <c r="R569" s="225"/>
      <c r="S569" s="225"/>
      <c r="AG569" s="266">
        <v>57</v>
      </c>
      <c r="AH569" s="362">
        <f t="shared" si="54"/>
        <v>-22.207946782243667</v>
      </c>
      <c r="AI569" s="362">
        <f t="shared" si="55"/>
        <v>-39.207946932270211</v>
      </c>
      <c r="AJ569" s="362">
        <f t="shared" si="56"/>
        <v>-377.62276068905743</v>
      </c>
      <c r="AK569" s="363">
        <f t="shared" si="57"/>
        <v>0</v>
      </c>
    </row>
    <row r="570" spans="12:37">
      <c r="L570" s="225"/>
      <c r="M570" s="225"/>
      <c r="N570" s="225"/>
      <c r="O570" s="225"/>
      <c r="P570" s="225"/>
      <c r="Q570" s="225"/>
      <c r="R570" s="225"/>
      <c r="S570" s="225"/>
      <c r="AG570" s="266">
        <v>58</v>
      </c>
      <c r="AH570" s="362">
        <f t="shared" si="54"/>
        <v>-21.207946782243667</v>
      </c>
      <c r="AI570" s="362">
        <f t="shared" si="55"/>
        <v>-39.207946932270211</v>
      </c>
      <c r="AJ570" s="362">
        <f t="shared" si="56"/>
        <v>-376.62276068905743</v>
      </c>
      <c r="AK570" s="363">
        <f t="shared" si="57"/>
        <v>0</v>
      </c>
    </row>
    <row r="571" spans="12:37" ht="16.5" thickBot="1">
      <c r="AG571" s="266">
        <v>59</v>
      </c>
      <c r="AH571" s="362">
        <f t="shared" si="54"/>
        <v>-20.207946782243667</v>
      </c>
      <c r="AI571" s="362">
        <f t="shared" si="55"/>
        <v>-39.207946932270211</v>
      </c>
      <c r="AJ571" s="362">
        <f t="shared" si="56"/>
        <v>-375.62276068905743</v>
      </c>
      <c r="AK571" s="363">
        <f t="shared" si="57"/>
        <v>0</v>
      </c>
    </row>
    <row r="572" spans="12:37">
      <c r="L572" s="35" t="s">
        <v>1256</v>
      </c>
      <c r="M572" s="222">
        <v>89.01</v>
      </c>
      <c r="AG572" s="266">
        <v>60</v>
      </c>
      <c r="AH572" s="362">
        <f t="shared" si="54"/>
        <v>-19.207946782243667</v>
      </c>
      <c r="AI572" s="362">
        <f t="shared" si="55"/>
        <v>-39.207946932270211</v>
      </c>
      <c r="AJ572" s="362">
        <f t="shared" si="56"/>
        <v>-374.62276068905743</v>
      </c>
      <c r="AK572" s="363">
        <f t="shared" si="57"/>
        <v>0</v>
      </c>
    </row>
    <row r="573" spans="12:37">
      <c r="L573" s="31" t="s">
        <v>245</v>
      </c>
      <c r="M573" s="63">
        <v>40</v>
      </c>
      <c r="AG573" s="266">
        <v>61</v>
      </c>
      <c r="AH573" s="362">
        <f t="shared" si="54"/>
        <v>-18.207946782243667</v>
      </c>
      <c r="AI573" s="362">
        <f t="shared" si="55"/>
        <v>-39.207946932270211</v>
      </c>
      <c r="AJ573" s="362">
        <f t="shared" si="56"/>
        <v>-373.62276068905743</v>
      </c>
      <c r="AK573" s="363">
        <f t="shared" si="57"/>
        <v>0</v>
      </c>
    </row>
    <row r="574" spans="12:37" ht="16.5">
      <c r="L574" s="41" t="s">
        <v>1258</v>
      </c>
      <c r="M574" s="64">
        <f>M562-M561</f>
        <v>0.25</v>
      </c>
      <c r="AG574" s="266">
        <v>62</v>
      </c>
      <c r="AH574" s="362">
        <f t="shared" si="54"/>
        <v>-17.207946782243667</v>
      </c>
      <c r="AI574" s="362">
        <f t="shared" si="55"/>
        <v>-39.207946932270211</v>
      </c>
      <c r="AJ574" s="362">
        <f t="shared" si="56"/>
        <v>-372.62276068905743</v>
      </c>
      <c r="AK574" s="363">
        <f t="shared" si="57"/>
        <v>0</v>
      </c>
    </row>
    <row r="575" spans="12:37">
      <c r="L575" s="65" t="s">
        <v>183</v>
      </c>
      <c r="M575" s="66">
        <f>+M566</f>
        <v>0.05</v>
      </c>
      <c r="AG575" s="266">
        <v>63</v>
      </c>
      <c r="AH575" s="362">
        <f t="shared" si="54"/>
        <v>-16.207946782243667</v>
      </c>
      <c r="AI575" s="362">
        <f t="shared" si="55"/>
        <v>-39.207946932270211</v>
      </c>
      <c r="AJ575" s="362">
        <f t="shared" si="56"/>
        <v>-371.62276068905743</v>
      </c>
      <c r="AK575" s="363">
        <f t="shared" si="57"/>
        <v>0</v>
      </c>
    </row>
    <row r="576" spans="12:37">
      <c r="L576" s="31" t="s">
        <v>186</v>
      </c>
      <c r="M576" s="67">
        <f>+M565</f>
        <v>7.0000000000000007E-2</v>
      </c>
      <c r="AG576" s="266">
        <v>64</v>
      </c>
      <c r="AH576" s="362">
        <f t="shared" si="54"/>
        <v>-15.207946782243667</v>
      </c>
      <c r="AI576" s="362">
        <f t="shared" si="55"/>
        <v>-39.207946932270211</v>
      </c>
      <c r="AJ576" s="362">
        <f t="shared" si="56"/>
        <v>-370.62276068905743</v>
      </c>
      <c r="AK576" s="363">
        <f t="shared" si="57"/>
        <v>0</v>
      </c>
    </row>
    <row r="577" spans="12:37" ht="16.5" thickBot="1">
      <c r="L577" s="68" t="s">
        <v>189</v>
      </c>
      <c r="M577" s="69">
        <f>+M568</f>
        <v>0</v>
      </c>
      <c r="AG577" s="266">
        <v>65</v>
      </c>
      <c r="AH577" s="362">
        <f t="shared" si="54"/>
        <v>-14.207946782243667</v>
      </c>
      <c r="AI577" s="362">
        <f t="shared" si="55"/>
        <v>-39.207946932270211</v>
      </c>
      <c r="AJ577" s="362">
        <f t="shared" si="56"/>
        <v>-369.62276068905743</v>
      </c>
      <c r="AK577" s="363">
        <f t="shared" si="57"/>
        <v>0</v>
      </c>
    </row>
    <row r="578" spans="12:37">
      <c r="AG578" s="266">
        <v>66</v>
      </c>
      <c r="AH578" s="362">
        <f t="shared" si="54"/>
        <v>-13.207946782243667</v>
      </c>
      <c r="AI578" s="362">
        <f t="shared" si="55"/>
        <v>-39.207946932270211</v>
      </c>
      <c r="AJ578" s="362">
        <f t="shared" si="56"/>
        <v>-368.62276068905743</v>
      </c>
      <c r="AK578" s="363">
        <f t="shared" si="57"/>
        <v>0</v>
      </c>
    </row>
    <row r="579" spans="12:37" ht="16.5" thickBot="1">
      <c r="L579" s="62"/>
      <c r="M579" s="61"/>
      <c r="AG579" s="266">
        <v>67</v>
      </c>
      <c r="AH579" s="362">
        <f t="shared" si="54"/>
        <v>-12.207946782243667</v>
      </c>
      <c r="AI579" s="362">
        <f t="shared" si="55"/>
        <v>-39.207946932270211</v>
      </c>
      <c r="AJ579" s="362">
        <f t="shared" si="56"/>
        <v>-367.62276068905743</v>
      </c>
      <c r="AK579" s="363">
        <f t="shared" si="57"/>
        <v>0</v>
      </c>
    </row>
    <row r="580" spans="12:37" ht="16.5">
      <c r="L580" s="35" t="s">
        <v>201</v>
      </c>
      <c r="M580" s="70">
        <f>+(LN(M572/M573)+(M576-M577+M575^2/2)*M574)/(M575*SQRT(M574))</f>
        <v>32.707270754276152</v>
      </c>
      <c r="AG580" s="266">
        <v>68</v>
      </c>
      <c r="AH580" s="362">
        <f t="shared" si="54"/>
        <v>-11.207946782243667</v>
      </c>
      <c r="AI580" s="362">
        <f t="shared" si="55"/>
        <v>-39.207946932270211</v>
      </c>
      <c r="AJ580" s="362">
        <f t="shared" si="56"/>
        <v>-366.62276068905743</v>
      </c>
      <c r="AK580" s="363">
        <f t="shared" si="57"/>
        <v>0</v>
      </c>
    </row>
    <row r="581" spans="12:37" ht="16.5">
      <c r="L581" s="41" t="s">
        <v>204</v>
      </c>
      <c r="M581" s="72">
        <f>+M580-M575*SQRT(M574)</f>
        <v>32.682270754276153</v>
      </c>
      <c r="AG581" s="266">
        <v>69</v>
      </c>
      <c r="AH581" s="362">
        <f t="shared" si="54"/>
        <v>-10.207946782243667</v>
      </c>
      <c r="AI581" s="362">
        <f t="shared" si="55"/>
        <v>-39.207946932270211</v>
      </c>
      <c r="AJ581" s="362">
        <f t="shared" si="56"/>
        <v>-365.62276068905743</v>
      </c>
      <c r="AK581" s="363">
        <f t="shared" si="57"/>
        <v>0</v>
      </c>
    </row>
    <row r="582" spans="12:37" ht="16.5">
      <c r="L582" s="41" t="s">
        <v>1259</v>
      </c>
      <c r="M582" s="72">
        <f>+NORMSDIST(M580)</f>
        <v>1</v>
      </c>
      <c r="AG582" s="266">
        <v>70</v>
      </c>
      <c r="AH582" s="362">
        <f t="shared" si="54"/>
        <v>-9.2079467822436669</v>
      </c>
      <c r="AI582" s="362">
        <f t="shared" si="55"/>
        <v>-39.207946932270211</v>
      </c>
      <c r="AJ582" s="362">
        <f t="shared" si="56"/>
        <v>-364.62276068905743</v>
      </c>
      <c r="AK582" s="363">
        <f t="shared" si="57"/>
        <v>0</v>
      </c>
    </row>
    <row r="583" spans="12:37" ht="17" thickBot="1">
      <c r="L583" s="59" t="s">
        <v>1264</v>
      </c>
      <c r="M583" s="73">
        <f>+NORMSDIST(M581)</f>
        <v>1</v>
      </c>
      <c r="AG583" s="266">
        <v>71</v>
      </c>
      <c r="AH583" s="362">
        <f t="shared" si="54"/>
        <v>-8.2079467822436669</v>
      </c>
      <c r="AI583" s="362">
        <f t="shared" si="55"/>
        <v>-39.207946932270211</v>
      </c>
      <c r="AJ583" s="362">
        <f t="shared" si="56"/>
        <v>-363.62276068905743</v>
      </c>
      <c r="AK583" s="363">
        <f t="shared" si="57"/>
        <v>0</v>
      </c>
    </row>
    <row r="584" spans="12:37" ht="16.5" thickBot="1">
      <c r="L584" s="62"/>
      <c r="M584" s="61"/>
      <c r="AG584" s="54">
        <v>72</v>
      </c>
      <c r="AH584" s="364">
        <f t="shared" si="54"/>
        <v>-7.2079467822436669</v>
      </c>
      <c r="AI584" s="364">
        <f t="shared" si="55"/>
        <v>-39.207946932270211</v>
      </c>
      <c r="AJ584" s="364">
        <f t="shared" si="56"/>
        <v>-362.62276068905743</v>
      </c>
      <c r="AK584" s="365">
        <f t="shared" si="57"/>
        <v>0</v>
      </c>
    </row>
    <row r="585" spans="12:37" ht="16.5" thickBot="1">
      <c r="L585" s="74" t="s">
        <v>1265</v>
      </c>
      <c r="M585" s="75">
        <f>M572*EXP(-M577*M574)*M582-M573*EXP(-M576*M574)*M583</f>
        <v>49.703910573397074</v>
      </c>
    </row>
    <row r="588" spans="12:37">
      <c r="L588" s="1" t="s">
        <v>1280</v>
      </c>
    </row>
    <row r="589" spans="12:37" ht="16.5" thickBot="1"/>
    <row r="590" spans="12:37" ht="16.5">
      <c r="L590" s="223" t="s">
        <v>1267</v>
      </c>
      <c r="M590" s="224">
        <v>34.97</v>
      </c>
      <c r="N590" s="225"/>
      <c r="O590" s="226" t="s">
        <v>1268</v>
      </c>
      <c r="P590" s="38">
        <f>(LN(M590/M599)+(M595-M598+0.5*M597)*M591)/(M596*SQRT(M591))</f>
        <v>-36.657826875822224</v>
      </c>
      <c r="Q590" s="227" t="s">
        <v>1269</v>
      </c>
      <c r="R590" s="40">
        <f>P590-M596*SQRT(M591)</f>
        <v>-36.682826875822222</v>
      </c>
    </row>
    <row r="591" spans="12:37" ht="16.5">
      <c r="L591" s="228" t="s">
        <v>1270</v>
      </c>
      <c r="M591" s="229">
        <v>0.25</v>
      </c>
      <c r="N591" s="225"/>
      <c r="O591" s="230" t="s">
        <v>1271</v>
      </c>
      <c r="P591" s="44">
        <f>(LN(M590/M594)+(M595-M598+0.5*M597)*M592)/(M596*SQRT(M592))</f>
        <v>-75.341188385448461</v>
      </c>
      <c r="Q591" s="231" t="s">
        <v>1272</v>
      </c>
      <c r="R591" s="46">
        <f>P591-M596*SQRT(M592)</f>
        <v>-75.376543724507783</v>
      </c>
    </row>
    <row r="592" spans="12:37" ht="17" thickBot="1">
      <c r="L592" s="228" t="s">
        <v>1273</v>
      </c>
      <c r="M592" s="229">
        <v>0.5</v>
      </c>
      <c r="N592" s="225"/>
      <c r="O592" s="232" t="s">
        <v>186</v>
      </c>
      <c r="P592" s="48">
        <f>SQRT(M591/M592)</f>
        <v>0.70710678118654757</v>
      </c>
      <c r="Q592" s="233" t="s">
        <v>1281</v>
      </c>
      <c r="R592" s="50">
        <f>NORMSDIST(-R590)</f>
        <v>1</v>
      </c>
    </row>
    <row r="593" spans="12:18" ht="17" thickBot="1">
      <c r="L593" s="228" t="s">
        <v>1275</v>
      </c>
      <c r="M593" s="229">
        <v>50</v>
      </c>
      <c r="N593" s="225"/>
      <c r="O593" s="225"/>
      <c r="P593" s="225"/>
      <c r="Q593" s="225"/>
      <c r="R593" s="225"/>
    </row>
    <row r="594" spans="12:18" ht="16.5">
      <c r="L594" s="228" t="s">
        <v>1276</v>
      </c>
      <c r="M594" s="229">
        <v>520</v>
      </c>
      <c r="N594" s="225"/>
      <c r="O594" s="223"/>
      <c r="P594" s="234" t="s">
        <v>1282</v>
      </c>
      <c r="Q594" s="235">
        <v>1</v>
      </c>
      <c r="R594" s="225"/>
    </row>
    <row r="595" spans="12:18" ht="17" thickBot="1">
      <c r="L595" s="228" t="s">
        <v>186</v>
      </c>
      <c r="M595" s="236">
        <v>7.0000000000000007E-2</v>
      </c>
      <c r="N595" s="225"/>
      <c r="O595" s="237"/>
      <c r="P595" s="238" t="s">
        <v>1283</v>
      </c>
      <c r="Q595" s="239">
        <v>1</v>
      </c>
      <c r="R595" s="225"/>
    </row>
    <row r="596" spans="12:18" ht="16.5" thickBot="1">
      <c r="L596" s="240" t="s">
        <v>183</v>
      </c>
      <c r="M596" s="241">
        <v>0.05</v>
      </c>
      <c r="N596" s="121"/>
      <c r="O596" s="225"/>
      <c r="P596" s="225"/>
      <c r="Q596" s="225"/>
      <c r="R596" s="225"/>
    </row>
    <row r="597" spans="12:18" ht="17.5" thickBot="1">
      <c r="L597" s="240" t="s">
        <v>1279</v>
      </c>
      <c r="M597" s="241">
        <f>M596^2</f>
        <v>2.5000000000000005E-3</v>
      </c>
      <c r="N597" s="242"/>
      <c r="O597" s="370" t="s">
        <v>1280</v>
      </c>
      <c r="P597" s="371">
        <f>M594*EXP(-M598*M592)*Q594 - M602*EXP(-M595*M592)*Q595 - M593*EXP(-M595*M591)*R592</f>
        <v>384.91885011566035</v>
      </c>
      <c r="Q597" s="225"/>
      <c r="R597" s="225"/>
    </row>
    <row r="598" spans="12:18">
      <c r="L598" s="228" t="s">
        <v>189</v>
      </c>
      <c r="M598" s="241">
        <v>0</v>
      </c>
      <c r="N598" s="225"/>
      <c r="O598" s="225"/>
      <c r="P598" s="225"/>
      <c r="Q598" s="225"/>
      <c r="R598" s="225"/>
    </row>
    <row r="599" spans="12:18" ht="16.5" thickBot="1">
      <c r="L599" s="243" t="s">
        <v>1256</v>
      </c>
      <c r="M599" s="244">
        <f>M602</f>
        <v>89.01</v>
      </c>
      <c r="N599" s="225"/>
      <c r="O599" s="225"/>
      <c r="P599" s="225"/>
      <c r="Q599" s="225"/>
      <c r="R599" s="225"/>
    </row>
    <row r="600" spans="12:18">
      <c r="L600" s="225"/>
      <c r="M600" s="225"/>
      <c r="N600" s="225"/>
      <c r="O600" s="225"/>
      <c r="P600" s="225"/>
      <c r="Q600" s="225"/>
      <c r="R600" s="225"/>
    </row>
    <row r="601" spans="12:18" ht="16.5" thickBot="1"/>
    <row r="602" spans="12:18">
      <c r="L602" s="35" t="s">
        <v>1256</v>
      </c>
      <c r="M602" s="222">
        <v>89.01</v>
      </c>
    </row>
    <row r="603" spans="12:18">
      <c r="L603" s="31" t="s">
        <v>245</v>
      </c>
      <c r="M603" s="63">
        <v>40</v>
      </c>
    </row>
    <row r="604" spans="12:18" ht="16.5">
      <c r="L604" s="41" t="s">
        <v>1258</v>
      </c>
      <c r="M604" s="64">
        <f>M592-M591</f>
        <v>0.25</v>
      </c>
    </row>
    <row r="605" spans="12:18">
      <c r="L605" s="65" t="s">
        <v>183</v>
      </c>
      <c r="M605" s="66">
        <f>+M596</f>
        <v>0.05</v>
      </c>
    </row>
    <row r="606" spans="12:18">
      <c r="L606" s="31" t="s">
        <v>186</v>
      </c>
      <c r="M606" s="67">
        <f>+M595</f>
        <v>7.0000000000000007E-2</v>
      </c>
    </row>
    <row r="607" spans="12:18" ht="16.5" thickBot="1">
      <c r="L607" s="68" t="s">
        <v>189</v>
      </c>
      <c r="M607" s="69">
        <f>+M598</f>
        <v>0</v>
      </c>
    </row>
    <row r="609" spans="12:18" ht="16.5" thickBot="1">
      <c r="L609" s="62"/>
      <c r="M609" s="61"/>
    </row>
    <row r="610" spans="12:18" ht="16.5">
      <c r="L610" s="35" t="s">
        <v>201</v>
      </c>
      <c r="M610" s="70">
        <f>+(LN(M602/M603)+(M606-M607+M605^2/2)*M604)/(M605*SQRT(M604))</f>
        <v>32.707270754276152</v>
      </c>
    </row>
    <row r="611" spans="12:18" ht="16.5">
      <c r="L611" s="41" t="s">
        <v>204</v>
      </c>
      <c r="M611" s="72">
        <f>+M610-M605*SQRT(M604)</f>
        <v>32.682270754276153</v>
      </c>
    </row>
    <row r="612" spans="12:18" ht="16.5">
      <c r="L612" s="41" t="s">
        <v>1259</v>
      </c>
      <c r="M612" s="72">
        <f>+NORMSDIST(M610)</f>
        <v>1</v>
      </c>
    </row>
    <row r="613" spans="12:18" ht="17" thickBot="1">
      <c r="L613" s="59" t="s">
        <v>1264</v>
      </c>
      <c r="M613" s="73">
        <f>+NORMSDIST(M611)</f>
        <v>1</v>
      </c>
    </row>
    <row r="614" spans="12:18" ht="16.5" thickBot="1">
      <c r="L614" s="62"/>
      <c r="M614" s="61"/>
    </row>
    <row r="615" spans="12:18" ht="16.5" thickBot="1">
      <c r="L615" s="74" t="s">
        <v>1265</v>
      </c>
      <c r="M615" s="75">
        <f>M602*EXP(-M607*M604)*M612-M603*EXP(-M606*M604)*M613</f>
        <v>49.703910573397074</v>
      </c>
    </row>
    <row r="618" spans="12:18">
      <c r="L618" s="1" t="s">
        <v>1284</v>
      </c>
    </row>
    <row r="619" spans="12:18" ht="16.5" thickBot="1"/>
    <row r="620" spans="12:18" ht="16.5">
      <c r="L620" s="223" t="s">
        <v>1267</v>
      </c>
      <c r="M620" s="224">
        <v>34.97</v>
      </c>
      <c r="N620" s="225"/>
      <c r="O620" s="226" t="s">
        <v>1268</v>
      </c>
      <c r="P620" s="38">
        <f>(LN(M620/M629)+(M625-M628+0.5*M627)*M621)/(M626*SQRT(M621))</f>
        <v>-108.64578219583213</v>
      </c>
      <c r="Q620" s="227" t="s">
        <v>1269</v>
      </c>
      <c r="R620" s="40">
        <f>P620-M626*SQRT(M621)</f>
        <v>-108.67078219583213</v>
      </c>
    </row>
    <row r="621" spans="12:18" ht="16.5">
      <c r="L621" s="228" t="s">
        <v>1270</v>
      </c>
      <c r="M621" s="229">
        <v>0.25</v>
      </c>
      <c r="N621" s="225"/>
      <c r="O621" s="230" t="s">
        <v>1271</v>
      </c>
      <c r="P621" s="44">
        <f>(LN(M620/M624)+(M625-M628+0.5*M627)*M622)/(M626*SQRT(M622))</f>
        <v>-9.1049177554962952</v>
      </c>
      <c r="Q621" s="231" t="s">
        <v>1272</v>
      </c>
      <c r="R621" s="46">
        <f>P621-M626*SQRT(M622)</f>
        <v>-9.1402730945556225</v>
      </c>
    </row>
    <row r="622" spans="12:18" ht="17" thickBot="1">
      <c r="L622" s="228" t="s">
        <v>1273</v>
      </c>
      <c r="M622" s="229">
        <v>0.5</v>
      </c>
      <c r="N622" s="225"/>
      <c r="O622" s="232" t="s">
        <v>186</v>
      </c>
      <c r="P622" s="48">
        <f>SQRT(M621/M622)</f>
        <v>0.70710678118654757</v>
      </c>
      <c r="Q622" s="233" t="s">
        <v>1281</v>
      </c>
      <c r="R622" s="50">
        <f>NORMSDIST(R620)</f>
        <v>0</v>
      </c>
    </row>
    <row r="623" spans="12:18" ht="17" thickBot="1">
      <c r="L623" s="228" t="s">
        <v>1275</v>
      </c>
      <c r="M623" s="229">
        <v>40</v>
      </c>
      <c r="N623" s="225"/>
      <c r="O623" s="225"/>
      <c r="P623" s="225"/>
      <c r="Q623" s="225"/>
      <c r="R623" s="225"/>
    </row>
    <row r="624" spans="12:18" ht="16.5">
      <c r="L624" s="228" t="s">
        <v>1276</v>
      </c>
      <c r="M624" s="229">
        <v>50</v>
      </c>
      <c r="N624" s="225"/>
      <c r="O624" s="223"/>
      <c r="P624" s="234" t="s">
        <v>1285</v>
      </c>
      <c r="Q624" s="235">
        <v>0</v>
      </c>
      <c r="R624" s="225"/>
    </row>
    <row r="625" spans="12:18" ht="17" thickBot="1">
      <c r="L625" s="228" t="s">
        <v>186</v>
      </c>
      <c r="M625" s="236">
        <v>7.0000000000000007E-2</v>
      </c>
      <c r="N625" s="225"/>
      <c r="O625" s="237"/>
      <c r="P625" s="238" t="s">
        <v>1286</v>
      </c>
      <c r="Q625" s="239">
        <v>0</v>
      </c>
      <c r="R625" s="225"/>
    </row>
    <row r="626" spans="12:18" ht="16.5" thickBot="1">
      <c r="L626" s="240" t="s">
        <v>183</v>
      </c>
      <c r="M626" s="241">
        <v>0.05</v>
      </c>
      <c r="N626" s="121"/>
      <c r="O626" s="225"/>
      <c r="P626" s="225"/>
      <c r="Q626" s="225"/>
      <c r="R626" s="225"/>
    </row>
    <row r="627" spans="12:18" ht="17.5" thickBot="1">
      <c r="L627" s="240" t="s">
        <v>1279</v>
      </c>
      <c r="M627" s="241">
        <f>M626^2</f>
        <v>2.5000000000000005E-3</v>
      </c>
      <c r="N627" s="242"/>
      <c r="O627" s="370" t="s">
        <v>1284</v>
      </c>
      <c r="P627" s="371">
        <f>M632*EXP(-M628*M622)*Q624 - M624*EXP(-M625*M622)*Q625 - M623*EXP(-M625*M621)*R622</f>
        <v>0</v>
      </c>
      <c r="Q627" s="225"/>
      <c r="R627" s="225"/>
    </row>
    <row r="628" spans="12:18">
      <c r="L628" s="228" t="s">
        <v>189</v>
      </c>
      <c r="M628" s="241">
        <v>0</v>
      </c>
      <c r="N628" s="225"/>
      <c r="O628" s="225"/>
      <c r="P628" s="225"/>
      <c r="Q628" s="225"/>
      <c r="R628" s="225"/>
    </row>
    <row r="629" spans="12:18" ht="16.5" thickBot="1">
      <c r="L629" s="243" t="s">
        <v>1256</v>
      </c>
      <c r="M629" s="244">
        <v>538.31700000000001</v>
      </c>
      <c r="N629" s="225"/>
      <c r="O629" s="225"/>
      <c r="P629" s="225"/>
      <c r="Q629" s="225"/>
      <c r="R629" s="225"/>
    </row>
    <row r="630" spans="12:18">
      <c r="L630" s="225"/>
      <c r="M630" s="225"/>
      <c r="N630" s="225"/>
      <c r="O630" s="225"/>
      <c r="P630" s="225"/>
      <c r="Q630" s="225"/>
      <c r="R630" s="225"/>
    </row>
    <row r="631" spans="12:18" ht="16.5" thickBot="1"/>
    <row r="632" spans="12:18">
      <c r="L632" s="35" t="s">
        <v>1256</v>
      </c>
      <c r="M632" s="222">
        <v>89.01</v>
      </c>
    </row>
    <row r="633" spans="12:18">
      <c r="L633" s="31" t="s">
        <v>245</v>
      </c>
      <c r="M633" s="63">
        <v>40</v>
      </c>
    </row>
    <row r="634" spans="12:18" ht="16.5">
      <c r="L634" s="41" t="s">
        <v>1258</v>
      </c>
      <c r="M634" s="64">
        <f>M622-M621</f>
        <v>0.25</v>
      </c>
    </row>
    <row r="635" spans="12:18">
      <c r="L635" s="65" t="s">
        <v>183</v>
      </c>
      <c r="M635" s="66">
        <f>+M626</f>
        <v>0.05</v>
      </c>
    </row>
    <row r="636" spans="12:18">
      <c r="L636" s="31" t="s">
        <v>186</v>
      </c>
      <c r="M636" s="67">
        <f>+M625</f>
        <v>7.0000000000000007E-2</v>
      </c>
    </row>
    <row r="637" spans="12:18" ht="16.5" thickBot="1">
      <c r="L637" s="68" t="s">
        <v>189</v>
      </c>
      <c r="M637" s="69">
        <f>+M628</f>
        <v>0</v>
      </c>
    </row>
    <row r="639" spans="12:18" ht="16.5" thickBot="1">
      <c r="L639" s="62"/>
      <c r="M639" s="61"/>
    </row>
    <row r="640" spans="12:18" ht="16.5">
      <c r="L640" s="35" t="s">
        <v>201</v>
      </c>
      <c r="M640" s="70">
        <f>+(LN(M632/M633)+(M636-M637+M635^2/2)*M634)/(M635*SQRT(M634))</f>
        <v>32.707270754276152</v>
      </c>
    </row>
    <row r="641" spans="12:21" ht="16.5">
      <c r="L641" s="41" t="s">
        <v>204</v>
      </c>
      <c r="M641" s="72">
        <f>+M640-M635*SQRT(M634)</f>
        <v>32.682270754276153</v>
      </c>
    </row>
    <row r="642" spans="12:21" ht="16.5">
      <c r="L642" s="41" t="s">
        <v>1259</v>
      </c>
      <c r="M642" s="72">
        <f>+NORMSDIST(M640)</f>
        <v>1</v>
      </c>
    </row>
    <row r="643" spans="12:21" ht="17" thickBot="1">
      <c r="L643" s="59" t="s">
        <v>1264</v>
      </c>
      <c r="M643" s="73">
        <f>+NORMSDIST(M641)</f>
        <v>1</v>
      </c>
    </row>
    <row r="644" spans="12:21" ht="16.5" thickBot="1">
      <c r="L644" s="62"/>
      <c r="M644" s="61"/>
    </row>
    <row r="645" spans="12:21" ht="16.5" thickBot="1">
      <c r="L645" s="74" t="s">
        <v>1265</v>
      </c>
      <c r="M645" s="75">
        <f>M632*EXP(-M637*M634)*M642-M633*EXP(-M636*M634)*M643</f>
        <v>49.703910573397074</v>
      </c>
    </row>
    <row r="650" spans="12:21">
      <c r="L650" s="1" t="s">
        <v>1287</v>
      </c>
    </row>
    <row r="654" spans="12:21">
      <c r="L654" s="245" t="s">
        <v>1288</v>
      </c>
      <c r="M654" s="246" t="s">
        <v>1289</v>
      </c>
      <c r="N654" s="246"/>
      <c r="O654" s="246"/>
      <c r="P654" s="246"/>
      <c r="Q654" s="246"/>
      <c r="R654" s="246"/>
      <c r="S654" s="247"/>
      <c r="T654" s="247"/>
      <c r="U654" s="62"/>
    </row>
    <row r="655" spans="12:21">
      <c r="L655" s="245" t="s">
        <v>1290</v>
      </c>
      <c r="M655" s="247" t="s">
        <v>1291</v>
      </c>
      <c r="N655" s="247"/>
      <c r="O655" s="247"/>
      <c r="P655" s="247"/>
      <c r="Q655" s="247"/>
      <c r="R655" s="247"/>
      <c r="S655" s="247"/>
      <c r="T655" s="248">
        <v>21887307</v>
      </c>
      <c r="U655" s="249">
        <f>((T655/T656)^(1/10))-1</f>
        <v>2.955072746724241E-2</v>
      </c>
    </row>
    <row r="656" spans="12:21">
      <c r="L656" s="247"/>
      <c r="M656" s="247"/>
      <c r="N656" s="247"/>
      <c r="O656" s="247"/>
      <c r="S656" s="247"/>
      <c r="T656" s="248">
        <v>16357421</v>
      </c>
      <c r="U656" s="62"/>
    </row>
    <row r="657" spans="12:21" ht="16.5" thickBot="1">
      <c r="L657" s="247" t="s">
        <v>1292</v>
      </c>
      <c r="M657" s="247"/>
      <c r="N657" s="247"/>
      <c r="O657" s="247"/>
      <c r="P657" s="247"/>
      <c r="Q657" s="247"/>
      <c r="R657" s="247"/>
      <c r="S657" s="247"/>
      <c r="T657" s="247"/>
      <c r="U657" s="62"/>
    </row>
    <row r="658" spans="12:21" ht="16.5">
      <c r="L658" s="250" t="s">
        <v>1293</v>
      </c>
      <c r="M658" s="251">
        <v>1520</v>
      </c>
      <c r="N658" s="247"/>
      <c r="O658" s="247"/>
      <c r="P658" s="247"/>
      <c r="Q658" s="247"/>
      <c r="R658" s="247"/>
      <c r="S658" s="247"/>
      <c r="T658" s="247"/>
      <c r="U658" s="62"/>
    </row>
    <row r="659" spans="12:21" ht="16.5">
      <c r="L659" s="252" t="s">
        <v>1294</v>
      </c>
      <c r="M659" s="253">
        <f>16*100</f>
        <v>1600</v>
      </c>
      <c r="N659" s="247"/>
      <c r="O659" s="247"/>
      <c r="P659" s="247"/>
      <c r="Q659" s="247"/>
      <c r="R659" s="247"/>
      <c r="S659" s="247"/>
      <c r="T659" s="247"/>
      <c r="U659" s="62"/>
    </row>
    <row r="660" spans="12:21">
      <c r="L660" s="252" t="s">
        <v>189</v>
      </c>
      <c r="M660" s="254">
        <v>0</v>
      </c>
      <c r="N660" s="247"/>
      <c r="O660" s="247"/>
      <c r="P660" s="247"/>
      <c r="Q660" s="247"/>
      <c r="R660" s="247"/>
      <c r="S660" s="247"/>
      <c r="T660" s="247"/>
      <c r="U660" s="62"/>
    </row>
    <row r="661" spans="12:21">
      <c r="L661" s="252" t="s">
        <v>186</v>
      </c>
      <c r="M661" s="255">
        <v>0.1</v>
      </c>
      <c r="N661" s="247"/>
      <c r="O661" s="247"/>
      <c r="P661" s="247"/>
      <c r="Q661" s="247"/>
      <c r="R661" s="247"/>
      <c r="S661" s="247"/>
      <c r="T661" s="247"/>
      <c r="U661" s="62"/>
    </row>
    <row r="662" spans="12:21">
      <c r="L662" s="252" t="s">
        <v>192</v>
      </c>
      <c r="M662" s="254">
        <v>1</v>
      </c>
      <c r="N662" s="247"/>
      <c r="O662" s="62"/>
      <c r="P662" s="62"/>
      <c r="Q662" s="256"/>
      <c r="R662" s="62"/>
      <c r="S662" s="62"/>
      <c r="T662" s="247"/>
      <c r="U662" s="247"/>
    </row>
    <row r="663" spans="12:21" ht="16.5" thickBot="1">
      <c r="L663" s="257" t="s">
        <v>1295</v>
      </c>
      <c r="M663" s="258">
        <f>SQRT((0.2^2)+(0.2^2)-(2*0.2*0.2*0.7))</f>
        <v>0.1549193338482967</v>
      </c>
      <c r="N663" s="247"/>
      <c r="O663" s="62"/>
      <c r="P663" s="62"/>
      <c r="Q663" s="259"/>
      <c r="R663" s="62"/>
      <c r="S663" s="62"/>
      <c r="T663" s="247"/>
      <c r="U663" s="247"/>
    </row>
    <row r="664" spans="12:21" ht="16.5" thickBot="1">
      <c r="L664" s="62"/>
      <c r="M664" s="62"/>
      <c r="N664" s="247"/>
      <c r="O664" s="247"/>
      <c r="P664" s="247"/>
      <c r="Q664" s="247"/>
      <c r="R664" s="247"/>
      <c r="S664" s="247"/>
      <c r="T664" s="247"/>
      <c r="U664" s="62"/>
    </row>
    <row r="665" spans="12:21" ht="16.5">
      <c r="L665" s="250" t="s">
        <v>201</v>
      </c>
      <c r="M665" s="260">
        <f>(LN(M658/M659)+((M663^2)/2)*1)/(M663*1)</f>
        <v>-0.25363712463434784</v>
      </c>
      <c r="N665" s="247"/>
      <c r="O665" s="62"/>
      <c r="P665" s="62"/>
      <c r="Q665" s="247"/>
      <c r="R665" s="247"/>
      <c r="S665" s="247"/>
      <c r="T665" s="247"/>
      <c r="U665" s="62"/>
    </row>
    <row r="666" spans="12:21" ht="16.5">
      <c r="L666" s="252" t="s">
        <v>204</v>
      </c>
      <c r="M666" s="261">
        <f>M665-M663*SQRT(M662)</f>
        <v>-0.40855645848264455</v>
      </c>
      <c r="N666" s="247"/>
      <c r="O666" s="247"/>
      <c r="P666" s="247"/>
      <c r="Q666" s="247"/>
      <c r="R666" s="247"/>
      <c r="S666" s="247"/>
      <c r="T666" s="247"/>
      <c r="U666" s="62"/>
    </row>
    <row r="667" spans="12:21" ht="16.5">
      <c r="L667" s="252" t="s">
        <v>207</v>
      </c>
      <c r="M667" s="261">
        <f>NORMSDIST(M665)</f>
        <v>0.39988795647736441</v>
      </c>
      <c r="N667" s="247"/>
      <c r="O667" s="247"/>
      <c r="P667" s="247"/>
      <c r="Q667" s="247"/>
      <c r="R667" s="247"/>
      <c r="S667" s="247"/>
      <c r="T667" s="247"/>
      <c r="U667" s="62"/>
    </row>
    <row r="668" spans="12:21" ht="17" thickBot="1">
      <c r="L668" s="257" t="s">
        <v>210</v>
      </c>
      <c r="M668" s="262">
        <f>NORMSDIST(M666)</f>
        <v>0.34143259485913979</v>
      </c>
      <c r="N668" s="247"/>
      <c r="O668" s="247"/>
      <c r="P668" s="247"/>
      <c r="Q668" s="247"/>
      <c r="R668" s="247"/>
      <c r="S668" s="247"/>
      <c r="T668" s="247"/>
      <c r="U668" s="62"/>
    </row>
    <row r="669" spans="12:21" ht="16.5" thickBot="1">
      <c r="L669" s="247"/>
      <c r="M669" s="247"/>
      <c r="N669" s="247"/>
      <c r="O669" s="247"/>
      <c r="P669" s="247"/>
      <c r="Q669" s="247"/>
      <c r="R669" s="247"/>
      <c r="S669" s="247"/>
      <c r="T669" s="247"/>
      <c r="U669" s="62"/>
    </row>
    <row r="670" spans="12:21" ht="17" thickBot="1">
      <c r="L670" s="263" t="s">
        <v>1296</v>
      </c>
      <c r="M670" s="264">
        <f>M658*1*M667-M659*1*M668</f>
        <v>61.537542070970289</v>
      </c>
      <c r="N670" s="247"/>
      <c r="O670" s="247"/>
      <c r="P670" s="247"/>
      <c r="Q670" s="247"/>
      <c r="R670" s="247"/>
      <c r="S670" s="247"/>
      <c r="T670" s="247"/>
      <c r="U670" s="62"/>
    </row>
    <row r="671" spans="12:21">
      <c r="L671" s="247"/>
      <c r="M671" s="247"/>
      <c r="N671" s="247"/>
      <c r="O671" s="247"/>
      <c r="P671" s="247"/>
      <c r="Q671" s="247"/>
      <c r="R671" s="247"/>
      <c r="S671" s="247"/>
      <c r="T671" s="247"/>
      <c r="U671" s="62"/>
    </row>
    <row r="672" spans="12:21">
      <c r="L672" s="247"/>
      <c r="M672" s="247"/>
      <c r="N672" s="247"/>
      <c r="O672" s="247"/>
      <c r="P672" s="247"/>
      <c r="Q672" s="247"/>
      <c r="R672" s="247"/>
      <c r="S672" s="247"/>
      <c r="T672" s="247"/>
      <c r="U672" s="62"/>
    </row>
    <row r="673" spans="12:21">
      <c r="L673" s="247"/>
      <c r="M673" s="247"/>
      <c r="N673" s="247"/>
      <c r="O673" s="247"/>
      <c r="P673" s="247"/>
      <c r="Q673" s="247"/>
      <c r="R673" s="247"/>
      <c r="S673" s="247"/>
      <c r="T673" s="247"/>
      <c r="U673" s="62"/>
    </row>
  </sheetData>
  <mergeCells count="27">
    <mergeCell ref="W283:X283"/>
    <mergeCell ref="L406:M406"/>
    <mergeCell ref="L416:M416"/>
    <mergeCell ref="L225:M225"/>
    <mergeCell ref="L286:M286"/>
    <mergeCell ref="P286:Q286"/>
    <mergeCell ref="U283:V283"/>
    <mergeCell ref="S337:V337"/>
    <mergeCell ref="T338:V338"/>
    <mergeCell ref="S343:V343"/>
    <mergeCell ref="T344:V344"/>
    <mergeCell ref="L192:M192"/>
    <mergeCell ref="L159:M159"/>
    <mergeCell ref="L64:M64"/>
    <mergeCell ref="U64:W64"/>
    <mergeCell ref="L85:M85"/>
    <mergeCell ref="U85:W85"/>
    <mergeCell ref="L106:M106"/>
    <mergeCell ref="U106:W106"/>
    <mergeCell ref="L498:M498"/>
    <mergeCell ref="O335:O336"/>
    <mergeCell ref="P335:P336"/>
    <mergeCell ref="L508:M508"/>
    <mergeCell ref="L446:M446"/>
    <mergeCell ref="L468:M468"/>
    <mergeCell ref="L478:M478"/>
    <mergeCell ref="L436:M43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E777F-9814-DD40-8724-92524BEA2E29}">
  <dimension ref="A1:J115"/>
  <sheetViews>
    <sheetView showGridLines="0" topLeftCell="D1" zoomScale="116" workbookViewId="0">
      <selection activeCell="D23" sqref="D23"/>
    </sheetView>
  </sheetViews>
  <sheetFormatPr defaultColWidth="11" defaultRowHeight="16"/>
  <cols>
    <col min="2" max="2" width="17.4140625" customWidth="1"/>
    <col min="3" max="4" width="13.83203125" customWidth="1"/>
    <col min="5" max="5" width="17.5" customWidth="1"/>
    <col min="6" max="6" width="18.83203125" customWidth="1"/>
    <col min="7" max="7" width="17" customWidth="1"/>
    <col min="10" max="10" width="13.08203125" customWidth="1"/>
  </cols>
  <sheetData>
    <row r="1" spans="1:9">
      <c r="A1" t="s">
        <v>1297</v>
      </c>
    </row>
    <row r="3" spans="1:9" ht="20" thickBot="1">
      <c r="A3" s="501" t="s">
        <v>1298</v>
      </c>
      <c r="B3" s="501"/>
      <c r="C3" s="501"/>
      <c r="D3" s="501"/>
      <c r="E3" s="501"/>
      <c r="F3" s="501"/>
    </row>
    <row r="4" spans="1:9" ht="16.5" thickTop="1">
      <c r="A4" s="80" t="s">
        <v>1299</v>
      </c>
      <c r="B4" s="81"/>
      <c r="C4" s="81" t="s">
        <v>1300</v>
      </c>
      <c r="D4" s="81" t="s">
        <v>1301</v>
      </c>
      <c r="E4" s="81" t="s">
        <v>1302</v>
      </c>
      <c r="F4" s="82" t="s">
        <v>1303</v>
      </c>
      <c r="G4" s="519" t="s">
        <v>1304</v>
      </c>
      <c r="H4" s="520"/>
      <c r="I4" s="520"/>
    </row>
    <row r="5" spans="1:9" ht="31" customHeight="1">
      <c r="A5" s="497" t="s">
        <v>1305</v>
      </c>
      <c r="B5" s="498"/>
      <c r="C5" s="79" t="s">
        <v>1306</v>
      </c>
      <c r="D5" s="79" t="s">
        <v>1307</v>
      </c>
      <c r="E5" s="79" t="s">
        <v>1308</v>
      </c>
      <c r="F5" s="83" t="s">
        <v>1309</v>
      </c>
      <c r="G5" s="521" t="s">
        <v>1310</v>
      </c>
      <c r="H5" s="522"/>
      <c r="I5" s="522"/>
    </row>
    <row r="6" spans="1:9" ht="25" customHeight="1">
      <c r="A6" s="497"/>
      <c r="B6" s="498"/>
      <c r="C6" s="79" t="s">
        <v>1311</v>
      </c>
      <c r="D6" s="79" t="s">
        <v>1312</v>
      </c>
      <c r="E6" s="79" t="s">
        <v>1308</v>
      </c>
      <c r="F6" s="83" t="s">
        <v>1313</v>
      </c>
      <c r="G6" s="521"/>
      <c r="H6" s="522"/>
      <c r="I6" s="522"/>
    </row>
    <row r="7" spans="1:9" ht="32.15" customHeight="1" thickBot="1">
      <c r="A7" s="499"/>
      <c r="B7" s="500"/>
      <c r="C7" s="84" t="s">
        <v>1314</v>
      </c>
      <c r="D7" s="84" t="s">
        <v>1312</v>
      </c>
      <c r="E7" s="84" t="s">
        <v>1315</v>
      </c>
      <c r="F7" s="85" t="s">
        <v>1316</v>
      </c>
      <c r="G7" s="521"/>
      <c r="H7" s="522"/>
      <c r="I7" s="522"/>
    </row>
    <row r="8" spans="1:9">
      <c r="A8" s="78"/>
      <c r="B8" s="78"/>
    </row>
    <row r="9" spans="1:9">
      <c r="A9" s="78"/>
      <c r="B9" s="78"/>
    </row>
    <row r="10" spans="1:9">
      <c r="A10" s="78"/>
      <c r="B10" s="78"/>
    </row>
    <row r="12" spans="1:9" ht="20" thickBot="1">
      <c r="A12" s="501" t="s">
        <v>1317</v>
      </c>
      <c r="B12" s="501"/>
      <c r="C12" s="501"/>
      <c r="D12" s="501"/>
      <c r="E12" s="501"/>
      <c r="F12" s="501"/>
    </row>
    <row r="13" spans="1:9" ht="16.5" thickTop="1">
      <c r="A13" s="80" t="s">
        <v>1299</v>
      </c>
      <c r="B13" s="81"/>
      <c r="C13" s="81" t="s">
        <v>1300</v>
      </c>
      <c r="D13" s="81" t="s">
        <v>1318</v>
      </c>
      <c r="E13" s="81" t="s">
        <v>1319</v>
      </c>
      <c r="F13" s="82" t="s">
        <v>1303</v>
      </c>
      <c r="G13" s="519" t="s">
        <v>1304</v>
      </c>
      <c r="H13" s="520"/>
      <c r="I13" s="520"/>
    </row>
    <row r="14" spans="1:9" ht="29.15" customHeight="1">
      <c r="A14" s="497" t="s">
        <v>1305</v>
      </c>
      <c r="B14" s="498"/>
      <c r="C14" s="79" t="s">
        <v>1306</v>
      </c>
      <c r="D14" s="79" t="s">
        <v>1320</v>
      </c>
      <c r="E14" s="79" t="s">
        <v>1321</v>
      </c>
      <c r="F14" s="83" t="s">
        <v>1322</v>
      </c>
      <c r="G14" s="521" t="s">
        <v>1323</v>
      </c>
      <c r="H14" s="522"/>
      <c r="I14" s="522"/>
    </row>
    <row r="15" spans="1:9" ht="23.15" customHeight="1">
      <c r="A15" s="497"/>
      <c r="B15" s="498"/>
      <c r="C15" s="79" t="s">
        <v>1311</v>
      </c>
      <c r="D15" s="79" t="s">
        <v>1324</v>
      </c>
      <c r="E15" s="79" t="str">
        <f>E14</f>
        <v>p_c - (K-1 - S_t)</v>
      </c>
      <c r="F15" s="83" t="s">
        <v>1325</v>
      </c>
      <c r="G15" s="521"/>
      <c r="H15" s="522"/>
      <c r="I15" s="522"/>
    </row>
    <row r="16" spans="1:9" ht="43" customHeight="1" thickBot="1">
      <c r="A16" s="499"/>
      <c r="B16" s="500"/>
      <c r="C16" s="84" t="s">
        <v>1314</v>
      </c>
      <c r="D16" s="84" t="s">
        <v>1326</v>
      </c>
      <c r="E16" s="84" t="s">
        <v>1327</v>
      </c>
      <c r="F16" s="85" t="s">
        <v>1328</v>
      </c>
      <c r="G16" s="521"/>
      <c r="H16" s="522"/>
      <c r="I16" s="522"/>
    </row>
    <row r="21" spans="1:9" ht="20" thickBot="1">
      <c r="A21" s="501" t="s">
        <v>1329</v>
      </c>
      <c r="B21" s="501"/>
      <c r="C21" s="501"/>
      <c r="D21" s="501"/>
      <c r="E21" s="501"/>
      <c r="F21" s="501"/>
    </row>
    <row r="22" spans="1:9" ht="16.5" thickTop="1">
      <c r="A22" s="80" t="s">
        <v>1299</v>
      </c>
      <c r="B22" s="81"/>
      <c r="C22" s="81" t="s">
        <v>1300</v>
      </c>
      <c r="D22" s="81" t="s">
        <v>1318</v>
      </c>
      <c r="E22" s="81" t="s">
        <v>1319</v>
      </c>
      <c r="F22" s="82" t="s">
        <v>1303</v>
      </c>
      <c r="G22" s="519" t="s">
        <v>1304</v>
      </c>
      <c r="H22" s="520"/>
      <c r="I22" s="520"/>
    </row>
    <row r="23" spans="1:9" ht="35.15" customHeight="1">
      <c r="A23" s="497" t="s">
        <v>1330</v>
      </c>
      <c r="B23" s="498"/>
      <c r="C23" s="79" t="s">
        <v>1306</v>
      </c>
      <c r="D23" s="79" t="s">
        <v>1331</v>
      </c>
      <c r="E23" s="79" t="s">
        <v>1332</v>
      </c>
      <c r="F23" s="83" t="s">
        <v>1333</v>
      </c>
      <c r="G23" s="521" t="s">
        <v>1334</v>
      </c>
      <c r="H23" s="522"/>
      <c r="I23" s="522"/>
    </row>
    <row r="24" spans="1:9" ht="29.15" customHeight="1">
      <c r="A24" s="497"/>
      <c r="B24" s="498"/>
      <c r="C24" s="79" t="s">
        <v>1311</v>
      </c>
      <c r="D24" s="79" t="str">
        <f>D23</f>
        <v xml:space="preserve">K_1 - S_t - p_l </v>
      </c>
      <c r="E24" s="79" t="s">
        <v>1327</v>
      </c>
      <c r="F24" s="83" t="s">
        <v>1335</v>
      </c>
      <c r="G24" s="521"/>
      <c r="H24" s="522"/>
      <c r="I24" s="522"/>
    </row>
    <row r="25" spans="1:9" ht="38.15" customHeight="1" thickBot="1">
      <c r="A25" s="499"/>
      <c r="B25" s="500"/>
      <c r="C25" s="84" t="s">
        <v>1314</v>
      </c>
      <c r="D25" s="84" t="s">
        <v>1326</v>
      </c>
      <c r="E25" s="84" t="s">
        <v>1327</v>
      </c>
      <c r="F25" s="85" t="s">
        <v>1328</v>
      </c>
      <c r="G25" s="521"/>
      <c r="H25" s="522"/>
      <c r="I25" s="522"/>
    </row>
    <row r="30" spans="1:9" ht="20" thickBot="1">
      <c r="A30" s="501" t="s">
        <v>1336</v>
      </c>
      <c r="B30" s="501"/>
      <c r="C30" s="501"/>
      <c r="D30" s="501"/>
      <c r="E30" s="501"/>
      <c r="F30" s="501"/>
    </row>
    <row r="31" spans="1:9" ht="16.5" thickTop="1">
      <c r="A31" s="80" t="s">
        <v>1299</v>
      </c>
      <c r="B31" s="81"/>
      <c r="C31" s="81" t="s">
        <v>1300</v>
      </c>
      <c r="D31" s="81" t="s">
        <v>1301</v>
      </c>
      <c r="E31" s="81" t="s">
        <v>1302</v>
      </c>
      <c r="F31" s="82" t="s">
        <v>1303</v>
      </c>
      <c r="G31" s="519" t="s">
        <v>1304</v>
      </c>
      <c r="H31" s="520"/>
      <c r="I31" s="520"/>
    </row>
    <row r="32" spans="1:9" ht="40" customHeight="1">
      <c r="A32" s="497" t="s">
        <v>1330</v>
      </c>
      <c r="B32" s="498"/>
      <c r="C32" s="79" t="s">
        <v>1306</v>
      </c>
      <c r="D32" s="79" t="s">
        <v>1337</v>
      </c>
      <c r="E32" s="79" t="s">
        <v>1338</v>
      </c>
      <c r="F32" s="83" t="s">
        <v>1339</v>
      </c>
      <c r="G32" s="521" t="s">
        <v>1340</v>
      </c>
      <c r="H32" s="522"/>
      <c r="I32" s="522"/>
    </row>
    <row r="33" spans="1:9" ht="28" customHeight="1">
      <c r="A33" s="497"/>
      <c r="B33" s="498"/>
      <c r="C33" s="79" t="s">
        <v>1311</v>
      </c>
      <c r="D33" s="79" t="str">
        <f>D32</f>
        <v>( - c_l )</v>
      </c>
      <c r="E33" s="79" t="s">
        <v>1341</v>
      </c>
      <c r="F33" s="83" t="s">
        <v>1342</v>
      </c>
      <c r="G33" s="521"/>
      <c r="H33" s="522"/>
      <c r="I33" s="522"/>
    </row>
    <row r="34" spans="1:9" ht="30" customHeight="1" thickBot="1">
      <c r="A34" s="499"/>
      <c r="B34" s="500"/>
      <c r="C34" s="84" t="s">
        <v>1314</v>
      </c>
      <c r="D34" s="84" t="s">
        <v>1343</v>
      </c>
      <c r="E34" s="84" t="s">
        <v>1344</v>
      </c>
      <c r="F34" s="85" t="s">
        <v>1345</v>
      </c>
      <c r="G34" s="521"/>
      <c r="H34" s="522"/>
      <c r="I34" s="522"/>
    </row>
    <row r="39" spans="1:9" ht="20" thickBot="1">
      <c r="A39" s="501" t="s">
        <v>1346</v>
      </c>
      <c r="B39" s="501"/>
      <c r="C39" s="501"/>
      <c r="D39" s="501"/>
      <c r="E39" s="501"/>
      <c r="F39" s="501"/>
    </row>
    <row r="40" spans="1:9" ht="20.149999999999999" customHeight="1" thickTop="1">
      <c r="A40" s="80" t="s">
        <v>1299</v>
      </c>
      <c r="B40" s="81"/>
      <c r="C40" s="81" t="s">
        <v>1300</v>
      </c>
      <c r="D40" s="81" t="s">
        <v>1347</v>
      </c>
      <c r="E40" s="81" t="s">
        <v>1348</v>
      </c>
      <c r="F40" s="82" t="s">
        <v>1303</v>
      </c>
      <c r="G40" s="519" t="s">
        <v>1304</v>
      </c>
      <c r="H40" s="520"/>
      <c r="I40" s="520"/>
    </row>
    <row r="41" spans="1:9" ht="45" customHeight="1">
      <c r="A41" s="502" t="s">
        <v>1349</v>
      </c>
      <c r="B41" s="503"/>
      <c r="C41" s="79" t="s">
        <v>1306</v>
      </c>
      <c r="D41" s="93" t="s">
        <v>1339</v>
      </c>
      <c r="E41" s="87" t="s">
        <v>1350</v>
      </c>
      <c r="F41" s="88" t="s">
        <v>1351</v>
      </c>
      <c r="G41" s="517" t="s">
        <v>1352</v>
      </c>
      <c r="H41" s="518"/>
      <c r="I41" s="518"/>
    </row>
    <row r="42" spans="1:9" ht="30" customHeight="1">
      <c r="A42" s="502"/>
      <c r="B42" s="503"/>
      <c r="C42" s="79" t="s">
        <v>1311</v>
      </c>
      <c r="D42" s="93" t="s">
        <v>1353</v>
      </c>
      <c r="E42" s="87" t="s">
        <v>1354</v>
      </c>
      <c r="F42" s="88" t="s">
        <v>1355</v>
      </c>
      <c r="G42" s="517"/>
      <c r="H42" s="518"/>
      <c r="I42" s="518"/>
    </row>
    <row r="43" spans="1:9" ht="47.15" customHeight="1" thickBot="1">
      <c r="A43" s="504"/>
      <c r="B43" s="505"/>
      <c r="C43" s="84" t="s">
        <v>1314</v>
      </c>
      <c r="D43" s="94" t="s">
        <v>1356</v>
      </c>
      <c r="E43" s="89" t="s">
        <v>1357</v>
      </c>
      <c r="F43" s="90" t="str">
        <f>F42</f>
        <v>c_s + p_s + K_1 - K_0 - c_l - c_p</v>
      </c>
      <c r="G43" s="517"/>
      <c r="H43" s="518"/>
      <c r="I43" s="518"/>
    </row>
    <row r="48" spans="1:9" ht="20" thickBot="1">
      <c r="A48" s="501" t="s">
        <v>1358</v>
      </c>
      <c r="B48" s="501"/>
      <c r="C48" s="501"/>
      <c r="D48" s="501"/>
      <c r="E48" s="501"/>
      <c r="F48" s="501"/>
    </row>
    <row r="49" spans="1:10" ht="16.5" thickTop="1">
      <c r="A49" s="80" t="s">
        <v>1299</v>
      </c>
      <c r="B49" s="81"/>
      <c r="C49" s="81" t="s">
        <v>1300</v>
      </c>
      <c r="D49" s="81" t="s">
        <v>1359</v>
      </c>
      <c r="E49" s="81" t="s">
        <v>1360</v>
      </c>
      <c r="F49" s="95" t="s">
        <v>1361</v>
      </c>
      <c r="G49" s="82" t="s">
        <v>1303</v>
      </c>
      <c r="H49" s="519" t="s">
        <v>1304</v>
      </c>
      <c r="I49" s="520"/>
      <c r="J49" s="520"/>
    </row>
    <row r="50" spans="1:10" ht="31" customHeight="1">
      <c r="A50" s="497" t="s">
        <v>1362</v>
      </c>
      <c r="B50" s="498"/>
      <c r="C50" s="91" t="s">
        <v>1306</v>
      </c>
      <c r="D50" s="87" t="s">
        <v>1363</v>
      </c>
      <c r="E50" s="87" t="s">
        <v>1364</v>
      </c>
      <c r="F50" s="87" t="s">
        <v>1365</v>
      </c>
      <c r="G50" s="87" t="s">
        <v>1366</v>
      </c>
      <c r="H50" s="523" t="s">
        <v>1367</v>
      </c>
      <c r="I50" s="524"/>
      <c r="J50" s="524"/>
    </row>
    <row r="51" spans="1:10" ht="34">
      <c r="A51" s="497"/>
      <c r="B51" s="498"/>
      <c r="C51" s="91" t="s">
        <v>1311</v>
      </c>
      <c r="D51" s="87" t="s">
        <v>1368</v>
      </c>
      <c r="E51" s="87" t="s">
        <v>1364</v>
      </c>
      <c r="F51" s="87" t="s">
        <v>1365</v>
      </c>
      <c r="G51" s="87" t="s">
        <v>1369</v>
      </c>
      <c r="H51" s="523"/>
      <c r="I51" s="524"/>
      <c r="J51" s="524"/>
    </row>
    <row r="52" spans="1:10" ht="34.5" thickBot="1">
      <c r="A52" s="499"/>
      <c r="B52" s="500"/>
      <c r="C52" s="92" t="s">
        <v>1314</v>
      </c>
      <c r="D52" s="87" t="s">
        <v>1368</v>
      </c>
      <c r="E52" s="87" t="s">
        <v>1364</v>
      </c>
      <c r="F52" s="87" t="s">
        <v>1370</v>
      </c>
      <c r="G52" s="87" t="s">
        <v>1371</v>
      </c>
      <c r="H52" s="523"/>
      <c r="I52" s="524"/>
      <c r="J52" s="524"/>
    </row>
    <row r="57" spans="1:10" ht="20" thickBot="1">
      <c r="A57" s="501" t="s">
        <v>1372</v>
      </c>
      <c r="B57" s="501"/>
      <c r="C57" s="501"/>
      <c r="D57" s="501"/>
      <c r="E57" s="501"/>
      <c r="F57" s="501"/>
    </row>
    <row r="58" spans="1:10" ht="16.5" thickTop="1">
      <c r="A58" s="80" t="s">
        <v>1299</v>
      </c>
      <c r="B58" s="81"/>
      <c r="C58" s="81" t="s">
        <v>1300</v>
      </c>
      <c r="D58" s="81" t="s">
        <v>1373</v>
      </c>
      <c r="E58" s="81" t="s">
        <v>1374</v>
      </c>
      <c r="F58" s="82" t="s">
        <v>1303</v>
      </c>
      <c r="G58" s="519" t="s">
        <v>1304</v>
      </c>
      <c r="H58" s="520"/>
      <c r="I58" s="520"/>
    </row>
    <row r="59" spans="1:10" ht="37" customHeight="1">
      <c r="A59" s="502" t="s">
        <v>1375</v>
      </c>
      <c r="B59" s="503"/>
      <c r="C59" s="96" t="s">
        <v>1376</v>
      </c>
      <c r="D59" s="93" t="s">
        <v>1307</v>
      </c>
      <c r="E59" s="87" t="s">
        <v>1338</v>
      </c>
      <c r="F59" s="88" t="s">
        <v>1377</v>
      </c>
      <c r="G59" s="517" t="s">
        <v>1378</v>
      </c>
      <c r="H59" s="518"/>
      <c r="I59" s="518"/>
    </row>
    <row r="60" spans="1:10">
      <c r="A60" s="502"/>
      <c r="B60" s="503"/>
      <c r="C60" s="514" t="s">
        <v>1379</v>
      </c>
      <c r="D60" s="495" t="s">
        <v>1380</v>
      </c>
      <c r="E60" s="495" t="s">
        <v>1381</v>
      </c>
      <c r="F60" s="493" t="s">
        <v>1382</v>
      </c>
      <c r="G60" s="517"/>
      <c r="H60" s="518"/>
      <c r="I60" s="518"/>
    </row>
    <row r="61" spans="1:10" ht="30" customHeight="1" thickBot="1">
      <c r="A61" s="504"/>
      <c r="B61" s="505"/>
      <c r="C61" s="515"/>
      <c r="D61" s="506"/>
      <c r="E61" s="506"/>
      <c r="F61" s="516"/>
      <c r="G61" s="517"/>
      <c r="H61" s="518"/>
      <c r="I61" s="518"/>
    </row>
    <row r="66" spans="1:9" ht="20" thickBot="1">
      <c r="A66" s="501" t="s">
        <v>1383</v>
      </c>
      <c r="B66" s="501"/>
      <c r="C66" s="501"/>
      <c r="D66" s="501"/>
      <c r="E66" s="501"/>
      <c r="F66" s="501"/>
    </row>
    <row r="67" spans="1:9" ht="16.5" thickTop="1">
      <c r="A67" s="80" t="s">
        <v>1299</v>
      </c>
      <c r="B67" s="81"/>
      <c r="C67" s="81" t="s">
        <v>1300</v>
      </c>
      <c r="D67" s="81" t="s">
        <v>1373</v>
      </c>
      <c r="E67" s="81" t="s">
        <v>1384</v>
      </c>
      <c r="F67" s="82" t="s">
        <v>1303</v>
      </c>
      <c r="G67" s="86"/>
    </row>
    <row r="68" spans="1:9" ht="32.15" customHeight="1">
      <c r="A68" s="502" t="s">
        <v>1385</v>
      </c>
      <c r="B68" s="503"/>
      <c r="C68" s="79" t="s">
        <v>1376</v>
      </c>
      <c r="D68" s="93" t="s">
        <v>1307</v>
      </c>
      <c r="E68" s="87" t="s">
        <v>1386</v>
      </c>
      <c r="F68" s="88" t="s">
        <v>1387</v>
      </c>
      <c r="G68" s="101"/>
      <c r="H68" s="102"/>
      <c r="I68" s="102"/>
    </row>
    <row r="69" spans="1:9" ht="17.149999999999999" customHeight="1">
      <c r="A69" s="502"/>
      <c r="B69" s="503"/>
      <c r="C69" s="514" t="s">
        <v>1388</v>
      </c>
      <c r="D69" s="495" t="s">
        <v>1389</v>
      </c>
      <c r="E69" s="495" t="s">
        <v>1326</v>
      </c>
      <c r="F69" s="493" t="s">
        <v>1390</v>
      </c>
      <c r="G69" s="101"/>
      <c r="H69" s="102"/>
      <c r="I69" s="102"/>
    </row>
    <row r="70" spans="1:9" ht="23.15" customHeight="1" thickBot="1">
      <c r="A70" s="504"/>
      <c r="B70" s="505"/>
      <c r="C70" s="515"/>
      <c r="D70" s="506"/>
      <c r="E70" s="506"/>
      <c r="F70" s="516"/>
      <c r="G70" s="101"/>
      <c r="H70" s="102"/>
      <c r="I70" s="102"/>
    </row>
    <row r="75" spans="1:9" ht="20" thickBot="1">
      <c r="A75" s="501" t="s">
        <v>1391</v>
      </c>
      <c r="B75" s="501"/>
      <c r="C75" s="501"/>
      <c r="D75" s="501"/>
      <c r="E75" s="501"/>
      <c r="F75" s="501"/>
    </row>
    <row r="76" spans="1:9" ht="15" customHeight="1" thickTop="1">
      <c r="A76" s="80" t="s">
        <v>1299</v>
      </c>
      <c r="B76" s="81"/>
      <c r="C76" s="81" t="s">
        <v>1300</v>
      </c>
      <c r="D76" s="81" t="s">
        <v>1374</v>
      </c>
      <c r="E76" s="81" t="s">
        <v>1392</v>
      </c>
      <c r="F76" s="82" t="s">
        <v>1303</v>
      </c>
      <c r="G76" s="86"/>
    </row>
    <row r="77" spans="1:9" ht="37" customHeight="1">
      <c r="A77" s="510" t="s">
        <v>1393</v>
      </c>
      <c r="B77" s="511"/>
      <c r="C77" s="79" t="s">
        <v>1376</v>
      </c>
      <c r="D77" s="93" t="s">
        <v>1338</v>
      </c>
      <c r="E77" s="87" t="s">
        <v>1394</v>
      </c>
      <c r="F77" s="88" t="s">
        <v>1395</v>
      </c>
      <c r="G77" s="101"/>
      <c r="I77" s="102"/>
    </row>
    <row r="78" spans="1:9">
      <c r="A78" s="510"/>
      <c r="B78" s="511"/>
      <c r="C78" s="514" t="s">
        <v>1388</v>
      </c>
      <c r="D78" s="495" t="s">
        <v>1396</v>
      </c>
      <c r="E78" s="495" t="s">
        <v>1397</v>
      </c>
      <c r="F78" s="493" t="str">
        <f>F77</f>
        <v>c_s + p_t - { k - S_t }</v>
      </c>
      <c r="G78" s="101"/>
      <c r="H78" s="102"/>
      <c r="I78" s="102"/>
    </row>
    <row r="79" spans="1:9" ht="27" customHeight="1" thickBot="1">
      <c r="A79" s="512"/>
      <c r="B79" s="513"/>
      <c r="C79" s="515"/>
      <c r="D79" s="506"/>
      <c r="E79" s="506"/>
      <c r="F79" s="516"/>
      <c r="G79" s="101"/>
      <c r="H79" s="102"/>
      <c r="I79" s="102"/>
    </row>
    <row r="83" spans="1:9" ht="16.5" thickBot="1"/>
    <row r="84" spans="1:9" ht="20" thickBot="1">
      <c r="A84" s="507" t="s">
        <v>1398</v>
      </c>
      <c r="B84" s="508"/>
      <c r="C84" s="508"/>
      <c r="D84" s="508"/>
      <c r="E84" s="508"/>
      <c r="F84" s="509"/>
    </row>
    <row r="85" spans="1:9">
      <c r="A85" s="98" t="s">
        <v>1299</v>
      </c>
      <c r="B85" s="99"/>
      <c r="C85" s="99" t="s">
        <v>1300</v>
      </c>
      <c r="D85" s="99" t="s">
        <v>1373</v>
      </c>
      <c r="E85" s="99" t="s">
        <v>1384</v>
      </c>
      <c r="F85" s="100" t="s">
        <v>1303</v>
      </c>
      <c r="G85" s="86"/>
    </row>
    <row r="86" spans="1:9" ht="32.15" customHeight="1">
      <c r="A86" s="510" t="s">
        <v>1399</v>
      </c>
      <c r="B86" s="511"/>
      <c r="C86" s="79" t="s">
        <v>1306</v>
      </c>
      <c r="D86" s="93" t="s">
        <v>1307</v>
      </c>
      <c r="E86" s="87" t="s">
        <v>1400</v>
      </c>
      <c r="F86" s="88" t="s">
        <v>1401</v>
      </c>
      <c r="G86" s="101"/>
      <c r="H86" s="102"/>
    </row>
    <row r="87" spans="1:9" ht="16" customHeight="1">
      <c r="A87" s="510"/>
      <c r="B87" s="511"/>
      <c r="C87" s="79" t="s">
        <v>1311</v>
      </c>
      <c r="D87" s="87" t="s">
        <v>1307</v>
      </c>
      <c r="E87" s="87" t="s">
        <v>1326</v>
      </c>
      <c r="F87" s="88" t="s">
        <v>1402</v>
      </c>
      <c r="G87" s="101"/>
      <c r="H87" s="102"/>
      <c r="I87" s="102"/>
    </row>
    <row r="88" spans="1:9" ht="26.15" customHeight="1" thickBot="1">
      <c r="A88" s="512"/>
      <c r="B88" s="513"/>
      <c r="C88" s="84" t="s">
        <v>1403</v>
      </c>
      <c r="D88" s="89" t="s">
        <v>1404</v>
      </c>
      <c r="E88" s="89" t="s">
        <v>1405</v>
      </c>
      <c r="F88" s="90" t="s">
        <v>1406</v>
      </c>
      <c r="G88" s="101"/>
      <c r="H88" s="102"/>
      <c r="I88" s="102"/>
    </row>
    <row r="92" spans="1:9" ht="16.5" thickBot="1"/>
    <row r="93" spans="1:9" ht="20" thickBot="1">
      <c r="A93" s="507" t="s">
        <v>1407</v>
      </c>
      <c r="B93" s="508"/>
      <c r="C93" s="508"/>
      <c r="D93" s="508"/>
      <c r="E93" s="508"/>
      <c r="F93" s="509"/>
    </row>
    <row r="94" spans="1:9">
      <c r="A94" s="98" t="s">
        <v>1299</v>
      </c>
      <c r="B94" s="99"/>
      <c r="C94" s="99" t="s">
        <v>1300</v>
      </c>
      <c r="D94" s="99" t="s">
        <v>1374</v>
      </c>
      <c r="E94" s="99" t="s">
        <v>1392</v>
      </c>
      <c r="F94" s="100" t="s">
        <v>1303</v>
      </c>
      <c r="G94" s="86"/>
    </row>
    <row r="95" spans="1:9" ht="32.15" customHeight="1">
      <c r="A95" s="502" t="s">
        <v>1408</v>
      </c>
      <c r="B95" s="503"/>
      <c r="C95" s="79" t="s">
        <v>1306</v>
      </c>
      <c r="D95" s="93" t="s">
        <v>1338</v>
      </c>
      <c r="E95" s="87" t="s">
        <v>1409</v>
      </c>
      <c r="F95" s="88" t="s">
        <v>1410</v>
      </c>
      <c r="G95" s="101"/>
      <c r="H95" s="102"/>
      <c r="I95" s="102"/>
    </row>
    <row r="96" spans="1:9" ht="30" customHeight="1">
      <c r="A96" s="502"/>
      <c r="B96" s="503"/>
      <c r="C96" s="79" t="s">
        <v>1311</v>
      </c>
      <c r="D96" s="87" t="s">
        <v>1338</v>
      </c>
      <c r="E96" s="87" t="s">
        <v>1411</v>
      </c>
      <c r="F96" s="88" t="s">
        <v>1412</v>
      </c>
      <c r="G96" s="101"/>
      <c r="H96" s="102"/>
      <c r="I96" s="102"/>
    </row>
    <row r="97" spans="1:10" ht="32.15" customHeight="1" thickBot="1">
      <c r="A97" s="504"/>
      <c r="B97" s="505"/>
      <c r="C97" s="84" t="s">
        <v>1403</v>
      </c>
      <c r="D97" s="89" t="s">
        <v>1413</v>
      </c>
      <c r="E97" s="89" t="s">
        <v>1411</v>
      </c>
      <c r="F97" s="90" t="s">
        <v>1414</v>
      </c>
      <c r="G97" s="101"/>
      <c r="H97" s="102"/>
      <c r="I97" s="102"/>
    </row>
    <row r="102" spans="1:10" ht="20" thickBot="1">
      <c r="A102" s="501" t="s">
        <v>1415</v>
      </c>
      <c r="B102" s="501"/>
      <c r="C102" s="501"/>
      <c r="D102" s="501"/>
      <c r="E102" s="501"/>
      <c r="F102" s="501"/>
    </row>
    <row r="103" spans="1:10" ht="16.5" thickTop="1">
      <c r="A103" s="80" t="s">
        <v>1299</v>
      </c>
      <c r="B103" s="81"/>
      <c r="C103" s="81" t="s">
        <v>1300</v>
      </c>
      <c r="D103" s="81" t="s">
        <v>85</v>
      </c>
      <c r="E103" s="81" t="s">
        <v>85</v>
      </c>
      <c r="F103" s="95" t="s">
        <v>86</v>
      </c>
      <c r="G103" s="82" t="s">
        <v>1303</v>
      </c>
      <c r="H103" s="86"/>
    </row>
    <row r="104" spans="1:10">
      <c r="A104" s="497" t="s">
        <v>1416</v>
      </c>
      <c r="B104" s="498"/>
      <c r="C104" s="91" t="s">
        <v>1376</v>
      </c>
      <c r="D104" s="87" t="s">
        <v>1417</v>
      </c>
      <c r="E104" s="87" t="str">
        <f>D104</f>
        <v>(-c)</v>
      </c>
      <c r="F104" s="87" t="s">
        <v>1418</v>
      </c>
      <c r="G104" s="87" t="s">
        <v>1419</v>
      </c>
      <c r="H104" s="103"/>
      <c r="I104" s="104"/>
      <c r="J104" s="104"/>
    </row>
    <row r="105" spans="1:10" ht="16" customHeight="1">
      <c r="A105" s="497"/>
      <c r="B105" s="498"/>
      <c r="C105" s="495" t="s">
        <v>1420</v>
      </c>
      <c r="D105" s="495" t="s">
        <v>1421</v>
      </c>
      <c r="E105" s="495" t="str">
        <f>D105</f>
        <v>S_t - K - c</v>
      </c>
      <c r="F105" s="495" t="s">
        <v>1422</v>
      </c>
      <c r="G105" s="493" t="s">
        <v>1423</v>
      </c>
      <c r="H105" s="103"/>
      <c r="I105" s="104"/>
      <c r="J105" s="104"/>
    </row>
    <row r="106" spans="1:10" ht="16.5" thickBot="1">
      <c r="A106" s="499"/>
      <c r="B106" s="500"/>
      <c r="C106" s="506"/>
      <c r="D106" s="496"/>
      <c r="E106" s="496"/>
      <c r="F106" s="496"/>
      <c r="G106" s="494"/>
      <c r="H106" s="103"/>
      <c r="I106" s="104"/>
      <c r="J106" s="104"/>
    </row>
    <row r="111" spans="1:10" ht="20" thickBot="1">
      <c r="A111" s="501" t="s">
        <v>1424</v>
      </c>
      <c r="B111" s="501"/>
      <c r="C111" s="501"/>
      <c r="D111" s="501"/>
      <c r="E111" s="501"/>
      <c r="F111" s="501"/>
    </row>
    <row r="112" spans="1:10" ht="16.5" thickTop="1">
      <c r="A112" s="80" t="s">
        <v>1299</v>
      </c>
      <c r="B112" s="81"/>
      <c r="C112" s="81" t="s">
        <v>1300</v>
      </c>
      <c r="D112" s="81" t="s">
        <v>85</v>
      </c>
      <c r="E112" s="81" t="s">
        <v>86</v>
      </c>
      <c r="F112" s="95" t="s">
        <v>86</v>
      </c>
      <c r="G112" s="82" t="s">
        <v>1303</v>
      </c>
      <c r="H112" s="86"/>
    </row>
    <row r="113" spans="1:10">
      <c r="A113" s="502" t="s">
        <v>1425</v>
      </c>
      <c r="B113" s="503"/>
      <c r="C113" s="91" t="s">
        <v>1376</v>
      </c>
      <c r="D113" s="91" t="s">
        <v>1417</v>
      </c>
      <c r="E113" s="91" t="s">
        <v>1426</v>
      </c>
      <c r="F113" s="91" t="str">
        <f>E113</f>
        <v>K - S_t - p</v>
      </c>
      <c r="G113" s="87" t="s">
        <v>1427</v>
      </c>
      <c r="H113" s="103"/>
      <c r="I113" s="104"/>
      <c r="J113" s="104"/>
    </row>
    <row r="114" spans="1:10" ht="17.149999999999999" customHeight="1">
      <c r="A114" s="502"/>
      <c r="B114" s="503"/>
      <c r="C114" s="495" t="s">
        <v>1420</v>
      </c>
      <c r="D114" s="495" t="s">
        <v>1421</v>
      </c>
      <c r="E114" s="495" t="s">
        <v>1426</v>
      </c>
      <c r="F114" s="495" t="str">
        <f>E114</f>
        <v>K - S_t - p</v>
      </c>
      <c r="G114" s="493" t="s">
        <v>1428</v>
      </c>
      <c r="H114" s="103"/>
      <c r="I114" s="104"/>
      <c r="J114" s="104"/>
    </row>
    <row r="115" spans="1:10" ht="16.5" thickBot="1">
      <c r="A115" s="504"/>
      <c r="B115" s="505"/>
      <c r="C115" s="506"/>
      <c r="D115" s="496"/>
      <c r="E115" s="496"/>
      <c r="F115" s="496"/>
      <c r="G115" s="494"/>
      <c r="H115" s="103"/>
      <c r="I115" s="104"/>
      <c r="J115" s="104"/>
    </row>
  </sheetData>
  <mergeCells count="62">
    <mergeCell ref="A5:B7"/>
    <mergeCell ref="A3:F3"/>
    <mergeCell ref="G4:I4"/>
    <mergeCell ref="G5:I7"/>
    <mergeCell ref="G31:I31"/>
    <mergeCell ref="A12:F12"/>
    <mergeCell ref="G13:I13"/>
    <mergeCell ref="A14:B16"/>
    <mergeCell ref="G14:I16"/>
    <mergeCell ref="A21:F21"/>
    <mergeCell ref="G22:I22"/>
    <mergeCell ref="A23:B25"/>
    <mergeCell ref="G23:I25"/>
    <mergeCell ref="A30:F30"/>
    <mergeCell ref="G58:I58"/>
    <mergeCell ref="A32:B34"/>
    <mergeCell ref="G32:I34"/>
    <mergeCell ref="A39:F39"/>
    <mergeCell ref="G40:I40"/>
    <mergeCell ref="A41:B43"/>
    <mergeCell ref="G41:I43"/>
    <mergeCell ref="A48:F48"/>
    <mergeCell ref="H49:J49"/>
    <mergeCell ref="A50:B52"/>
    <mergeCell ref="H50:J52"/>
    <mergeCell ref="A57:F57"/>
    <mergeCell ref="A59:B61"/>
    <mergeCell ref="G59:I61"/>
    <mergeCell ref="C60:C61"/>
    <mergeCell ref="D60:D61"/>
    <mergeCell ref="E60:E61"/>
    <mergeCell ref="F60:F61"/>
    <mergeCell ref="A66:F66"/>
    <mergeCell ref="A68:B70"/>
    <mergeCell ref="C69:C70"/>
    <mergeCell ref="D69:D70"/>
    <mergeCell ref="E69:E70"/>
    <mergeCell ref="F69:F70"/>
    <mergeCell ref="A75:F75"/>
    <mergeCell ref="A77:B79"/>
    <mergeCell ref="C78:C79"/>
    <mergeCell ref="D78:D79"/>
    <mergeCell ref="E78:E79"/>
    <mergeCell ref="F78:F79"/>
    <mergeCell ref="A93:F93"/>
    <mergeCell ref="A95:B97"/>
    <mergeCell ref="A102:F102"/>
    <mergeCell ref="A84:F84"/>
    <mergeCell ref="A86:B88"/>
    <mergeCell ref="A104:B106"/>
    <mergeCell ref="A111:F111"/>
    <mergeCell ref="A113:B115"/>
    <mergeCell ref="C114:C115"/>
    <mergeCell ref="C105:C106"/>
    <mergeCell ref="D105:D106"/>
    <mergeCell ref="E105:E106"/>
    <mergeCell ref="F105:F106"/>
    <mergeCell ref="G105:G106"/>
    <mergeCell ref="D114:D115"/>
    <mergeCell ref="E114:E115"/>
    <mergeCell ref="F114:F115"/>
    <mergeCell ref="G114:G11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BC428-2612-BF44-A902-72934F94DC0A}">
  <dimension ref="A1:V36"/>
  <sheetViews>
    <sheetView showGridLines="0" topLeftCell="A32" workbookViewId="0">
      <selection activeCell="A34" sqref="A34:B36"/>
    </sheetView>
  </sheetViews>
  <sheetFormatPr defaultColWidth="11" defaultRowHeight="16"/>
  <cols>
    <col min="2" max="2" width="16.9140625" customWidth="1"/>
    <col min="3" max="3" width="16.6640625" customWidth="1"/>
    <col min="4" max="4" width="15.4140625" customWidth="1"/>
    <col min="5" max="5" width="15.9140625" customWidth="1"/>
    <col min="6" max="6" width="16.1640625" customWidth="1"/>
  </cols>
  <sheetData>
    <row r="1" spans="1:22">
      <c r="A1" s="536" t="s">
        <v>1429</v>
      </c>
      <c r="B1" s="536"/>
      <c r="C1" s="536"/>
      <c r="D1" s="536"/>
      <c r="E1" s="536"/>
      <c r="F1" s="536"/>
      <c r="G1" s="536"/>
      <c r="H1" s="536"/>
      <c r="I1" s="536"/>
      <c r="J1" s="536"/>
      <c r="K1" s="536"/>
      <c r="L1" s="536"/>
      <c r="M1" s="536"/>
      <c r="N1" s="536"/>
      <c r="O1" s="536"/>
      <c r="P1" s="536"/>
      <c r="Q1" s="536"/>
      <c r="R1" s="536"/>
      <c r="S1" s="536"/>
      <c r="T1" s="536"/>
      <c r="U1" s="536"/>
      <c r="V1" s="536"/>
    </row>
    <row r="2" spans="1:22">
      <c r="A2" s="536"/>
      <c r="B2" s="536"/>
      <c r="C2" s="536"/>
      <c r="D2" s="536"/>
      <c r="E2" s="536"/>
      <c r="F2" s="536"/>
      <c r="G2" s="536"/>
      <c r="H2" s="536"/>
      <c r="I2" s="536"/>
      <c r="J2" s="536"/>
      <c r="K2" s="536"/>
      <c r="L2" s="536"/>
      <c r="M2" s="536"/>
      <c r="N2" s="536"/>
      <c r="O2" s="536"/>
      <c r="P2" s="536"/>
      <c r="Q2" s="536"/>
      <c r="R2" s="536"/>
      <c r="S2" s="536"/>
      <c r="T2" s="536"/>
      <c r="U2" s="536"/>
      <c r="V2" s="536"/>
    </row>
    <row r="5" spans="1:22" ht="20" thickBot="1">
      <c r="A5" s="501" t="s">
        <v>1430</v>
      </c>
      <c r="B5" s="501"/>
      <c r="C5" s="501"/>
      <c r="D5" s="501"/>
      <c r="E5" s="501"/>
      <c r="F5" s="501"/>
    </row>
    <row r="6" spans="1:22" ht="16.5" thickTop="1">
      <c r="A6" s="80" t="s">
        <v>1299</v>
      </c>
      <c r="B6" s="81"/>
      <c r="C6" s="81" t="s">
        <v>1300</v>
      </c>
      <c r="D6" s="81" t="s">
        <v>1431</v>
      </c>
      <c r="E6" s="81" t="s">
        <v>1384</v>
      </c>
      <c r="F6" s="82" t="s">
        <v>1303</v>
      </c>
      <c r="G6" s="108" t="s">
        <v>1304</v>
      </c>
    </row>
    <row r="7" spans="1:22" ht="58" customHeight="1">
      <c r="A7" s="525" t="s">
        <v>1432</v>
      </c>
      <c r="B7" s="526"/>
      <c r="C7" s="106" t="s">
        <v>1376</v>
      </c>
      <c r="D7" s="97" t="s">
        <v>1433</v>
      </c>
      <c r="E7" s="97" t="s">
        <v>1386</v>
      </c>
      <c r="F7" s="107" t="s">
        <v>1326</v>
      </c>
      <c r="G7" s="529" t="s">
        <v>1434</v>
      </c>
    </row>
    <row r="8" spans="1:22" ht="24" customHeight="1">
      <c r="A8" s="525"/>
      <c r="B8" s="526"/>
      <c r="C8" s="530" t="s">
        <v>1388</v>
      </c>
      <c r="D8" s="532" t="s">
        <v>1433</v>
      </c>
      <c r="E8" s="532" t="s">
        <v>1326</v>
      </c>
      <c r="F8" s="534" t="s">
        <v>1435</v>
      </c>
      <c r="G8" s="529"/>
    </row>
    <row r="9" spans="1:22" ht="36" customHeight="1" thickBot="1">
      <c r="A9" s="527"/>
      <c r="B9" s="528"/>
      <c r="C9" s="531"/>
      <c r="D9" s="533"/>
      <c r="E9" s="533"/>
      <c r="F9" s="535"/>
      <c r="G9" s="529"/>
    </row>
    <row r="14" spans="1:22" ht="20" thickBot="1">
      <c r="A14" s="501" t="s">
        <v>1436</v>
      </c>
      <c r="B14" s="501"/>
      <c r="C14" s="501"/>
      <c r="D14" s="501"/>
      <c r="E14" s="501"/>
      <c r="F14" s="501"/>
    </row>
    <row r="15" spans="1:22" ht="16.5" thickTop="1">
      <c r="A15" s="80" t="s">
        <v>1299</v>
      </c>
      <c r="B15" s="81"/>
      <c r="C15" s="81" t="s">
        <v>1300</v>
      </c>
      <c r="D15" s="81" t="s">
        <v>1437</v>
      </c>
      <c r="E15" s="81" t="s">
        <v>1373</v>
      </c>
      <c r="F15" s="82" t="s">
        <v>1303</v>
      </c>
      <c r="G15" s="108" t="s">
        <v>1304</v>
      </c>
    </row>
    <row r="16" spans="1:22" ht="40" customHeight="1">
      <c r="A16" s="525" t="s">
        <v>1438</v>
      </c>
      <c r="B16" s="526"/>
      <c r="C16" s="106" t="s">
        <v>1376</v>
      </c>
      <c r="D16" s="97" t="s">
        <v>1439</v>
      </c>
      <c r="E16" s="97" t="s">
        <v>1307</v>
      </c>
      <c r="F16" s="107" t="s">
        <v>1440</v>
      </c>
      <c r="G16" s="529" t="s">
        <v>1434</v>
      </c>
    </row>
    <row r="17" spans="1:7" ht="23.15" customHeight="1">
      <c r="A17" s="525"/>
      <c r="B17" s="526"/>
      <c r="C17" s="530" t="s">
        <v>1388</v>
      </c>
      <c r="D17" s="532" t="s">
        <v>1441</v>
      </c>
      <c r="E17" s="532" t="s">
        <v>1442</v>
      </c>
      <c r="F17" s="534" t="s">
        <v>1307</v>
      </c>
      <c r="G17" s="529"/>
    </row>
    <row r="18" spans="1:7" ht="34" customHeight="1" thickBot="1">
      <c r="A18" s="527"/>
      <c r="B18" s="528"/>
      <c r="C18" s="531"/>
      <c r="D18" s="533"/>
      <c r="E18" s="533"/>
      <c r="F18" s="535"/>
      <c r="G18" s="529"/>
    </row>
    <row r="22" spans="1:7" ht="23">
      <c r="A22" s="105"/>
    </row>
    <row r="23" spans="1:7" ht="20" thickBot="1">
      <c r="A23" s="501" t="s">
        <v>1443</v>
      </c>
      <c r="B23" s="501"/>
      <c r="C23" s="501"/>
      <c r="D23" s="501"/>
      <c r="E23" s="501"/>
      <c r="F23" s="501"/>
    </row>
    <row r="24" spans="1:7" ht="16.5" thickTop="1">
      <c r="A24" s="80" t="s">
        <v>1299</v>
      </c>
      <c r="B24" s="81"/>
      <c r="C24" s="81" t="s">
        <v>1300</v>
      </c>
      <c r="D24" s="81" t="s">
        <v>1444</v>
      </c>
      <c r="E24" s="81" t="s">
        <v>1392</v>
      </c>
      <c r="F24" s="82" t="s">
        <v>1303</v>
      </c>
      <c r="G24" s="108" t="s">
        <v>1304</v>
      </c>
    </row>
    <row r="25" spans="1:7" ht="51" customHeight="1">
      <c r="A25" s="525" t="s">
        <v>1445</v>
      </c>
      <c r="B25" s="526"/>
      <c r="C25" s="106" t="s">
        <v>1376</v>
      </c>
      <c r="D25" s="97" t="s">
        <v>1446</v>
      </c>
      <c r="E25" s="97" t="s">
        <v>1447</v>
      </c>
      <c r="F25" s="107" t="s">
        <v>1411</v>
      </c>
      <c r="G25" s="529" t="s">
        <v>1434</v>
      </c>
    </row>
    <row r="26" spans="1:7">
      <c r="A26" s="525"/>
      <c r="B26" s="526"/>
      <c r="C26" s="530" t="s">
        <v>1388</v>
      </c>
      <c r="D26" s="532" t="str">
        <f>D25</f>
        <v xml:space="preserve">K - S_t </v>
      </c>
      <c r="E26" s="532" t="s">
        <v>1447</v>
      </c>
      <c r="F26" s="534" t="s">
        <v>1448</v>
      </c>
      <c r="G26" s="529"/>
    </row>
    <row r="27" spans="1:7" ht="44.15" customHeight="1" thickBot="1">
      <c r="A27" s="527"/>
      <c r="B27" s="528"/>
      <c r="C27" s="531"/>
      <c r="D27" s="533"/>
      <c r="E27" s="533"/>
      <c r="F27" s="535"/>
      <c r="G27" s="529"/>
    </row>
    <row r="32" spans="1:7" ht="20" thickBot="1">
      <c r="A32" s="501" t="s">
        <v>1449</v>
      </c>
      <c r="B32" s="501"/>
      <c r="C32" s="501"/>
      <c r="D32" s="501"/>
      <c r="E32" s="501"/>
      <c r="F32" s="501"/>
    </row>
    <row r="33" spans="1:7" ht="16.5" thickTop="1">
      <c r="A33" s="80" t="s">
        <v>1299</v>
      </c>
      <c r="B33" s="81"/>
      <c r="C33" s="81" t="s">
        <v>1300</v>
      </c>
      <c r="D33" s="81" t="s">
        <v>1450</v>
      </c>
      <c r="E33" s="81" t="s">
        <v>1374</v>
      </c>
      <c r="F33" s="82" t="s">
        <v>1303</v>
      </c>
      <c r="G33" s="108" t="s">
        <v>1304</v>
      </c>
    </row>
    <row r="34" spans="1:7" ht="47.15" customHeight="1">
      <c r="A34" s="525" t="s">
        <v>1451</v>
      </c>
      <c r="B34" s="526"/>
      <c r="C34" s="106" t="s">
        <v>1376</v>
      </c>
      <c r="D34" s="97" t="s">
        <v>1433</v>
      </c>
      <c r="E34" s="97" t="s">
        <v>1452</v>
      </c>
      <c r="F34" s="107" t="s">
        <v>1453</v>
      </c>
      <c r="G34" s="529" t="s">
        <v>1434</v>
      </c>
    </row>
    <row r="35" spans="1:7" ht="20.149999999999999" customHeight="1">
      <c r="A35" s="525"/>
      <c r="B35" s="526"/>
      <c r="C35" s="530" t="s">
        <v>1388</v>
      </c>
      <c r="D35" s="532" t="str">
        <f>D34</f>
        <v>S_t - K</v>
      </c>
      <c r="E35" s="532" t="s">
        <v>1454</v>
      </c>
      <c r="F35" s="534" t="s">
        <v>1452</v>
      </c>
      <c r="G35" s="529"/>
    </row>
    <row r="36" spans="1:7" ht="30" customHeight="1" thickBot="1">
      <c r="A36" s="527"/>
      <c r="B36" s="528"/>
      <c r="C36" s="531"/>
      <c r="D36" s="533"/>
      <c r="E36" s="533"/>
      <c r="F36" s="535"/>
      <c r="G36" s="529"/>
    </row>
  </sheetData>
  <mergeCells count="29">
    <mergeCell ref="A1:V2"/>
    <mergeCell ref="A5:F5"/>
    <mergeCell ref="A7:B9"/>
    <mergeCell ref="C8:C9"/>
    <mergeCell ref="D8:D9"/>
    <mergeCell ref="E8:E9"/>
    <mergeCell ref="F8:F9"/>
    <mergeCell ref="G7:G9"/>
    <mergeCell ref="A14:F14"/>
    <mergeCell ref="A16:B18"/>
    <mergeCell ref="G16:G18"/>
    <mergeCell ref="C17:C18"/>
    <mergeCell ref="D17:D18"/>
    <mergeCell ref="E17:E18"/>
    <mergeCell ref="F17:F18"/>
    <mergeCell ref="A23:F23"/>
    <mergeCell ref="A25:B27"/>
    <mergeCell ref="G25:G27"/>
    <mergeCell ref="C26:C27"/>
    <mergeCell ref="D26:D27"/>
    <mergeCell ref="E26:E27"/>
    <mergeCell ref="F26:F27"/>
    <mergeCell ref="A32:F32"/>
    <mergeCell ref="A34:B36"/>
    <mergeCell ref="G34:G36"/>
    <mergeCell ref="C35:C36"/>
    <mergeCell ref="D35:D36"/>
    <mergeCell ref="E35:E36"/>
    <mergeCell ref="F35:F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1F58D-B07A-C54B-AA43-EF3DDD0B9C2C}">
  <dimension ref="A1:N30"/>
  <sheetViews>
    <sheetView showGridLines="0" zoomScale="109" workbookViewId="0">
      <selection activeCell="C19" sqref="C19"/>
    </sheetView>
  </sheetViews>
  <sheetFormatPr defaultColWidth="11" defaultRowHeight="16"/>
  <cols>
    <col min="11" max="12" width="15.9140625" customWidth="1"/>
    <col min="13" max="13" width="14.6640625" customWidth="1"/>
    <col min="14" max="14" width="17.9140625" customWidth="1"/>
  </cols>
  <sheetData>
    <row r="1" spans="1:14">
      <c r="A1" t="s">
        <v>1347</v>
      </c>
    </row>
    <row r="3" spans="1:14" ht="20" thickBot="1">
      <c r="A3" s="520" t="s">
        <v>416</v>
      </c>
      <c r="B3" s="520"/>
      <c r="C3" s="520"/>
      <c r="D3" s="520"/>
      <c r="I3" s="501" t="s">
        <v>1298</v>
      </c>
      <c r="J3" s="501"/>
      <c r="K3" s="501"/>
      <c r="L3" s="501"/>
      <c r="M3" s="501"/>
      <c r="N3" s="501"/>
    </row>
    <row r="4" spans="1:14" ht="17" thickTop="1" thickBot="1">
      <c r="A4" s="537" t="s">
        <v>1455</v>
      </c>
      <c r="B4" s="538"/>
      <c r="C4" s="537" t="s">
        <v>1456</v>
      </c>
      <c r="D4" s="538"/>
      <c r="G4" s="109" t="s">
        <v>1457</v>
      </c>
      <c r="I4" s="80" t="s">
        <v>1299</v>
      </c>
      <c r="J4" s="81"/>
      <c r="K4" s="81" t="s">
        <v>1300</v>
      </c>
      <c r="L4" s="81" t="s">
        <v>1301</v>
      </c>
      <c r="M4" s="81" t="s">
        <v>1302</v>
      </c>
      <c r="N4" s="82" t="s">
        <v>1303</v>
      </c>
    </row>
    <row r="5" spans="1:14" ht="16.5" thickBot="1">
      <c r="A5" s="110" t="s">
        <v>1458</v>
      </c>
      <c r="B5" s="114">
        <v>14.3</v>
      </c>
      <c r="C5" s="111" t="s">
        <v>1458</v>
      </c>
      <c r="D5" s="114">
        <v>14.3</v>
      </c>
      <c r="I5" s="539" t="s">
        <v>1305</v>
      </c>
      <c r="J5" s="540"/>
      <c r="K5" s="79" t="s">
        <v>1306</v>
      </c>
      <c r="L5" s="79" t="s">
        <v>1307</v>
      </c>
      <c r="M5" s="79" t="s">
        <v>1308</v>
      </c>
      <c r="N5" s="83" t="s">
        <v>1309</v>
      </c>
    </row>
    <row r="6" spans="1:14" ht="16.5" thickBot="1">
      <c r="A6" s="110" t="s">
        <v>245</v>
      </c>
      <c r="B6" s="114">
        <v>14</v>
      </c>
      <c r="C6" s="111" t="s">
        <v>245</v>
      </c>
      <c r="D6" s="114">
        <v>16</v>
      </c>
      <c r="I6" s="539"/>
      <c r="J6" s="540"/>
      <c r="K6" s="79" t="s">
        <v>1311</v>
      </c>
      <c r="L6" s="79" t="s">
        <v>1312</v>
      </c>
      <c r="M6" s="79" t="s">
        <v>1308</v>
      </c>
      <c r="N6" s="83" t="s">
        <v>1313</v>
      </c>
    </row>
    <row r="7" spans="1:14" ht="16.5" thickBot="1">
      <c r="A7" s="110" t="s">
        <v>186</v>
      </c>
      <c r="B7" s="115">
        <v>3.7100000000000001E-2</v>
      </c>
      <c r="C7" s="111" t="s">
        <v>186</v>
      </c>
      <c r="D7" s="115">
        <v>3.7100000000000001E-2</v>
      </c>
      <c r="I7" s="541"/>
      <c r="J7" s="542"/>
      <c r="K7" s="84" t="s">
        <v>1314</v>
      </c>
      <c r="L7" s="84" t="s">
        <v>1312</v>
      </c>
      <c r="M7" s="84" t="s">
        <v>1315</v>
      </c>
      <c r="N7" s="85" t="s">
        <v>1316</v>
      </c>
    </row>
    <row r="8" spans="1:14" ht="16.5" thickBot="1">
      <c r="A8" s="110" t="s">
        <v>189</v>
      </c>
      <c r="B8" s="114">
        <v>0</v>
      </c>
      <c r="C8" s="111" t="s">
        <v>189</v>
      </c>
      <c r="D8" s="114">
        <v>0</v>
      </c>
    </row>
    <row r="9" spans="1:14" ht="17" thickBot="1">
      <c r="A9" s="112" t="s">
        <v>1459</v>
      </c>
      <c r="B9" s="115">
        <v>0.3009</v>
      </c>
      <c r="C9" s="113" t="s">
        <v>1459</v>
      </c>
      <c r="D9" s="115">
        <v>0.27889999999999998</v>
      </c>
      <c r="K9" s="1" t="s">
        <v>178</v>
      </c>
      <c r="L9" s="1" t="s">
        <v>1460</v>
      </c>
      <c r="M9" s="1" t="s">
        <v>1461</v>
      </c>
      <c r="N9" s="1" t="s">
        <v>1462</v>
      </c>
    </row>
    <row r="10" spans="1:14" ht="16.5" thickBot="1">
      <c r="A10" s="110" t="s">
        <v>192</v>
      </c>
      <c r="B10" s="116">
        <f>2*(1/3)</f>
        <v>0.66666666666666663</v>
      </c>
      <c r="C10" s="111" t="s">
        <v>192</v>
      </c>
      <c r="D10" s="116">
        <f>B10</f>
        <v>0.66666666666666663</v>
      </c>
      <c r="K10">
        <v>5</v>
      </c>
      <c r="L10">
        <f>MAX(K10 - B$6, 0) - B$18</f>
        <v>-1.7113979230192236</v>
      </c>
      <c r="M10">
        <f xml:space="preserve"> D$18 - MAX(K10 - D$6,0)</f>
        <v>0.79966482298452313</v>
      </c>
      <c r="N10">
        <f>L10 + M10</f>
        <v>-0.91173310003470043</v>
      </c>
    </row>
    <row r="11" spans="1:14">
      <c r="A11" s="109" t="s">
        <v>1457</v>
      </c>
      <c r="K11">
        <v>6</v>
      </c>
      <c r="L11">
        <f t="shared" ref="L11:L30" si="0">MAX(K11 - B$6, 0) - B$18</f>
        <v>-1.7113979230192236</v>
      </c>
      <c r="M11">
        <f t="shared" ref="M11:M30" si="1" xml:space="preserve"> D$18 - MAX(K11 - D$6,0)</f>
        <v>0.79966482298452313</v>
      </c>
      <c r="N11">
        <f t="shared" ref="N11:N30" si="2">L11 + M11</f>
        <v>-0.91173310003470043</v>
      </c>
    </row>
    <row r="12" spans="1:14">
      <c r="K12">
        <v>7</v>
      </c>
      <c r="L12">
        <f t="shared" si="0"/>
        <v>-1.7113979230192236</v>
      </c>
      <c r="M12">
        <f t="shared" si="1"/>
        <v>0.79966482298452313</v>
      </c>
      <c r="N12">
        <f t="shared" si="2"/>
        <v>-0.91173310003470043</v>
      </c>
    </row>
    <row r="13" spans="1:14">
      <c r="A13" t="s">
        <v>866</v>
      </c>
      <c r="B13">
        <f xml:space="preserve"> ( (LN(B5/B6) + (B7 + (B9^2 /2))*(B10)) / (B9*SQRT(B10)))</f>
        <v>0.30981206093183039</v>
      </c>
      <c r="C13" t="str">
        <f>A13</f>
        <v>d1</v>
      </c>
      <c r="D13">
        <f xml:space="preserve"> ( (LN(D5/D6) + (D7 + (D9^2 /2))*(D10)) / (D9*SQRT(D10)))</f>
        <v>-0.27080276459703828</v>
      </c>
      <c r="K13">
        <v>8</v>
      </c>
      <c r="L13">
        <f t="shared" si="0"/>
        <v>-1.7113979230192236</v>
      </c>
      <c r="M13">
        <f t="shared" si="1"/>
        <v>0.79966482298452313</v>
      </c>
      <c r="N13">
        <f t="shared" si="2"/>
        <v>-0.91173310003470043</v>
      </c>
    </row>
    <row r="14" spans="1:14">
      <c r="A14" t="s">
        <v>869</v>
      </c>
      <c r="B14">
        <f>B13 - B9*SQRT(B10)</f>
        <v>6.4128239730677633E-2</v>
      </c>
      <c r="C14" t="str">
        <f>A14</f>
        <v>d2</v>
      </c>
      <c r="D14">
        <f>D13 - D9*SQRT(D10)</f>
        <v>-0.49852366101778106</v>
      </c>
      <c r="K14">
        <v>9</v>
      </c>
      <c r="L14">
        <f t="shared" si="0"/>
        <v>-1.7113979230192236</v>
      </c>
      <c r="M14">
        <f t="shared" si="1"/>
        <v>0.79966482298452313</v>
      </c>
      <c r="N14">
        <f t="shared" si="2"/>
        <v>-0.91173310003470043</v>
      </c>
    </row>
    <row r="15" spans="1:14">
      <c r="A15" t="s">
        <v>146</v>
      </c>
      <c r="B15">
        <f>_xlfn.NORM.S.DIST(B13,TRUE)</f>
        <v>0.62164806035394249</v>
      </c>
      <c r="C15" t="str">
        <f>A15</f>
        <v>N(d1)</v>
      </c>
      <c r="D15">
        <f>_xlfn.NORM.S.DIST(D13,TRUE)</f>
        <v>0.39327136673136354</v>
      </c>
      <c r="K15">
        <v>10</v>
      </c>
      <c r="L15">
        <f t="shared" si="0"/>
        <v>-1.7113979230192236</v>
      </c>
      <c r="M15">
        <f t="shared" si="1"/>
        <v>0.79966482298452313</v>
      </c>
      <c r="N15">
        <f t="shared" si="2"/>
        <v>-0.91173310003470043</v>
      </c>
    </row>
    <row r="16" spans="1:14">
      <c r="A16" t="s">
        <v>149</v>
      </c>
      <c r="B16">
        <f>_xlfn.NORM.S.DIST(B14,TRUE)</f>
        <v>0.52556594196726913</v>
      </c>
      <c r="C16" t="str">
        <f>A16</f>
        <v>N(d2)</v>
      </c>
      <c r="D16">
        <f>_xlfn.NORM.S.DIST(D14,TRUE)</f>
        <v>0.30905749818882539</v>
      </c>
      <c r="K16">
        <v>11</v>
      </c>
      <c r="L16">
        <f t="shared" si="0"/>
        <v>-1.7113979230192236</v>
      </c>
      <c r="M16">
        <f t="shared" si="1"/>
        <v>0.79966482298452313</v>
      </c>
      <c r="N16">
        <f t="shared" si="2"/>
        <v>-0.91173310003470043</v>
      </c>
    </row>
    <row r="17" spans="1:14">
      <c r="K17">
        <v>12</v>
      </c>
      <c r="L17">
        <f t="shared" si="0"/>
        <v>-1.7113979230192236</v>
      </c>
      <c r="M17">
        <f t="shared" si="1"/>
        <v>0.79966482298452313</v>
      </c>
      <c r="N17">
        <f t="shared" si="2"/>
        <v>-0.91173310003470043</v>
      </c>
    </row>
    <row r="18" spans="1:14">
      <c r="A18" t="s">
        <v>110</v>
      </c>
      <c r="B18">
        <f>B5*B15 - B6*EXP(-B7*B10)*B16</f>
        <v>1.7113979230192236</v>
      </c>
      <c r="C18" t="s">
        <v>110</v>
      </c>
      <c r="D18">
        <f>D5*D15 - D6*EXP(-D7*D10)*D16</f>
        <v>0.79966482298452313</v>
      </c>
      <c r="K18">
        <v>13</v>
      </c>
      <c r="L18">
        <f t="shared" si="0"/>
        <v>-1.7113979230192236</v>
      </c>
      <c r="M18">
        <f t="shared" si="1"/>
        <v>0.79966482298452313</v>
      </c>
      <c r="N18">
        <f t="shared" si="2"/>
        <v>-0.91173310003470043</v>
      </c>
    </row>
    <row r="19" spans="1:14">
      <c r="K19">
        <v>14</v>
      </c>
      <c r="L19">
        <f t="shared" si="0"/>
        <v>-1.7113979230192236</v>
      </c>
      <c r="M19">
        <f t="shared" si="1"/>
        <v>0.79966482298452313</v>
      </c>
      <c r="N19">
        <f t="shared" si="2"/>
        <v>-0.91173310003470043</v>
      </c>
    </row>
    <row r="20" spans="1:14">
      <c r="K20">
        <v>15</v>
      </c>
      <c r="L20">
        <f t="shared" si="0"/>
        <v>-0.71139792301922355</v>
      </c>
      <c r="M20">
        <f t="shared" si="1"/>
        <v>0.79966482298452313</v>
      </c>
      <c r="N20">
        <f t="shared" si="2"/>
        <v>8.8266899965299572E-2</v>
      </c>
    </row>
    <row r="21" spans="1:14">
      <c r="K21">
        <v>16</v>
      </c>
      <c r="L21">
        <f t="shared" si="0"/>
        <v>0.28860207698077645</v>
      </c>
      <c r="M21">
        <f t="shared" si="1"/>
        <v>0.79966482298452313</v>
      </c>
      <c r="N21">
        <f t="shared" si="2"/>
        <v>1.0882668999652996</v>
      </c>
    </row>
    <row r="22" spans="1:14">
      <c r="K22">
        <v>17</v>
      </c>
      <c r="L22">
        <f t="shared" si="0"/>
        <v>1.2886020769807764</v>
      </c>
      <c r="M22">
        <f t="shared" si="1"/>
        <v>-0.20033517701547687</v>
      </c>
      <c r="N22">
        <f t="shared" si="2"/>
        <v>1.0882668999652996</v>
      </c>
    </row>
    <row r="23" spans="1:14">
      <c r="K23">
        <v>18</v>
      </c>
      <c r="L23">
        <f t="shared" si="0"/>
        <v>2.2886020769807764</v>
      </c>
      <c r="M23">
        <f t="shared" si="1"/>
        <v>-1.2003351770154769</v>
      </c>
      <c r="N23">
        <f t="shared" si="2"/>
        <v>1.0882668999652996</v>
      </c>
    </row>
    <row r="24" spans="1:14">
      <c r="K24">
        <v>19</v>
      </c>
      <c r="L24">
        <f t="shared" si="0"/>
        <v>3.2886020769807764</v>
      </c>
      <c r="M24">
        <f t="shared" si="1"/>
        <v>-2.2003351770154769</v>
      </c>
      <c r="N24">
        <f t="shared" si="2"/>
        <v>1.0882668999652996</v>
      </c>
    </row>
    <row r="25" spans="1:14">
      <c r="K25">
        <v>20</v>
      </c>
      <c r="L25">
        <f t="shared" si="0"/>
        <v>4.2886020769807764</v>
      </c>
      <c r="M25">
        <f t="shared" si="1"/>
        <v>-3.2003351770154769</v>
      </c>
      <c r="N25">
        <f t="shared" si="2"/>
        <v>1.0882668999652996</v>
      </c>
    </row>
    <row r="26" spans="1:14">
      <c r="K26">
        <v>21</v>
      </c>
      <c r="L26">
        <f t="shared" si="0"/>
        <v>5.2886020769807764</v>
      </c>
      <c r="M26">
        <f t="shared" si="1"/>
        <v>-4.2003351770154769</v>
      </c>
      <c r="N26">
        <f t="shared" si="2"/>
        <v>1.0882668999652996</v>
      </c>
    </row>
    <row r="27" spans="1:14">
      <c r="K27">
        <v>22</v>
      </c>
      <c r="L27">
        <f t="shared" si="0"/>
        <v>6.2886020769807764</v>
      </c>
      <c r="M27">
        <f t="shared" si="1"/>
        <v>-5.2003351770154769</v>
      </c>
      <c r="N27">
        <f t="shared" si="2"/>
        <v>1.0882668999652996</v>
      </c>
    </row>
    <row r="28" spans="1:14">
      <c r="K28">
        <v>23</v>
      </c>
      <c r="L28">
        <f t="shared" si="0"/>
        <v>7.2886020769807764</v>
      </c>
      <c r="M28">
        <f t="shared" si="1"/>
        <v>-6.2003351770154769</v>
      </c>
      <c r="N28">
        <f t="shared" si="2"/>
        <v>1.0882668999652996</v>
      </c>
    </row>
    <row r="29" spans="1:14">
      <c r="K29">
        <v>24</v>
      </c>
      <c r="L29">
        <f t="shared" si="0"/>
        <v>8.2886020769807764</v>
      </c>
      <c r="M29">
        <f t="shared" si="1"/>
        <v>-7.2003351770154769</v>
      </c>
      <c r="N29">
        <f t="shared" si="2"/>
        <v>1.0882668999652996</v>
      </c>
    </row>
    <row r="30" spans="1:14">
      <c r="K30">
        <v>25</v>
      </c>
      <c r="L30">
        <f t="shared" si="0"/>
        <v>9.2886020769807764</v>
      </c>
      <c r="M30">
        <f t="shared" si="1"/>
        <v>-8.2003351770154769</v>
      </c>
      <c r="N30">
        <f t="shared" si="2"/>
        <v>1.0882668999652996</v>
      </c>
    </row>
  </sheetData>
  <mergeCells count="5">
    <mergeCell ref="A3:D3"/>
    <mergeCell ref="A4:B4"/>
    <mergeCell ref="C4:D4"/>
    <mergeCell ref="I3:N3"/>
    <mergeCell ref="I5:J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04237-EEC0-E54F-8136-E1142F5F1CBC}">
  <dimension ref="A1:DI12854"/>
  <sheetViews>
    <sheetView showGridLines="0" topLeftCell="A89" zoomScale="121" workbookViewId="0">
      <selection activeCell="D108" sqref="D108:E116"/>
    </sheetView>
  </sheetViews>
  <sheetFormatPr defaultColWidth="11" defaultRowHeight="16"/>
  <cols>
    <col min="1" max="1" width="10.83203125" style="117"/>
    <col min="2" max="2" width="11.08203125" bestFit="1" customWidth="1"/>
  </cols>
  <sheetData>
    <row r="1" spans="1:14">
      <c r="A1" s="117" t="s">
        <v>0</v>
      </c>
      <c r="B1" t="s">
        <v>1463</v>
      </c>
    </row>
    <row r="2" spans="1:14">
      <c r="A2" s="117">
        <v>33556</v>
      </c>
      <c r="B2">
        <v>3.0735000000000001</v>
      </c>
    </row>
    <row r="3" spans="1:14">
      <c r="A3" s="117">
        <v>33557</v>
      </c>
      <c r="B3">
        <v>3.0712000000000002</v>
      </c>
      <c r="M3" t="s">
        <v>130</v>
      </c>
      <c r="N3">
        <f>_xlfn.STDEV.P(B2:B12580)</f>
        <v>5.1837794193107358</v>
      </c>
    </row>
    <row r="4" spans="1:14">
      <c r="A4" s="117">
        <v>33558</v>
      </c>
      <c r="B4">
        <v>3.0718000000000001</v>
      </c>
    </row>
    <row r="5" spans="1:14">
      <c r="A5" s="117">
        <v>33559</v>
      </c>
      <c r="B5">
        <v>3.0718000000000001</v>
      </c>
    </row>
    <row r="6" spans="1:14">
      <c r="A6" s="117">
        <v>33560</v>
      </c>
      <c r="B6">
        <v>3.0718000000000001</v>
      </c>
    </row>
    <row r="7" spans="1:14">
      <c r="A7" s="117">
        <v>33561</v>
      </c>
      <c r="B7">
        <v>3.0684</v>
      </c>
    </row>
    <row r="8" spans="1:14">
      <c r="A8" s="117">
        <v>33562</v>
      </c>
      <c r="B8">
        <v>3.0672999999999999</v>
      </c>
    </row>
    <row r="9" spans="1:14">
      <c r="A9" s="117">
        <v>33563</v>
      </c>
      <c r="B9">
        <v>3.0672999999999999</v>
      </c>
    </row>
    <row r="10" spans="1:14">
      <c r="A10" s="117">
        <v>33564</v>
      </c>
      <c r="B10">
        <v>3.0661</v>
      </c>
    </row>
    <row r="11" spans="1:14">
      <c r="A11" s="117">
        <v>33565</v>
      </c>
      <c r="B11">
        <v>3.0632000000000001</v>
      </c>
    </row>
    <row r="12" spans="1:14">
      <c r="A12" s="117">
        <v>33566</v>
      </c>
      <c r="B12">
        <v>3.0632000000000001</v>
      </c>
    </row>
    <row r="13" spans="1:14">
      <c r="A13" s="117">
        <v>33567</v>
      </c>
      <c r="B13">
        <v>3.0632000000000001</v>
      </c>
    </row>
    <row r="14" spans="1:14">
      <c r="A14" s="117">
        <v>33568</v>
      </c>
      <c r="B14">
        <v>3.0611999999999999</v>
      </c>
    </row>
    <row r="15" spans="1:14">
      <c r="A15" s="117">
        <v>33569</v>
      </c>
      <c r="B15">
        <v>3.0621999999999998</v>
      </c>
    </row>
    <row r="16" spans="1:14">
      <c r="A16" s="117">
        <v>33570</v>
      </c>
      <c r="B16">
        <v>3.0760000000000001</v>
      </c>
    </row>
    <row r="17" spans="1:14">
      <c r="A17" s="117">
        <v>33571</v>
      </c>
      <c r="B17">
        <v>3.0731000000000002</v>
      </c>
    </row>
    <row r="18" spans="1:14">
      <c r="A18" s="117">
        <v>33572</v>
      </c>
      <c r="B18">
        <v>3.0676999999999999</v>
      </c>
    </row>
    <row r="19" spans="1:14">
      <c r="A19" s="117">
        <v>33573</v>
      </c>
      <c r="B19">
        <v>3.0676999999999999</v>
      </c>
    </row>
    <row r="20" spans="1:14">
      <c r="A20" s="117">
        <v>33574</v>
      </c>
      <c r="B20">
        <v>3.0676999999999999</v>
      </c>
      <c r="D20" t="s">
        <v>816</v>
      </c>
      <c r="F20" t="s">
        <v>817</v>
      </c>
    </row>
    <row r="21" spans="1:14">
      <c r="A21" s="117">
        <v>33575</v>
      </c>
      <c r="B21">
        <v>3.0672000000000001</v>
      </c>
    </row>
    <row r="22" spans="1:14">
      <c r="A22" s="117">
        <v>33576</v>
      </c>
      <c r="B22">
        <v>3.0661999999999998</v>
      </c>
      <c r="D22" s="34"/>
      <c r="E22" s="34"/>
    </row>
    <row r="23" spans="1:14" ht="16.5">
      <c r="A23" s="117">
        <v>33577</v>
      </c>
      <c r="B23">
        <v>3.0666000000000002</v>
      </c>
      <c r="D23" s="7" t="s">
        <v>825</v>
      </c>
      <c r="E23" s="119">
        <v>17.239999999999998</v>
      </c>
    </row>
    <row r="24" spans="1:14">
      <c r="A24" s="117">
        <v>33578</v>
      </c>
      <c r="B24">
        <v>3.0659999999999998</v>
      </c>
      <c r="D24" s="8" t="s">
        <v>828</v>
      </c>
      <c r="E24" s="77">
        <f>AVERAGE(B12316:B12579)</f>
        <v>18.074010606060618</v>
      </c>
    </row>
    <row r="25" spans="1:14">
      <c r="A25" s="117">
        <v>33579</v>
      </c>
      <c r="B25">
        <v>3.0653999999999999</v>
      </c>
      <c r="D25" s="8" t="s">
        <v>831</v>
      </c>
      <c r="E25" s="77">
        <f>2/3</f>
        <v>0.66666666666666663</v>
      </c>
    </row>
    <row r="26" spans="1:14">
      <c r="A26" s="117">
        <v>33580</v>
      </c>
      <c r="B26">
        <v>3.0653999999999999</v>
      </c>
      <c r="D26" s="8" t="s">
        <v>834</v>
      </c>
      <c r="E26" s="77">
        <v>5.8099999999999999E-2</v>
      </c>
    </row>
    <row r="27" spans="1:14">
      <c r="A27" s="117">
        <v>33581</v>
      </c>
      <c r="B27">
        <v>3.0653999999999999</v>
      </c>
      <c r="D27" s="8" t="s">
        <v>186</v>
      </c>
      <c r="E27" s="77">
        <v>7.0000000000000007E-2</v>
      </c>
      <c r="G27" s="546" t="s">
        <v>837</v>
      </c>
      <c r="H27" s="548">
        <f>EXP(-E27*E25)*(H32*H39 - E24*H40)</f>
        <v>5.0307480415192195E-2</v>
      </c>
    </row>
    <row r="28" spans="1:14">
      <c r="A28" s="117">
        <v>33582</v>
      </c>
      <c r="B28">
        <v>3.0642999999999998</v>
      </c>
      <c r="D28" s="9" t="s">
        <v>189</v>
      </c>
      <c r="E28" s="120">
        <v>0</v>
      </c>
      <c r="G28" s="547"/>
      <c r="H28" s="549"/>
    </row>
    <row r="29" spans="1:14" ht="16.5">
      <c r="A29" s="117">
        <v>33583</v>
      </c>
      <c r="B29">
        <v>3.0625</v>
      </c>
      <c r="D29" s="2"/>
      <c r="E29" s="2"/>
      <c r="K29" s="550" t="s">
        <v>842</v>
      </c>
      <c r="L29" s="550"/>
      <c r="M29" s="550"/>
      <c r="N29" s="550"/>
    </row>
    <row r="30" spans="1:14" ht="15.75" customHeight="1">
      <c r="A30" s="117">
        <v>33584</v>
      </c>
      <c r="B30">
        <v>3.0621999999999998</v>
      </c>
      <c r="D30" s="10" t="s">
        <v>845</v>
      </c>
      <c r="E30" s="11">
        <f>E23*E34-E24*(EXP(-E27*E25))*E35</f>
        <v>0.32139060262478836</v>
      </c>
      <c r="G30" s="10" t="s">
        <v>846</v>
      </c>
      <c r="H30" s="33">
        <f>(EXP(-E27*E25))*(H34*H39-E24*H40)</f>
        <v>5.0307480415192195E-2</v>
      </c>
      <c r="I30" s="12"/>
      <c r="K30" s="13" t="s">
        <v>847</v>
      </c>
      <c r="L30" s="543" t="s">
        <v>848</v>
      </c>
      <c r="M30" s="544"/>
      <c r="N30" s="545"/>
    </row>
    <row r="31" spans="1:14">
      <c r="A31" s="117">
        <v>33585</v>
      </c>
      <c r="B31">
        <v>3.0621999999999998</v>
      </c>
      <c r="K31" s="14">
        <f>K32/K33</f>
        <v>139885.12144252137</v>
      </c>
      <c r="L31" s="15">
        <f>L32/L33</f>
        <v>19106.845714285708</v>
      </c>
      <c r="M31" s="16">
        <f>M32/M33</f>
        <v>6.9746869777921079</v>
      </c>
      <c r="N31" s="17">
        <f>N32/N33</f>
        <v>14.279577277778817</v>
      </c>
    </row>
    <row r="32" spans="1:14" ht="16.5">
      <c r="A32" s="117">
        <v>33586</v>
      </c>
      <c r="B32">
        <v>3.0623</v>
      </c>
      <c r="D32" s="18" t="s">
        <v>201</v>
      </c>
      <c r="E32" s="19">
        <f>(LN(E23/E24)+(E27-E28+0.5*(E26)^2)*E25)/(E26*SQRT(E25))</f>
        <v>1.157514478594397E-2</v>
      </c>
      <c r="G32" s="18" t="s">
        <v>851</v>
      </c>
      <c r="H32" s="20">
        <f>E23*((EXP((E27-E28)*E25)-1)/((E27-E28)*E25))</f>
        <v>17.648597838804047</v>
      </c>
      <c r="I32" s="21" t="str">
        <f t="shared" ref="I32:I40" ca="1" si="0">_xlfn.FORMULATEXT(H32)</f>
        <v>=E23*((EXP((E27-E28)*E25)-1)/((E27-E28)*E25))</v>
      </c>
      <c r="K32" s="22">
        <f>2*(EXP((2*(E27-E28)+E26^2)*E25))*(E23^2)</f>
        <v>654.05761965938825</v>
      </c>
      <c r="L32" s="23">
        <f>2*E23^2</f>
        <v>594.4351999999999</v>
      </c>
      <c r="M32" s="24">
        <v>1</v>
      </c>
      <c r="N32" s="25">
        <f>EXP((E27-E28)*E25)</f>
        <v>1.0477726932991602</v>
      </c>
    </row>
    <row r="33" spans="1:14" ht="16.5">
      <c r="A33" s="117">
        <v>33587</v>
      </c>
      <c r="B33">
        <v>3.0623</v>
      </c>
      <c r="D33" s="3" t="s">
        <v>204</v>
      </c>
      <c r="E33" s="5">
        <f>E32-E26*SQRT(E25)</f>
        <v>-3.5863306565956911E-2</v>
      </c>
      <c r="G33" s="3" t="s">
        <v>854</v>
      </c>
      <c r="H33" s="4">
        <f>K31+L31*(M31-N31)</f>
        <v>311.70952089308412</v>
      </c>
      <c r="I33" s="21" t="str">
        <f t="shared" ca="1" si="0"/>
        <v>=K31+L31*(M31-N31)</v>
      </c>
      <c r="K33" s="26">
        <f>(E27-E28+(E26^2))*(2*(E27-E28)+(E26^2))*(E25^2)</f>
        <v>4.6756768190542673E-3</v>
      </c>
      <c r="L33" s="27">
        <f>(E27-E28)*(E25^2)</f>
        <v>3.1111111111111114E-2</v>
      </c>
      <c r="M33" s="28">
        <f>(2*(E27-E28)+(E26^2))</f>
        <v>0.14337561000000001</v>
      </c>
      <c r="N33" s="29">
        <f>(E27-E28+(E26^2))</f>
        <v>7.3375610000000008E-2</v>
      </c>
    </row>
    <row r="34" spans="1:14" ht="16.5">
      <c r="A34" s="117">
        <v>33588</v>
      </c>
      <c r="B34">
        <v>3.0623</v>
      </c>
      <c r="D34" s="3" t="s">
        <v>207</v>
      </c>
      <c r="E34" s="5">
        <f>_xlfn.NORM.S.DIST(E32,TRUE)</f>
        <v>0.50461771154009161</v>
      </c>
      <c r="G34" s="3" t="s">
        <v>857</v>
      </c>
      <c r="H34" s="4">
        <f>H32</f>
        <v>17.648597838804047</v>
      </c>
      <c r="I34" s="21" t="str">
        <f t="shared" ca="1" si="0"/>
        <v>=H32</v>
      </c>
    </row>
    <row r="35" spans="1:14" ht="16.5">
      <c r="A35" s="117">
        <v>33589</v>
      </c>
      <c r="B35">
        <v>3.0621999999999998</v>
      </c>
      <c r="D35" s="30" t="s">
        <v>210</v>
      </c>
      <c r="E35" s="6">
        <f>_xlfn.NORM.S.DIST(E33,TRUE)</f>
        <v>0.48569567707616323</v>
      </c>
      <c r="G35" s="31" t="s">
        <v>860</v>
      </c>
      <c r="H35" s="32">
        <f>(1/E25)*LN(H33/(H32^2))</f>
        <v>1.1385840513055535E-3</v>
      </c>
      <c r="I35" s="21" t="str">
        <f t="shared" ca="1" si="0"/>
        <v>=(1/E25)*LN(H33/(H32^2))</v>
      </c>
      <c r="K35" s="550" t="s">
        <v>842</v>
      </c>
      <c r="L35" s="550"/>
      <c r="M35" s="550"/>
      <c r="N35" s="550"/>
    </row>
    <row r="36" spans="1:14" ht="15.75" customHeight="1">
      <c r="A36" s="117">
        <v>33590</v>
      </c>
      <c r="B36">
        <v>3.0752999999999999</v>
      </c>
      <c r="D36" s="2"/>
      <c r="E36" s="2"/>
      <c r="G36" s="31" t="s">
        <v>863</v>
      </c>
      <c r="H36" s="32">
        <f>SQRT(H35)</f>
        <v>3.374291112671747E-2</v>
      </c>
      <c r="I36" s="21" t="str">
        <f t="shared" ca="1" si="0"/>
        <v>=SQRT(H35)</v>
      </c>
      <c r="K36" s="13" t="s">
        <v>847</v>
      </c>
      <c r="L36" s="543" t="s">
        <v>848</v>
      </c>
      <c r="M36" s="544"/>
      <c r="N36" s="545"/>
    </row>
    <row r="37" spans="1:14">
      <c r="A37" s="117">
        <v>33591</v>
      </c>
      <c r="B37">
        <v>3.0756000000000001</v>
      </c>
      <c r="D37" s="2"/>
      <c r="E37" s="2"/>
      <c r="G37" s="3" t="s">
        <v>866</v>
      </c>
      <c r="H37" s="4">
        <f>(LN(H34/E24)+(H35/2)*E25)/(H36*SQRT(E25))</f>
        <v>-0.85075629935551023</v>
      </c>
      <c r="I37" s="21" t="str">
        <f t="shared" ca="1" si="0"/>
        <v>=(LN(H34/E24)+(H35/2)*E25)/(H36*SQRT(E25))</v>
      </c>
      <c r="K37" s="14" t="str">
        <f ca="1">_xlfn.FORMULATEXT(K31)</f>
        <v>=K32/K33</v>
      </c>
      <c r="L37" s="15" t="str">
        <f t="shared" ref="L37:N37" ca="1" si="1">_xlfn.FORMULATEXT(L31)</f>
        <v>=L32/L33</v>
      </c>
      <c r="M37" s="16" t="str">
        <f t="shared" ca="1" si="1"/>
        <v>=M32/M33</v>
      </c>
      <c r="N37" s="17" t="str">
        <f t="shared" ca="1" si="1"/>
        <v>=N32/N33</v>
      </c>
    </row>
    <row r="38" spans="1:14">
      <c r="A38" s="117">
        <v>33592</v>
      </c>
      <c r="B38">
        <v>3.0760000000000001</v>
      </c>
      <c r="D38" s="2"/>
      <c r="E38" s="2"/>
      <c r="G38" s="3" t="s">
        <v>869</v>
      </c>
      <c r="H38" s="4">
        <f>H37-(H36*SQRT(E25))</f>
        <v>-0.87830727092102312</v>
      </c>
      <c r="I38" s="21" t="str">
        <f t="shared" ca="1" si="0"/>
        <v>=H37-(H36*SQRT(E25))</v>
      </c>
      <c r="K38" s="22" t="str">
        <f t="shared" ref="K38:N39" ca="1" si="2">_xlfn.FORMULATEXT(K32)</f>
        <v>=2*(EXP((2*(E27-E28)+E26^2)*E25))*(E23^2)</v>
      </c>
      <c r="L38" s="23" t="str">
        <f t="shared" ca="1" si="2"/>
        <v>=2*E23^2</v>
      </c>
      <c r="M38" s="24"/>
      <c r="N38" s="25" t="str">
        <f t="shared" ca="1" si="2"/>
        <v>=EXP((E27-E28)*E25)</v>
      </c>
    </row>
    <row r="39" spans="1:14" ht="16.5">
      <c r="A39" s="117">
        <v>33593</v>
      </c>
      <c r="B39">
        <v>3.0748000000000002</v>
      </c>
      <c r="G39" s="3" t="s">
        <v>207</v>
      </c>
      <c r="H39" s="5">
        <f>_xlfn.NORM.S.DIST(H37,TRUE)</f>
        <v>0.19745237091481693</v>
      </c>
      <c r="I39" s="21" t="str">
        <f t="shared" ca="1" si="0"/>
        <v>=NORM.S.DIST(H37,TRUE)</v>
      </c>
      <c r="K39" s="26" t="str">
        <f t="shared" ca="1" si="2"/>
        <v>=(E27-E28+(E26^2))*(2*(E27-E28)+(E26^2))*(E25^2)</v>
      </c>
      <c r="L39" s="27" t="str">
        <f t="shared" ca="1" si="2"/>
        <v>=(E27-E28)*(E25^2)</v>
      </c>
      <c r="M39" s="28" t="str">
        <f t="shared" ca="1" si="2"/>
        <v>=(2*(E27-E28)+(E26^2))</v>
      </c>
      <c r="N39" s="29" t="str">
        <f t="shared" ca="1" si="2"/>
        <v>=(E27-E28+(E26^2))</v>
      </c>
    </row>
    <row r="40" spans="1:14" ht="16.5">
      <c r="A40" s="117">
        <v>33594</v>
      </c>
      <c r="B40">
        <v>3.0748000000000002</v>
      </c>
      <c r="G40" s="30" t="s">
        <v>210</v>
      </c>
      <c r="H40" s="6">
        <f>_xlfn.NORM.S.DIST(H38,TRUE)</f>
        <v>0.18988849553930276</v>
      </c>
      <c r="I40" s="21" t="str">
        <f t="shared" ca="1" si="0"/>
        <v>=NORM.S.DIST(H38,TRUE)</v>
      </c>
    </row>
    <row r="41" spans="1:14">
      <c r="A41" s="117">
        <v>33595</v>
      </c>
      <c r="B41">
        <v>3.0748000000000002</v>
      </c>
    </row>
    <row r="42" spans="1:14">
      <c r="A42" s="117">
        <v>33596</v>
      </c>
      <c r="B42">
        <v>3.0773999999999999</v>
      </c>
    </row>
    <row r="43" spans="1:14">
      <c r="A43" s="117">
        <v>33597</v>
      </c>
      <c r="B43">
        <v>3.0836999999999999</v>
      </c>
    </row>
    <row r="44" spans="1:14">
      <c r="A44" s="117">
        <v>33598</v>
      </c>
      <c r="B44">
        <v>3.0836999999999999</v>
      </c>
    </row>
    <row r="45" spans="1:14">
      <c r="A45" s="117">
        <v>33599</v>
      </c>
      <c r="B45">
        <v>3.0840999999999998</v>
      </c>
    </row>
    <row r="46" spans="1:14">
      <c r="A46" s="117">
        <v>33600</v>
      </c>
      <c r="B46">
        <v>3.0710000000000002</v>
      </c>
    </row>
    <row r="47" spans="1:14">
      <c r="A47" s="117">
        <v>33601</v>
      </c>
      <c r="B47">
        <v>3.0710000000000002</v>
      </c>
    </row>
    <row r="48" spans="1:14">
      <c r="A48" s="117">
        <v>33602</v>
      </c>
      <c r="B48">
        <v>3.0710000000000002</v>
      </c>
    </row>
    <row r="49" spans="1:2">
      <c r="A49" s="117">
        <v>33603</v>
      </c>
      <c r="B49">
        <v>3.0739000000000001</v>
      </c>
    </row>
    <row r="50" spans="1:2">
      <c r="A50" s="117">
        <v>33604</v>
      </c>
      <c r="B50">
        <v>3.0739000000000001</v>
      </c>
    </row>
    <row r="51" spans="1:2">
      <c r="A51" s="117">
        <v>33605</v>
      </c>
      <c r="B51">
        <v>3.0739000000000001</v>
      </c>
    </row>
    <row r="52" spans="1:2">
      <c r="A52" s="117">
        <v>33606</v>
      </c>
      <c r="B52">
        <v>3.0779999999999998</v>
      </c>
    </row>
    <row r="53" spans="1:2">
      <c r="A53" s="117">
        <v>33607</v>
      </c>
      <c r="B53">
        <v>3.0752999999999999</v>
      </c>
    </row>
    <row r="54" spans="1:2">
      <c r="A54" s="117">
        <v>33608</v>
      </c>
      <c r="B54">
        <v>3.0752999999999999</v>
      </c>
    </row>
    <row r="55" spans="1:2">
      <c r="A55" s="117">
        <v>33609</v>
      </c>
      <c r="B55">
        <v>3.0752999999999999</v>
      </c>
    </row>
    <row r="56" spans="1:2">
      <c r="A56" s="117">
        <v>33610</v>
      </c>
      <c r="B56">
        <v>3.0743999999999998</v>
      </c>
    </row>
    <row r="57" spans="1:2">
      <c r="A57" s="117">
        <v>33611</v>
      </c>
      <c r="B57">
        <v>3.0695000000000001</v>
      </c>
    </row>
    <row r="58" spans="1:2">
      <c r="A58" s="117">
        <v>33612</v>
      </c>
      <c r="B58">
        <v>3.0665</v>
      </c>
    </row>
    <row r="59" spans="1:2">
      <c r="A59" s="117">
        <v>33613</v>
      </c>
      <c r="B59">
        <v>3.0663</v>
      </c>
    </row>
    <row r="60" spans="1:2">
      <c r="A60" s="117">
        <v>33614</v>
      </c>
      <c r="B60">
        <v>3.0661999999999998</v>
      </c>
    </row>
    <row r="61" spans="1:2">
      <c r="A61" s="117">
        <v>33615</v>
      </c>
      <c r="B61">
        <v>3.0661999999999998</v>
      </c>
    </row>
    <row r="62" spans="1:2">
      <c r="A62" s="117">
        <v>33616</v>
      </c>
      <c r="B62">
        <v>3.0661999999999998</v>
      </c>
    </row>
    <row r="63" spans="1:2">
      <c r="A63" s="117">
        <v>33617</v>
      </c>
      <c r="B63">
        <v>3.0668000000000002</v>
      </c>
    </row>
    <row r="64" spans="1:2">
      <c r="A64" s="117">
        <v>33618</v>
      </c>
      <c r="B64">
        <v>3.0661</v>
      </c>
    </row>
    <row r="65" spans="1:2">
      <c r="A65" s="117">
        <v>33619</v>
      </c>
      <c r="B65">
        <v>3.0642</v>
      </c>
    </row>
    <row r="66" spans="1:2">
      <c r="A66" s="117">
        <v>33620</v>
      </c>
      <c r="B66">
        <v>3.0646</v>
      </c>
    </row>
    <row r="67" spans="1:2">
      <c r="A67" s="117">
        <v>33621</v>
      </c>
      <c r="B67">
        <v>3.0678999999999998</v>
      </c>
    </row>
    <row r="68" spans="1:2">
      <c r="A68" s="117">
        <v>33622</v>
      </c>
      <c r="B68">
        <v>3.0678999999999998</v>
      </c>
    </row>
    <row r="69" spans="1:2">
      <c r="A69" s="117">
        <v>33623</v>
      </c>
      <c r="B69">
        <v>3.0678999999999998</v>
      </c>
    </row>
    <row r="70" spans="1:2">
      <c r="A70" s="117">
        <v>33624</v>
      </c>
      <c r="B70">
        <v>3.0657000000000001</v>
      </c>
    </row>
    <row r="71" spans="1:2">
      <c r="A71" s="117">
        <v>33625</v>
      </c>
      <c r="B71">
        <v>3.0630999999999999</v>
      </c>
    </row>
    <row r="72" spans="1:2">
      <c r="A72" s="117">
        <v>33626</v>
      </c>
      <c r="B72">
        <v>3.0625</v>
      </c>
    </row>
    <row r="73" spans="1:2">
      <c r="A73" s="117">
        <v>33627</v>
      </c>
      <c r="B73">
        <v>3.0617000000000001</v>
      </c>
    </row>
    <row r="74" spans="1:2">
      <c r="A74" s="117">
        <v>33628</v>
      </c>
      <c r="B74">
        <v>3.0735999999999999</v>
      </c>
    </row>
    <row r="75" spans="1:2">
      <c r="A75" s="117">
        <v>33629</v>
      </c>
      <c r="B75">
        <v>3.0735999999999999</v>
      </c>
    </row>
    <row r="76" spans="1:2">
      <c r="A76" s="117">
        <v>33630</v>
      </c>
      <c r="B76">
        <v>3.0735999999999999</v>
      </c>
    </row>
    <row r="77" spans="1:2">
      <c r="A77" s="117">
        <v>33631</v>
      </c>
      <c r="B77">
        <v>3.0790999999999999</v>
      </c>
    </row>
    <row r="78" spans="1:2">
      <c r="A78" s="117">
        <v>33632</v>
      </c>
      <c r="B78">
        <v>3.0687000000000002</v>
      </c>
    </row>
    <row r="79" spans="1:2">
      <c r="A79" s="117">
        <v>33633</v>
      </c>
      <c r="B79">
        <v>3.0659000000000001</v>
      </c>
    </row>
    <row r="80" spans="1:2">
      <c r="A80" s="117">
        <v>33634</v>
      </c>
      <c r="B80">
        <v>3.0659999999999998</v>
      </c>
    </row>
    <row r="81" spans="1:2">
      <c r="A81" s="117">
        <v>33635</v>
      </c>
      <c r="B81">
        <v>3.0684999999999998</v>
      </c>
    </row>
    <row r="82" spans="1:2">
      <c r="A82" s="117">
        <v>33636</v>
      </c>
      <c r="B82">
        <v>3.0684999999999998</v>
      </c>
    </row>
    <row r="83" spans="1:2">
      <c r="A83" s="117">
        <v>33637</v>
      </c>
      <c r="B83">
        <v>3.0684999999999998</v>
      </c>
    </row>
    <row r="84" spans="1:2">
      <c r="A84" s="117">
        <v>33638</v>
      </c>
      <c r="B84">
        <v>3.0672999999999999</v>
      </c>
    </row>
    <row r="85" spans="1:2">
      <c r="A85" s="117">
        <v>33639</v>
      </c>
      <c r="B85">
        <v>3.0655999999999999</v>
      </c>
    </row>
    <row r="86" spans="1:2">
      <c r="A86" s="117">
        <v>33640</v>
      </c>
      <c r="B86">
        <v>3.0655999999999999</v>
      </c>
    </row>
    <row r="87" spans="1:2">
      <c r="A87" s="117">
        <v>33641</v>
      </c>
      <c r="B87">
        <v>3.0644999999999998</v>
      </c>
    </row>
    <row r="88" spans="1:2">
      <c r="A88" s="117">
        <v>33642</v>
      </c>
      <c r="B88">
        <v>3.0648</v>
      </c>
    </row>
    <row r="89" spans="1:2">
      <c r="A89" s="117">
        <v>33643</v>
      </c>
      <c r="B89">
        <v>3.0648</v>
      </c>
    </row>
    <row r="90" spans="1:2">
      <c r="A90" s="117">
        <v>33644</v>
      </c>
      <c r="B90">
        <v>3.0648</v>
      </c>
    </row>
    <row r="91" spans="1:2">
      <c r="A91" s="117">
        <v>33645</v>
      </c>
      <c r="B91">
        <v>3.0644999999999998</v>
      </c>
    </row>
    <row r="92" spans="1:2">
      <c r="A92" s="117">
        <v>33646</v>
      </c>
      <c r="B92">
        <v>3.0674000000000001</v>
      </c>
    </row>
    <row r="93" spans="1:2">
      <c r="A93" s="117">
        <v>33647</v>
      </c>
      <c r="B93">
        <v>3.0644</v>
      </c>
    </row>
    <row r="94" spans="1:2">
      <c r="A94" s="117">
        <v>33648</v>
      </c>
      <c r="B94">
        <v>3.0632999999999999</v>
      </c>
    </row>
    <row r="95" spans="1:2">
      <c r="A95" s="117">
        <v>33649</v>
      </c>
      <c r="B95">
        <v>3.0640000000000001</v>
      </c>
    </row>
    <row r="96" spans="1:2">
      <c r="A96" s="117">
        <v>33650</v>
      </c>
      <c r="B96">
        <v>3.0640000000000001</v>
      </c>
    </row>
    <row r="97" spans="1:2">
      <c r="A97" s="117">
        <v>33651</v>
      </c>
      <c r="B97">
        <v>3.0640000000000001</v>
      </c>
    </row>
    <row r="98" spans="1:2">
      <c r="A98" s="117">
        <v>33652</v>
      </c>
      <c r="B98">
        <v>3.0634000000000001</v>
      </c>
    </row>
    <row r="99" spans="1:2">
      <c r="A99" s="117">
        <v>33653</v>
      </c>
      <c r="B99">
        <v>3.0621</v>
      </c>
    </row>
    <row r="100" spans="1:2">
      <c r="A100" s="117">
        <v>33654</v>
      </c>
      <c r="B100">
        <v>3.0617999999999999</v>
      </c>
    </row>
    <row r="101" spans="1:2">
      <c r="A101" s="117">
        <v>33655</v>
      </c>
      <c r="B101">
        <v>3.0608</v>
      </c>
    </row>
    <row r="102" spans="1:2">
      <c r="A102" s="117">
        <v>33656</v>
      </c>
      <c r="B102">
        <v>3.0621</v>
      </c>
    </row>
    <row r="103" spans="1:2">
      <c r="A103" s="117">
        <v>33657</v>
      </c>
      <c r="B103">
        <v>3.0621</v>
      </c>
    </row>
    <row r="104" spans="1:2">
      <c r="A104" s="117">
        <v>33658</v>
      </c>
      <c r="B104">
        <v>3.0621</v>
      </c>
    </row>
    <row r="105" spans="1:2">
      <c r="A105" s="117">
        <v>33659</v>
      </c>
      <c r="B105">
        <v>3.0609999999999999</v>
      </c>
    </row>
    <row r="106" spans="1:2">
      <c r="A106" s="117">
        <v>33660</v>
      </c>
      <c r="B106">
        <v>3.0621</v>
      </c>
    </row>
    <row r="107" spans="1:2">
      <c r="A107" s="117">
        <v>33661</v>
      </c>
      <c r="B107">
        <v>3.0609000000000002</v>
      </c>
    </row>
    <row r="108" spans="1:2">
      <c r="A108" s="117">
        <v>33662</v>
      </c>
      <c r="B108">
        <v>3.0608</v>
      </c>
    </row>
    <row r="109" spans="1:2">
      <c r="A109" s="117">
        <v>33663</v>
      </c>
      <c r="B109">
        <v>3.0608</v>
      </c>
    </row>
    <row r="110" spans="1:2">
      <c r="A110" s="117">
        <v>33664</v>
      </c>
      <c r="B110">
        <v>3.0608</v>
      </c>
    </row>
    <row r="111" spans="1:2">
      <c r="A111" s="117">
        <v>33665</v>
      </c>
      <c r="B111">
        <v>3.0608</v>
      </c>
    </row>
    <row r="112" spans="1:2">
      <c r="A112" s="117">
        <v>33666</v>
      </c>
      <c r="B112">
        <v>3.0609000000000002</v>
      </c>
    </row>
    <row r="113" spans="1:2">
      <c r="A113" s="117">
        <v>33667</v>
      </c>
      <c r="B113">
        <v>3.0611000000000002</v>
      </c>
    </row>
    <row r="114" spans="1:2">
      <c r="A114" s="117">
        <v>33668</v>
      </c>
      <c r="B114">
        <v>3.0625</v>
      </c>
    </row>
    <row r="115" spans="1:2">
      <c r="A115" s="117">
        <v>33669</v>
      </c>
      <c r="B115">
        <v>3.0606</v>
      </c>
    </row>
    <row r="116" spans="1:2">
      <c r="A116" s="117">
        <v>33670</v>
      </c>
      <c r="B116">
        <v>3.0609000000000002</v>
      </c>
    </row>
    <row r="117" spans="1:2">
      <c r="A117" s="117">
        <v>33671</v>
      </c>
      <c r="B117">
        <v>3.0609000000000002</v>
      </c>
    </row>
    <row r="118" spans="1:2">
      <c r="A118" s="117">
        <v>33672</v>
      </c>
      <c r="B118">
        <v>3.0609000000000002</v>
      </c>
    </row>
    <row r="119" spans="1:2">
      <c r="A119" s="117">
        <v>33673</v>
      </c>
      <c r="B119">
        <v>3.0608</v>
      </c>
    </row>
    <row r="120" spans="1:2">
      <c r="A120" s="117">
        <v>33674</v>
      </c>
      <c r="B120">
        <v>3.0611999999999999</v>
      </c>
    </row>
    <row r="121" spans="1:2">
      <c r="A121" s="117">
        <v>33675</v>
      </c>
      <c r="B121">
        <v>3.0611999999999999</v>
      </c>
    </row>
    <row r="122" spans="1:2">
      <c r="A122" s="117">
        <v>33676</v>
      </c>
      <c r="B122">
        <v>3.0608</v>
      </c>
    </row>
    <row r="123" spans="1:2">
      <c r="A123" s="117">
        <v>33677</v>
      </c>
      <c r="B123">
        <v>3.0609999999999999</v>
      </c>
    </row>
    <row r="124" spans="1:2">
      <c r="A124" s="117">
        <v>33678</v>
      </c>
      <c r="B124">
        <v>3.0609999999999999</v>
      </c>
    </row>
    <row r="125" spans="1:2">
      <c r="A125" s="117">
        <v>33679</v>
      </c>
      <c r="B125">
        <v>3.0609999999999999</v>
      </c>
    </row>
    <row r="126" spans="1:2">
      <c r="A126" s="117">
        <v>33680</v>
      </c>
      <c r="B126">
        <v>3.0621999999999998</v>
      </c>
    </row>
    <row r="127" spans="1:2">
      <c r="A127" s="117">
        <v>33681</v>
      </c>
      <c r="B127">
        <v>3.0609000000000002</v>
      </c>
    </row>
    <row r="128" spans="1:2">
      <c r="A128" s="117">
        <v>33682</v>
      </c>
      <c r="B128">
        <v>3.0617999999999999</v>
      </c>
    </row>
    <row r="129" spans="1:2">
      <c r="A129" s="117">
        <v>33683</v>
      </c>
      <c r="B129">
        <v>3.0678999999999998</v>
      </c>
    </row>
    <row r="130" spans="1:2">
      <c r="A130" s="117">
        <v>33684</v>
      </c>
      <c r="B130">
        <v>3.0737999999999999</v>
      </c>
    </row>
    <row r="131" spans="1:2">
      <c r="A131" s="117">
        <v>33685</v>
      </c>
      <c r="B131">
        <v>3.0737999999999999</v>
      </c>
    </row>
    <row r="132" spans="1:2">
      <c r="A132" s="117">
        <v>33686</v>
      </c>
      <c r="B132">
        <v>3.0737999999999999</v>
      </c>
    </row>
    <row r="133" spans="1:2">
      <c r="A133" s="117">
        <v>33687</v>
      </c>
      <c r="B133">
        <v>3.0688</v>
      </c>
    </row>
    <row r="134" spans="1:2">
      <c r="A134" s="117">
        <v>33688</v>
      </c>
      <c r="B134">
        <v>3.0693000000000001</v>
      </c>
    </row>
    <row r="135" spans="1:2">
      <c r="A135" s="117">
        <v>33689</v>
      </c>
      <c r="B135">
        <v>3.0706000000000002</v>
      </c>
    </row>
    <row r="136" spans="1:2">
      <c r="A136" s="117">
        <v>33690</v>
      </c>
      <c r="B136">
        <v>3.0794999999999999</v>
      </c>
    </row>
    <row r="137" spans="1:2">
      <c r="A137" s="117">
        <v>33691</v>
      </c>
      <c r="B137">
        <v>3.0901999999999998</v>
      </c>
    </row>
    <row r="138" spans="1:2">
      <c r="A138" s="117">
        <v>33692</v>
      </c>
      <c r="B138">
        <v>3.0901999999999998</v>
      </c>
    </row>
    <row r="139" spans="1:2">
      <c r="A139" s="117">
        <v>33693</v>
      </c>
      <c r="B139">
        <v>3.0901999999999998</v>
      </c>
    </row>
    <row r="140" spans="1:2">
      <c r="A140" s="117">
        <v>33694</v>
      </c>
      <c r="B140">
        <v>3.0834999999999999</v>
      </c>
    </row>
    <row r="141" spans="1:2">
      <c r="A141" s="117">
        <v>33695</v>
      </c>
      <c r="B141">
        <v>3.0682999999999998</v>
      </c>
    </row>
    <row r="142" spans="1:2">
      <c r="A142" s="117">
        <v>33696</v>
      </c>
      <c r="B142">
        <v>3.0619999999999998</v>
      </c>
    </row>
    <row r="143" spans="1:2">
      <c r="A143" s="117">
        <v>33697</v>
      </c>
      <c r="B143">
        <v>3.0609000000000002</v>
      </c>
    </row>
    <row r="144" spans="1:2">
      <c r="A144" s="117">
        <v>33698</v>
      </c>
      <c r="B144">
        <v>3.0609000000000002</v>
      </c>
    </row>
    <row r="145" spans="1:2">
      <c r="A145" s="117">
        <v>33699</v>
      </c>
      <c r="B145">
        <v>3.0609000000000002</v>
      </c>
    </row>
    <row r="146" spans="1:2">
      <c r="A146" s="117">
        <v>33700</v>
      </c>
      <c r="B146">
        <v>3.0609000000000002</v>
      </c>
    </row>
    <row r="147" spans="1:2">
      <c r="A147" s="117">
        <v>33701</v>
      </c>
      <c r="B147">
        <v>3.0609000000000002</v>
      </c>
    </row>
    <row r="148" spans="1:2">
      <c r="A148" s="117">
        <v>33702</v>
      </c>
      <c r="B148">
        <v>3.0609000000000002</v>
      </c>
    </row>
    <row r="149" spans="1:2">
      <c r="A149" s="117">
        <v>33703</v>
      </c>
      <c r="B149">
        <v>3.0608</v>
      </c>
    </row>
    <row r="150" spans="1:2">
      <c r="A150" s="117">
        <v>33704</v>
      </c>
      <c r="B150">
        <v>3.0655999999999999</v>
      </c>
    </row>
    <row r="151" spans="1:2">
      <c r="A151" s="117">
        <v>33705</v>
      </c>
      <c r="B151">
        <v>3.0695000000000001</v>
      </c>
    </row>
    <row r="152" spans="1:2">
      <c r="A152" s="117">
        <v>33706</v>
      </c>
      <c r="B152">
        <v>3.0695000000000001</v>
      </c>
    </row>
    <row r="153" spans="1:2">
      <c r="A153" s="117">
        <v>33707</v>
      </c>
      <c r="B153">
        <v>3.0695000000000001</v>
      </c>
    </row>
    <row r="154" spans="1:2">
      <c r="A154" s="117">
        <v>33708</v>
      </c>
      <c r="B154">
        <v>3.0657000000000001</v>
      </c>
    </row>
    <row r="155" spans="1:2">
      <c r="A155" s="117">
        <v>33709</v>
      </c>
      <c r="B155">
        <v>3.0625</v>
      </c>
    </row>
    <row r="156" spans="1:2">
      <c r="A156" s="117">
        <v>33710</v>
      </c>
      <c r="B156">
        <v>3.0649999999999999</v>
      </c>
    </row>
    <row r="157" spans="1:2">
      <c r="A157" s="117">
        <v>33711</v>
      </c>
      <c r="B157">
        <v>3.0649999999999999</v>
      </c>
    </row>
    <row r="158" spans="1:2">
      <c r="A158" s="117">
        <v>33712</v>
      </c>
      <c r="B158">
        <v>3.0649999999999999</v>
      </c>
    </row>
    <row r="159" spans="1:2">
      <c r="A159" s="117">
        <v>33713</v>
      </c>
      <c r="B159">
        <v>3.0649999999999999</v>
      </c>
    </row>
    <row r="160" spans="1:2">
      <c r="A160" s="117">
        <v>33714</v>
      </c>
      <c r="B160">
        <v>3.0649999999999999</v>
      </c>
    </row>
    <row r="161" spans="1:2">
      <c r="A161" s="117">
        <v>33715</v>
      </c>
      <c r="B161">
        <v>3.0670000000000002</v>
      </c>
    </row>
    <row r="162" spans="1:2">
      <c r="A162" s="117">
        <v>33716</v>
      </c>
      <c r="B162">
        <v>3.0636000000000001</v>
      </c>
    </row>
    <row r="163" spans="1:2">
      <c r="A163" s="117">
        <v>33717</v>
      </c>
      <c r="B163">
        <v>3.0670999999999999</v>
      </c>
    </row>
    <row r="164" spans="1:2">
      <c r="A164" s="117">
        <v>33718</v>
      </c>
      <c r="B164">
        <v>3.0828000000000002</v>
      </c>
    </row>
    <row r="165" spans="1:2">
      <c r="A165" s="117">
        <v>33719</v>
      </c>
      <c r="B165">
        <v>3.0855999999999999</v>
      </c>
    </row>
    <row r="166" spans="1:2">
      <c r="A166" s="117">
        <v>33720</v>
      </c>
      <c r="B166">
        <v>3.0855999999999999</v>
      </c>
    </row>
    <row r="167" spans="1:2">
      <c r="A167" s="117">
        <v>33721</v>
      </c>
      <c r="B167">
        <v>3.0855999999999999</v>
      </c>
    </row>
    <row r="168" spans="1:2">
      <c r="A168" s="117">
        <v>33722</v>
      </c>
      <c r="B168">
        <v>3.0758000000000001</v>
      </c>
    </row>
    <row r="169" spans="1:2">
      <c r="A169" s="117">
        <v>33723</v>
      </c>
      <c r="B169">
        <v>3.0764999999999998</v>
      </c>
    </row>
    <row r="170" spans="1:2">
      <c r="A170" s="117">
        <v>33724</v>
      </c>
      <c r="B170">
        <v>3.0790000000000002</v>
      </c>
    </row>
    <row r="171" spans="1:2">
      <c r="A171" s="117">
        <v>33725</v>
      </c>
      <c r="B171">
        <v>3.0794000000000001</v>
      </c>
    </row>
    <row r="172" spans="1:2">
      <c r="A172" s="117">
        <v>33726</v>
      </c>
      <c r="B172">
        <v>3.0794000000000001</v>
      </c>
    </row>
    <row r="173" spans="1:2">
      <c r="A173" s="117">
        <v>33727</v>
      </c>
      <c r="B173">
        <v>3.0794000000000001</v>
      </c>
    </row>
    <row r="174" spans="1:2">
      <c r="A174" s="117">
        <v>33728</v>
      </c>
      <c r="B174">
        <v>3.0794000000000001</v>
      </c>
    </row>
    <row r="175" spans="1:2">
      <c r="A175" s="117">
        <v>33729</v>
      </c>
      <c r="B175">
        <v>3.0785999999999998</v>
      </c>
    </row>
    <row r="176" spans="1:2">
      <c r="A176" s="117">
        <v>33730</v>
      </c>
      <c r="B176">
        <v>3.0785999999999998</v>
      </c>
    </row>
    <row r="177" spans="1:2">
      <c r="A177" s="117">
        <v>33731</v>
      </c>
      <c r="B177">
        <v>3.0815999999999999</v>
      </c>
    </row>
    <row r="178" spans="1:2">
      <c r="A178" s="117">
        <v>33732</v>
      </c>
      <c r="B178">
        <v>3.0884999999999998</v>
      </c>
    </row>
    <row r="179" spans="1:2">
      <c r="A179" s="117">
        <v>33733</v>
      </c>
      <c r="B179">
        <v>3.1</v>
      </c>
    </row>
    <row r="180" spans="1:2">
      <c r="A180" s="117">
        <v>33734</v>
      </c>
      <c r="B180">
        <v>3.1</v>
      </c>
    </row>
    <row r="181" spans="1:2">
      <c r="A181" s="117">
        <v>33735</v>
      </c>
      <c r="B181">
        <v>3.1</v>
      </c>
    </row>
    <row r="182" spans="1:2">
      <c r="A182" s="117">
        <v>33736</v>
      </c>
      <c r="B182">
        <v>3.1107999999999998</v>
      </c>
    </row>
    <row r="183" spans="1:2">
      <c r="A183" s="117">
        <v>33737</v>
      </c>
      <c r="B183">
        <v>3.0968</v>
      </c>
    </row>
    <row r="184" spans="1:2">
      <c r="A184" s="117">
        <v>33738</v>
      </c>
      <c r="B184">
        <v>3.0863</v>
      </c>
    </row>
    <row r="185" spans="1:2">
      <c r="A185" s="117">
        <v>33739</v>
      </c>
      <c r="B185">
        <v>3.0884999999999998</v>
      </c>
    </row>
    <row r="186" spans="1:2">
      <c r="A186" s="117">
        <v>33740</v>
      </c>
      <c r="B186">
        <v>3.1093999999999999</v>
      </c>
    </row>
    <row r="187" spans="1:2">
      <c r="A187" s="117">
        <v>33741</v>
      </c>
      <c r="B187">
        <v>3.1093999999999999</v>
      </c>
    </row>
    <row r="188" spans="1:2">
      <c r="A188" s="117">
        <v>33742</v>
      </c>
      <c r="B188">
        <v>3.1093999999999999</v>
      </c>
    </row>
    <row r="189" spans="1:2">
      <c r="A189" s="117">
        <v>33743</v>
      </c>
      <c r="B189">
        <v>3.1038999999999999</v>
      </c>
    </row>
    <row r="190" spans="1:2">
      <c r="A190" s="117">
        <v>33744</v>
      </c>
      <c r="B190">
        <v>3.0973999999999999</v>
      </c>
    </row>
    <row r="191" spans="1:2">
      <c r="A191" s="117">
        <v>33745</v>
      </c>
      <c r="B191">
        <v>3.1023999999999998</v>
      </c>
    </row>
    <row r="192" spans="1:2">
      <c r="A192" s="117">
        <v>33746</v>
      </c>
      <c r="B192">
        <v>3.105</v>
      </c>
    </row>
    <row r="193" spans="1:2">
      <c r="A193" s="117">
        <v>33747</v>
      </c>
      <c r="B193">
        <v>3.1055999999999999</v>
      </c>
    </row>
    <row r="194" spans="1:2">
      <c r="A194" s="117">
        <v>33748</v>
      </c>
      <c r="B194">
        <v>3.1055999999999999</v>
      </c>
    </row>
    <row r="195" spans="1:2">
      <c r="A195" s="117">
        <v>33749</v>
      </c>
      <c r="B195">
        <v>3.1055999999999999</v>
      </c>
    </row>
    <row r="196" spans="1:2">
      <c r="A196" s="117">
        <v>33750</v>
      </c>
      <c r="B196">
        <v>3.1030000000000002</v>
      </c>
    </row>
    <row r="197" spans="1:2">
      <c r="A197" s="117">
        <v>33751</v>
      </c>
      <c r="B197">
        <v>3.1025999999999998</v>
      </c>
    </row>
    <row r="198" spans="1:2">
      <c r="A198" s="117">
        <v>33752</v>
      </c>
      <c r="B198">
        <v>3.1078999999999999</v>
      </c>
    </row>
    <row r="199" spans="1:2">
      <c r="A199" s="117">
        <v>33753</v>
      </c>
      <c r="B199">
        <v>3.1133999999999999</v>
      </c>
    </row>
    <row r="200" spans="1:2">
      <c r="A200" s="117">
        <v>33754</v>
      </c>
      <c r="B200">
        <v>3.1168</v>
      </c>
    </row>
    <row r="201" spans="1:2">
      <c r="A201" s="117">
        <v>33755</v>
      </c>
      <c r="B201">
        <v>3.1168</v>
      </c>
    </row>
    <row r="202" spans="1:2">
      <c r="A202" s="117">
        <v>33756</v>
      </c>
      <c r="B202">
        <v>3.1168</v>
      </c>
    </row>
    <row r="203" spans="1:2">
      <c r="A203" s="117">
        <v>33757</v>
      </c>
      <c r="B203">
        <v>3.1150000000000002</v>
      </c>
    </row>
    <row r="204" spans="1:2">
      <c r="A204" s="117">
        <v>33758</v>
      </c>
      <c r="B204">
        <v>3.1105999999999998</v>
      </c>
    </row>
    <row r="205" spans="1:2">
      <c r="A205" s="117">
        <v>33759</v>
      </c>
      <c r="B205">
        <v>3.1175999999999999</v>
      </c>
    </row>
    <row r="206" spans="1:2">
      <c r="A206" s="117">
        <v>33760</v>
      </c>
      <c r="B206">
        <v>3.1185</v>
      </c>
    </row>
    <row r="207" spans="1:2">
      <c r="A207" s="117">
        <v>33761</v>
      </c>
      <c r="B207">
        <v>3.1179000000000001</v>
      </c>
    </row>
    <row r="208" spans="1:2">
      <c r="A208" s="117">
        <v>33762</v>
      </c>
      <c r="B208">
        <v>3.1179000000000001</v>
      </c>
    </row>
    <row r="209" spans="1:2">
      <c r="A209" s="117">
        <v>33763</v>
      </c>
      <c r="B209">
        <v>3.1179000000000001</v>
      </c>
    </row>
    <row r="210" spans="1:2">
      <c r="A210" s="117">
        <v>33764</v>
      </c>
      <c r="B210">
        <v>3.1131000000000002</v>
      </c>
    </row>
    <row r="211" spans="1:2">
      <c r="A211" s="117">
        <v>33765</v>
      </c>
      <c r="B211">
        <v>3.1145999999999998</v>
      </c>
    </row>
    <row r="212" spans="1:2">
      <c r="A212" s="117">
        <v>33766</v>
      </c>
      <c r="B212">
        <v>3.1175999999999999</v>
      </c>
    </row>
    <row r="213" spans="1:2">
      <c r="A213" s="117">
        <v>33767</v>
      </c>
      <c r="B213">
        <v>3.1168999999999998</v>
      </c>
    </row>
    <row r="214" spans="1:2">
      <c r="A214" s="117">
        <v>33768</v>
      </c>
      <c r="B214">
        <v>3.1191</v>
      </c>
    </row>
    <row r="215" spans="1:2">
      <c r="A215" s="117">
        <v>33769</v>
      </c>
      <c r="B215">
        <v>3.1191</v>
      </c>
    </row>
    <row r="216" spans="1:2">
      <c r="A216" s="117">
        <v>33770</v>
      </c>
      <c r="B216">
        <v>3.1191</v>
      </c>
    </row>
    <row r="217" spans="1:2">
      <c r="A217" s="117">
        <v>33771</v>
      </c>
      <c r="B217">
        <v>3.1191</v>
      </c>
    </row>
    <row r="218" spans="1:2">
      <c r="A218" s="117">
        <v>33772</v>
      </c>
      <c r="B218">
        <v>3.1193</v>
      </c>
    </row>
    <row r="219" spans="1:2">
      <c r="A219" s="117">
        <v>33773</v>
      </c>
      <c r="B219">
        <v>3.121</v>
      </c>
    </row>
    <row r="220" spans="1:2">
      <c r="A220" s="117">
        <v>33774</v>
      </c>
      <c r="B220">
        <v>3.1219999999999999</v>
      </c>
    </row>
    <row r="221" spans="1:2">
      <c r="A221" s="117">
        <v>33775</v>
      </c>
      <c r="B221">
        <v>3.1202999999999999</v>
      </c>
    </row>
    <row r="222" spans="1:2">
      <c r="A222" s="117">
        <v>33776</v>
      </c>
      <c r="B222">
        <v>3.1202999999999999</v>
      </c>
    </row>
    <row r="223" spans="1:2">
      <c r="A223" s="117">
        <v>33777</v>
      </c>
      <c r="B223">
        <v>3.1202999999999999</v>
      </c>
    </row>
    <row r="224" spans="1:2">
      <c r="A224" s="117">
        <v>33778</v>
      </c>
      <c r="B224">
        <v>3.1168</v>
      </c>
    </row>
    <row r="225" spans="1:2">
      <c r="A225" s="117">
        <v>33779</v>
      </c>
      <c r="B225">
        <v>3.1215999999999999</v>
      </c>
    </row>
    <row r="226" spans="1:2">
      <c r="A226" s="117">
        <v>33780</v>
      </c>
      <c r="B226">
        <v>3.1221999999999999</v>
      </c>
    </row>
    <row r="227" spans="1:2">
      <c r="A227" s="117">
        <v>33781</v>
      </c>
      <c r="B227">
        <v>3.1225000000000001</v>
      </c>
    </row>
    <row r="228" spans="1:2">
      <c r="A228" s="117">
        <v>33782</v>
      </c>
      <c r="B228">
        <v>3.1225000000000001</v>
      </c>
    </row>
    <row r="229" spans="1:2">
      <c r="A229" s="117">
        <v>33783</v>
      </c>
      <c r="B229">
        <v>3.1225000000000001</v>
      </c>
    </row>
    <row r="230" spans="1:2">
      <c r="A230" s="117">
        <v>33784</v>
      </c>
      <c r="B230">
        <v>3.1225000000000001</v>
      </c>
    </row>
    <row r="231" spans="1:2">
      <c r="A231" s="117">
        <v>33785</v>
      </c>
      <c r="B231">
        <v>3.1225000000000001</v>
      </c>
    </row>
    <row r="232" spans="1:2">
      <c r="A232" s="117">
        <v>33786</v>
      </c>
      <c r="B232">
        <v>3.1229</v>
      </c>
    </row>
    <row r="233" spans="1:2">
      <c r="A233" s="117">
        <v>33787</v>
      </c>
      <c r="B233">
        <v>3.1230000000000002</v>
      </c>
    </row>
    <row r="234" spans="1:2">
      <c r="A234" s="117">
        <v>33788</v>
      </c>
      <c r="B234">
        <v>3.1223999999999998</v>
      </c>
    </row>
    <row r="235" spans="1:2">
      <c r="A235" s="117">
        <v>33789</v>
      </c>
      <c r="B235">
        <v>3.1204000000000001</v>
      </c>
    </row>
    <row r="236" spans="1:2">
      <c r="A236" s="117">
        <v>33790</v>
      </c>
      <c r="B236">
        <v>3.1204000000000001</v>
      </c>
    </row>
    <row r="237" spans="1:2">
      <c r="A237" s="117">
        <v>33791</v>
      </c>
      <c r="B237">
        <v>3.1204000000000001</v>
      </c>
    </row>
    <row r="238" spans="1:2">
      <c r="A238" s="117">
        <v>33792</v>
      </c>
      <c r="B238">
        <v>3.1179000000000001</v>
      </c>
    </row>
    <row r="239" spans="1:2">
      <c r="A239" s="117">
        <v>33793</v>
      </c>
      <c r="B239">
        <v>3.1183000000000001</v>
      </c>
    </row>
    <row r="240" spans="1:2">
      <c r="A240" s="117">
        <v>33794</v>
      </c>
      <c r="B240">
        <v>3.1166</v>
      </c>
    </row>
    <row r="241" spans="1:2">
      <c r="A241" s="117">
        <v>33795</v>
      </c>
      <c r="B241">
        <v>3.117</v>
      </c>
    </row>
    <row r="242" spans="1:2">
      <c r="A242" s="117">
        <v>33796</v>
      </c>
      <c r="B242">
        <v>3.1099000000000001</v>
      </c>
    </row>
    <row r="243" spans="1:2">
      <c r="A243" s="117">
        <v>33797</v>
      </c>
      <c r="B243">
        <v>3.1099000000000001</v>
      </c>
    </row>
    <row r="244" spans="1:2">
      <c r="A244" s="117">
        <v>33798</v>
      </c>
      <c r="B244">
        <v>3.1099000000000001</v>
      </c>
    </row>
    <row r="245" spans="1:2">
      <c r="A245" s="117">
        <v>33799</v>
      </c>
      <c r="B245">
        <v>3.1179999999999999</v>
      </c>
    </row>
    <row r="246" spans="1:2">
      <c r="A246" s="117">
        <v>33800</v>
      </c>
      <c r="B246">
        <v>3.1156000000000001</v>
      </c>
    </row>
    <row r="247" spans="1:2">
      <c r="A247" s="117">
        <v>33801</v>
      </c>
      <c r="B247">
        <v>3.1173999999999999</v>
      </c>
    </row>
    <row r="248" spans="1:2">
      <c r="A248" s="117">
        <v>33802</v>
      </c>
      <c r="B248">
        <v>3.1183999999999998</v>
      </c>
    </row>
    <row r="249" spans="1:2">
      <c r="A249" s="117">
        <v>33803</v>
      </c>
      <c r="B249">
        <v>3.1175000000000002</v>
      </c>
    </row>
    <row r="250" spans="1:2">
      <c r="A250" s="117">
        <v>33804</v>
      </c>
      <c r="B250">
        <v>3.1175000000000002</v>
      </c>
    </row>
    <row r="251" spans="1:2">
      <c r="A251" s="117">
        <v>33805</v>
      </c>
      <c r="B251">
        <v>3.1175000000000002</v>
      </c>
    </row>
    <row r="252" spans="1:2">
      <c r="A252" s="117">
        <v>33806</v>
      </c>
      <c r="B252">
        <v>3.1149</v>
      </c>
    </row>
    <row r="253" spans="1:2">
      <c r="A253" s="117">
        <v>33807</v>
      </c>
      <c r="B253">
        <v>3.1166</v>
      </c>
    </row>
    <row r="254" spans="1:2">
      <c r="A254" s="117">
        <v>33808</v>
      </c>
      <c r="B254">
        <v>3.1156000000000001</v>
      </c>
    </row>
    <row r="255" spans="1:2">
      <c r="A255" s="117">
        <v>33809</v>
      </c>
      <c r="B255">
        <v>3.1124999999999998</v>
      </c>
    </row>
    <row r="256" spans="1:2">
      <c r="A256" s="117">
        <v>33810</v>
      </c>
      <c r="B256">
        <v>3.1113</v>
      </c>
    </row>
    <row r="257" spans="1:2">
      <c r="A257" s="117">
        <v>33811</v>
      </c>
      <c r="B257">
        <v>3.1113</v>
      </c>
    </row>
    <row r="258" spans="1:2">
      <c r="A258" s="117">
        <v>33812</v>
      </c>
      <c r="B258">
        <v>3.1113</v>
      </c>
    </row>
    <row r="259" spans="1:2">
      <c r="A259" s="117">
        <v>33813</v>
      </c>
      <c r="B259">
        <v>3.11</v>
      </c>
    </row>
    <row r="260" spans="1:2">
      <c r="A260" s="117">
        <v>33814</v>
      </c>
      <c r="B260">
        <v>3.1139000000000001</v>
      </c>
    </row>
    <row r="261" spans="1:2">
      <c r="A261" s="117">
        <v>33815</v>
      </c>
      <c r="B261">
        <v>3.1160999999999999</v>
      </c>
    </row>
    <row r="262" spans="1:2">
      <c r="A262" s="117">
        <v>33816</v>
      </c>
      <c r="B262">
        <v>3.1141000000000001</v>
      </c>
    </row>
    <row r="263" spans="1:2">
      <c r="A263" s="117">
        <v>33817</v>
      </c>
      <c r="B263">
        <v>3.1113</v>
      </c>
    </row>
    <row r="264" spans="1:2">
      <c r="A264" s="117">
        <v>33818</v>
      </c>
      <c r="B264">
        <v>3.1113</v>
      </c>
    </row>
    <row r="265" spans="1:2">
      <c r="A265" s="117">
        <v>33819</v>
      </c>
      <c r="B265">
        <v>3.1113</v>
      </c>
    </row>
    <row r="266" spans="1:2">
      <c r="A266" s="117">
        <v>33820</v>
      </c>
      <c r="B266">
        <v>3.1124000000000001</v>
      </c>
    </row>
    <row r="267" spans="1:2">
      <c r="A267" s="117">
        <v>33821</v>
      </c>
      <c r="B267">
        <v>3.1093999999999999</v>
      </c>
    </row>
    <row r="268" spans="1:2">
      <c r="A268" s="117">
        <v>33822</v>
      </c>
      <c r="B268">
        <v>3.1071</v>
      </c>
    </row>
    <row r="269" spans="1:2">
      <c r="A269" s="117">
        <v>33823</v>
      </c>
      <c r="B269">
        <v>3.1084000000000001</v>
      </c>
    </row>
    <row r="270" spans="1:2">
      <c r="A270" s="117">
        <v>33824</v>
      </c>
      <c r="B270">
        <v>3.1021000000000001</v>
      </c>
    </row>
    <row r="271" spans="1:2">
      <c r="A271" s="117">
        <v>33825</v>
      </c>
      <c r="B271">
        <v>3.1021000000000001</v>
      </c>
    </row>
    <row r="272" spans="1:2">
      <c r="A272" s="117">
        <v>33826</v>
      </c>
      <c r="B272">
        <v>3.1021000000000001</v>
      </c>
    </row>
    <row r="273" spans="1:2">
      <c r="A273" s="117">
        <v>33827</v>
      </c>
      <c r="B273">
        <v>3.1019999999999999</v>
      </c>
    </row>
    <row r="274" spans="1:2">
      <c r="A274" s="117">
        <v>33828</v>
      </c>
      <c r="B274">
        <v>3.0983999999999998</v>
      </c>
    </row>
    <row r="275" spans="1:2">
      <c r="A275" s="117">
        <v>33829</v>
      </c>
      <c r="B275">
        <v>3.0880999999999998</v>
      </c>
    </row>
    <row r="276" spans="1:2">
      <c r="A276" s="117">
        <v>33830</v>
      </c>
      <c r="B276">
        <v>3.0758999999999999</v>
      </c>
    </row>
    <row r="277" spans="1:2">
      <c r="A277" s="117">
        <v>33831</v>
      </c>
      <c r="B277">
        <v>3.0733000000000001</v>
      </c>
    </row>
    <row r="278" spans="1:2">
      <c r="A278" s="117">
        <v>33832</v>
      </c>
      <c r="B278">
        <v>3.0733000000000001</v>
      </c>
    </row>
    <row r="279" spans="1:2">
      <c r="A279" s="117">
        <v>33833</v>
      </c>
      <c r="B279">
        <v>3.0733000000000001</v>
      </c>
    </row>
    <row r="280" spans="1:2">
      <c r="A280" s="117">
        <v>33834</v>
      </c>
      <c r="B280">
        <v>3.0768</v>
      </c>
    </row>
    <row r="281" spans="1:2">
      <c r="A281" s="117">
        <v>33835</v>
      </c>
      <c r="B281">
        <v>3.0869</v>
      </c>
    </row>
    <row r="282" spans="1:2">
      <c r="A282" s="117">
        <v>33836</v>
      </c>
      <c r="B282">
        <v>3.0876000000000001</v>
      </c>
    </row>
    <row r="283" spans="1:2">
      <c r="A283" s="117">
        <v>33837</v>
      </c>
      <c r="B283">
        <v>3.0853000000000002</v>
      </c>
    </row>
    <row r="284" spans="1:2">
      <c r="A284" s="117">
        <v>33838</v>
      </c>
      <c r="B284">
        <v>3.0813999999999999</v>
      </c>
    </row>
    <row r="285" spans="1:2">
      <c r="A285" s="117">
        <v>33839</v>
      </c>
      <c r="B285">
        <v>3.0813999999999999</v>
      </c>
    </row>
    <row r="286" spans="1:2">
      <c r="A286" s="117">
        <v>33840</v>
      </c>
      <c r="B286">
        <v>3.0813999999999999</v>
      </c>
    </row>
    <row r="287" spans="1:2">
      <c r="A287" s="117">
        <v>33841</v>
      </c>
      <c r="B287">
        <v>3.0836000000000001</v>
      </c>
    </row>
    <row r="288" spans="1:2">
      <c r="A288" s="117">
        <v>33842</v>
      </c>
      <c r="B288">
        <v>3.0855000000000001</v>
      </c>
    </row>
    <row r="289" spans="1:2">
      <c r="A289" s="117">
        <v>33843</v>
      </c>
      <c r="B289">
        <v>3.081</v>
      </c>
    </row>
    <row r="290" spans="1:2">
      <c r="A290" s="117">
        <v>33844</v>
      </c>
      <c r="B290">
        <v>3.0789</v>
      </c>
    </row>
    <row r="291" spans="1:2">
      <c r="A291" s="117">
        <v>33845</v>
      </c>
      <c r="B291">
        <v>3.081</v>
      </c>
    </row>
    <row r="292" spans="1:2">
      <c r="A292" s="117">
        <v>33846</v>
      </c>
      <c r="B292">
        <v>3.081</v>
      </c>
    </row>
    <row r="293" spans="1:2">
      <c r="A293" s="117">
        <v>33847</v>
      </c>
      <c r="B293">
        <v>3.081</v>
      </c>
    </row>
    <row r="294" spans="1:2">
      <c r="A294" s="117">
        <v>33848</v>
      </c>
      <c r="B294">
        <v>3.081</v>
      </c>
    </row>
    <row r="295" spans="1:2">
      <c r="A295" s="117">
        <v>33849</v>
      </c>
      <c r="B295">
        <v>3.0764999999999998</v>
      </c>
    </row>
    <row r="296" spans="1:2">
      <c r="A296" s="117">
        <v>33850</v>
      </c>
      <c r="B296">
        <v>3.0714999999999999</v>
      </c>
    </row>
    <row r="297" spans="1:2">
      <c r="A297" s="117">
        <v>33851</v>
      </c>
      <c r="B297">
        <v>3.0693999999999999</v>
      </c>
    </row>
    <row r="298" spans="1:2">
      <c r="A298" s="117">
        <v>33852</v>
      </c>
      <c r="B298">
        <v>3.0699000000000001</v>
      </c>
    </row>
    <row r="299" spans="1:2">
      <c r="A299" s="117">
        <v>33853</v>
      </c>
      <c r="B299">
        <v>3.0699000000000001</v>
      </c>
    </row>
    <row r="300" spans="1:2">
      <c r="A300" s="117">
        <v>33854</v>
      </c>
      <c r="B300">
        <v>3.0699000000000001</v>
      </c>
    </row>
    <row r="301" spans="1:2">
      <c r="A301" s="117">
        <v>33855</v>
      </c>
      <c r="B301">
        <v>3.0680999999999998</v>
      </c>
    </row>
    <row r="302" spans="1:2">
      <c r="A302" s="117">
        <v>33856</v>
      </c>
      <c r="B302">
        <v>3.0638000000000001</v>
      </c>
    </row>
    <row r="303" spans="1:2">
      <c r="A303" s="117">
        <v>33857</v>
      </c>
      <c r="B303">
        <v>3.0636000000000001</v>
      </c>
    </row>
    <row r="304" spans="1:2">
      <c r="A304" s="117">
        <v>33858</v>
      </c>
      <c r="B304">
        <v>3.0630000000000002</v>
      </c>
    </row>
    <row r="305" spans="1:2">
      <c r="A305" s="117">
        <v>33859</v>
      </c>
      <c r="B305">
        <v>3.0768</v>
      </c>
    </row>
    <row r="306" spans="1:2">
      <c r="A306" s="117">
        <v>33860</v>
      </c>
      <c r="B306">
        <v>3.0768</v>
      </c>
    </row>
    <row r="307" spans="1:2">
      <c r="A307" s="117">
        <v>33861</v>
      </c>
      <c r="B307">
        <v>3.0768</v>
      </c>
    </row>
    <row r="308" spans="1:2">
      <c r="A308" s="117">
        <v>33862</v>
      </c>
      <c r="B308">
        <v>3.0948000000000002</v>
      </c>
    </row>
    <row r="309" spans="1:2">
      <c r="A309" s="117">
        <v>33863</v>
      </c>
      <c r="B309">
        <v>3.0941000000000001</v>
      </c>
    </row>
    <row r="310" spans="1:2">
      <c r="A310" s="117">
        <v>33864</v>
      </c>
      <c r="B310">
        <v>3.0941000000000001</v>
      </c>
    </row>
    <row r="311" spans="1:2">
      <c r="A311" s="117">
        <v>33865</v>
      </c>
      <c r="B311">
        <v>3.0926</v>
      </c>
    </row>
    <row r="312" spans="1:2">
      <c r="A312" s="117">
        <v>33866</v>
      </c>
      <c r="B312">
        <v>3.0916000000000001</v>
      </c>
    </row>
    <row r="313" spans="1:2">
      <c r="A313" s="117">
        <v>33867</v>
      </c>
      <c r="B313">
        <v>3.0916000000000001</v>
      </c>
    </row>
    <row r="314" spans="1:2">
      <c r="A314" s="117">
        <v>33868</v>
      </c>
      <c r="B314">
        <v>3.0916000000000001</v>
      </c>
    </row>
    <row r="315" spans="1:2">
      <c r="A315" s="117">
        <v>33869</v>
      </c>
      <c r="B315">
        <v>3.0863999999999998</v>
      </c>
    </row>
    <row r="316" spans="1:2">
      <c r="A316" s="117">
        <v>33870</v>
      </c>
      <c r="B316">
        <v>3.0884</v>
      </c>
    </row>
    <row r="317" spans="1:2">
      <c r="A317" s="117">
        <v>33871</v>
      </c>
      <c r="B317">
        <v>3.1111</v>
      </c>
    </row>
    <row r="318" spans="1:2">
      <c r="A318" s="117">
        <v>33872</v>
      </c>
      <c r="B318">
        <v>3.1208</v>
      </c>
    </row>
    <row r="319" spans="1:2">
      <c r="A319" s="117">
        <v>33873</v>
      </c>
      <c r="B319">
        <v>3.1040000000000001</v>
      </c>
    </row>
    <row r="320" spans="1:2">
      <c r="A320" s="117">
        <v>33874</v>
      </c>
      <c r="B320">
        <v>3.1040000000000001</v>
      </c>
    </row>
    <row r="321" spans="1:2">
      <c r="A321" s="117">
        <v>33875</v>
      </c>
      <c r="B321">
        <v>3.1040000000000001</v>
      </c>
    </row>
    <row r="322" spans="1:2">
      <c r="A322" s="117">
        <v>33876</v>
      </c>
      <c r="B322">
        <v>3.1071</v>
      </c>
    </row>
    <row r="323" spans="1:2">
      <c r="A323" s="117">
        <v>33877</v>
      </c>
      <c r="B323">
        <v>3.1160999999999999</v>
      </c>
    </row>
    <row r="324" spans="1:2">
      <c r="A324" s="117">
        <v>33878</v>
      </c>
      <c r="B324">
        <v>3.1131000000000002</v>
      </c>
    </row>
    <row r="325" spans="1:2">
      <c r="A325" s="117">
        <v>33879</v>
      </c>
      <c r="B325">
        <v>3.109</v>
      </c>
    </row>
    <row r="326" spans="1:2">
      <c r="A326" s="117">
        <v>33880</v>
      </c>
      <c r="B326">
        <v>3.1110000000000002</v>
      </c>
    </row>
    <row r="327" spans="1:2">
      <c r="A327" s="117">
        <v>33881</v>
      </c>
      <c r="B327">
        <v>3.1110000000000002</v>
      </c>
    </row>
    <row r="328" spans="1:2">
      <c r="A328" s="117">
        <v>33882</v>
      </c>
      <c r="B328">
        <v>3.1110000000000002</v>
      </c>
    </row>
    <row r="329" spans="1:2">
      <c r="A329" s="117">
        <v>33883</v>
      </c>
      <c r="B329">
        <v>3.1145</v>
      </c>
    </row>
    <row r="330" spans="1:2">
      <c r="A330" s="117">
        <v>33884</v>
      </c>
      <c r="B330">
        <v>3.113</v>
      </c>
    </row>
    <row r="331" spans="1:2">
      <c r="A331" s="117">
        <v>33885</v>
      </c>
      <c r="B331">
        <v>3.1137000000000001</v>
      </c>
    </row>
    <row r="332" spans="1:2">
      <c r="A332" s="117">
        <v>33886</v>
      </c>
      <c r="B332">
        <v>3.1118999999999999</v>
      </c>
    </row>
    <row r="333" spans="1:2">
      <c r="A333" s="117">
        <v>33887</v>
      </c>
      <c r="B333">
        <v>3.1151</v>
      </c>
    </row>
    <row r="334" spans="1:2">
      <c r="A334" s="117">
        <v>33888</v>
      </c>
      <c r="B334">
        <v>3.1151</v>
      </c>
    </row>
    <row r="335" spans="1:2">
      <c r="A335" s="117">
        <v>33889</v>
      </c>
      <c r="B335">
        <v>3.1151</v>
      </c>
    </row>
    <row r="336" spans="1:2">
      <c r="A336" s="117">
        <v>33890</v>
      </c>
      <c r="B336">
        <v>3.1151</v>
      </c>
    </row>
    <row r="337" spans="1:2">
      <c r="A337" s="117">
        <v>33891</v>
      </c>
      <c r="B337">
        <v>3.1137999999999999</v>
      </c>
    </row>
    <row r="338" spans="1:2">
      <c r="A338" s="117">
        <v>33892</v>
      </c>
      <c r="B338">
        <v>3.1219000000000001</v>
      </c>
    </row>
    <row r="339" spans="1:2">
      <c r="A339" s="117">
        <v>33893</v>
      </c>
      <c r="B339">
        <v>3.1360000000000001</v>
      </c>
    </row>
    <row r="340" spans="1:2">
      <c r="A340" s="117">
        <v>33894</v>
      </c>
      <c r="B340">
        <v>3.1343999999999999</v>
      </c>
    </row>
    <row r="341" spans="1:2">
      <c r="A341" s="117">
        <v>33895</v>
      </c>
      <c r="B341">
        <v>3.1343999999999999</v>
      </c>
    </row>
    <row r="342" spans="1:2">
      <c r="A342" s="117">
        <v>33896</v>
      </c>
      <c r="B342">
        <v>3.1343999999999999</v>
      </c>
    </row>
    <row r="343" spans="1:2">
      <c r="A343" s="117">
        <v>33897</v>
      </c>
      <c r="B343">
        <v>3.1339999999999999</v>
      </c>
    </row>
    <row r="344" spans="1:2">
      <c r="A344" s="117">
        <v>33898</v>
      </c>
      <c r="B344">
        <v>3.1429</v>
      </c>
    </row>
    <row r="345" spans="1:2">
      <c r="A345" s="117">
        <v>33899</v>
      </c>
      <c r="B345">
        <v>3.1355</v>
      </c>
    </row>
    <row r="346" spans="1:2">
      <c r="A346" s="117">
        <v>33900</v>
      </c>
      <c r="B346">
        <v>3.1284999999999998</v>
      </c>
    </row>
    <row r="347" spans="1:2">
      <c r="A347" s="117">
        <v>33901</v>
      </c>
      <c r="B347">
        <v>3.1252</v>
      </c>
    </row>
    <row r="348" spans="1:2">
      <c r="A348" s="117">
        <v>33902</v>
      </c>
      <c r="B348">
        <v>3.1252</v>
      </c>
    </row>
    <row r="349" spans="1:2">
      <c r="A349" s="117">
        <v>33903</v>
      </c>
      <c r="B349">
        <v>3.1252</v>
      </c>
    </row>
    <row r="350" spans="1:2">
      <c r="A350" s="117">
        <v>33904</v>
      </c>
      <c r="B350">
        <v>3.1190000000000002</v>
      </c>
    </row>
    <row r="351" spans="1:2">
      <c r="A351" s="117">
        <v>33905</v>
      </c>
      <c r="B351">
        <v>3.1181000000000001</v>
      </c>
    </row>
    <row r="352" spans="1:2">
      <c r="A352" s="117">
        <v>33906</v>
      </c>
      <c r="B352">
        <v>3.1364000000000001</v>
      </c>
    </row>
    <row r="353" spans="1:2">
      <c r="A353" s="117">
        <v>33907</v>
      </c>
      <c r="B353">
        <v>3.1320999999999999</v>
      </c>
    </row>
    <row r="354" spans="1:2">
      <c r="A354" s="117">
        <v>33908</v>
      </c>
      <c r="B354">
        <v>3.1309</v>
      </c>
    </row>
    <row r="355" spans="1:2">
      <c r="A355" s="117">
        <v>33909</v>
      </c>
      <c r="B355">
        <v>3.1309</v>
      </c>
    </row>
    <row r="356" spans="1:2">
      <c r="A356" s="117">
        <v>33910</v>
      </c>
      <c r="B356">
        <v>3.1309</v>
      </c>
    </row>
    <row r="357" spans="1:2">
      <c r="A357" s="117">
        <v>33911</v>
      </c>
      <c r="B357">
        <v>3.1309</v>
      </c>
    </row>
    <row r="358" spans="1:2">
      <c r="A358" s="117">
        <v>33912</v>
      </c>
      <c r="B358">
        <v>3.1255999999999999</v>
      </c>
    </row>
    <row r="359" spans="1:2">
      <c r="A359" s="117">
        <v>33913</v>
      </c>
      <c r="B359">
        <v>3.1257999999999999</v>
      </c>
    </row>
    <row r="360" spans="1:2">
      <c r="A360" s="117">
        <v>33914</v>
      </c>
      <c r="B360">
        <v>3.1271</v>
      </c>
    </row>
    <row r="361" spans="1:2">
      <c r="A361" s="117">
        <v>33915</v>
      </c>
      <c r="B361">
        <v>3.1253000000000002</v>
      </c>
    </row>
    <row r="362" spans="1:2">
      <c r="A362" s="117">
        <v>33916</v>
      </c>
      <c r="B362">
        <v>3.1253000000000002</v>
      </c>
    </row>
    <row r="363" spans="1:2">
      <c r="A363" s="117">
        <v>33917</v>
      </c>
      <c r="B363">
        <v>3.1253000000000002</v>
      </c>
    </row>
    <row r="364" spans="1:2">
      <c r="A364" s="117">
        <v>33918</v>
      </c>
      <c r="B364">
        <v>3.1187999999999998</v>
      </c>
    </row>
    <row r="365" spans="1:2">
      <c r="A365" s="117">
        <v>33919</v>
      </c>
      <c r="B365">
        <v>3.1248999999999998</v>
      </c>
    </row>
    <row r="366" spans="1:2">
      <c r="A366" s="117">
        <v>33920</v>
      </c>
      <c r="B366">
        <v>3.1196999999999999</v>
      </c>
    </row>
    <row r="367" spans="1:2">
      <c r="A367" s="117">
        <v>33921</v>
      </c>
      <c r="B367">
        <v>3.1147999999999998</v>
      </c>
    </row>
    <row r="368" spans="1:2">
      <c r="A368" s="117">
        <v>33922</v>
      </c>
      <c r="B368">
        <v>3.1156000000000001</v>
      </c>
    </row>
    <row r="369" spans="1:2">
      <c r="A369" s="117">
        <v>33923</v>
      </c>
      <c r="B369">
        <v>3.1156000000000001</v>
      </c>
    </row>
    <row r="370" spans="1:2">
      <c r="A370" s="117">
        <v>33924</v>
      </c>
      <c r="B370">
        <v>3.1156000000000001</v>
      </c>
    </row>
    <row r="371" spans="1:2">
      <c r="A371" s="117">
        <v>33925</v>
      </c>
      <c r="B371">
        <v>3.113</v>
      </c>
    </row>
    <row r="372" spans="1:2">
      <c r="A372" s="117">
        <v>33926</v>
      </c>
      <c r="B372">
        <v>3.1194999999999999</v>
      </c>
    </row>
    <row r="373" spans="1:2">
      <c r="A373" s="117">
        <v>33927</v>
      </c>
      <c r="B373">
        <v>3.1168</v>
      </c>
    </row>
    <row r="374" spans="1:2">
      <c r="A374" s="117">
        <v>33928</v>
      </c>
      <c r="B374">
        <v>3.1150000000000002</v>
      </c>
    </row>
    <row r="375" spans="1:2">
      <c r="A375" s="117">
        <v>33929</v>
      </c>
      <c r="B375">
        <v>3.1150000000000002</v>
      </c>
    </row>
    <row r="376" spans="1:2">
      <c r="A376" s="117">
        <v>33930</v>
      </c>
      <c r="B376">
        <v>3.1150000000000002</v>
      </c>
    </row>
    <row r="377" spans="1:2">
      <c r="A377" s="117">
        <v>33931</v>
      </c>
      <c r="B377">
        <v>3.1150000000000002</v>
      </c>
    </row>
    <row r="378" spans="1:2">
      <c r="A378" s="117">
        <v>33932</v>
      </c>
      <c r="B378">
        <v>3.1143000000000001</v>
      </c>
    </row>
    <row r="379" spans="1:2">
      <c r="A379" s="117">
        <v>33933</v>
      </c>
      <c r="B379">
        <v>3.1194000000000002</v>
      </c>
    </row>
    <row r="380" spans="1:2">
      <c r="A380" s="117">
        <v>33934</v>
      </c>
      <c r="B380">
        <v>3.1193</v>
      </c>
    </row>
    <row r="381" spans="1:2">
      <c r="A381" s="117">
        <v>33935</v>
      </c>
      <c r="B381">
        <v>3.1137999999999999</v>
      </c>
    </row>
    <row r="382" spans="1:2">
      <c r="A382" s="117">
        <v>33936</v>
      </c>
      <c r="B382">
        <v>3.1158999999999999</v>
      </c>
    </row>
    <row r="383" spans="1:2">
      <c r="A383" s="117">
        <v>33937</v>
      </c>
      <c r="B383">
        <v>3.1158999999999999</v>
      </c>
    </row>
    <row r="384" spans="1:2">
      <c r="A384" s="117">
        <v>33938</v>
      </c>
      <c r="B384">
        <v>3.1158999999999999</v>
      </c>
    </row>
    <row r="385" spans="1:2">
      <c r="A385" s="117">
        <v>33939</v>
      </c>
      <c r="B385">
        <v>3.1149</v>
      </c>
    </row>
    <row r="386" spans="1:2">
      <c r="A386" s="117">
        <v>33940</v>
      </c>
      <c r="B386">
        <v>3.1141000000000001</v>
      </c>
    </row>
    <row r="387" spans="1:2">
      <c r="A387" s="117">
        <v>33941</v>
      </c>
      <c r="B387">
        <v>3.117</v>
      </c>
    </row>
    <row r="388" spans="1:2">
      <c r="A388" s="117">
        <v>33942</v>
      </c>
      <c r="B388">
        <v>3.1160000000000001</v>
      </c>
    </row>
    <row r="389" spans="1:2">
      <c r="A389" s="117">
        <v>33943</v>
      </c>
      <c r="B389">
        <v>3.1139000000000001</v>
      </c>
    </row>
    <row r="390" spans="1:2">
      <c r="A390" s="117">
        <v>33944</v>
      </c>
      <c r="B390">
        <v>3.1139000000000001</v>
      </c>
    </row>
    <row r="391" spans="1:2">
      <c r="A391" s="117">
        <v>33945</v>
      </c>
      <c r="B391">
        <v>3.1139000000000001</v>
      </c>
    </row>
    <row r="392" spans="1:2">
      <c r="A392" s="117">
        <v>33946</v>
      </c>
      <c r="B392">
        <v>3.1158000000000001</v>
      </c>
    </row>
    <row r="393" spans="1:2">
      <c r="A393" s="117">
        <v>33947</v>
      </c>
      <c r="B393">
        <v>3.1175999999999999</v>
      </c>
    </row>
    <row r="394" spans="1:2">
      <c r="A394" s="117">
        <v>33948</v>
      </c>
      <c r="B394">
        <v>3.1132</v>
      </c>
    </row>
    <row r="395" spans="1:2">
      <c r="A395" s="117">
        <v>33949</v>
      </c>
      <c r="B395">
        <v>3.1128</v>
      </c>
    </row>
    <row r="396" spans="1:2">
      <c r="A396" s="117">
        <v>33950</v>
      </c>
      <c r="B396">
        <v>3.1116999999999999</v>
      </c>
    </row>
    <row r="397" spans="1:2">
      <c r="A397" s="117">
        <v>33951</v>
      </c>
      <c r="B397">
        <v>3.1116999999999999</v>
      </c>
    </row>
    <row r="398" spans="1:2">
      <c r="A398" s="117">
        <v>33952</v>
      </c>
      <c r="B398">
        <v>3.1116999999999999</v>
      </c>
    </row>
    <row r="399" spans="1:2">
      <c r="A399" s="117">
        <v>33953</v>
      </c>
      <c r="B399">
        <v>3.1137000000000001</v>
      </c>
    </row>
    <row r="400" spans="1:2">
      <c r="A400" s="117">
        <v>33954</v>
      </c>
      <c r="B400">
        <v>3.1168999999999998</v>
      </c>
    </row>
    <row r="401" spans="1:2">
      <c r="A401" s="117">
        <v>33955</v>
      </c>
      <c r="B401">
        <v>3.1372</v>
      </c>
    </row>
    <row r="402" spans="1:2">
      <c r="A402" s="117">
        <v>33956</v>
      </c>
      <c r="B402">
        <v>3.1352000000000002</v>
      </c>
    </row>
    <row r="403" spans="1:2">
      <c r="A403" s="117">
        <v>33957</v>
      </c>
      <c r="B403">
        <v>3.1204000000000001</v>
      </c>
    </row>
    <row r="404" spans="1:2">
      <c r="A404" s="117">
        <v>33958</v>
      </c>
      <c r="B404">
        <v>3.1204000000000001</v>
      </c>
    </row>
    <row r="405" spans="1:2">
      <c r="A405" s="117">
        <v>33959</v>
      </c>
      <c r="B405">
        <v>3.1204000000000001</v>
      </c>
    </row>
    <row r="406" spans="1:2">
      <c r="A406" s="117">
        <v>33960</v>
      </c>
      <c r="B406">
        <v>3.1204999999999998</v>
      </c>
    </row>
    <row r="407" spans="1:2">
      <c r="A407" s="117">
        <v>33961</v>
      </c>
      <c r="B407">
        <v>3.1179000000000001</v>
      </c>
    </row>
    <row r="408" spans="1:2">
      <c r="A408" s="117">
        <v>33962</v>
      </c>
      <c r="B408">
        <v>3.1244999999999998</v>
      </c>
    </row>
    <row r="409" spans="1:2">
      <c r="A409" s="117">
        <v>33963</v>
      </c>
      <c r="B409">
        <v>3.1194999999999999</v>
      </c>
    </row>
    <row r="410" spans="1:2">
      <c r="A410" s="117">
        <v>33964</v>
      </c>
      <c r="B410">
        <v>3.1194999999999999</v>
      </c>
    </row>
    <row r="411" spans="1:2">
      <c r="A411" s="117">
        <v>33965</v>
      </c>
      <c r="B411">
        <v>3.1194999999999999</v>
      </c>
    </row>
    <row r="412" spans="1:2">
      <c r="A412" s="117">
        <v>33966</v>
      </c>
      <c r="B412">
        <v>3.1194999999999999</v>
      </c>
    </row>
    <row r="413" spans="1:2">
      <c r="A413" s="117">
        <v>33967</v>
      </c>
      <c r="B413">
        <v>3.1133999999999999</v>
      </c>
    </row>
    <row r="414" spans="1:2">
      <c r="A414" s="117">
        <v>33968</v>
      </c>
      <c r="B414">
        <v>3.1154000000000002</v>
      </c>
    </row>
    <row r="415" spans="1:2">
      <c r="A415" s="117">
        <v>33969</v>
      </c>
      <c r="B415">
        <v>3.1230000000000002</v>
      </c>
    </row>
    <row r="416" spans="1:2">
      <c r="A416" s="117">
        <v>33970</v>
      </c>
      <c r="B416">
        <v>3.1230000000000002</v>
      </c>
    </row>
    <row r="417" spans="1:2">
      <c r="A417" s="117">
        <v>33971</v>
      </c>
      <c r="B417">
        <v>3.1230000000000002</v>
      </c>
    </row>
    <row r="418" spans="1:2">
      <c r="A418" s="117">
        <v>33972</v>
      </c>
      <c r="B418">
        <v>3.1230000000000002</v>
      </c>
    </row>
    <row r="419" spans="1:2">
      <c r="A419" s="117">
        <v>33973</v>
      </c>
      <c r="B419">
        <v>3.1230000000000002</v>
      </c>
    </row>
    <row r="420" spans="1:2">
      <c r="A420" s="117">
        <v>33974</v>
      </c>
      <c r="B420">
        <v>3.1208999999999998</v>
      </c>
    </row>
    <row r="421" spans="1:2">
      <c r="A421" s="117">
        <v>33975</v>
      </c>
      <c r="B421">
        <v>3.117</v>
      </c>
    </row>
    <row r="422" spans="1:2">
      <c r="A422" s="117">
        <v>33976</v>
      </c>
      <c r="B422">
        <v>3.1179999999999999</v>
      </c>
    </row>
    <row r="423" spans="1:2">
      <c r="A423" s="117">
        <v>33977</v>
      </c>
      <c r="B423">
        <v>3.1124000000000001</v>
      </c>
    </row>
    <row r="424" spans="1:2">
      <c r="A424" s="117">
        <v>33978</v>
      </c>
      <c r="B424">
        <v>3.1063000000000001</v>
      </c>
    </row>
    <row r="425" spans="1:2">
      <c r="A425" s="117">
        <v>33979</v>
      </c>
      <c r="B425">
        <v>3.1063000000000001</v>
      </c>
    </row>
    <row r="426" spans="1:2">
      <c r="A426" s="117">
        <v>33980</v>
      </c>
      <c r="B426">
        <v>3.1063000000000001</v>
      </c>
    </row>
    <row r="427" spans="1:2">
      <c r="A427" s="117">
        <v>33981</v>
      </c>
      <c r="B427">
        <v>3.1107999999999998</v>
      </c>
    </row>
    <row r="428" spans="1:2">
      <c r="A428" s="117">
        <v>33982</v>
      </c>
      <c r="B428">
        <v>3.1168999999999998</v>
      </c>
    </row>
    <row r="429" spans="1:2">
      <c r="A429" s="117">
        <v>33983</v>
      </c>
      <c r="B429">
        <v>3.1095999999999999</v>
      </c>
    </row>
    <row r="430" spans="1:2">
      <c r="A430" s="117">
        <v>33984</v>
      </c>
      <c r="B430">
        <v>3.113</v>
      </c>
    </row>
    <row r="431" spans="1:2">
      <c r="A431" s="117">
        <v>33985</v>
      </c>
      <c r="B431">
        <v>3.113</v>
      </c>
    </row>
    <row r="432" spans="1:2">
      <c r="A432" s="117">
        <v>33986</v>
      </c>
      <c r="B432">
        <v>3.113</v>
      </c>
    </row>
    <row r="433" spans="1:2">
      <c r="A433" s="117">
        <v>33987</v>
      </c>
      <c r="B433">
        <v>3.113</v>
      </c>
    </row>
    <row r="434" spans="1:2">
      <c r="A434" s="117">
        <v>33988</v>
      </c>
      <c r="B434">
        <v>3.1103000000000001</v>
      </c>
    </row>
    <row r="435" spans="1:2">
      <c r="A435" s="117">
        <v>33989</v>
      </c>
      <c r="B435">
        <v>3.1095000000000002</v>
      </c>
    </row>
    <row r="436" spans="1:2">
      <c r="A436" s="117">
        <v>33990</v>
      </c>
      <c r="B436">
        <v>3.1082000000000001</v>
      </c>
    </row>
    <row r="437" spans="1:2">
      <c r="A437" s="117">
        <v>33991</v>
      </c>
      <c r="B437">
        <v>3.1051000000000002</v>
      </c>
    </row>
    <row r="438" spans="1:2">
      <c r="A438" s="117">
        <v>33992</v>
      </c>
      <c r="B438">
        <v>3.1051000000000002</v>
      </c>
    </row>
    <row r="439" spans="1:2">
      <c r="A439" s="117">
        <v>33993</v>
      </c>
      <c r="B439">
        <v>3.1051000000000002</v>
      </c>
    </row>
    <row r="440" spans="1:2">
      <c r="A440" s="117">
        <v>33994</v>
      </c>
      <c r="B440">
        <v>3.1051000000000002</v>
      </c>
    </row>
    <row r="441" spans="1:2">
      <c r="A441" s="117">
        <v>33995</v>
      </c>
      <c r="B441">
        <v>3.1044</v>
      </c>
    </row>
    <row r="442" spans="1:2">
      <c r="A442" s="117">
        <v>33996</v>
      </c>
      <c r="B442">
        <v>3.1044</v>
      </c>
    </row>
    <row r="443" spans="1:2">
      <c r="A443" s="117">
        <v>33997</v>
      </c>
      <c r="B443">
        <v>3.0989</v>
      </c>
    </row>
    <row r="444" spans="1:2">
      <c r="A444" s="117">
        <v>33998</v>
      </c>
      <c r="B444">
        <v>3.0939000000000001</v>
      </c>
    </row>
    <row r="445" spans="1:2">
      <c r="A445" s="117">
        <v>33999</v>
      </c>
      <c r="B445">
        <v>3.1030000000000002</v>
      </c>
    </row>
    <row r="446" spans="1:2">
      <c r="A446" s="117">
        <v>34000</v>
      </c>
      <c r="B446">
        <v>3.1030000000000002</v>
      </c>
    </row>
    <row r="447" spans="1:2">
      <c r="A447" s="117">
        <v>34001</v>
      </c>
      <c r="B447">
        <v>3.1030000000000002</v>
      </c>
    </row>
    <row r="448" spans="1:2">
      <c r="A448" s="117">
        <v>34002</v>
      </c>
      <c r="B448">
        <v>3.1139999999999999</v>
      </c>
    </row>
    <row r="449" spans="1:2">
      <c r="A449" s="117">
        <v>34003</v>
      </c>
      <c r="B449">
        <v>3.1019000000000001</v>
      </c>
    </row>
    <row r="450" spans="1:2">
      <c r="A450" s="117">
        <v>34004</v>
      </c>
      <c r="B450">
        <v>3.0998999999999999</v>
      </c>
    </row>
    <row r="451" spans="1:2">
      <c r="A451" s="117">
        <v>34005</v>
      </c>
      <c r="B451">
        <v>3.1017000000000001</v>
      </c>
    </row>
    <row r="452" spans="1:2">
      <c r="A452" s="117">
        <v>34006</v>
      </c>
      <c r="B452">
        <v>3.1017000000000001</v>
      </c>
    </row>
    <row r="453" spans="1:2">
      <c r="A453" s="117">
        <v>34007</v>
      </c>
      <c r="B453">
        <v>3.1017000000000001</v>
      </c>
    </row>
    <row r="454" spans="1:2">
      <c r="A454" s="117">
        <v>34008</v>
      </c>
      <c r="B454">
        <v>3.1017000000000001</v>
      </c>
    </row>
    <row r="455" spans="1:2">
      <c r="A455" s="117">
        <v>34009</v>
      </c>
      <c r="B455">
        <v>3.1012</v>
      </c>
    </row>
    <row r="456" spans="1:2">
      <c r="A456" s="117">
        <v>34010</v>
      </c>
      <c r="B456">
        <v>3.0981000000000001</v>
      </c>
    </row>
    <row r="457" spans="1:2">
      <c r="A457" s="117">
        <v>34011</v>
      </c>
      <c r="B457">
        <v>3.0977000000000001</v>
      </c>
    </row>
    <row r="458" spans="1:2">
      <c r="A458" s="117">
        <v>34012</v>
      </c>
      <c r="B458">
        <v>3.0975000000000001</v>
      </c>
    </row>
    <row r="459" spans="1:2">
      <c r="A459" s="117">
        <v>34013</v>
      </c>
      <c r="B459">
        <v>3.1009000000000002</v>
      </c>
    </row>
    <row r="460" spans="1:2">
      <c r="A460" s="117">
        <v>34014</v>
      </c>
      <c r="B460">
        <v>3.1009000000000002</v>
      </c>
    </row>
    <row r="461" spans="1:2">
      <c r="A461" s="117">
        <v>34015</v>
      </c>
      <c r="B461">
        <v>3.1009000000000002</v>
      </c>
    </row>
    <row r="462" spans="1:2">
      <c r="A462" s="117">
        <v>34016</v>
      </c>
      <c r="B462">
        <v>3.0966999999999998</v>
      </c>
    </row>
    <row r="463" spans="1:2">
      <c r="A463" s="117">
        <v>34017</v>
      </c>
      <c r="B463">
        <v>3.1</v>
      </c>
    </row>
    <row r="464" spans="1:2">
      <c r="A464" s="117">
        <v>34018</v>
      </c>
      <c r="B464">
        <v>3.0977000000000001</v>
      </c>
    </row>
    <row r="465" spans="1:2">
      <c r="A465" s="117">
        <v>34019</v>
      </c>
      <c r="B465">
        <v>3.0985999999999998</v>
      </c>
    </row>
    <row r="466" spans="1:2">
      <c r="A466" s="117">
        <v>34020</v>
      </c>
      <c r="B466">
        <v>3.0943000000000001</v>
      </c>
    </row>
    <row r="467" spans="1:2">
      <c r="A467" s="117">
        <v>34021</v>
      </c>
      <c r="B467">
        <v>3.0943000000000001</v>
      </c>
    </row>
    <row r="468" spans="1:2">
      <c r="A468" s="117">
        <v>34022</v>
      </c>
      <c r="B468">
        <v>3.0943000000000001</v>
      </c>
    </row>
    <row r="469" spans="1:2">
      <c r="A469" s="117">
        <v>34023</v>
      </c>
      <c r="B469">
        <v>3.0950000000000002</v>
      </c>
    </row>
    <row r="470" spans="1:2">
      <c r="A470" s="117">
        <v>34024</v>
      </c>
      <c r="B470">
        <v>3.0939999999999999</v>
      </c>
    </row>
    <row r="471" spans="1:2">
      <c r="A471" s="117">
        <v>34025</v>
      </c>
      <c r="B471">
        <v>3.0939000000000001</v>
      </c>
    </row>
    <row r="472" spans="1:2">
      <c r="A472" s="117">
        <v>34026</v>
      </c>
      <c r="B472">
        <v>3.0937999999999999</v>
      </c>
    </row>
    <row r="473" spans="1:2">
      <c r="A473" s="117">
        <v>34027</v>
      </c>
      <c r="B473">
        <v>3.0973999999999999</v>
      </c>
    </row>
    <row r="474" spans="1:2">
      <c r="A474" s="117">
        <v>34028</v>
      </c>
      <c r="B474">
        <v>3.0973999999999999</v>
      </c>
    </row>
    <row r="475" spans="1:2">
      <c r="A475" s="117">
        <v>34029</v>
      </c>
      <c r="B475">
        <v>3.0973999999999999</v>
      </c>
    </row>
    <row r="476" spans="1:2">
      <c r="A476" s="117">
        <v>34030</v>
      </c>
      <c r="B476">
        <v>3.0987</v>
      </c>
    </row>
    <row r="477" spans="1:2">
      <c r="A477" s="117">
        <v>34031</v>
      </c>
      <c r="B477">
        <v>3.0939000000000001</v>
      </c>
    </row>
    <row r="478" spans="1:2">
      <c r="A478" s="117">
        <v>34032</v>
      </c>
      <c r="B478">
        <v>3.0939000000000001</v>
      </c>
    </row>
    <row r="479" spans="1:2">
      <c r="A479" s="117">
        <v>34033</v>
      </c>
      <c r="B479">
        <v>3.0948000000000002</v>
      </c>
    </row>
    <row r="480" spans="1:2">
      <c r="A480" s="117">
        <v>34034</v>
      </c>
      <c r="B480">
        <v>3.0960999999999999</v>
      </c>
    </row>
    <row r="481" spans="1:2">
      <c r="A481" s="117">
        <v>34035</v>
      </c>
      <c r="B481">
        <v>3.0960999999999999</v>
      </c>
    </row>
    <row r="482" spans="1:2">
      <c r="A482" s="117">
        <v>34036</v>
      </c>
      <c r="B482">
        <v>3.0960999999999999</v>
      </c>
    </row>
    <row r="483" spans="1:2">
      <c r="A483" s="117">
        <v>34037</v>
      </c>
      <c r="B483">
        <v>3.101</v>
      </c>
    </row>
    <row r="484" spans="1:2">
      <c r="A484" s="117">
        <v>34038</v>
      </c>
      <c r="B484">
        <v>3.1021000000000001</v>
      </c>
    </row>
    <row r="485" spans="1:2">
      <c r="A485" s="117">
        <v>34039</v>
      </c>
      <c r="B485">
        <v>3.113</v>
      </c>
    </row>
    <row r="486" spans="1:2">
      <c r="A486" s="117">
        <v>34040</v>
      </c>
      <c r="B486">
        <v>3.1173999999999999</v>
      </c>
    </row>
    <row r="487" spans="1:2">
      <c r="A487" s="117">
        <v>34041</v>
      </c>
      <c r="B487">
        <v>3.1196999999999999</v>
      </c>
    </row>
    <row r="488" spans="1:2">
      <c r="A488" s="117">
        <v>34042</v>
      </c>
      <c r="B488">
        <v>3.1196999999999999</v>
      </c>
    </row>
    <row r="489" spans="1:2">
      <c r="A489" s="117">
        <v>34043</v>
      </c>
      <c r="B489">
        <v>3.1196999999999999</v>
      </c>
    </row>
    <row r="490" spans="1:2">
      <c r="A490" s="117">
        <v>34044</v>
      </c>
      <c r="B490">
        <v>3.1196000000000002</v>
      </c>
    </row>
    <row r="491" spans="1:2">
      <c r="A491" s="117">
        <v>34045</v>
      </c>
      <c r="B491">
        <v>3.1181999999999999</v>
      </c>
    </row>
    <row r="492" spans="1:2">
      <c r="A492" s="117">
        <v>34046</v>
      </c>
      <c r="B492">
        <v>3.12</v>
      </c>
    </row>
    <row r="493" spans="1:2">
      <c r="A493" s="117">
        <v>34047</v>
      </c>
      <c r="B493">
        <v>3.1190000000000002</v>
      </c>
    </row>
    <row r="494" spans="1:2">
      <c r="A494" s="117">
        <v>34048</v>
      </c>
      <c r="B494">
        <v>3.1168999999999998</v>
      </c>
    </row>
    <row r="495" spans="1:2">
      <c r="A495" s="117">
        <v>34049</v>
      </c>
      <c r="B495">
        <v>3.1168999999999998</v>
      </c>
    </row>
    <row r="496" spans="1:2">
      <c r="A496" s="117">
        <v>34050</v>
      </c>
      <c r="B496">
        <v>3.1168999999999998</v>
      </c>
    </row>
    <row r="497" spans="1:2">
      <c r="A497" s="117">
        <v>34051</v>
      </c>
      <c r="B497">
        <v>3.1124000000000001</v>
      </c>
    </row>
    <row r="498" spans="1:2">
      <c r="A498" s="117">
        <v>34052</v>
      </c>
      <c r="B498">
        <v>3.1172</v>
      </c>
    </row>
    <row r="499" spans="1:2">
      <c r="A499" s="117">
        <v>34053</v>
      </c>
      <c r="B499">
        <v>3.1149</v>
      </c>
    </row>
    <row r="500" spans="1:2">
      <c r="A500" s="117">
        <v>34054</v>
      </c>
      <c r="B500">
        <v>3.1118999999999999</v>
      </c>
    </row>
    <row r="501" spans="1:2">
      <c r="A501" s="117">
        <v>34055</v>
      </c>
      <c r="B501">
        <v>3.1114000000000002</v>
      </c>
    </row>
    <row r="502" spans="1:2">
      <c r="A502" s="117">
        <v>34056</v>
      </c>
      <c r="B502">
        <v>3.1114000000000002</v>
      </c>
    </row>
    <row r="503" spans="1:2">
      <c r="A503" s="117">
        <v>34057</v>
      </c>
      <c r="B503">
        <v>3.1114000000000002</v>
      </c>
    </row>
    <row r="504" spans="1:2">
      <c r="A504" s="117">
        <v>34058</v>
      </c>
      <c r="B504">
        <v>3.1049000000000002</v>
      </c>
    </row>
    <row r="505" spans="1:2">
      <c r="A505" s="117">
        <v>34059</v>
      </c>
      <c r="B505">
        <v>3.0975999999999999</v>
      </c>
    </row>
    <row r="506" spans="1:2">
      <c r="A506" s="117">
        <v>34060</v>
      </c>
      <c r="B506">
        <v>3.0937000000000001</v>
      </c>
    </row>
    <row r="507" spans="1:2">
      <c r="A507" s="117">
        <v>34061</v>
      </c>
      <c r="B507">
        <v>3.0937000000000001</v>
      </c>
    </row>
    <row r="508" spans="1:2">
      <c r="A508" s="117">
        <v>34062</v>
      </c>
      <c r="B508">
        <v>3.0939999999999999</v>
      </c>
    </row>
    <row r="509" spans="1:2">
      <c r="A509" s="117">
        <v>34063</v>
      </c>
      <c r="B509">
        <v>3.0939999999999999</v>
      </c>
    </row>
    <row r="510" spans="1:2">
      <c r="A510" s="117">
        <v>34064</v>
      </c>
      <c r="B510">
        <v>3.0939999999999999</v>
      </c>
    </row>
    <row r="511" spans="1:2">
      <c r="A511" s="117">
        <v>34065</v>
      </c>
      <c r="B511">
        <v>3.0937000000000001</v>
      </c>
    </row>
    <row r="512" spans="1:2">
      <c r="A512" s="117">
        <v>34066</v>
      </c>
      <c r="B512">
        <v>3.0937000000000001</v>
      </c>
    </row>
    <row r="513" spans="1:2">
      <c r="A513" s="117">
        <v>34067</v>
      </c>
      <c r="B513">
        <v>3.0939999999999999</v>
      </c>
    </row>
    <row r="514" spans="1:2">
      <c r="A514" s="117">
        <v>34068</v>
      </c>
      <c r="B514">
        <v>3.0939999999999999</v>
      </c>
    </row>
    <row r="515" spans="1:2">
      <c r="A515" s="117">
        <v>34069</v>
      </c>
      <c r="B515">
        <v>3.0939999999999999</v>
      </c>
    </row>
    <row r="516" spans="1:2">
      <c r="A516" s="117">
        <v>34070</v>
      </c>
      <c r="B516">
        <v>3.0939999999999999</v>
      </c>
    </row>
    <row r="517" spans="1:2">
      <c r="A517" s="117">
        <v>34071</v>
      </c>
      <c r="B517">
        <v>3.0939999999999999</v>
      </c>
    </row>
    <row r="518" spans="1:2">
      <c r="A518" s="117">
        <v>34072</v>
      </c>
      <c r="B518">
        <v>3.0985</v>
      </c>
    </row>
    <row r="519" spans="1:2">
      <c r="A519" s="117">
        <v>34073</v>
      </c>
      <c r="B519">
        <v>3.0962000000000001</v>
      </c>
    </row>
    <row r="520" spans="1:2">
      <c r="A520" s="117">
        <v>34074</v>
      </c>
      <c r="B520">
        <v>3.1006999999999998</v>
      </c>
    </row>
    <row r="521" spans="1:2">
      <c r="A521" s="117">
        <v>34075</v>
      </c>
      <c r="B521">
        <v>3.0989</v>
      </c>
    </row>
    <row r="522" spans="1:2">
      <c r="A522" s="117">
        <v>34076</v>
      </c>
      <c r="B522">
        <v>3.0939999999999999</v>
      </c>
    </row>
    <row r="523" spans="1:2">
      <c r="A523" s="117">
        <v>34077</v>
      </c>
      <c r="B523">
        <v>3.0939999999999999</v>
      </c>
    </row>
    <row r="524" spans="1:2">
      <c r="A524" s="117">
        <v>34078</v>
      </c>
      <c r="B524">
        <v>3.0939999999999999</v>
      </c>
    </row>
    <row r="525" spans="1:2">
      <c r="A525" s="117">
        <v>34079</v>
      </c>
      <c r="B525">
        <v>3.0939999999999999</v>
      </c>
    </row>
    <row r="526" spans="1:2">
      <c r="A526" s="117">
        <v>34080</v>
      </c>
      <c r="B526">
        <v>3.0935999999999999</v>
      </c>
    </row>
    <row r="527" spans="1:2">
      <c r="A527" s="117">
        <v>34081</v>
      </c>
      <c r="B527">
        <v>3.0935000000000001</v>
      </c>
    </row>
    <row r="528" spans="1:2">
      <c r="A528" s="117">
        <v>34082</v>
      </c>
      <c r="B528">
        <v>3.0933999999999999</v>
      </c>
    </row>
    <row r="529" spans="1:2">
      <c r="A529" s="117">
        <v>34083</v>
      </c>
      <c r="B529">
        <v>3.0937000000000001</v>
      </c>
    </row>
    <row r="530" spans="1:2">
      <c r="A530" s="117">
        <v>34084</v>
      </c>
      <c r="B530">
        <v>3.0937000000000001</v>
      </c>
    </row>
    <row r="531" spans="1:2">
      <c r="A531" s="117">
        <v>34085</v>
      </c>
      <c r="B531">
        <v>3.0937000000000001</v>
      </c>
    </row>
    <row r="532" spans="1:2">
      <c r="A532" s="117">
        <v>34086</v>
      </c>
      <c r="B532">
        <v>3.0945999999999998</v>
      </c>
    </row>
    <row r="533" spans="1:2">
      <c r="A533" s="117">
        <v>34087</v>
      </c>
      <c r="B533">
        <v>3.0975999999999999</v>
      </c>
    </row>
    <row r="534" spans="1:2">
      <c r="A534" s="117">
        <v>34088</v>
      </c>
      <c r="B534">
        <v>3.0960999999999999</v>
      </c>
    </row>
    <row r="535" spans="1:2">
      <c r="A535" s="117">
        <v>34089</v>
      </c>
      <c r="B535">
        <v>3.1021999999999998</v>
      </c>
    </row>
    <row r="536" spans="1:2">
      <c r="A536" s="117">
        <v>34090</v>
      </c>
      <c r="B536">
        <v>3.1152000000000002</v>
      </c>
    </row>
    <row r="537" spans="1:2">
      <c r="A537" s="117">
        <v>34091</v>
      </c>
      <c r="B537">
        <v>3.1152000000000002</v>
      </c>
    </row>
    <row r="538" spans="1:2">
      <c r="A538" s="117">
        <v>34092</v>
      </c>
      <c r="B538">
        <v>3.1152000000000002</v>
      </c>
    </row>
    <row r="539" spans="1:2">
      <c r="A539" s="117">
        <v>34093</v>
      </c>
      <c r="B539">
        <v>3.1139000000000001</v>
      </c>
    </row>
    <row r="540" spans="1:2">
      <c r="A540" s="117">
        <v>34094</v>
      </c>
      <c r="B540">
        <v>3.1078999999999999</v>
      </c>
    </row>
    <row r="541" spans="1:2">
      <c r="A541" s="117">
        <v>34095</v>
      </c>
      <c r="B541">
        <v>3.1078999999999999</v>
      </c>
    </row>
    <row r="542" spans="1:2">
      <c r="A542" s="117">
        <v>34096</v>
      </c>
      <c r="B542">
        <v>3.1246</v>
      </c>
    </row>
    <row r="543" spans="1:2">
      <c r="A543" s="117">
        <v>34097</v>
      </c>
      <c r="B543">
        <v>3.1328999999999998</v>
      </c>
    </row>
    <row r="544" spans="1:2">
      <c r="A544" s="117">
        <v>34098</v>
      </c>
      <c r="B544">
        <v>3.1328999999999998</v>
      </c>
    </row>
    <row r="545" spans="1:2">
      <c r="A545" s="117">
        <v>34099</v>
      </c>
      <c r="B545">
        <v>3.1328999999999998</v>
      </c>
    </row>
    <row r="546" spans="1:2">
      <c r="A546" s="117">
        <v>34100</v>
      </c>
      <c r="B546">
        <v>3.1335000000000002</v>
      </c>
    </row>
    <row r="547" spans="1:2">
      <c r="A547" s="117">
        <v>34101</v>
      </c>
      <c r="B547">
        <v>3.1309</v>
      </c>
    </row>
    <row r="548" spans="1:2">
      <c r="A548" s="117">
        <v>34102</v>
      </c>
      <c r="B548">
        <v>3.1355</v>
      </c>
    </row>
    <row r="549" spans="1:2">
      <c r="A549" s="117">
        <v>34103</v>
      </c>
      <c r="B549">
        <v>3.1291000000000002</v>
      </c>
    </row>
    <row r="550" spans="1:2">
      <c r="A550" s="117">
        <v>34104</v>
      </c>
      <c r="B550">
        <v>3.1309999999999998</v>
      </c>
    </row>
    <row r="551" spans="1:2">
      <c r="A551" s="117">
        <v>34105</v>
      </c>
      <c r="B551">
        <v>3.1309999999999998</v>
      </c>
    </row>
    <row r="552" spans="1:2">
      <c r="A552" s="117">
        <v>34106</v>
      </c>
      <c r="B552">
        <v>3.1309999999999998</v>
      </c>
    </row>
    <row r="553" spans="1:2">
      <c r="A553" s="117">
        <v>34107</v>
      </c>
      <c r="B553">
        <v>3.1288999999999998</v>
      </c>
    </row>
    <row r="554" spans="1:2">
      <c r="A554" s="117">
        <v>34108</v>
      </c>
      <c r="B554">
        <v>3.1269999999999998</v>
      </c>
    </row>
    <row r="555" spans="1:2">
      <c r="A555" s="117">
        <v>34109</v>
      </c>
      <c r="B555">
        <v>3.1168999999999998</v>
      </c>
    </row>
    <row r="556" spans="1:2">
      <c r="A556" s="117">
        <v>34110</v>
      </c>
      <c r="B556">
        <v>3.1132</v>
      </c>
    </row>
    <row r="557" spans="1:2">
      <c r="A557" s="117">
        <v>34111</v>
      </c>
      <c r="B557">
        <v>3.1109</v>
      </c>
    </row>
    <row r="558" spans="1:2">
      <c r="A558" s="117">
        <v>34112</v>
      </c>
      <c r="B558">
        <v>3.1109</v>
      </c>
    </row>
    <row r="559" spans="1:2">
      <c r="A559" s="117">
        <v>34113</v>
      </c>
      <c r="B559">
        <v>3.1109</v>
      </c>
    </row>
    <row r="560" spans="1:2">
      <c r="A560" s="117">
        <v>34114</v>
      </c>
      <c r="B560">
        <v>3.1097000000000001</v>
      </c>
    </row>
    <row r="561" spans="1:2">
      <c r="A561" s="117">
        <v>34115</v>
      </c>
      <c r="B561">
        <v>3.1172</v>
      </c>
    </row>
    <row r="562" spans="1:2">
      <c r="A562" s="117">
        <v>34116</v>
      </c>
      <c r="B562">
        <v>3.1242000000000001</v>
      </c>
    </row>
    <row r="563" spans="1:2">
      <c r="A563" s="117">
        <v>34117</v>
      </c>
      <c r="B563">
        <v>3.1294</v>
      </c>
    </row>
    <row r="564" spans="1:2">
      <c r="A564" s="117">
        <v>34118</v>
      </c>
      <c r="B564">
        <v>3.1227</v>
      </c>
    </row>
    <row r="565" spans="1:2">
      <c r="A565" s="117">
        <v>34119</v>
      </c>
      <c r="B565">
        <v>3.1227</v>
      </c>
    </row>
    <row r="566" spans="1:2">
      <c r="A566" s="117">
        <v>34120</v>
      </c>
      <c r="B566">
        <v>3.1227</v>
      </c>
    </row>
    <row r="567" spans="1:2">
      <c r="A567" s="117">
        <v>34121</v>
      </c>
      <c r="B567">
        <v>3.1223999999999998</v>
      </c>
    </row>
    <row r="568" spans="1:2">
      <c r="A568" s="117">
        <v>34122</v>
      </c>
      <c r="B568">
        <v>3.1190000000000002</v>
      </c>
    </row>
    <row r="569" spans="1:2">
      <c r="A569" s="117">
        <v>34123</v>
      </c>
      <c r="B569">
        <v>3.1263999999999998</v>
      </c>
    </row>
    <row r="570" spans="1:2">
      <c r="A570" s="117">
        <v>34124</v>
      </c>
      <c r="B570">
        <v>3.1219000000000001</v>
      </c>
    </row>
    <row r="571" spans="1:2">
      <c r="A571" s="117">
        <v>34125</v>
      </c>
      <c r="B571">
        <v>3.125</v>
      </c>
    </row>
    <row r="572" spans="1:2">
      <c r="A572" s="117">
        <v>34126</v>
      </c>
      <c r="B572">
        <v>3.125</v>
      </c>
    </row>
    <row r="573" spans="1:2">
      <c r="A573" s="117">
        <v>34127</v>
      </c>
      <c r="B573">
        <v>3.125</v>
      </c>
    </row>
    <row r="574" spans="1:2">
      <c r="A574" s="117">
        <v>34128</v>
      </c>
      <c r="B574">
        <v>3.1251000000000002</v>
      </c>
    </row>
    <row r="575" spans="1:2">
      <c r="A575" s="117">
        <v>34129</v>
      </c>
      <c r="B575">
        <v>3.1255999999999999</v>
      </c>
    </row>
    <row r="576" spans="1:2">
      <c r="A576" s="117">
        <v>34130</v>
      </c>
      <c r="B576">
        <v>3.1320999999999999</v>
      </c>
    </row>
    <row r="577" spans="1:2">
      <c r="A577" s="117">
        <v>34131</v>
      </c>
      <c r="B577">
        <v>3.1269</v>
      </c>
    </row>
    <row r="578" spans="1:2">
      <c r="A578" s="117">
        <v>34132</v>
      </c>
      <c r="B578">
        <v>3.1282000000000001</v>
      </c>
    </row>
    <row r="579" spans="1:2">
      <c r="A579" s="117">
        <v>34133</v>
      </c>
      <c r="B579">
        <v>3.1282000000000001</v>
      </c>
    </row>
    <row r="580" spans="1:2">
      <c r="A580" s="117">
        <v>34134</v>
      </c>
      <c r="B580">
        <v>3.1282000000000001</v>
      </c>
    </row>
    <row r="581" spans="1:2">
      <c r="A581" s="117">
        <v>34135</v>
      </c>
      <c r="B581">
        <v>3.121</v>
      </c>
    </row>
    <row r="582" spans="1:2">
      <c r="A582" s="117">
        <v>34136</v>
      </c>
      <c r="B582">
        <v>3.1221999999999999</v>
      </c>
    </row>
    <row r="583" spans="1:2">
      <c r="A583" s="117">
        <v>34137</v>
      </c>
      <c r="B583">
        <v>3.1166</v>
      </c>
    </row>
    <row r="584" spans="1:2">
      <c r="A584" s="117">
        <v>34138</v>
      </c>
      <c r="B584">
        <v>3.1198999999999999</v>
      </c>
    </row>
    <row r="585" spans="1:2">
      <c r="A585" s="117">
        <v>34139</v>
      </c>
      <c r="B585">
        <v>3.1171000000000002</v>
      </c>
    </row>
    <row r="586" spans="1:2">
      <c r="A586" s="117">
        <v>34140</v>
      </c>
      <c r="B586">
        <v>3.1171000000000002</v>
      </c>
    </row>
    <row r="587" spans="1:2">
      <c r="A587" s="117">
        <v>34141</v>
      </c>
      <c r="B587">
        <v>3.1171000000000002</v>
      </c>
    </row>
    <row r="588" spans="1:2">
      <c r="A588" s="117">
        <v>34142</v>
      </c>
      <c r="B588">
        <v>3.1168999999999998</v>
      </c>
    </row>
    <row r="589" spans="1:2">
      <c r="A589" s="117">
        <v>34143</v>
      </c>
      <c r="B589">
        <v>3.1139000000000001</v>
      </c>
    </row>
    <row r="590" spans="1:2">
      <c r="A590" s="117">
        <v>34144</v>
      </c>
      <c r="B590">
        <v>3.1166</v>
      </c>
    </row>
    <row r="591" spans="1:2">
      <c r="A591" s="117">
        <v>34145</v>
      </c>
      <c r="B591">
        <v>3.1156999999999999</v>
      </c>
    </row>
    <row r="592" spans="1:2">
      <c r="A592" s="117">
        <v>34146</v>
      </c>
      <c r="B592">
        <v>3.1160000000000001</v>
      </c>
    </row>
    <row r="593" spans="1:2">
      <c r="A593" s="117">
        <v>34147</v>
      </c>
      <c r="B593">
        <v>3.1160000000000001</v>
      </c>
    </row>
    <row r="594" spans="1:2">
      <c r="A594" s="117">
        <v>34148</v>
      </c>
      <c r="B594">
        <v>3.1160000000000001</v>
      </c>
    </row>
    <row r="595" spans="1:2">
      <c r="A595" s="117">
        <v>34149</v>
      </c>
      <c r="B595">
        <v>3.1194999999999999</v>
      </c>
    </row>
    <row r="596" spans="1:2">
      <c r="A596" s="117">
        <v>34150</v>
      </c>
      <c r="B596">
        <v>3.1212</v>
      </c>
    </row>
    <row r="597" spans="1:2">
      <c r="A597" s="117">
        <v>34151</v>
      </c>
      <c r="B597">
        <v>3.1185999999999998</v>
      </c>
    </row>
    <row r="598" spans="1:2">
      <c r="A598" s="117">
        <v>34152</v>
      </c>
      <c r="B598">
        <v>3.1179999999999999</v>
      </c>
    </row>
    <row r="599" spans="1:2">
      <c r="A599" s="117">
        <v>34153</v>
      </c>
      <c r="B599">
        <v>3.1292</v>
      </c>
    </row>
    <row r="600" spans="1:2">
      <c r="A600" s="117">
        <v>34154</v>
      </c>
      <c r="B600">
        <v>3.1292</v>
      </c>
    </row>
    <row r="601" spans="1:2">
      <c r="A601" s="117">
        <v>34155</v>
      </c>
      <c r="B601">
        <v>3.1292</v>
      </c>
    </row>
    <row r="602" spans="1:2">
      <c r="A602" s="117">
        <v>34156</v>
      </c>
      <c r="B602">
        <v>3.1223999999999998</v>
      </c>
    </row>
    <row r="603" spans="1:2">
      <c r="A603" s="117">
        <v>34157</v>
      </c>
      <c r="B603">
        <v>3.1223999999999998</v>
      </c>
    </row>
    <row r="604" spans="1:2">
      <c r="A604" s="117">
        <v>34158</v>
      </c>
      <c r="B604">
        <v>3.1223999999999998</v>
      </c>
    </row>
    <row r="605" spans="1:2">
      <c r="A605" s="117">
        <v>34159</v>
      </c>
      <c r="B605">
        <v>3.1236000000000002</v>
      </c>
    </row>
    <row r="606" spans="1:2">
      <c r="A606" s="117">
        <v>34160</v>
      </c>
      <c r="B606">
        <v>3.1261000000000001</v>
      </c>
    </row>
    <row r="607" spans="1:2">
      <c r="A607" s="117">
        <v>34161</v>
      </c>
      <c r="B607">
        <v>3.1261000000000001</v>
      </c>
    </row>
    <row r="608" spans="1:2">
      <c r="A608" s="117">
        <v>34162</v>
      </c>
      <c r="B608">
        <v>3.1261000000000001</v>
      </c>
    </row>
    <row r="609" spans="1:2">
      <c r="A609" s="117">
        <v>34163</v>
      </c>
      <c r="B609">
        <v>3.1246</v>
      </c>
    </row>
    <row r="610" spans="1:2">
      <c r="A610" s="117">
        <v>34164</v>
      </c>
      <c r="B610">
        <v>3.1294</v>
      </c>
    </row>
    <row r="611" spans="1:2">
      <c r="A611" s="117">
        <v>34165</v>
      </c>
      <c r="B611">
        <v>3.1284000000000001</v>
      </c>
    </row>
    <row r="612" spans="1:2">
      <c r="A612" s="117">
        <v>34166</v>
      </c>
      <c r="B612">
        <v>3.1234999999999999</v>
      </c>
    </row>
    <row r="613" spans="1:2">
      <c r="A613" s="117">
        <v>34167</v>
      </c>
      <c r="B613">
        <v>3.1242000000000001</v>
      </c>
    </row>
    <row r="614" spans="1:2">
      <c r="A614" s="117">
        <v>34168</v>
      </c>
      <c r="B614">
        <v>3.1242000000000001</v>
      </c>
    </row>
    <row r="615" spans="1:2">
      <c r="A615" s="117">
        <v>34169</v>
      </c>
      <c r="B615">
        <v>3.1242000000000001</v>
      </c>
    </row>
    <row r="616" spans="1:2">
      <c r="A616" s="117">
        <v>34170</v>
      </c>
      <c r="B616">
        <v>3.1244000000000001</v>
      </c>
    </row>
    <row r="617" spans="1:2">
      <c r="A617" s="117">
        <v>34171</v>
      </c>
      <c r="B617">
        <v>3.1255000000000002</v>
      </c>
    </row>
    <row r="618" spans="1:2">
      <c r="A618" s="117">
        <v>34172</v>
      </c>
      <c r="B618">
        <v>3.1240999999999999</v>
      </c>
    </row>
    <row r="619" spans="1:2">
      <c r="A619" s="117">
        <v>34173</v>
      </c>
      <c r="B619">
        <v>3.1230000000000002</v>
      </c>
    </row>
    <row r="620" spans="1:2">
      <c r="A620" s="117">
        <v>34174</v>
      </c>
      <c r="B620">
        <v>3.1229</v>
      </c>
    </row>
    <row r="621" spans="1:2">
      <c r="A621" s="117">
        <v>34175</v>
      </c>
      <c r="B621">
        <v>3.1229</v>
      </c>
    </row>
    <row r="622" spans="1:2">
      <c r="A622" s="117">
        <v>34176</v>
      </c>
      <c r="B622">
        <v>3.1229</v>
      </c>
    </row>
    <row r="623" spans="1:2">
      <c r="A623" s="117">
        <v>34177</v>
      </c>
      <c r="B623">
        <v>3.1251000000000002</v>
      </c>
    </row>
    <row r="624" spans="1:2">
      <c r="A624" s="117">
        <v>34178</v>
      </c>
      <c r="B624">
        <v>3.121</v>
      </c>
    </row>
    <row r="625" spans="1:2">
      <c r="A625" s="117">
        <v>34179</v>
      </c>
      <c r="B625">
        <v>3.1208999999999998</v>
      </c>
    </row>
    <row r="626" spans="1:2">
      <c r="A626" s="117">
        <v>34180</v>
      </c>
      <c r="B626">
        <v>3.1189</v>
      </c>
    </row>
    <row r="627" spans="1:2">
      <c r="A627" s="117">
        <v>34181</v>
      </c>
      <c r="B627">
        <v>3.1204000000000001</v>
      </c>
    </row>
    <row r="628" spans="1:2">
      <c r="A628" s="117">
        <v>34182</v>
      </c>
      <c r="B628">
        <v>3.1204000000000001</v>
      </c>
    </row>
    <row r="629" spans="1:2">
      <c r="A629" s="117">
        <v>34183</v>
      </c>
      <c r="B629">
        <v>3.1204000000000001</v>
      </c>
    </row>
    <row r="630" spans="1:2">
      <c r="A630" s="117">
        <v>34184</v>
      </c>
      <c r="B630">
        <v>3.1179000000000001</v>
      </c>
    </row>
    <row r="631" spans="1:2">
      <c r="A631" s="117">
        <v>34185</v>
      </c>
      <c r="B631">
        <v>3.1162000000000001</v>
      </c>
    </row>
    <row r="632" spans="1:2">
      <c r="A632" s="117">
        <v>34186</v>
      </c>
      <c r="B632">
        <v>3.1107</v>
      </c>
    </row>
    <row r="633" spans="1:2">
      <c r="A633" s="117">
        <v>34187</v>
      </c>
      <c r="B633">
        <v>3.1097000000000001</v>
      </c>
    </row>
    <row r="634" spans="1:2">
      <c r="A634" s="117">
        <v>34188</v>
      </c>
      <c r="B634">
        <v>3.1149</v>
      </c>
    </row>
    <row r="635" spans="1:2">
      <c r="A635" s="117">
        <v>34189</v>
      </c>
      <c r="B635">
        <v>3.1149</v>
      </c>
    </row>
    <row r="636" spans="1:2">
      <c r="A636" s="117">
        <v>34190</v>
      </c>
      <c r="B636">
        <v>3.1149</v>
      </c>
    </row>
    <row r="637" spans="1:2">
      <c r="A637" s="117">
        <v>34191</v>
      </c>
      <c r="B637">
        <v>3.1137000000000001</v>
      </c>
    </row>
    <row r="638" spans="1:2">
      <c r="A638" s="117">
        <v>34192</v>
      </c>
      <c r="B638">
        <v>3.11</v>
      </c>
    </row>
    <row r="639" spans="1:2">
      <c r="A639" s="117">
        <v>34193</v>
      </c>
      <c r="B639">
        <v>3.1110000000000002</v>
      </c>
    </row>
    <row r="640" spans="1:2">
      <c r="A640" s="117">
        <v>34194</v>
      </c>
      <c r="B640">
        <v>3.11</v>
      </c>
    </row>
    <row r="641" spans="1:2">
      <c r="A641" s="117">
        <v>34195</v>
      </c>
      <c r="B641">
        <v>3.1164999999999998</v>
      </c>
    </row>
    <row r="642" spans="1:2">
      <c r="A642" s="117">
        <v>34196</v>
      </c>
      <c r="B642">
        <v>3.1164999999999998</v>
      </c>
    </row>
    <row r="643" spans="1:2">
      <c r="A643" s="117">
        <v>34197</v>
      </c>
      <c r="B643">
        <v>3.1164999999999998</v>
      </c>
    </row>
    <row r="644" spans="1:2">
      <c r="A644" s="117">
        <v>34198</v>
      </c>
      <c r="B644">
        <v>3.1078999999999999</v>
      </c>
    </row>
    <row r="645" spans="1:2">
      <c r="A645" s="117">
        <v>34199</v>
      </c>
      <c r="B645">
        <v>3.1110000000000002</v>
      </c>
    </row>
    <row r="646" spans="1:2">
      <c r="A646" s="117">
        <v>34200</v>
      </c>
      <c r="B646">
        <v>3.1103999999999998</v>
      </c>
    </row>
    <row r="647" spans="1:2">
      <c r="A647" s="117">
        <v>34201</v>
      </c>
      <c r="B647">
        <v>3.1118999999999999</v>
      </c>
    </row>
    <row r="648" spans="1:2">
      <c r="A648" s="117">
        <v>34202</v>
      </c>
      <c r="B648">
        <v>3.1131000000000002</v>
      </c>
    </row>
    <row r="649" spans="1:2">
      <c r="A649" s="117">
        <v>34203</v>
      </c>
      <c r="B649">
        <v>3.1131000000000002</v>
      </c>
    </row>
    <row r="650" spans="1:2">
      <c r="A650" s="117">
        <v>34204</v>
      </c>
      <c r="B650">
        <v>3.1131000000000002</v>
      </c>
    </row>
    <row r="651" spans="1:2">
      <c r="A651" s="117">
        <v>34205</v>
      </c>
      <c r="B651">
        <v>3.1124000000000001</v>
      </c>
    </row>
    <row r="652" spans="1:2">
      <c r="A652" s="117">
        <v>34206</v>
      </c>
      <c r="B652">
        <v>3.1112000000000002</v>
      </c>
    </row>
    <row r="653" spans="1:2">
      <c r="A653" s="117">
        <v>34207</v>
      </c>
      <c r="B653">
        <v>3.1109</v>
      </c>
    </row>
    <row r="654" spans="1:2">
      <c r="A654" s="117">
        <v>34208</v>
      </c>
      <c r="B654">
        <v>3.1103999999999998</v>
      </c>
    </row>
    <row r="655" spans="1:2">
      <c r="A655" s="117">
        <v>34209</v>
      </c>
      <c r="B655">
        <v>3.1116999999999999</v>
      </c>
    </row>
    <row r="656" spans="1:2">
      <c r="A656" s="117">
        <v>34210</v>
      </c>
      <c r="B656">
        <v>3.1116999999999999</v>
      </c>
    </row>
    <row r="657" spans="1:2">
      <c r="A657" s="117">
        <v>34211</v>
      </c>
      <c r="B657">
        <v>3.1116999999999999</v>
      </c>
    </row>
    <row r="658" spans="1:2">
      <c r="A658" s="117">
        <v>34212</v>
      </c>
      <c r="B658">
        <v>3.1145</v>
      </c>
    </row>
    <row r="659" spans="1:2">
      <c r="A659" s="117">
        <v>34213</v>
      </c>
      <c r="B659">
        <v>3.1141999999999999</v>
      </c>
    </row>
    <row r="660" spans="1:2">
      <c r="A660" s="117">
        <v>34214</v>
      </c>
      <c r="B660">
        <v>3.1141999999999999</v>
      </c>
    </row>
    <row r="661" spans="1:2">
      <c r="A661" s="117">
        <v>34215</v>
      </c>
      <c r="B661">
        <v>3.1137000000000001</v>
      </c>
    </row>
    <row r="662" spans="1:2">
      <c r="A662" s="117">
        <v>34216</v>
      </c>
      <c r="B662">
        <v>3.1139000000000001</v>
      </c>
    </row>
    <row r="663" spans="1:2">
      <c r="A663" s="117">
        <v>34217</v>
      </c>
      <c r="B663">
        <v>3.1139000000000001</v>
      </c>
    </row>
    <row r="664" spans="1:2">
      <c r="A664" s="117">
        <v>34218</v>
      </c>
      <c r="B664">
        <v>3.1139000000000001</v>
      </c>
    </row>
    <row r="665" spans="1:2">
      <c r="A665" s="117">
        <v>34219</v>
      </c>
      <c r="B665">
        <v>3.1139000000000001</v>
      </c>
    </row>
    <row r="666" spans="1:2">
      <c r="A666" s="117">
        <v>34220</v>
      </c>
      <c r="B666">
        <v>3.1116999999999999</v>
      </c>
    </row>
    <row r="667" spans="1:2">
      <c r="A667" s="117">
        <v>34221</v>
      </c>
      <c r="B667">
        <v>3.113</v>
      </c>
    </row>
    <row r="668" spans="1:2">
      <c r="A668" s="117">
        <v>34222</v>
      </c>
      <c r="B668">
        <v>3.1124000000000001</v>
      </c>
    </row>
    <row r="669" spans="1:2">
      <c r="A669" s="117">
        <v>34223</v>
      </c>
      <c r="B669">
        <v>3.1126999999999998</v>
      </c>
    </row>
    <row r="670" spans="1:2">
      <c r="A670" s="117">
        <v>34224</v>
      </c>
      <c r="B670">
        <v>3.1126999999999998</v>
      </c>
    </row>
    <row r="671" spans="1:2">
      <c r="A671" s="117">
        <v>34225</v>
      </c>
      <c r="B671">
        <v>3.1126999999999998</v>
      </c>
    </row>
    <row r="672" spans="1:2">
      <c r="A672" s="117">
        <v>34226</v>
      </c>
      <c r="B672">
        <v>3.1118999999999999</v>
      </c>
    </row>
    <row r="673" spans="1:2">
      <c r="A673" s="117">
        <v>34227</v>
      </c>
      <c r="B673">
        <v>3.1118999999999999</v>
      </c>
    </row>
    <row r="674" spans="1:2">
      <c r="A674" s="117">
        <v>34228</v>
      </c>
      <c r="B674">
        <v>3.1109</v>
      </c>
    </row>
    <row r="675" spans="1:2">
      <c r="A675" s="117">
        <v>34229</v>
      </c>
      <c r="B675">
        <v>3.1109</v>
      </c>
    </row>
    <row r="676" spans="1:2">
      <c r="A676" s="117">
        <v>34230</v>
      </c>
      <c r="B676">
        <v>3.1107999999999998</v>
      </c>
    </row>
    <row r="677" spans="1:2">
      <c r="A677" s="117">
        <v>34231</v>
      </c>
      <c r="B677">
        <v>3.1107999999999998</v>
      </c>
    </row>
    <row r="678" spans="1:2">
      <c r="A678" s="117">
        <v>34232</v>
      </c>
      <c r="B678">
        <v>3.1107999999999998</v>
      </c>
    </row>
    <row r="679" spans="1:2">
      <c r="A679" s="117">
        <v>34233</v>
      </c>
      <c r="B679">
        <v>3.1093000000000002</v>
      </c>
    </row>
    <row r="680" spans="1:2">
      <c r="A680" s="117">
        <v>34234</v>
      </c>
      <c r="B680">
        <v>3.1073</v>
      </c>
    </row>
    <row r="681" spans="1:2">
      <c r="A681" s="117">
        <v>34235</v>
      </c>
      <c r="B681">
        <v>3.11</v>
      </c>
    </row>
    <row r="682" spans="1:2">
      <c r="A682" s="117">
        <v>34236</v>
      </c>
      <c r="B682">
        <v>3.1162999999999998</v>
      </c>
    </row>
    <row r="683" spans="1:2">
      <c r="A683" s="117">
        <v>34237</v>
      </c>
      <c r="B683">
        <v>3.1124000000000001</v>
      </c>
    </row>
    <row r="684" spans="1:2">
      <c r="A684" s="117">
        <v>34238</v>
      </c>
      <c r="B684">
        <v>3.1124000000000001</v>
      </c>
    </row>
    <row r="685" spans="1:2">
      <c r="A685" s="117">
        <v>34239</v>
      </c>
      <c r="B685">
        <v>3.1124000000000001</v>
      </c>
    </row>
    <row r="686" spans="1:2">
      <c r="A686" s="117">
        <v>34240</v>
      </c>
      <c r="B686">
        <v>3.1114000000000002</v>
      </c>
    </row>
    <row r="687" spans="1:2">
      <c r="A687" s="117">
        <v>34241</v>
      </c>
      <c r="B687">
        <v>3.1198999999999999</v>
      </c>
    </row>
    <row r="688" spans="1:2">
      <c r="A688" s="117">
        <v>34242</v>
      </c>
      <c r="B688">
        <v>3.1177999999999999</v>
      </c>
    </row>
    <row r="689" spans="1:2">
      <c r="A689" s="117">
        <v>34243</v>
      </c>
      <c r="B689">
        <v>3.1177999999999999</v>
      </c>
    </row>
    <row r="690" spans="1:2">
      <c r="A690" s="117">
        <v>34244</v>
      </c>
      <c r="B690">
        <v>3.1179000000000001</v>
      </c>
    </row>
    <row r="691" spans="1:2">
      <c r="A691" s="117">
        <v>34245</v>
      </c>
      <c r="B691">
        <v>3.1179000000000001</v>
      </c>
    </row>
    <row r="692" spans="1:2">
      <c r="A692" s="117">
        <v>34246</v>
      </c>
      <c r="B692">
        <v>3.1179000000000001</v>
      </c>
    </row>
    <row r="693" spans="1:2">
      <c r="A693" s="117">
        <v>34247</v>
      </c>
      <c r="B693">
        <v>3.1162999999999998</v>
      </c>
    </row>
    <row r="694" spans="1:2">
      <c r="A694" s="117">
        <v>34248</v>
      </c>
      <c r="B694">
        <v>3.1131000000000002</v>
      </c>
    </row>
    <row r="695" spans="1:2">
      <c r="A695" s="117">
        <v>34249</v>
      </c>
      <c r="B695">
        <v>3.1147999999999998</v>
      </c>
    </row>
    <row r="696" spans="1:2">
      <c r="A696" s="117">
        <v>34250</v>
      </c>
      <c r="B696">
        <v>3.1141999999999999</v>
      </c>
    </row>
    <row r="697" spans="1:2">
      <c r="A697" s="117">
        <v>34251</v>
      </c>
      <c r="B697">
        <v>3.1156000000000001</v>
      </c>
    </row>
    <row r="698" spans="1:2">
      <c r="A698" s="117">
        <v>34252</v>
      </c>
      <c r="B698">
        <v>3.1156000000000001</v>
      </c>
    </row>
    <row r="699" spans="1:2">
      <c r="A699" s="117">
        <v>34253</v>
      </c>
      <c r="B699">
        <v>3.1156000000000001</v>
      </c>
    </row>
    <row r="700" spans="1:2">
      <c r="A700" s="117">
        <v>34254</v>
      </c>
      <c r="B700">
        <v>3.1158000000000001</v>
      </c>
    </row>
    <row r="701" spans="1:2">
      <c r="A701" s="117">
        <v>34255</v>
      </c>
      <c r="B701">
        <v>3.1158000000000001</v>
      </c>
    </row>
    <row r="702" spans="1:2">
      <c r="A702" s="117">
        <v>34256</v>
      </c>
      <c r="B702">
        <v>3.1135999999999999</v>
      </c>
    </row>
    <row r="703" spans="1:2">
      <c r="A703" s="117">
        <v>34257</v>
      </c>
      <c r="B703">
        <v>3.1128999999999998</v>
      </c>
    </row>
    <row r="704" spans="1:2">
      <c r="A704" s="117">
        <v>34258</v>
      </c>
      <c r="B704">
        <v>3.1135000000000002</v>
      </c>
    </row>
    <row r="705" spans="1:2">
      <c r="A705" s="117">
        <v>34259</v>
      </c>
      <c r="B705">
        <v>3.1135000000000002</v>
      </c>
    </row>
    <row r="706" spans="1:2">
      <c r="A706" s="117">
        <v>34260</v>
      </c>
      <c r="B706">
        <v>3.1135000000000002</v>
      </c>
    </row>
    <row r="707" spans="1:2">
      <c r="A707" s="117">
        <v>34261</v>
      </c>
      <c r="B707">
        <v>3.1139999999999999</v>
      </c>
    </row>
    <row r="708" spans="1:2">
      <c r="A708" s="117">
        <v>34262</v>
      </c>
      <c r="B708">
        <v>3.1122999999999998</v>
      </c>
    </row>
    <row r="709" spans="1:2">
      <c r="A709" s="117">
        <v>34263</v>
      </c>
      <c r="B709">
        <v>3.1124999999999998</v>
      </c>
    </row>
    <row r="710" spans="1:2">
      <c r="A710" s="117">
        <v>34264</v>
      </c>
      <c r="B710">
        <v>3.1114999999999999</v>
      </c>
    </row>
    <row r="711" spans="1:2">
      <c r="A711" s="117">
        <v>34265</v>
      </c>
      <c r="B711">
        <v>3.1120000000000001</v>
      </c>
    </row>
    <row r="712" spans="1:2">
      <c r="A712" s="117">
        <v>34266</v>
      </c>
      <c r="B712">
        <v>3.1120000000000001</v>
      </c>
    </row>
    <row r="713" spans="1:2">
      <c r="A713" s="117">
        <v>34267</v>
      </c>
      <c r="B713">
        <v>3.1120000000000001</v>
      </c>
    </row>
    <row r="714" spans="1:2">
      <c r="A714" s="117">
        <v>34268</v>
      </c>
      <c r="B714">
        <v>3.1124999999999998</v>
      </c>
    </row>
    <row r="715" spans="1:2">
      <c r="A715" s="117">
        <v>34269</v>
      </c>
      <c r="B715">
        <v>3.1135000000000002</v>
      </c>
    </row>
    <row r="716" spans="1:2">
      <c r="A716" s="117">
        <v>34270</v>
      </c>
      <c r="B716">
        <v>3.1135000000000002</v>
      </c>
    </row>
    <row r="717" spans="1:2">
      <c r="A717" s="117">
        <v>34271</v>
      </c>
      <c r="B717">
        <v>3.1175999999999999</v>
      </c>
    </row>
    <row r="718" spans="1:2">
      <c r="A718" s="117">
        <v>34272</v>
      </c>
      <c r="B718">
        <v>3.1293000000000002</v>
      </c>
    </row>
    <row r="719" spans="1:2">
      <c r="A719" s="117">
        <v>34273</v>
      </c>
      <c r="B719">
        <v>3.1293000000000002</v>
      </c>
    </row>
    <row r="720" spans="1:2">
      <c r="A720" s="117">
        <v>34274</v>
      </c>
      <c r="B720">
        <v>3.1293000000000002</v>
      </c>
    </row>
    <row r="721" spans="1:2">
      <c r="A721" s="117">
        <v>34275</v>
      </c>
      <c r="B721">
        <v>3.1293000000000002</v>
      </c>
    </row>
    <row r="722" spans="1:2">
      <c r="A722" s="117">
        <v>34276</v>
      </c>
      <c r="B722">
        <v>3.1293000000000002</v>
      </c>
    </row>
    <row r="723" spans="1:2">
      <c r="A723" s="117">
        <v>34277</v>
      </c>
      <c r="B723">
        <v>3.1259000000000001</v>
      </c>
    </row>
    <row r="724" spans="1:2">
      <c r="A724" s="117">
        <v>34278</v>
      </c>
      <c r="B724">
        <v>3.1480999999999999</v>
      </c>
    </row>
    <row r="725" spans="1:2">
      <c r="A725" s="117">
        <v>34279</v>
      </c>
      <c r="B725">
        <v>3.1476000000000002</v>
      </c>
    </row>
    <row r="726" spans="1:2">
      <c r="A726" s="117">
        <v>34280</v>
      </c>
      <c r="B726">
        <v>3.1476000000000002</v>
      </c>
    </row>
    <row r="727" spans="1:2">
      <c r="A727" s="117">
        <v>34281</v>
      </c>
      <c r="B727">
        <v>3.1476000000000002</v>
      </c>
    </row>
    <row r="728" spans="1:2">
      <c r="A728" s="117">
        <v>34282</v>
      </c>
      <c r="B728">
        <v>3.1520000000000001</v>
      </c>
    </row>
    <row r="729" spans="1:2">
      <c r="A729" s="117">
        <v>34283</v>
      </c>
      <c r="B729">
        <v>3.1520000000000001</v>
      </c>
    </row>
    <row r="730" spans="1:2">
      <c r="A730" s="117">
        <v>34284</v>
      </c>
      <c r="B730">
        <v>3.2450000000000001</v>
      </c>
    </row>
    <row r="731" spans="1:2">
      <c r="A731" s="117">
        <v>34285</v>
      </c>
      <c r="B731">
        <v>3.24</v>
      </c>
    </row>
    <row r="732" spans="1:2">
      <c r="A732" s="117">
        <v>34286</v>
      </c>
      <c r="B732">
        <v>3.2162999999999999</v>
      </c>
    </row>
    <row r="733" spans="1:2">
      <c r="A733" s="117">
        <v>34287</v>
      </c>
      <c r="B733">
        <v>3.2162999999999999</v>
      </c>
    </row>
    <row r="734" spans="1:2">
      <c r="A734" s="117">
        <v>34288</v>
      </c>
      <c r="B734">
        <v>3.2162999999999999</v>
      </c>
    </row>
    <row r="735" spans="1:2">
      <c r="A735" s="117">
        <v>34289</v>
      </c>
      <c r="B735">
        <v>3.2324999999999999</v>
      </c>
    </row>
    <row r="736" spans="1:2">
      <c r="A736" s="117">
        <v>34290</v>
      </c>
      <c r="B736">
        <v>3.2124999999999999</v>
      </c>
    </row>
    <row r="737" spans="1:2">
      <c r="A737" s="117">
        <v>34291</v>
      </c>
      <c r="B737">
        <v>3.1850000000000001</v>
      </c>
    </row>
    <row r="738" spans="1:2">
      <c r="A738" s="117">
        <v>34292</v>
      </c>
      <c r="B738">
        <v>3.1608000000000001</v>
      </c>
    </row>
    <row r="739" spans="1:2">
      <c r="A739" s="117">
        <v>34293</v>
      </c>
      <c r="B739">
        <v>3.1114000000000002</v>
      </c>
    </row>
    <row r="740" spans="1:2">
      <c r="A740" s="117">
        <v>34294</v>
      </c>
      <c r="B740">
        <v>3.1114000000000002</v>
      </c>
    </row>
    <row r="741" spans="1:2">
      <c r="A741" s="117">
        <v>34295</v>
      </c>
      <c r="B741">
        <v>3.1114000000000002</v>
      </c>
    </row>
    <row r="742" spans="1:2">
      <c r="A742" s="117">
        <v>34296</v>
      </c>
      <c r="B742">
        <v>3.1147999999999998</v>
      </c>
    </row>
    <row r="743" spans="1:2">
      <c r="A743" s="117">
        <v>34297</v>
      </c>
      <c r="B743">
        <v>3.101</v>
      </c>
    </row>
    <row r="744" spans="1:2">
      <c r="A744" s="117">
        <v>34298</v>
      </c>
      <c r="B744">
        <v>3.1002999999999998</v>
      </c>
    </row>
    <row r="745" spans="1:2">
      <c r="A745" s="117">
        <v>34299</v>
      </c>
      <c r="B745">
        <v>3.1021000000000001</v>
      </c>
    </row>
    <row r="746" spans="1:2">
      <c r="A746" s="117">
        <v>34300</v>
      </c>
      <c r="B746">
        <v>3.1168</v>
      </c>
    </row>
    <row r="747" spans="1:2">
      <c r="A747" s="117">
        <v>34301</v>
      </c>
      <c r="B747">
        <v>3.1168</v>
      </c>
    </row>
    <row r="748" spans="1:2">
      <c r="A748" s="117">
        <v>34302</v>
      </c>
      <c r="B748">
        <v>3.1168</v>
      </c>
    </row>
    <row r="749" spans="1:2">
      <c r="A749" s="117">
        <v>34303</v>
      </c>
      <c r="B749">
        <v>3.1124999999999998</v>
      </c>
    </row>
    <row r="750" spans="1:2">
      <c r="A750" s="117">
        <v>34304</v>
      </c>
      <c r="B750">
        <v>3.1065</v>
      </c>
    </row>
    <row r="751" spans="1:2">
      <c r="A751" s="117">
        <v>34305</v>
      </c>
      <c r="B751">
        <v>3.1042000000000001</v>
      </c>
    </row>
    <row r="752" spans="1:2">
      <c r="A752" s="117">
        <v>34306</v>
      </c>
      <c r="B752">
        <v>3.1034000000000002</v>
      </c>
    </row>
    <row r="753" spans="1:2">
      <c r="A753" s="117">
        <v>34307</v>
      </c>
      <c r="B753">
        <v>3.1036999999999999</v>
      </c>
    </row>
    <row r="754" spans="1:2">
      <c r="A754" s="117">
        <v>34308</v>
      </c>
      <c r="B754">
        <v>3.1036999999999999</v>
      </c>
    </row>
    <row r="755" spans="1:2">
      <c r="A755" s="117">
        <v>34309</v>
      </c>
      <c r="B755">
        <v>3.1036999999999999</v>
      </c>
    </row>
    <row r="756" spans="1:2">
      <c r="A756" s="117">
        <v>34310</v>
      </c>
      <c r="B756">
        <v>3.1036000000000001</v>
      </c>
    </row>
    <row r="757" spans="1:2">
      <c r="A757" s="117">
        <v>34311</v>
      </c>
      <c r="B757">
        <v>3.1052</v>
      </c>
    </row>
    <row r="758" spans="1:2">
      <c r="A758" s="117">
        <v>34312</v>
      </c>
      <c r="B758">
        <v>3.1046999999999998</v>
      </c>
    </row>
    <row r="759" spans="1:2">
      <c r="A759" s="117">
        <v>34313</v>
      </c>
      <c r="B759">
        <v>3.1046999999999998</v>
      </c>
    </row>
    <row r="760" spans="1:2">
      <c r="A760" s="117">
        <v>34314</v>
      </c>
      <c r="B760">
        <v>3.1074999999999999</v>
      </c>
    </row>
    <row r="761" spans="1:2">
      <c r="A761" s="117">
        <v>34315</v>
      </c>
      <c r="B761">
        <v>3.1074999999999999</v>
      </c>
    </row>
    <row r="762" spans="1:2">
      <c r="A762" s="117">
        <v>34316</v>
      </c>
      <c r="B762">
        <v>3.1074999999999999</v>
      </c>
    </row>
    <row r="763" spans="1:2">
      <c r="A763" s="117">
        <v>34317</v>
      </c>
      <c r="B763">
        <v>3.1168999999999998</v>
      </c>
    </row>
    <row r="764" spans="1:2">
      <c r="A764" s="117">
        <v>34318</v>
      </c>
      <c r="B764">
        <v>3.113</v>
      </c>
    </row>
    <row r="765" spans="1:2">
      <c r="A765" s="117">
        <v>34319</v>
      </c>
      <c r="B765">
        <v>3.1118000000000001</v>
      </c>
    </row>
    <row r="766" spans="1:2">
      <c r="A766" s="117">
        <v>34320</v>
      </c>
      <c r="B766">
        <v>3.1065</v>
      </c>
    </row>
    <row r="767" spans="1:2">
      <c r="A767" s="117">
        <v>34321</v>
      </c>
      <c r="B767">
        <v>3.1053000000000002</v>
      </c>
    </row>
    <row r="768" spans="1:2">
      <c r="A768" s="117">
        <v>34322</v>
      </c>
      <c r="B768">
        <v>3.1053000000000002</v>
      </c>
    </row>
    <row r="769" spans="1:2">
      <c r="A769" s="117">
        <v>34323</v>
      </c>
      <c r="B769">
        <v>3.1053000000000002</v>
      </c>
    </row>
    <row r="770" spans="1:2">
      <c r="A770" s="117">
        <v>34324</v>
      </c>
      <c r="B770">
        <v>3.1055000000000001</v>
      </c>
    </row>
    <row r="771" spans="1:2">
      <c r="A771" s="117">
        <v>34325</v>
      </c>
      <c r="B771">
        <v>3.1114000000000002</v>
      </c>
    </row>
    <row r="772" spans="1:2">
      <c r="A772" s="117">
        <v>34326</v>
      </c>
      <c r="B772">
        <v>3.1111</v>
      </c>
    </row>
    <row r="773" spans="1:2">
      <c r="A773" s="117">
        <v>34327</v>
      </c>
      <c r="B773">
        <v>3.1154999999999999</v>
      </c>
    </row>
    <row r="774" spans="1:2">
      <c r="A774" s="117">
        <v>34328</v>
      </c>
      <c r="B774">
        <v>3.1110000000000002</v>
      </c>
    </row>
    <row r="775" spans="1:2">
      <c r="A775" s="117">
        <v>34329</v>
      </c>
      <c r="B775">
        <v>3.1110000000000002</v>
      </c>
    </row>
    <row r="776" spans="1:2">
      <c r="A776" s="117">
        <v>34330</v>
      </c>
      <c r="B776">
        <v>3.1110000000000002</v>
      </c>
    </row>
    <row r="777" spans="1:2">
      <c r="A777" s="117">
        <v>34331</v>
      </c>
      <c r="B777">
        <v>3.1059000000000001</v>
      </c>
    </row>
    <row r="778" spans="1:2">
      <c r="A778" s="117">
        <v>34332</v>
      </c>
      <c r="B778">
        <v>3.1055999999999999</v>
      </c>
    </row>
    <row r="779" spans="1:2">
      <c r="A779" s="117">
        <v>34333</v>
      </c>
      <c r="B779">
        <v>3.1059000000000001</v>
      </c>
    </row>
    <row r="780" spans="1:2">
      <c r="A780" s="117">
        <v>34334</v>
      </c>
      <c r="B780">
        <v>3.1099000000000001</v>
      </c>
    </row>
    <row r="781" spans="1:2">
      <c r="A781" s="117">
        <v>34335</v>
      </c>
      <c r="B781">
        <v>3.1099000000000001</v>
      </c>
    </row>
    <row r="782" spans="1:2">
      <c r="A782" s="117">
        <v>34336</v>
      </c>
      <c r="B782">
        <v>3.1099000000000001</v>
      </c>
    </row>
    <row r="783" spans="1:2">
      <c r="A783" s="117">
        <v>34337</v>
      </c>
      <c r="B783">
        <v>3.1099000000000001</v>
      </c>
    </row>
    <row r="784" spans="1:2">
      <c r="A784" s="117">
        <v>34338</v>
      </c>
      <c r="B784">
        <v>3.1071</v>
      </c>
    </row>
    <row r="785" spans="1:2">
      <c r="A785" s="117">
        <v>34339</v>
      </c>
      <c r="B785">
        <v>3.1074999999999999</v>
      </c>
    </row>
    <row r="786" spans="1:2">
      <c r="A786" s="117">
        <v>34340</v>
      </c>
      <c r="B786">
        <v>3.1128999999999998</v>
      </c>
    </row>
    <row r="787" spans="1:2">
      <c r="A787" s="117">
        <v>34341</v>
      </c>
      <c r="B787">
        <v>3.1059999999999999</v>
      </c>
    </row>
    <row r="788" spans="1:2">
      <c r="A788" s="117">
        <v>34342</v>
      </c>
      <c r="B788">
        <v>3.1057000000000001</v>
      </c>
    </row>
    <row r="789" spans="1:2">
      <c r="A789" s="117">
        <v>34343</v>
      </c>
      <c r="B789">
        <v>3.1057000000000001</v>
      </c>
    </row>
    <row r="790" spans="1:2">
      <c r="A790" s="117">
        <v>34344</v>
      </c>
      <c r="B790">
        <v>3.1057000000000001</v>
      </c>
    </row>
    <row r="791" spans="1:2">
      <c r="A791" s="117">
        <v>34345</v>
      </c>
      <c r="B791">
        <v>3.1057000000000001</v>
      </c>
    </row>
    <row r="792" spans="1:2">
      <c r="A792" s="117">
        <v>34346</v>
      </c>
      <c r="B792">
        <v>3.1150000000000002</v>
      </c>
    </row>
    <row r="793" spans="1:2">
      <c r="A793" s="117">
        <v>34347</v>
      </c>
      <c r="B793">
        <v>3.1097999999999999</v>
      </c>
    </row>
    <row r="794" spans="1:2">
      <c r="A794" s="117">
        <v>34348</v>
      </c>
      <c r="B794">
        <v>3.1093999999999999</v>
      </c>
    </row>
    <row r="795" spans="1:2">
      <c r="A795" s="117">
        <v>34349</v>
      </c>
      <c r="B795">
        <v>3.1061000000000001</v>
      </c>
    </row>
    <row r="796" spans="1:2">
      <c r="A796" s="117">
        <v>34350</v>
      </c>
      <c r="B796">
        <v>3.1061000000000001</v>
      </c>
    </row>
    <row r="797" spans="1:2">
      <c r="A797" s="117">
        <v>34351</v>
      </c>
      <c r="B797">
        <v>3.1061000000000001</v>
      </c>
    </row>
    <row r="798" spans="1:2">
      <c r="A798" s="117">
        <v>34352</v>
      </c>
      <c r="B798">
        <v>3.1088</v>
      </c>
    </row>
    <row r="799" spans="1:2">
      <c r="A799" s="117">
        <v>34353</v>
      </c>
      <c r="B799">
        <v>3.1061000000000001</v>
      </c>
    </row>
    <row r="800" spans="1:2">
      <c r="A800" s="117">
        <v>34354</v>
      </c>
      <c r="B800">
        <v>3.1057999999999999</v>
      </c>
    </row>
    <row r="801" spans="1:2">
      <c r="A801" s="117">
        <v>34355</v>
      </c>
      <c r="B801">
        <v>3.1055999999999999</v>
      </c>
    </row>
    <row r="802" spans="1:2">
      <c r="A802" s="117">
        <v>34356</v>
      </c>
      <c r="B802">
        <v>3.1059999999999999</v>
      </c>
    </row>
    <row r="803" spans="1:2">
      <c r="A803" s="117">
        <v>34357</v>
      </c>
      <c r="B803">
        <v>3.1059999999999999</v>
      </c>
    </row>
    <row r="804" spans="1:2">
      <c r="A804" s="117">
        <v>34358</v>
      </c>
      <c r="B804">
        <v>3.1059999999999999</v>
      </c>
    </row>
    <row r="805" spans="1:2">
      <c r="A805" s="117">
        <v>34359</v>
      </c>
      <c r="B805">
        <v>3.1055000000000001</v>
      </c>
    </row>
    <row r="806" spans="1:2">
      <c r="A806" s="117">
        <v>34360</v>
      </c>
      <c r="B806">
        <v>3.1055999999999999</v>
      </c>
    </row>
    <row r="807" spans="1:2">
      <c r="A807" s="117">
        <v>34361</v>
      </c>
      <c r="B807">
        <v>3.1057999999999999</v>
      </c>
    </row>
    <row r="808" spans="1:2">
      <c r="A808" s="117">
        <v>34362</v>
      </c>
      <c r="B808">
        <v>3.1063999999999998</v>
      </c>
    </row>
    <row r="809" spans="1:2">
      <c r="A809" s="117">
        <v>34363</v>
      </c>
      <c r="B809">
        <v>3.1063000000000001</v>
      </c>
    </row>
    <row r="810" spans="1:2">
      <c r="A810" s="117">
        <v>34364</v>
      </c>
      <c r="B810">
        <v>3.1063000000000001</v>
      </c>
    </row>
    <row r="811" spans="1:2">
      <c r="A811" s="117">
        <v>34365</v>
      </c>
      <c r="B811">
        <v>3.1063000000000001</v>
      </c>
    </row>
    <row r="812" spans="1:2">
      <c r="A812" s="117">
        <v>34366</v>
      </c>
      <c r="B812">
        <v>3.1059000000000001</v>
      </c>
    </row>
    <row r="813" spans="1:2">
      <c r="A813" s="117">
        <v>34367</v>
      </c>
      <c r="B813">
        <v>3.1053999999999999</v>
      </c>
    </row>
    <row r="814" spans="1:2">
      <c r="A814" s="117">
        <v>34368</v>
      </c>
      <c r="B814">
        <v>3.105</v>
      </c>
    </row>
    <row r="815" spans="1:2">
      <c r="A815" s="117">
        <v>34369</v>
      </c>
      <c r="B815">
        <v>3.1053000000000002</v>
      </c>
    </row>
    <row r="816" spans="1:2">
      <c r="A816" s="117">
        <v>34370</v>
      </c>
      <c r="B816">
        <v>3.1055999999999999</v>
      </c>
    </row>
    <row r="817" spans="1:2">
      <c r="A817" s="117">
        <v>34371</v>
      </c>
      <c r="B817">
        <v>3.1055999999999999</v>
      </c>
    </row>
    <row r="818" spans="1:2">
      <c r="A818" s="117">
        <v>34372</v>
      </c>
      <c r="B818">
        <v>3.1055999999999999</v>
      </c>
    </row>
    <row r="819" spans="1:2">
      <c r="A819" s="117">
        <v>34373</v>
      </c>
      <c r="B819">
        <v>3.1055999999999999</v>
      </c>
    </row>
    <row r="820" spans="1:2">
      <c r="A820" s="117">
        <v>34374</v>
      </c>
      <c r="B820">
        <v>3.1055999999999999</v>
      </c>
    </row>
    <row r="821" spans="1:2">
      <c r="A821" s="117">
        <v>34375</v>
      </c>
      <c r="B821">
        <v>3.1057999999999999</v>
      </c>
    </row>
    <row r="822" spans="1:2">
      <c r="A822" s="117">
        <v>34376</v>
      </c>
      <c r="B822">
        <v>3.1055000000000001</v>
      </c>
    </row>
    <row r="823" spans="1:2">
      <c r="A823" s="117">
        <v>34377</v>
      </c>
      <c r="B823">
        <v>3.105</v>
      </c>
    </row>
    <row r="824" spans="1:2">
      <c r="A824" s="117">
        <v>34378</v>
      </c>
      <c r="B824">
        <v>3.105</v>
      </c>
    </row>
    <row r="825" spans="1:2">
      <c r="A825" s="117">
        <v>34379</v>
      </c>
      <c r="B825">
        <v>3.105</v>
      </c>
    </row>
    <row r="826" spans="1:2">
      <c r="A826" s="117">
        <v>34380</v>
      </c>
      <c r="B826">
        <v>3.105</v>
      </c>
    </row>
    <row r="827" spans="1:2">
      <c r="A827" s="117">
        <v>34381</v>
      </c>
      <c r="B827">
        <v>3.1055000000000001</v>
      </c>
    </row>
    <row r="828" spans="1:2">
      <c r="A828" s="117">
        <v>34382</v>
      </c>
      <c r="B828">
        <v>3.105</v>
      </c>
    </row>
    <row r="829" spans="1:2">
      <c r="A829" s="117">
        <v>34383</v>
      </c>
      <c r="B829">
        <v>3.1055000000000001</v>
      </c>
    </row>
    <row r="830" spans="1:2">
      <c r="A830" s="117">
        <v>34384</v>
      </c>
      <c r="B830">
        <v>3.1053000000000002</v>
      </c>
    </row>
    <row r="831" spans="1:2">
      <c r="A831" s="117">
        <v>34385</v>
      </c>
      <c r="B831">
        <v>3.1053000000000002</v>
      </c>
    </row>
    <row r="832" spans="1:2">
      <c r="A832" s="117">
        <v>34386</v>
      </c>
      <c r="B832">
        <v>3.1053000000000002</v>
      </c>
    </row>
    <row r="833" spans="1:2">
      <c r="A833" s="117">
        <v>34387</v>
      </c>
      <c r="B833">
        <v>3.1057000000000001</v>
      </c>
    </row>
    <row r="834" spans="1:2">
      <c r="A834" s="117">
        <v>34388</v>
      </c>
      <c r="B834">
        <v>3.1061000000000001</v>
      </c>
    </row>
    <row r="835" spans="1:2">
      <c r="A835" s="117">
        <v>34389</v>
      </c>
      <c r="B835">
        <v>3.1110000000000002</v>
      </c>
    </row>
    <row r="836" spans="1:2">
      <c r="A836" s="117">
        <v>34390</v>
      </c>
      <c r="B836">
        <v>3.1179000000000001</v>
      </c>
    </row>
    <row r="837" spans="1:2">
      <c r="A837" s="117">
        <v>34391</v>
      </c>
      <c r="B837">
        <v>3.2075</v>
      </c>
    </row>
    <row r="838" spans="1:2">
      <c r="A838" s="117">
        <v>34392</v>
      </c>
      <c r="B838">
        <v>3.2075</v>
      </c>
    </row>
    <row r="839" spans="1:2">
      <c r="A839" s="117">
        <v>34393</v>
      </c>
      <c r="B839">
        <v>3.2075</v>
      </c>
    </row>
    <row r="840" spans="1:2">
      <c r="A840" s="117">
        <v>34394</v>
      </c>
      <c r="B840">
        <v>3.2113</v>
      </c>
    </row>
    <row r="841" spans="1:2">
      <c r="A841" s="117">
        <v>34395</v>
      </c>
      <c r="B841">
        <v>3.1932999999999998</v>
      </c>
    </row>
    <row r="842" spans="1:2">
      <c r="A842" s="117">
        <v>34396</v>
      </c>
      <c r="B842">
        <v>3.1943999999999999</v>
      </c>
    </row>
    <row r="843" spans="1:2">
      <c r="A843" s="117">
        <v>34397</v>
      </c>
      <c r="B843">
        <v>3.2663000000000002</v>
      </c>
    </row>
    <row r="844" spans="1:2">
      <c r="A844" s="117">
        <v>34398</v>
      </c>
      <c r="B844">
        <v>3.2513000000000001</v>
      </c>
    </row>
    <row r="845" spans="1:2">
      <c r="A845" s="117">
        <v>34399</v>
      </c>
      <c r="B845">
        <v>3.2513000000000001</v>
      </c>
    </row>
    <row r="846" spans="1:2">
      <c r="A846" s="117">
        <v>34400</v>
      </c>
      <c r="B846">
        <v>3.2513000000000001</v>
      </c>
    </row>
    <row r="847" spans="1:2">
      <c r="A847" s="117">
        <v>34401</v>
      </c>
      <c r="B847">
        <v>3.2355</v>
      </c>
    </row>
    <row r="848" spans="1:2">
      <c r="A848" s="117">
        <v>34402</v>
      </c>
      <c r="B848">
        <v>3.2519999999999998</v>
      </c>
    </row>
    <row r="849" spans="1:2">
      <c r="A849" s="117">
        <v>34403</v>
      </c>
      <c r="B849">
        <v>3.2565</v>
      </c>
    </row>
    <row r="850" spans="1:2">
      <c r="A850" s="117">
        <v>34404</v>
      </c>
      <c r="B850">
        <v>3.3149999999999999</v>
      </c>
    </row>
    <row r="851" spans="1:2">
      <c r="A851" s="117">
        <v>34405</v>
      </c>
      <c r="B851">
        <v>3.2888000000000002</v>
      </c>
    </row>
    <row r="852" spans="1:2">
      <c r="A852" s="117">
        <v>34406</v>
      </c>
      <c r="B852">
        <v>3.2888000000000002</v>
      </c>
    </row>
    <row r="853" spans="1:2">
      <c r="A853" s="117">
        <v>34407</v>
      </c>
      <c r="B853">
        <v>3.2888000000000002</v>
      </c>
    </row>
    <row r="854" spans="1:2">
      <c r="A854" s="117">
        <v>34408</v>
      </c>
      <c r="B854">
        <v>3.3025000000000002</v>
      </c>
    </row>
    <row r="855" spans="1:2">
      <c r="A855" s="117">
        <v>34409</v>
      </c>
      <c r="B855">
        <v>3.2848999999999999</v>
      </c>
    </row>
    <row r="856" spans="1:2">
      <c r="A856" s="117">
        <v>34410</v>
      </c>
      <c r="B856">
        <v>3.3106</v>
      </c>
    </row>
    <row r="857" spans="1:2">
      <c r="A857" s="117">
        <v>34411</v>
      </c>
      <c r="B857">
        <v>3.3033000000000001</v>
      </c>
    </row>
    <row r="858" spans="1:2">
      <c r="A858" s="117">
        <v>34412</v>
      </c>
      <c r="B858">
        <v>3.3043</v>
      </c>
    </row>
    <row r="859" spans="1:2">
      <c r="A859" s="117">
        <v>34413</v>
      </c>
      <c r="B859">
        <v>3.3043</v>
      </c>
    </row>
    <row r="860" spans="1:2">
      <c r="A860" s="117">
        <v>34414</v>
      </c>
      <c r="B860">
        <v>3.3043</v>
      </c>
    </row>
    <row r="861" spans="1:2">
      <c r="A861" s="117">
        <v>34415</v>
      </c>
      <c r="B861">
        <v>3.3043</v>
      </c>
    </row>
    <row r="862" spans="1:2">
      <c r="A862" s="117">
        <v>34416</v>
      </c>
      <c r="B862">
        <v>3.3248000000000002</v>
      </c>
    </row>
    <row r="863" spans="1:2">
      <c r="A863" s="117">
        <v>34417</v>
      </c>
      <c r="B863">
        <v>3.3325999999999998</v>
      </c>
    </row>
    <row r="864" spans="1:2">
      <c r="A864" s="117">
        <v>34418</v>
      </c>
      <c r="B864">
        <v>3.3325999999999998</v>
      </c>
    </row>
    <row r="865" spans="1:2">
      <c r="A865" s="117">
        <v>34419</v>
      </c>
      <c r="B865">
        <v>3.3353000000000002</v>
      </c>
    </row>
    <row r="866" spans="1:2">
      <c r="A866" s="117">
        <v>34420</v>
      </c>
      <c r="B866">
        <v>3.3353000000000002</v>
      </c>
    </row>
    <row r="867" spans="1:2">
      <c r="A867" s="117">
        <v>34421</v>
      </c>
      <c r="B867">
        <v>3.3353000000000002</v>
      </c>
    </row>
    <row r="868" spans="1:2">
      <c r="A868" s="117">
        <v>34422</v>
      </c>
      <c r="B868">
        <v>3.3586</v>
      </c>
    </row>
    <row r="869" spans="1:2">
      <c r="A869" s="117">
        <v>34423</v>
      </c>
      <c r="B869">
        <v>3.3597999999999999</v>
      </c>
    </row>
    <row r="870" spans="1:2">
      <c r="A870" s="117">
        <v>34424</v>
      </c>
      <c r="B870">
        <v>3.35</v>
      </c>
    </row>
    <row r="871" spans="1:2">
      <c r="A871" s="117">
        <v>34425</v>
      </c>
      <c r="B871">
        <v>3.35</v>
      </c>
    </row>
    <row r="872" spans="1:2">
      <c r="A872" s="117">
        <v>34426</v>
      </c>
      <c r="B872">
        <v>3.35</v>
      </c>
    </row>
    <row r="873" spans="1:2">
      <c r="A873" s="117">
        <v>34427</v>
      </c>
      <c r="B873">
        <v>3.35</v>
      </c>
    </row>
    <row r="874" spans="1:2">
      <c r="A874" s="117">
        <v>34428</v>
      </c>
      <c r="B874">
        <v>3.35</v>
      </c>
    </row>
    <row r="875" spans="1:2">
      <c r="A875" s="117">
        <v>34429</v>
      </c>
      <c r="B875">
        <v>3.3605999999999998</v>
      </c>
    </row>
    <row r="876" spans="1:2">
      <c r="A876" s="117">
        <v>34430</v>
      </c>
      <c r="B876">
        <v>3.3626</v>
      </c>
    </row>
    <row r="877" spans="1:2">
      <c r="A877" s="117">
        <v>34431</v>
      </c>
      <c r="B877">
        <v>3.363</v>
      </c>
    </row>
    <row r="878" spans="1:2">
      <c r="A878" s="117">
        <v>34432</v>
      </c>
      <c r="B878">
        <v>3.3614999999999999</v>
      </c>
    </row>
    <row r="879" spans="1:2">
      <c r="A879" s="117">
        <v>34433</v>
      </c>
      <c r="B879">
        <v>3.363</v>
      </c>
    </row>
    <row r="880" spans="1:2">
      <c r="A880" s="117">
        <v>34434</v>
      </c>
      <c r="B880">
        <v>3.363</v>
      </c>
    </row>
    <row r="881" spans="1:2">
      <c r="A881" s="117">
        <v>34435</v>
      </c>
      <c r="B881">
        <v>3.363</v>
      </c>
    </row>
    <row r="882" spans="1:2">
      <c r="A882" s="117">
        <v>34436</v>
      </c>
      <c r="B882">
        <v>3.3641999999999999</v>
      </c>
    </row>
    <row r="883" spans="1:2">
      <c r="A883" s="117">
        <v>34437</v>
      </c>
      <c r="B883">
        <v>3.3654000000000002</v>
      </c>
    </row>
    <row r="884" spans="1:2">
      <c r="A884" s="117">
        <v>34438</v>
      </c>
      <c r="B884">
        <v>3.3656999999999999</v>
      </c>
    </row>
    <row r="885" spans="1:2">
      <c r="A885" s="117">
        <v>34439</v>
      </c>
      <c r="B885">
        <v>3.3660000000000001</v>
      </c>
    </row>
    <row r="886" spans="1:2">
      <c r="A886" s="117">
        <v>34440</v>
      </c>
      <c r="B886">
        <v>3.3666</v>
      </c>
    </row>
    <row r="887" spans="1:2">
      <c r="A887" s="117">
        <v>34441</v>
      </c>
      <c r="B887">
        <v>3.3666</v>
      </c>
    </row>
    <row r="888" spans="1:2">
      <c r="A888" s="117">
        <v>34442</v>
      </c>
      <c r="B888">
        <v>3.3666</v>
      </c>
    </row>
    <row r="889" spans="1:2">
      <c r="A889" s="117">
        <v>34443</v>
      </c>
      <c r="B889">
        <v>3.367</v>
      </c>
    </row>
    <row r="890" spans="1:2">
      <c r="A890" s="117">
        <v>34444</v>
      </c>
      <c r="B890">
        <v>3.3681999999999999</v>
      </c>
    </row>
    <row r="891" spans="1:2">
      <c r="A891" s="117">
        <v>34445</v>
      </c>
      <c r="B891">
        <v>3.3685999999999998</v>
      </c>
    </row>
    <row r="892" spans="1:2">
      <c r="A892" s="117">
        <v>34446</v>
      </c>
      <c r="B892">
        <v>3.3690000000000002</v>
      </c>
    </row>
    <row r="893" spans="1:2">
      <c r="A893" s="117">
        <v>34447</v>
      </c>
      <c r="B893">
        <v>3.3694000000000002</v>
      </c>
    </row>
    <row r="894" spans="1:2">
      <c r="A894" s="117">
        <v>34448</v>
      </c>
      <c r="B894">
        <v>3.3694000000000002</v>
      </c>
    </row>
    <row r="895" spans="1:2">
      <c r="A895" s="117">
        <v>34449</v>
      </c>
      <c r="B895">
        <v>3.3694000000000002</v>
      </c>
    </row>
    <row r="896" spans="1:2">
      <c r="A896" s="117">
        <v>34450</v>
      </c>
      <c r="B896">
        <v>3.3679000000000001</v>
      </c>
    </row>
    <row r="897" spans="1:2">
      <c r="A897" s="117">
        <v>34451</v>
      </c>
      <c r="B897">
        <v>3.3073000000000001</v>
      </c>
    </row>
    <row r="898" spans="1:2">
      <c r="A898" s="117">
        <v>34452</v>
      </c>
      <c r="B898">
        <v>3.298</v>
      </c>
    </row>
    <row r="899" spans="1:2">
      <c r="A899" s="117">
        <v>34453</v>
      </c>
      <c r="B899">
        <v>3.2673000000000001</v>
      </c>
    </row>
    <row r="900" spans="1:2">
      <c r="A900" s="117">
        <v>34454</v>
      </c>
      <c r="B900">
        <v>3.2763</v>
      </c>
    </row>
    <row r="901" spans="1:2">
      <c r="A901" s="117">
        <v>34455</v>
      </c>
      <c r="B901">
        <v>3.2763</v>
      </c>
    </row>
    <row r="902" spans="1:2">
      <c r="A902" s="117">
        <v>34456</v>
      </c>
      <c r="B902">
        <v>3.2763</v>
      </c>
    </row>
    <row r="903" spans="1:2">
      <c r="A903" s="117">
        <v>34457</v>
      </c>
      <c r="B903">
        <v>3.2747999999999999</v>
      </c>
    </row>
    <row r="904" spans="1:2">
      <c r="A904" s="117">
        <v>34458</v>
      </c>
      <c r="B904">
        <v>3.2747999999999999</v>
      </c>
    </row>
    <row r="905" spans="1:2">
      <c r="A905" s="117">
        <v>34459</v>
      </c>
      <c r="B905">
        <v>3.3144999999999998</v>
      </c>
    </row>
    <row r="906" spans="1:2">
      <c r="A906" s="117">
        <v>34460</v>
      </c>
      <c r="B906">
        <v>3.3144999999999998</v>
      </c>
    </row>
    <row r="907" spans="1:2">
      <c r="A907" s="117">
        <v>34461</v>
      </c>
      <c r="B907">
        <v>3.3052999999999999</v>
      </c>
    </row>
    <row r="908" spans="1:2">
      <c r="A908" s="117">
        <v>34462</v>
      </c>
      <c r="B908">
        <v>3.3052999999999999</v>
      </c>
    </row>
    <row r="909" spans="1:2">
      <c r="A909" s="117">
        <v>34463</v>
      </c>
      <c r="B909">
        <v>3.3052999999999999</v>
      </c>
    </row>
    <row r="910" spans="1:2">
      <c r="A910" s="117">
        <v>34464</v>
      </c>
      <c r="B910">
        <v>3.3222999999999998</v>
      </c>
    </row>
    <row r="911" spans="1:2">
      <c r="A911" s="117">
        <v>34465</v>
      </c>
      <c r="B911">
        <v>3.3395999999999999</v>
      </c>
    </row>
    <row r="912" spans="1:2">
      <c r="A912" s="117">
        <v>34466</v>
      </c>
      <c r="B912">
        <v>3.3163</v>
      </c>
    </row>
    <row r="913" spans="1:2">
      <c r="A913" s="117">
        <v>34467</v>
      </c>
      <c r="B913">
        <v>3.3172999999999999</v>
      </c>
    </row>
    <row r="914" spans="1:2">
      <c r="A914" s="117">
        <v>34468</v>
      </c>
      <c r="B914">
        <v>3.3325</v>
      </c>
    </row>
    <row r="915" spans="1:2">
      <c r="A915" s="117">
        <v>34469</v>
      </c>
      <c r="B915">
        <v>3.3325</v>
      </c>
    </row>
    <row r="916" spans="1:2">
      <c r="A916" s="117">
        <v>34470</v>
      </c>
      <c r="B916">
        <v>3.3325</v>
      </c>
    </row>
    <row r="917" spans="1:2">
      <c r="A917" s="117">
        <v>34471</v>
      </c>
      <c r="B917">
        <v>3.3298000000000001</v>
      </c>
    </row>
    <row r="918" spans="1:2">
      <c r="A918" s="117">
        <v>34472</v>
      </c>
      <c r="B918">
        <v>3.3319000000000001</v>
      </c>
    </row>
    <row r="919" spans="1:2">
      <c r="A919" s="117">
        <v>34473</v>
      </c>
      <c r="B919">
        <v>3.3290000000000002</v>
      </c>
    </row>
    <row r="920" spans="1:2">
      <c r="A920" s="117">
        <v>34474</v>
      </c>
      <c r="B920">
        <v>3.3309000000000002</v>
      </c>
    </row>
    <row r="921" spans="1:2">
      <c r="A921" s="117">
        <v>34475</v>
      </c>
      <c r="B921">
        <v>3.3220000000000001</v>
      </c>
    </row>
    <row r="922" spans="1:2">
      <c r="A922" s="117">
        <v>34476</v>
      </c>
      <c r="B922">
        <v>3.3220000000000001</v>
      </c>
    </row>
    <row r="923" spans="1:2">
      <c r="A923" s="117">
        <v>34477</v>
      </c>
      <c r="B923">
        <v>3.3220000000000001</v>
      </c>
    </row>
    <row r="924" spans="1:2">
      <c r="A924" s="117">
        <v>34478</v>
      </c>
      <c r="B924">
        <v>3.302</v>
      </c>
    </row>
    <row r="925" spans="1:2">
      <c r="A925" s="117">
        <v>34479</v>
      </c>
      <c r="B925">
        <v>3.3025000000000002</v>
      </c>
    </row>
    <row r="926" spans="1:2">
      <c r="A926" s="117">
        <v>34480</v>
      </c>
      <c r="B926">
        <v>3.2919</v>
      </c>
    </row>
    <row r="927" spans="1:2">
      <c r="A927" s="117">
        <v>34481</v>
      </c>
      <c r="B927">
        <v>3.3092999999999999</v>
      </c>
    </row>
    <row r="928" spans="1:2">
      <c r="A928" s="117">
        <v>34482</v>
      </c>
      <c r="B928">
        <v>3.3148</v>
      </c>
    </row>
    <row r="929" spans="1:2">
      <c r="A929" s="117">
        <v>34483</v>
      </c>
      <c r="B929">
        <v>3.3148</v>
      </c>
    </row>
    <row r="930" spans="1:2">
      <c r="A930" s="117">
        <v>34484</v>
      </c>
      <c r="B930">
        <v>3.3148</v>
      </c>
    </row>
    <row r="931" spans="1:2">
      <c r="A931" s="117">
        <v>34485</v>
      </c>
      <c r="B931">
        <v>3.3144999999999998</v>
      </c>
    </row>
    <row r="932" spans="1:2">
      <c r="A932" s="117">
        <v>34486</v>
      </c>
      <c r="B932">
        <v>3.3275999999999999</v>
      </c>
    </row>
    <row r="933" spans="1:2">
      <c r="A933" s="117">
        <v>34487</v>
      </c>
      <c r="B933">
        <v>3.3214000000000001</v>
      </c>
    </row>
    <row r="934" spans="1:2">
      <c r="A934" s="117">
        <v>34488</v>
      </c>
      <c r="B934">
        <v>3.3269000000000002</v>
      </c>
    </row>
    <row r="935" spans="1:2">
      <c r="A935" s="117">
        <v>34489</v>
      </c>
      <c r="B935">
        <v>3.3252999999999999</v>
      </c>
    </row>
    <row r="936" spans="1:2">
      <c r="A936" s="117">
        <v>34490</v>
      </c>
      <c r="B936">
        <v>3.3252999999999999</v>
      </c>
    </row>
    <row r="937" spans="1:2">
      <c r="A937" s="117">
        <v>34491</v>
      </c>
      <c r="B937">
        <v>3.3252999999999999</v>
      </c>
    </row>
    <row r="938" spans="1:2">
      <c r="A938" s="117">
        <v>34492</v>
      </c>
      <c r="B938">
        <v>3.3243</v>
      </c>
    </row>
    <row r="939" spans="1:2">
      <c r="A939" s="117">
        <v>34493</v>
      </c>
      <c r="B939">
        <v>3.335</v>
      </c>
    </row>
    <row r="940" spans="1:2">
      <c r="A940" s="117">
        <v>34494</v>
      </c>
      <c r="B940">
        <v>3.3650000000000002</v>
      </c>
    </row>
    <row r="941" spans="1:2">
      <c r="A941" s="117">
        <v>34495</v>
      </c>
      <c r="B941">
        <v>3.3534999999999999</v>
      </c>
    </row>
    <row r="942" spans="1:2">
      <c r="A942" s="117">
        <v>34496</v>
      </c>
      <c r="B942">
        <v>3.3588</v>
      </c>
    </row>
    <row r="943" spans="1:2">
      <c r="A943" s="117">
        <v>34497</v>
      </c>
      <c r="B943">
        <v>3.3588</v>
      </c>
    </row>
    <row r="944" spans="1:2">
      <c r="A944" s="117">
        <v>34498</v>
      </c>
      <c r="B944">
        <v>3.3588</v>
      </c>
    </row>
    <row r="945" spans="1:2">
      <c r="A945" s="117">
        <v>34499</v>
      </c>
      <c r="B945">
        <v>3.3613</v>
      </c>
    </row>
    <row r="946" spans="1:2">
      <c r="A946" s="117">
        <v>34500</v>
      </c>
      <c r="B946">
        <v>3.3784000000000001</v>
      </c>
    </row>
    <row r="947" spans="1:2">
      <c r="A947" s="117">
        <v>34501</v>
      </c>
      <c r="B947">
        <v>3.3734000000000002</v>
      </c>
    </row>
    <row r="948" spans="1:2">
      <c r="A948" s="117">
        <v>34502</v>
      </c>
      <c r="B948">
        <v>3.3673000000000002</v>
      </c>
    </row>
    <row r="949" spans="1:2">
      <c r="A949" s="117">
        <v>34503</v>
      </c>
      <c r="B949">
        <v>3.3675000000000002</v>
      </c>
    </row>
    <row r="950" spans="1:2">
      <c r="A950" s="117">
        <v>34504</v>
      </c>
      <c r="B950">
        <v>3.3675000000000002</v>
      </c>
    </row>
    <row r="951" spans="1:2">
      <c r="A951" s="117">
        <v>34505</v>
      </c>
      <c r="B951">
        <v>3.3675000000000002</v>
      </c>
    </row>
    <row r="952" spans="1:2">
      <c r="A952" s="117">
        <v>34506</v>
      </c>
      <c r="B952">
        <v>3.3675000000000002</v>
      </c>
    </row>
    <row r="953" spans="1:2">
      <c r="A953" s="117">
        <v>34507</v>
      </c>
      <c r="B953">
        <v>3.3702999999999999</v>
      </c>
    </row>
    <row r="954" spans="1:2">
      <c r="A954" s="117">
        <v>34508</v>
      </c>
      <c r="B954">
        <v>3.3742999999999999</v>
      </c>
    </row>
    <row r="955" spans="1:2">
      <c r="A955" s="117">
        <v>34509</v>
      </c>
      <c r="B955">
        <v>3.379</v>
      </c>
    </row>
    <row r="956" spans="1:2">
      <c r="A956" s="117">
        <v>34510</v>
      </c>
      <c r="B956">
        <v>3.3855</v>
      </c>
    </row>
    <row r="957" spans="1:2">
      <c r="A957" s="117">
        <v>34511</v>
      </c>
      <c r="B957">
        <v>3.3855</v>
      </c>
    </row>
    <row r="958" spans="1:2">
      <c r="A958" s="117">
        <v>34512</v>
      </c>
      <c r="B958">
        <v>3.3855</v>
      </c>
    </row>
    <row r="959" spans="1:2">
      <c r="A959" s="117">
        <v>34513</v>
      </c>
      <c r="B959">
        <v>3.3902999999999999</v>
      </c>
    </row>
    <row r="960" spans="1:2">
      <c r="A960" s="117">
        <v>34514</v>
      </c>
      <c r="B960">
        <v>3.3917999999999999</v>
      </c>
    </row>
    <row r="961" spans="1:2">
      <c r="A961" s="117">
        <v>34515</v>
      </c>
      <c r="B961">
        <v>3.3917999999999999</v>
      </c>
    </row>
    <row r="962" spans="1:2">
      <c r="A962" s="117">
        <v>34516</v>
      </c>
      <c r="B962">
        <v>3.3864999999999998</v>
      </c>
    </row>
    <row r="963" spans="1:2">
      <c r="A963" s="117">
        <v>34517</v>
      </c>
      <c r="B963">
        <v>3.3938000000000001</v>
      </c>
    </row>
    <row r="964" spans="1:2">
      <c r="A964" s="117">
        <v>34518</v>
      </c>
      <c r="B964">
        <v>3.3938000000000001</v>
      </c>
    </row>
    <row r="965" spans="1:2">
      <c r="A965" s="117">
        <v>34519</v>
      </c>
      <c r="B965">
        <v>3.3938000000000001</v>
      </c>
    </row>
    <row r="966" spans="1:2">
      <c r="A966" s="117">
        <v>34520</v>
      </c>
      <c r="B966">
        <v>3.3944999999999999</v>
      </c>
    </row>
    <row r="967" spans="1:2">
      <c r="A967" s="117">
        <v>34521</v>
      </c>
      <c r="B967">
        <v>3.399</v>
      </c>
    </row>
    <row r="968" spans="1:2">
      <c r="A968" s="117">
        <v>34522</v>
      </c>
      <c r="B968">
        <v>3.3994</v>
      </c>
    </row>
    <row r="969" spans="1:2">
      <c r="A969" s="117">
        <v>34523</v>
      </c>
      <c r="B969">
        <v>3.3997999999999999</v>
      </c>
    </row>
    <row r="970" spans="1:2">
      <c r="A970" s="117">
        <v>34524</v>
      </c>
      <c r="B970">
        <v>3.4001999999999999</v>
      </c>
    </row>
    <row r="971" spans="1:2">
      <c r="A971" s="117">
        <v>34525</v>
      </c>
      <c r="B971">
        <v>3.4001999999999999</v>
      </c>
    </row>
    <row r="972" spans="1:2">
      <c r="A972" s="117">
        <v>34526</v>
      </c>
      <c r="B972">
        <v>3.4001999999999999</v>
      </c>
    </row>
    <row r="973" spans="1:2">
      <c r="A973" s="117">
        <v>34527</v>
      </c>
      <c r="B973">
        <v>3.4005999999999998</v>
      </c>
    </row>
    <row r="974" spans="1:2">
      <c r="A974" s="117">
        <v>34528</v>
      </c>
      <c r="B974">
        <v>3.4018000000000002</v>
      </c>
    </row>
    <row r="975" spans="1:2">
      <c r="A975" s="117">
        <v>34529</v>
      </c>
      <c r="B975">
        <v>3.4022000000000001</v>
      </c>
    </row>
    <row r="976" spans="1:2">
      <c r="A976" s="117">
        <v>34530</v>
      </c>
      <c r="B976">
        <v>3.4026000000000001</v>
      </c>
    </row>
    <row r="977" spans="1:2">
      <c r="A977" s="117">
        <v>34531</v>
      </c>
      <c r="B977">
        <v>3.4024999999999999</v>
      </c>
    </row>
    <row r="978" spans="1:2">
      <c r="A978" s="117">
        <v>34532</v>
      </c>
      <c r="B978">
        <v>3.4024999999999999</v>
      </c>
    </row>
    <row r="979" spans="1:2">
      <c r="A979" s="117">
        <v>34533</v>
      </c>
      <c r="B979">
        <v>3.4024999999999999</v>
      </c>
    </row>
    <row r="980" spans="1:2">
      <c r="A980" s="117">
        <v>34534</v>
      </c>
      <c r="B980">
        <v>3.4020000000000001</v>
      </c>
    </row>
    <row r="981" spans="1:2">
      <c r="A981" s="117">
        <v>34535</v>
      </c>
      <c r="B981">
        <v>3.3997999999999999</v>
      </c>
    </row>
    <row r="982" spans="1:2">
      <c r="A982" s="117">
        <v>34536</v>
      </c>
      <c r="B982">
        <v>3.4011</v>
      </c>
    </row>
    <row r="983" spans="1:2">
      <c r="A983" s="117">
        <v>34537</v>
      </c>
      <c r="B983">
        <v>3.4051999999999998</v>
      </c>
    </row>
    <row r="984" spans="1:2">
      <c r="A984" s="117">
        <v>34538</v>
      </c>
      <c r="B984">
        <v>3.4056000000000002</v>
      </c>
    </row>
    <row r="985" spans="1:2">
      <c r="A985" s="117">
        <v>34539</v>
      </c>
      <c r="B985">
        <v>3.4056000000000002</v>
      </c>
    </row>
    <row r="986" spans="1:2">
      <c r="A986" s="117">
        <v>34540</v>
      </c>
      <c r="B986">
        <v>3.4056000000000002</v>
      </c>
    </row>
    <row r="987" spans="1:2">
      <c r="A987" s="117">
        <v>34541</v>
      </c>
      <c r="B987">
        <v>3.4060000000000001</v>
      </c>
    </row>
    <row r="988" spans="1:2">
      <c r="A988" s="117">
        <v>34542</v>
      </c>
      <c r="B988">
        <v>3.4072</v>
      </c>
    </row>
    <row r="989" spans="1:2">
      <c r="A989" s="117">
        <v>34543</v>
      </c>
      <c r="B989">
        <v>3.4077999999999999</v>
      </c>
    </row>
    <row r="990" spans="1:2">
      <c r="A990" s="117">
        <v>34544</v>
      </c>
      <c r="B990">
        <v>3.4018999999999999</v>
      </c>
    </row>
    <row r="991" spans="1:2">
      <c r="A991" s="117">
        <v>34545</v>
      </c>
      <c r="B991">
        <v>3.4005999999999998</v>
      </c>
    </row>
    <row r="992" spans="1:2">
      <c r="A992" s="117">
        <v>34546</v>
      </c>
      <c r="B992">
        <v>3.4005999999999998</v>
      </c>
    </row>
    <row r="993" spans="1:2">
      <c r="A993" s="117">
        <v>34547</v>
      </c>
      <c r="B993">
        <v>3.4005999999999998</v>
      </c>
    </row>
    <row r="994" spans="1:2">
      <c r="A994" s="117">
        <v>34548</v>
      </c>
      <c r="B994">
        <v>3.4005999999999998</v>
      </c>
    </row>
    <row r="995" spans="1:2">
      <c r="A995" s="117">
        <v>34549</v>
      </c>
      <c r="B995">
        <v>3.3988999999999998</v>
      </c>
    </row>
    <row r="996" spans="1:2">
      <c r="A996" s="117">
        <v>34550</v>
      </c>
      <c r="B996">
        <v>3.3788999999999998</v>
      </c>
    </row>
    <row r="997" spans="1:2">
      <c r="A997" s="117">
        <v>34551</v>
      </c>
      <c r="B997">
        <v>3.3753000000000002</v>
      </c>
    </row>
    <row r="998" spans="1:2">
      <c r="A998" s="117">
        <v>34552</v>
      </c>
      <c r="B998">
        <v>3.3780999999999999</v>
      </c>
    </row>
    <row r="999" spans="1:2">
      <c r="A999" s="117">
        <v>34553</v>
      </c>
      <c r="B999">
        <v>3.3780999999999999</v>
      </c>
    </row>
    <row r="1000" spans="1:2">
      <c r="A1000" s="117">
        <v>34554</v>
      </c>
      <c r="B1000">
        <v>3.3780999999999999</v>
      </c>
    </row>
    <row r="1001" spans="1:2">
      <c r="A1001" s="117">
        <v>34555</v>
      </c>
      <c r="B1001">
        <v>3.3828999999999998</v>
      </c>
    </row>
    <row r="1002" spans="1:2">
      <c r="A1002" s="117">
        <v>34556</v>
      </c>
      <c r="B1002">
        <v>3.387</v>
      </c>
    </row>
    <row r="1003" spans="1:2">
      <c r="A1003" s="117">
        <v>34557</v>
      </c>
      <c r="B1003">
        <v>3.3881999999999999</v>
      </c>
    </row>
    <row r="1004" spans="1:2">
      <c r="A1004" s="117">
        <v>34558</v>
      </c>
      <c r="B1004">
        <v>3.403</v>
      </c>
    </row>
    <row r="1005" spans="1:2">
      <c r="A1005" s="117">
        <v>34559</v>
      </c>
      <c r="B1005">
        <v>3.3980000000000001</v>
      </c>
    </row>
    <row r="1006" spans="1:2">
      <c r="A1006" s="117">
        <v>34560</v>
      </c>
      <c r="B1006">
        <v>3.3980000000000001</v>
      </c>
    </row>
    <row r="1007" spans="1:2">
      <c r="A1007" s="117">
        <v>34561</v>
      </c>
      <c r="B1007">
        <v>3.3980000000000001</v>
      </c>
    </row>
    <row r="1008" spans="1:2">
      <c r="A1008" s="117">
        <v>34562</v>
      </c>
      <c r="B1008">
        <v>3.3996</v>
      </c>
    </row>
    <row r="1009" spans="1:2">
      <c r="A1009" s="117">
        <v>34563</v>
      </c>
      <c r="B1009">
        <v>3.4047999999999998</v>
      </c>
    </row>
    <row r="1010" spans="1:2">
      <c r="A1010" s="117">
        <v>34564</v>
      </c>
      <c r="B1010">
        <v>3.4077999999999999</v>
      </c>
    </row>
    <row r="1011" spans="1:2">
      <c r="A1011" s="117">
        <v>34565</v>
      </c>
      <c r="B1011">
        <v>3.3845000000000001</v>
      </c>
    </row>
    <row r="1012" spans="1:2">
      <c r="A1012" s="117">
        <v>34566</v>
      </c>
      <c r="B1012">
        <v>3.3769</v>
      </c>
    </row>
    <row r="1013" spans="1:2">
      <c r="A1013" s="117">
        <v>34567</v>
      </c>
      <c r="B1013">
        <v>3.3769</v>
      </c>
    </row>
    <row r="1014" spans="1:2">
      <c r="A1014" s="117">
        <v>34568</v>
      </c>
      <c r="B1014">
        <v>3.3769</v>
      </c>
    </row>
    <row r="1015" spans="1:2">
      <c r="A1015" s="117">
        <v>34569</v>
      </c>
      <c r="B1015">
        <v>3.3593000000000002</v>
      </c>
    </row>
    <row r="1016" spans="1:2">
      <c r="A1016" s="117">
        <v>34570</v>
      </c>
      <c r="B1016">
        <v>3.3357999999999999</v>
      </c>
    </row>
    <row r="1017" spans="1:2">
      <c r="A1017" s="117">
        <v>34571</v>
      </c>
      <c r="B1017">
        <v>3.3428</v>
      </c>
    </row>
    <row r="1018" spans="1:2">
      <c r="A1018" s="117">
        <v>34572</v>
      </c>
      <c r="B1018">
        <v>3.3555000000000001</v>
      </c>
    </row>
    <row r="1019" spans="1:2">
      <c r="A1019" s="117">
        <v>34573</v>
      </c>
      <c r="B1019">
        <v>3.3671000000000002</v>
      </c>
    </row>
    <row r="1020" spans="1:2">
      <c r="A1020" s="117">
        <v>34574</v>
      </c>
      <c r="B1020">
        <v>3.3671000000000002</v>
      </c>
    </row>
    <row r="1021" spans="1:2">
      <c r="A1021" s="117">
        <v>34575</v>
      </c>
      <c r="B1021">
        <v>3.3671000000000002</v>
      </c>
    </row>
    <row r="1022" spans="1:2">
      <c r="A1022" s="117">
        <v>34576</v>
      </c>
      <c r="B1022">
        <v>3.3826000000000001</v>
      </c>
    </row>
    <row r="1023" spans="1:2">
      <c r="A1023" s="117">
        <v>34577</v>
      </c>
      <c r="B1023">
        <v>3.3794</v>
      </c>
    </row>
    <row r="1024" spans="1:2">
      <c r="A1024" s="117">
        <v>34578</v>
      </c>
      <c r="B1024">
        <v>3.3815</v>
      </c>
    </row>
    <row r="1025" spans="1:2">
      <c r="A1025" s="117">
        <v>34579</v>
      </c>
      <c r="B1025">
        <v>3.3902999999999999</v>
      </c>
    </row>
    <row r="1026" spans="1:2">
      <c r="A1026" s="117">
        <v>34580</v>
      </c>
      <c r="B1026">
        <v>3.3908</v>
      </c>
    </row>
    <row r="1027" spans="1:2">
      <c r="A1027" s="117">
        <v>34581</v>
      </c>
      <c r="B1027">
        <v>3.3908</v>
      </c>
    </row>
    <row r="1028" spans="1:2">
      <c r="A1028" s="117">
        <v>34582</v>
      </c>
      <c r="B1028">
        <v>3.3908</v>
      </c>
    </row>
    <row r="1029" spans="1:2">
      <c r="A1029" s="117">
        <v>34583</v>
      </c>
      <c r="B1029">
        <v>3.3778000000000001</v>
      </c>
    </row>
    <row r="1030" spans="1:2">
      <c r="A1030" s="117">
        <v>34584</v>
      </c>
      <c r="B1030">
        <v>3.3896000000000002</v>
      </c>
    </row>
    <row r="1031" spans="1:2">
      <c r="A1031" s="117">
        <v>34585</v>
      </c>
      <c r="B1031">
        <v>3.4039999999999999</v>
      </c>
    </row>
    <row r="1032" spans="1:2">
      <c r="A1032" s="117">
        <v>34586</v>
      </c>
      <c r="B1032">
        <v>3.3982999999999999</v>
      </c>
    </row>
    <row r="1033" spans="1:2">
      <c r="A1033" s="117">
        <v>34587</v>
      </c>
      <c r="B1033">
        <v>3.4014000000000002</v>
      </c>
    </row>
    <row r="1034" spans="1:2">
      <c r="A1034" s="117">
        <v>34588</v>
      </c>
      <c r="B1034">
        <v>3.4014000000000002</v>
      </c>
    </row>
    <row r="1035" spans="1:2">
      <c r="A1035" s="117">
        <v>34589</v>
      </c>
      <c r="B1035">
        <v>3.4014000000000002</v>
      </c>
    </row>
    <row r="1036" spans="1:2">
      <c r="A1036" s="117">
        <v>34590</v>
      </c>
      <c r="B1036">
        <v>3.4123000000000001</v>
      </c>
    </row>
    <row r="1037" spans="1:2">
      <c r="A1037" s="117">
        <v>34591</v>
      </c>
      <c r="B1037">
        <v>3.4134000000000002</v>
      </c>
    </row>
    <row r="1038" spans="1:2">
      <c r="A1038" s="117">
        <v>34592</v>
      </c>
      <c r="B1038">
        <v>3.4199000000000002</v>
      </c>
    </row>
    <row r="1039" spans="1:2">
      <c r="A1039" s="117">
        <v>34593</v>
      </c>
      <c r="B1039">
        <v>3.4167999999999998</v>
      </c>
    </row>
    <row r="1040" spans="1:2">
      <c r="A1040" s="117">
        <v>34594</v>
      </c>
      <c r="B1040">
        <v>3.4167999999999998</v>
      </c>
    </row>
    <row r="1041" spans="1:2">
      <c r="A1041" s="117">
        <v>34595</v>
      </c>
      <c r="B1041">
        <v>3.4167999999999998</v>
      </c>
    </row>
    <row r="1042" spans="1:2">
      <c r="A1042" s="117">
        <v>34596</v>
      </c>
      <c r="B1042">
        <v>3.4167999999999998</v>
      </c>
    </row>
    <row r="1043" spans="1:2">
      <c r="A1043" s="117">
        <v>34597</v>
      </c>
      <c r="B1043">
        <v>3.4144999999999999</v>
      </c>
    </row>
    <row r="1044" spans="1:2">
      <c r="A1044" s="117">
        <v>34598</v>
      </c>
      <c r="B1044">
        <v>3.4077999999999999</v>
      </c>
    </row>
    <row r="1045" spans="1:2">
      <c r="A1045" s="117">
        <v>34599</v>
      </c>
      <c r="B1045">
        <v>3.4068000000000001</v>
      </c>
    </row>
    <row r="1046" spans="1:2">
      <c r="A1046" s="117">
        <v>34600</v>
      </c>
      <c r="B1046">
        <v>3.403</v>
      </c>
    </row>
    <row r="1047" spans="1:2">
      <c r="A1047" s="117">
        <v>34601</v>
      </c>
      <c r="B1047">
        <v>3.4087999999999998</v>
      </c>
    </row>
    <row r="1048" spans="1:2">
      <c r="A1048" s="117">
        <v>34602</v>
      </c>
      <c r="B1048">
        <v>3.4087999999999998</v>
      </c>
    </row>
    <row r="1049" spans="1:2">
      <c r="A1049" s="117">
        <v>34603</v>
      </c>
      <c r="B1049">
        <v>3.4087999999999998</v>
      </c>
    </row>
    <row r="1050" spans="1:2">
      <c r="A1050" s="117">
        <v>34604</v>
      </c>
      <c r="B1050">
        <v>3.3904999999999998</v>
      </c>
    </row>
    <row r="1051" spans="1:2">
      <c r="A1051" s="117">
        <v>34605</v>
      </c>
      <c r="B1051">
        <v>3.3733</v>
      </c>
    </row>
    <row r="1052" spans="1:2">
      <c r="A1052" s="117">
        <v>34606</v>
      </c>
      <c r="B1052">
        <v>3.3908</v>
      </c>
    </row>
    <row r="1053" spans="1:2">
      <c r="A1053" s="117">
        <v>34607</v>
      </c>
      <c r="B1053">
        <v>3.4039999999999999</v>
      </c>
    </row>
    <row r="1054" spans="1:2">
      <c r="A1054" s="117">
        <v>34608</v>
      </c>
      <c r="B1054">
        <v>3.3980000000000001</v>
      </c>
    </row>
    <row r="1055" spans="1:2">
      <c r="A1055" s="117">
        <v>34609</v>
      </c>
      <c r="B1055">
        <v>3.3980000000000001</v>
      </c>
    </row>
    <row r="1056" spans="1:2">
      <c r="A1056" s="117">
        <v>34610</v>
      </c>
      <c r="B1056">
        <v>3.3980000000000001</v>
      </c>
    </row>
    <row r="1057" spans="1:2">
      <c r="A1057" s="117">
        <v>34611</v>
      </c>
      <c r="B1057">
        <v>3.3982999999999999</v>
      </c>
    </row>
    <row r="1058" spans="1:2">
      <c r="A1058" s="117">
        <v>34612</v>
      </c>
      <c r="B1058">
        <v>3.3984000000000001</v>
      </c>
    </row>
    <row r="1059" spans="1:2">
      <c r="A1059" s="117">
        <v>34613</v>
      </c>
      <c r="B1059">
        <v>3.4142999999999999</v>
      </c>
    </row>
    <row r="1060" spans="1:2">
      <c r="A1060" s="117">
        <v>34614</v>
      </c>
      <c r="B1060">
        <v>3.4127999999999998</v>
      </c>
    </row>
    <row r="1061" spans="1:2">
      <c r="A1061" s="117">
        <v>34615</v>
      </c>
      <c r="B1061">
        <v>3.4159000000000002</v>
      </c>
    </row>
    <row r="1062" spans="1:2">
      <c r="A1062" s="117">
        <v>34616</v>
      </c>
      <c r="B1062">
        <v>3.4159000000000002</v>
      </c>
    </row>
    <row r="1063" spans="1:2">
      <c r="A1063" s="117">
        <v>34617</v>
      </c>
      <c r="B1063">
        <v>3.4159000000000002</v>
      </c>
    </row>
    <row r="1064" spans="1:2">
      <c r="A1064" s="117">
        <v>34618</v>
      </c>
      <c r="B1064">
        <v>3.4175</v>
      </c>
    </row>
    <row r="1065" spans="1:2">
      <c r="A1065" s="117">
        <v>34619</v>
      </c>
      <c r="B1065">
        <v>3.4159999999999999</v>
      </c>
    </row>
    <row r="1066" spans="1:2">
      <c r="A1066" s="117">
        <v>34620</v>
      </c>
      <c r="B1066">
        <v>3.4199000000000002</v>
      </c>
    </row>
    <row r="1067" spans="1:2">
      <c r="A1067" s="117">
        <v>34621</v>
      </c>
      <c r="B1067">
        <v>3.4169999999999998</v>
      </c>
    </row>
    <row r="1068" spans="1:2">
      <c r="A1068" s="117">
        <v>34622</v>
      </c>
      <c r="B1068">
        <v>3.4136000000000002</v>
      </c>
    </row>
    <row r="1069" spans="1:2">
      <c r="A1069" s="117">
        <v>34623</v>
      </c>
      <c r="B1069">
        <v>3.4136000000000002</v>
      </c>
    </row>
    <row r="1070" spans="1:2">
      <c r="A1070" s="117">
        <v>34624</v>
      </c>
      <c r="B1070">
        <v>3.4136000000000002</v>
      </c>
    </row>
    <row r="1071" spans="1:2">
      <c r="A1071" s="117">
        <v>34625</v>
      </c>
      <c r="B1071">
        <v>3.4178999999999999</v>
      </c>
    </row>
    <row r="1072" spans="1:2">
      <c r="A1072" s="117">
        <v>34626</v>
      </c>
      <c r="B1072">
        <v>3.4215</v>
      </c>
    </row>
    <row r="1073" spans="1:2">
      <c r="A1073" s="117">
        <v>34627</v>
      </c>
      <c r="B1073">
        <v>3.4216000000000002</v>
      </c>
    </row>
    <row r="1074" spans="1:2">
      <c r="A1074" s="117">
        <v>34628</v>
      </c>
      <c r="B1074">
        <v>3.4106000000000001</v>
      </c>
    </row>
    <row r="1075" spans="1:2">
      <c r="A1075" s="117">
        <v>34629</v>
      </c>
      <c r="B1075">
        <v>3.4173</v>
      </c>
    </row>
    <row r="1076" spans="1:2">
      <c r="A1076" s="117">
        <v>34630</v>
      </c>
      <c r="B1076">
        <v>3.4173</v>
      </c>
    </row>
    <row r="1077" spans="1:2">
      <c r="A1077" s="117">
        <v>34631</v>
      </c>
      <c r="B1077">
        <v>3.4173</v>
      </c>
    </row>
    <row r="1078" spans="1:2">
      <c r="A1078" s="117">
        <v>34632</v>
      </c>
      <c r="B1078">
        <v>3.4175</v>
      </c>
    </row>
    <row r="1079" spans="1:2">
      <c r="A1079" s="117">
        <v>34633</v>
      </c>
      <c r="B1079">
        <v>3.4199000000000002</v>
      </c>
    </row>
    <row r="1080" spans="1:2">
      <c r="A1080" s="117">
        <v>34634</v>
      </c>
      <c r="B1080">
        <v>3.4285999999999999</v>
      </c>
    </row>
    <row r="1081" spans="1:2">
      <c r="A1081" s="117">
        <v>34635</v>
      </c>
      <c r="B1081">
        <v>3.4256000000000002</v>
      </c>
    </row>
    <row r="1082" spans="1:2">
      <c r="A1082" s="117">
        <v>34636</v>
      </c>
      <c r="B1082">
        <v>3.43</v>
      </c>
    </row>
    <row r="1083" spans="1:2">
      <c r="A1083" s="117">
        <v>34637</v>
      </c>
      <c r="B1083">
        <v>3.43</v>
      </c>
    </row>
    <row r="1084" spans="1:2">
      <c r="A1084" s="117">
        <v>34638</v>
      </c>
      <c r="B1084">
        <v>3.43</v>
      </c>
    </row>
    <row r="1085" spans="1:2">
      <c r="A1085" s="117">
        <v>34639</v>
      </c>
      <c r="B1085">
        <v>3.4359999999999999</v>
      </c>
    </row>
    <row r="1086" spans="1:2">
      <c r="A1086" s="117">
        <v>34640</v>
      </c>
      <c r="B1086">
        <v>3.4359999999999999</v>
      </c>
    </row>
    <row r="1087" spans="1:2">
      <c r="A1087" s="117">
        <v>34641</v>
      </c>
      <c r="B1087">
        <v>3.4359999999999999</v>
      </c>
    </row>
    <row r="1088" spans="1:2">
      <c r="A1088" s="117">
        <v>34642</v>
      </c>
      <c r="B1088">
        <v>3.4380999999999999</v>
      </c>
    </row>
    <row r="1089" spans="1:2">
      <c r="A1089" s="117">
        <v>34643</v>
      </c>
      <c r="B1089">
        <v>3.4350000000000001</v>
      </c>
    </row>
    <row r="1090" spans="1:2">
      <c r="A1090" s="117">
        <v>34644</v>
      </c>
      <c r="B1090">
        <v>3.4350000000000001</v>
      </c>
    </row>
    <row r="1091" spans="1:2">
      <c r="A1091" s="117">
        <v>34645</v>
      </c>
      <c r="B1091">
        <v>3.4350000000000001</v>
      </c>
    </row>
    <row r="1092" spans="1:2">
      <c r="A1092" s="117">
        <v>34646</v>
      </c>
      <c r="B1092">
        <v>3.4296000000000002</v>
      </c>
    </row>
    <row r="1093" spans="1:2">
      <c r="A1093" s="117">
        <v>34647</v>
      </c>
      <c r="B1093">
        <v>3.4272999999999998</v>
      </c>
    </row>
    <row r="1094" spans="1:2">
      <c r="A1094" s="117">
        <v>34648</v>
      </c>
      <c r="B1094">
        <v>3.4241000000000001</v>
      </c>
    </row>
    <row r="1095" spans="1:2">
      <c r="A1095" s="117">
        <v>34649</v>
      </c>
      <c r="B1095">
        <v>3.4285000000000001</v>
      </c>
    </row>
    <row r="1096" spans="1:2">
      <c r="A1096" s="117">
        <v>34650</v>
      </c>
      <c r="B1096">
        <v>3.4424000000000001</v>
      </c>
    </row>
    <row r="1097" spans="1:2">
      <c r="A1097" s="117">
        <v>34651</v>
      </c>
      <c r="B1097">
        <v>3.4424000000000001</v>
      </c>
    </row>
    <row r="1098" spans="1:2">
      <c r="A1098" s="117">
        <v>34652</v>
      </c>
      <c r="B1098">
        <v>3.4424000000000001</v>
      </c>
    </row>
    <row r="1099" spans="1:2">
      <c r="A1099" s="117">
        <v>34653</v>
      </c>
      <c r="B1099">
        <v>3.4434999999999998</v>
      </c>
    </row>
    <row r="1100" spans="1:2">
      <c r="A1100" s="117">
        <v>34654</v>
      </c>
      <c r="B1100">
        <v>3.4512999999999998</v>
      </c>
    </row>
    <row r="1101" spans="1:2">
      <c r="A1101" s="117">
        <v>34655</v>
      </c>
      <c r="B1101">
        <v>3.4525999999999999</v>
      </c>
    </row>
    <row r="1102" spans="1:2">
      <c r="A1102" s="117">
        <v>34656</v>
      </c>
      <c r="B1102">
        <v>3.4529999999999998</v>
      </c>
    </row>
    <row r="1103" spans="1:2">
      <c r="A1103" s="117">
        <v>34657</v>
      </c>
      <c r="B1103">
        <v>3.4533999999999998</v>
      </c>
    </row>
    <row r="1104" spans="1:2">
      <c r="A1104" s="117">
        <v>34658</v>
      </c>
      <c r="B1104">
        <v>3.4533999999999998</v>
      </c>
    </row>
    <row r="1105" spans="1:2">
      <c r="A1105" s="117">
        <v>34659</v>
      </c>
      <c r="B1105">
        <v>3.4533999999999998</v>
      </c>
    </row>
    <row r="1106" spans="1:2">
      <c r="A1106" s="117">
        <v>34660</v>
      </c>
      <c r="B1106">
        <v>3.4538000000000002</v>
      </c>
    </row>
    <row r="1107" spans="1:2">
      <c r="A1107" s="117">
        <v>34661</v>
      </c>
      <c r="B1107">
        <v>3.4455</v>
      </c>
    </row>
    <row r="1108" spans="1:2">
      <c r="A1108" s="117">
        <v>34662</v>
      </c>
      <c r="B1108">
        <v>3.4472999999999998</v>
      </c>
    </row>
    <row r="1109" spans="1:2">
      <c r="A1109" s="117">
        <v>34663</v>
      </c>
      <c r="B1109">
        <v>3.4439000000000002</v>
      </c>
    </row>
    <row r="1110" spans="1:2">
      <c r="A1110" s="117">
        <v>34664</v>
      </c>
      <c r="B1110">
        <v>3.448</v>
      </c>
    </row>
    <row r="1111" spans="1:2">
      <c r="A1111" s="117">
        <v>34665</v>
      </c>
      <c r="B1111">
        <v>3.448</v>
      </c>
    </row>
    <row r="1112" spans="1:2">
      <c r="A1112" s="117">
        <v>34666</v>
      </c>
      <c r="B1112">
        <v>3.448</v>
      </c>
    </row>
    <row r="1113" spans="1:2">
      <c r="A1113" s="117">
        <v>34667</v>
      </c>
      <c r="B1113">
        <v>3.4481000000000002</v>
      </c>
    </row>
    <row r="1114" spans="1:2">
      <c r="A1114" s="117">
        <v>34668</v>
      </c>
      <c r="B1114">
        <v>3.4498000000000002</v>
      </c>
    </row>
    <row r="1115" spans="1:2">
      <c r="A1115" s="117">
        <v>34669</v>
      </c>
      <c r="B1115">
        <v>3.4409999999999998</v>
      </c>
    </row>
    <row r="1116" spans="1:2">
      <c r="A1116" s="117">
        <v>34670</v>
      </c>
      <c r="B1116">
        <v>3.4409999999999998</v>
      </c>
    </row>
    <row r="1117" spans="1:2">
      <c r="A1117" s="117">
        <v>34671</v>
      </c>
      <c r="B1117">
        <v>3.4386000000000001</v>
      </c>
    </row>
    <row r="1118" spans="1:2">
      <c r="A1118" s="117">
        <v>34672</v>
      </c>
      <c r="B1118">
        <v>3.4386000000000001</v>
      </c>
    </row>
    <row r="1119" spans="1:2">
      <c r="A1119" s="117">
        <v>34673</v>
      </c>
      <c r="B1119">
        <v>3.4386000000000001</v>
      </c>
    </row>
    <row r="1120" spans="1:2">
      <c r="A1120" s="117">
        <v>34674</v>
      </c>
      <c r="B1120">
        <v>3.4379</v>
      </c>
    </row>
    <row r="1121" spans="1:2">
      <c r="A1121" s="117">
        <v>34675</v>
      </c>
      <c r="B1121">
        <v>3.4418000000000002</v>
      </c>
    </row>
    <row r="1122" spans="1:2">
      <c r="A1122" s="117">
        <v>34676</v>
      </c>
      <c r="B1122">
        <v>3.4468999999999999</v>
      </c>
    </row>
    <row r="1123" spans="1:2">
      <c r="A1123" s="117">
        <v>34677</v>
      </c>
      <c r="B1123">
        <v>3.4519000000000002</v>
      </c>
    </row>
    <row r="1124" spans="1:2">
      <c r="A1124" s="117">
        <v>34678</v>
      </c>
      <c r="B1124">
        <v>3.4510999999999998</v>
      </c>
    </row>
    <row r="1125" spans="1:2">
      <c r="A1125" s="117">
        <v>34679</v>
      </c>
      <c r="B1125">
        <v>3.4510999999999998</v>
      </c>
    </row>
    <row r="1126" spans="1:2">
      <c r="A1126" s="117">
        <v>34680</v>
      </c>
      <c r="B1126">
        <v>3.4510999999999998</v>
      </c>
    </row>
    <row r="1127" spans="1:2">
      <c r="A1127" s="117">
        <v>34681</v>
      </c>
      <c r="B1127">
        <v>3.4510999999999998</v>
      </c>
    </row>
    <row r="1128" spans="1:2">
      <c r="A1128" s="117">
        <v>34682</v>
      </c>
      <c r="B1128">
        <v>3.4533999999999998</v>
      </c>
    </row>
    <row r="1129" spans="1:2">
      <c r="A1129" s="117">
        <v>34683</v>
      </c>
      <c r="B1129">
        <v>3.4584999999999999</v>
      </c>
    </row>
    <row r="1130" spans="1:2">
      <c r="A1130" s="117">
        <v>34684</v>
      </c>
      <c r="B1130">
        <v>3.4542999999999999</v>
      </c>
    </row>
    <row r="1131" spans="1:2">
      <c r="A1131" s="117">
        <v>34685</v>
      </c>
      <c r="B1131">
        <v>3.4605999999999999</v>
      </c>
    </row>
    <row r="1132" spans="1:2">
      <c r="A1132" s="117">
        <v>34686</v>
      </c>
      <c r="B1132">
        <v>3.4605999999999999</v>
      </c>
    </row>
    <row r="1133" spans="1:2">
      <c r="A1133" s="117">
        <v>34687</v>
      </c>
      <c r="B1133">
        <v>3.4605999999999999</v>
      </c>
    </row>
    <row r="1134" spans="1:2">
      <c r="A1134" s="117">
        <v>34688</v>
      </c>
      <c r="B1134">
        <v>3.4634999999999998</v>
      </c>
    </row>
    <row r="1135" spans="1:2">
      <c r="A1135" s="117">
        <v>34689</v>
      </c>
      <c r="B1135">
        <v>3.4662000000000002</v>
      </c>
    </row>
    <row r="1136" spans="1:2">
      <c r="A1136" s="117">
        <v>34690</v>
      </c>
      <c r="B1136">
        <v>3.9413</v>
      </c>
    </row>
    <row r="1137" spans="1:2">
      <c r="A1137" s="117">
        <v>34691</v>
      </c>
      <c r="B1137">
        <v>3.9969999999999999</v>
      </c>
    </row>
    <row r="1138" spans="1:2">
      <c r="A1138" s="117">
        <v>34692</v>
      </c>
      <c r="B1138">
        <v>4.8875000000000002</v>
      </c>
    </row>
    <row r="1139" spans="1:2">
      <c r="A1139" s="117">
        <v>34693</v>
      </c>
      <c r="B1139">
        <v>4.8875000000000002</v>
      </c>
    </row>
    <row r="1140" spans="1:2">
      <c r="A1140" s="117">
        <v>34694</v>
      </c>
      <c r="B1140">
        <v>4.8875000000000002</v>
      </c>
    </row>
    <row r="1141" spans="1:2">
      <c r="A1141" s="117">
        <v>34695</v>
      </c>
      <c r="B1141">
        <v>4.7374999999999998</v>
      </c>
    </row>
    <row r="1142" spans="1:2">
      <c r="A1142" s="117">
        <v>34696</v>
      </c>
      <c r="B1142">
        <v>5.0999999999999996</v>
      </c>
    </row>
    <row r="1143" spans="1:2">
      <c r="A1143" s="117">
        <v>34697</v>
      </c>
      <c r="B1143">
        <v>5.7625000000000002</v>
      </c>
    </row>
    <row r="1144" spans="1:2">
      <c r="A1144" s="117">
        <v>34698</v>
      </c>
      <c r="B1144">
        <v>5.3250000000000002</v>
      </c>
    </row>
    <row r="1145" spans="1:2">
      <c r="A1145" s="117">
        <v>34699</v>
      </c>
      <c r="B1145">
        <v>4.9400000000000004</v>
      </c>
    </row>
    <row r="1146" spans="1:2">
      <c r="A1146" s="117">
        <v>34700</v>
      </c>
      <c r="B1146">
        <v>4.9400000000000004</v>
      </c>
    </row>
    <row r="1147" spans="1:2">
      <c r="A1147" s="117">
        <v>34701</v>
      </c>
      <c r="B1147">
        <v>4.9400000000000004</v>
      </c>
    </row>
    <row r="1148" spans="1:2">
      <c r="A1148" s="117">
        <v>34702</v>
      </c>
      <c r="B1148">
        <v>4.9950000000000001</v>
      </c>
    </row>
    <row r="1149" spans="1:2">
      <c r="A1149" s="117">
        <v>34703</v>
      </c>
      <c r="B1149">
        <v>5.27</v>
      </c>
    </row>
    <row r="1150" spans="1:2">
      <c r="A1150" s="117">
        <v>34704</v>
      </c>
      <c r="B1150">
        <v>5.5</v>
      </c>
    </row>
    <row r="1151" spans="1:2">
      <c r="A1151" s="117">
        <v>34705</v>
      </c>
      <c r="B1151">
        <v>5.53</v>
      </c>
    </row>
    <row r="1152" spans="1:2">
      <c r="A1152" s="117">
        <v>34706</v>
      </c>
      <c r="B1152">
        <v>5.39</v>
      </c>
    </row>
    <row r="1153" spans="1:2">
      <c r="A1153" s="117">
        <v>34707</v>
      </c>
      <c r="B1153">
        <v>5.39</v>
      </c>
    </row>
    <row r="1154" spans="1:2">
      <c r="A1154" s="117">
        <v>34708</v>
      </c>
      <c r="B1154">
        <v>5.39</v>
      </c>
    </row>
    <row r="1155" spans="1:2">
      <c r="A1155" s="117">
        <v>34709</v>
      </c>
      <c r="B1155">
        <v>5.5949999999999998</v>
      </c>
    </row>
    <row r="1156" spans="1:2">
      <c r="A1156" s="117">
        <v>34710</v>
      </c>
      <c r="B1156">
        <v>5.3949999999999996</v>
      </c>
    </row>
    <row r="1157" spans="1:2">
      <c r="A1157" s="117">
        <v>34711</v>
      </c>
      <c r="B1157">
        <v>5.78</v>
      </c>
    </row>
    <row r="1158" spans="1:2">
      <c r="A1158" s="117">
        <v>34712</v>
      </c>
      <c r="B1158">
        <v>5.7575000000000003</v>
      </c>
    </row>
    <row r="1159" spans="1:2">
      <c r="A1159" s="117">
        <v>34713</v>
      </c>
      <c r="B1159">
        <v>5.6875</v>
      </c>
    </row>
    <row r="1160" spans="1:2">
      <c r="A1160" s="117">
        <v>34714</v>
      </c>
      <c r="B1160">
        <v>5.6875</v>
      </c>
    </row>
    <row r="1161" spans="1:2">
      <c r="A1161" s="117">
        <v>34715</v>
      </c>
      <c r="B1161">
        <v>5.6875</v>
      </c>
    </row>
    <row r="1162" spans="1:2">
      <c r="A1162" s="117">
        <v>34716</v>
      </c>
      <c r="B1162">
        <v>5.3949999999999996</v>
      </c>
    </row>
    <row r="1163" spans="1:2">
      <c r="A1163" s="117">
        <v>34717</v>
      </c>
      <c r="B1163">
        <v>5.49</v>
      </c>
    </row>
    <row r="1164" spans="1:2">
      <c r="A1164" s="117">
        <v>34718</v>
      </c>
      <c r="B1164">
        <v>5.3075000000000001</v>
      </c>
    </row>
    <row r="1165" spans="1:2">
      <c r="A1165" s="117">
        <v>34719</v>
      </c>
      <c r="B1165">
        <v>5.2824999999999998</v>
      </c>
    </row>
    <row r="1166" spans="1:2">
      <c r="A1166" s="117">
        <v>34720</v>
      </c>
      <c r="B1166">
        <v>5.6074999999999999</v>
      </c>
    </row>
    <row r="1167" spans="1:2">
      <c r="A1167" s="117">
        <v>34721</v>
      </c>
      <c r="B1167">
        <v>5.6074999999999999</v>
      </c>
    </row>
    <row r="1168" spans="1:2">
      <c r="A1168" s="117">
        <v>34722</v>
      </c>
      <c r="B1168">
        <v>5.6074999999999999</v>
      </c>
    </row>
    <row r="1169" spans="1:2">
      <c r="A1169" s="117">
        <v>34723</v>
      </c>
      <c r="B1169">
        <v>5.7050000000000001</v>
      </c>
    </row>
    <row r="1170" spans="1:2">
      <c r="A1170" s="117">
        <v>34724</v>
      </c>
      <c r="B1170">
        <v>5.7725</v>
      </c>
    </row>
    <row r="1171" spans="1:2">
      <c r="A1171" s="117">
        <v>34725</v>
      </c>
      <c r="B1171">
        <v>5.8075000000000001</v>
      </c>
    </row>
    <row r="1172" spans="1:2">
      <c r="A1172" s="117">
        <v>34726</v>
      </c>
      <c r="B1172">
        <v>5.7</v>
      </c>
    </row>
    <row r="1173" spans="1:2">
      <c r="A1173" s="117">
        <v>34727</v>
      </c>
      <c r="B1173">
        <v>5.69</v>
      </c>
    </row>
    <row r="1174" spans="1:2">
      <c r="A1174" s="117">
        <v>34728</v>
      </c>
      <c r="B1174">
        <v>5.69</v>
      </c>
    </row>
    <row r="1175" spans="1:2">
      <c r="A1175" s="117">
        <v>34729</v>
      </c>
      <c r="B1175">
        <v>5.69</v>
      </c>
    </row>
    <row r="1176" spans="1:2">
      <c r="A1176" s="117">
        <v>34730</v>
      </c>
      <c r="B1176">
        <v>5.6950000000000003</v>
      </c>
    </row>
    <row r="1177" spans="1:2">
      <c r="A1177" s="117">
        <v>34731</v>
      </c>
      <c r="B1177">
        <v>6.5</v>
      </c>
    </row>
    <row r="1178" spans="1:2">
      <c r="A1178" s="117">
        <v>34732</v>
      </c>
      <c r="B1178">
        <v>5.9</v>
      </c>
    </row>
    <row r="1179" spans="1:2">
      <c r="A1179" s="117">
        <v>34733</v>
      </c>
      <c r="B1179">
        <v>5.5125000000000002</v>
      </c>
    </row>
    <row r="1180" spans="1:2">
      <c r="A1180" s="117">
        <v>34734</v>
      </c>
      <c r="B1180">
        <v>5.4550000000000001</v>
      </c>
    </row>
    <row r="1181" spans="1:2">
      <c r="A1181" s="117">
        <v>34735</v>
      </c>
      <c r="B1181">
        <v>5.4550000000000001</v>
      </c>
    </row>
    <row r="1182" spans="1:2">
      <c r="A1182" s="117">
        <v>34736</v>
      </c>
      <c r="B1182">
        <v>5.4550000000000001</v>
      </c>
    </row>
    <row r="1183" spans="1:2">
      <c r="A1183" s="117">
        <v>34737</v>
      </c>
      <c r="B1183">
        <v>5.3775000000000004</v>
      </c>
    </row>
    <row r="1184" spans="1:2">
      <c r="A1184" s="117">
        <v>34738</v>
      </c>
      <c r="B1184">
        <v>5.3650000000000002</v>
      </c>
    </row>
    <row r="1185" spans="1:2">
      <c r="A1185" s="117">
        <v>34739</v>
      </c>
      <c r="B1185">
        <v>5.3624999999999998</v>
      </c>
    </row>
    <row r="1186" spans="1:2">
      <c r="A1186" s="117">
        <v>34740</v>
      </c>
      <c r="B1186">
        <v>5.3624999999999998</v>
      </c>
    </row>
    <row r="1187" spans="1:2">
      <c r="A1187" s="117">
        <v>34741</v>
      </c>
      <c r="B1187">
        <v>5.59</v>
      </c>
    </row>
    <row r="1188" spans="1:2">
      <c r="A1188" s="117">
        <v>34742</v>
      </c>
      <c r="B1188">
        <v>5.59</v>
      </c>
    </row>
    <row r="1189" spans="1:2">
      <c r="A1189" s="117">
        <v>34743</v>
      </c>
      <c r="B1189">
        <v>5.59</v>
      </c>
    </row>
    <row r="1190" spans="1:2">
      <c r="A1190" s="117">
        <v>34744</v>
      </c>
      <c r="B1190">
        <v>5.6375000000000002</v>
      </c>
    </row>
    <row r="1191" spans="1:2">
      <c r="A1191" s="117">
        <v>34745</v>
      </c>
      <c r="B1191">
        <v>5.6150000000000002</v>
      </c>
    </row>
    <row r="1192" spans="1:2">
      <c r="A1192" s="117">
        <v>34746</v>
      </c>
      <c r="B1192">
        <v>5.7675000000000001</v>
      </c>
    </row>
    <row r="1193" spans="1:2">
      <c r="A1193" s="117">
        <v>34747</v>
      </c>
      <c r="B1193">
        <v>5.9924999999999997</v>
      </c>
    </row>
    <row r="1194" spans="1:2">
      <c r="A1194" s="117">
        <v>34748</v>
      </c>
      <c r="B1194">
        <v>6.1</v>
      </c>
    </row>
    <row r="1195" spans="1:2">
      <c r="A1195" s="117">
        <v>34749</v>
      </c>
      <c r="B1195">
        <v>6.1</v>
      </c>
    </row>
    <row r="1196" spans="1:2">
      <c r="A1196" s="117">
        <v>34750</v>
      </c>
      <c r="B1196">
        <v>6.1</v>
      </c>
    </row>
    <row r="1197" spans="1:2">
      <c r="A1197" s="117">
        <v>34751</v>
      </c>
      <c r="B1197">
        <v>5.7149999999999999</v>
      </c>
    </row>
    <row r="1198" spans="1:2">
      <c r="A1198" s="117">
        <v>34752</v>
      </c>
      <c r="B1198">
        <v>5.5225</v>
      </c>
    </row>
    <row r="1199" spans="1:2">
      <c r="A1199" s="117">
        <v>34753</v>
      </c>
      <c r="B1199">
        <v>5.47</v>
      </c>
    </row>
    <row r="1200" spans="1:2">
      <c r="A1200" s="117">
        <v>34754</v>
      </c>
      <c r="B1200">
        <v>5.95</v>
      </c>
    </row>
    <row r="1201" spans="1:2">
      <c r="A1201" s="117">
        <v>34755</v>
      </c>
      <c r="B1201">
        <v>5.6749999999999998</v>
      </c>
    </row>
    <row r="1202" spans="1:2">
      <c r="A1202" s="117">
        <v>34756</v>
      </c>
      <c r="B1202">
        <v>5.6749999999999998</v>
      </c>
    </row>
    <row r="1203" spans="1:2">
      <c r="A1203" s="117">
        <v>34757</v>
      </c>
      <c r="B1203">
        <v>5.6749999999999998</v>
      </c>
    </row>
    <row r="1204" spans="1:2">
      <c r="A1204" s="117">
        <v>34758</v>
      </c>
      <c r="B1204">
        <v>5.8375000000000004</v>
      </c>
    </row>
    <row r="1205" spans="1:2">
      <c r="A1205" s="117">
        <v>34759</v>
      </c>
      <c r="B1205">
        <v>6.0774999999999997</v>
      </c>
    </row>
    <row r="1206" spans="1:2">
      <c r="A1206" s="117">
        <v>34760</v>
      </c>
      <c r="B1206">
        <v>6.0049999999999999</v>
      </c>
    </row>
    <row r="1207" spans="1:2">
      <c r="A1207" s="117">
        <v>34761</v>
      </c>
      <c r="B1207">
        <v>5.9775</v>
      </c>
    </row>
    <row r="1208" spans="1:2">
      <c r="A1208" s="117">
        <v>34762</v>
      </c>
      <c r="B1208">
        <v>5.9625000000000004</v>
      </c>
    </row>
    <row r="1209" spans="1:2">
      <c r="A1209" s="117">
        <v>34763</v>
      </c>
      <c r="B1209">
        <v>5.9625000000000004</v>
      </c>
    </row>
    <row r="1210" spans="1:2">
      <c r="A1210" s="117">
        <v>34764</v>
      </c>
      <c r="B1210">
        <v>5.9625000000000004</v>
      </c>
    </row>
    <row r="1211" spans="1:2">
      <c r="A1211" s="117">
        <v>34765</v>
      </c>
      <c r="B1211">
        <v>6.0724999999999998</v>
      </c>
    </row>
    <row r="1212" spans="1:2">
      <c r="A1212" s="117">
        <v>34766</v>
      </c>
      <c r="B1212">
        <v>6.6349999999999998</v>
      </c>
    </row>
    <row r="1213" spans="1:2">
      <c r="A1213" s="117">
        <v>34767</v>
      </c>
      <c r="B1213">
        <v>6.875</v>
      </c>
    </row>
    <row r="1214" spans="1:2">
      <c r="A1214" s="117">
        <v>34768</v>
      </c>
      <c r="B1214">
        <v>6.8224999999999998</v>
      </c>
    </row>
    <row r="1215" spans="1:2">
      <c r="A1215" s="117">
        <v>34769</v>
      </c>
      <c r="B1215">
        <v>7.5875000000000004</v>
      </c>
    </row>
    <row r="1216" spans="1:2">
      <c r="A1216" s="117">
        <v>34770</v>
      </c>
      <c r="B1216">
        <v>7.5875000000000004</v>
      </c>
    </row>
    <row r="1217" spans="1:2">
      <c r="A1217" s="117">
        <v>34771</v>
      </c>
      <c r="B1217">
        <v>7.5875000000000004</v>
      </c>
    </row>
    <row r="1218" spans="1:2">
      <c r="A1218" s="117">
        <v>34772</v>
      </c>
      <c r="B1218">
        <v>6.4675000000000002</v>
      </c>
    </row>
    <row r="1219" spans="1:2">
      <c r="A1219" s="117">
        <v>34773</v>
      </c>
      <c r="B1219">
        <v>6.47</v>
      </c>
    </row>
    <row r="1220" spans="1:2">
      <c r="A1220" s="117">
        <v>34774</v>
      </c>
      <c r="B1220">
        <v>6.57</v>
      </c>
    </row>
    <row r="1221" spans="1:2">
      <c r="A1221" s="117">
        <v>34775</v>
      </c>
      <c r="B1221">
        <v>6.9725000000000001</v>
      </c>
    </row>
    <row r="1222" spans="1:2">
      <c r="A1222" s="117">
        <v>34776</v>
      </c>
      <c r="B1222">
        <v>7.2074999999999996</v>
      </c>
    </row>
    <row r="1223" spans="1:2">
      <c r="A1223" s="117">
        <v>34777</v>
      </c>
      <c r="B1223">
        <v>7.2074999999999996</v>
      </c>
    </row>
    <row r="1224" spans="1:2">
      <c r="A1224" s="117">
        <v>34778</v>
      </c>
      <c r="B1224">
        <v>7.2074999999999996</v>
      </c>
    </row>
    <row r="1225" spans="1:2">
      <c r="A1225" s="117">
        <v>34779</v>
      </c>
      <c r="B1225">
        <v>7.0824999999999996</v>
      </c>
    </row>
    <row r="1226" spans="1:2">
      <c r="A1226" s="117">
        <v>34780</v>
      </c>
      <c r="B1226">
        <v>7.0824999999999996</v>
      </c>
    </row>
    <row r="1227" spans="1:2">
      <c r="A1227" s="117">
        <v>34781</v>
      </c>
      <c r="B1227">
        <v>7.0875000000000004</v>
      </c>
    </row>
    <row r="1228" spans="1:2">
      <c r="A1228" s="117">
        <v>34782</v>
      </c>
      <c r="B1228">
        <v>7.28</v>
      </c>
    </row>
    <row r="1229" spans="1:2">
      <c r="A1229" s="117">
        <v>34783</v>
      </c>
      <c r="B1229">
        <v>7.0425000000000004</v>
      </c>
    </row>
    <row r="1230" spans="1:2">
      <c r="A1230" s="117">
        <v>34784</v>
      </c>
      <c r="B1230">
        <v>7.0425000000000004</v>
      </c>
    </row>
    <row r="1231" spans="1:2">
      <c r="A1231" s="117">
        <v>34785</v>
      </c>
      <c r="B1231">
        <v>7.0425000000000004</v>
      </c>
    </row>
    <row r="1232" spans="1:2">
      <c r="A1232" s="117">
        <v>34786</v>
      </c>
      <c r="B1232">
        <v>6.875</v>
      </c>
    </row>
    <row r="1233" spans="1:2">
      <c r="A1233" s="117">
        <v>34787</v>
      </c>
      <c r="B1233">
        <v>6.7275</v>
      </c>
    </row>
    <row r="1234" spans="1:2">
      <c r="A1234" s="117">
        <v>34788</v>
      </c>
      <c r="B1234">
        <v>6.8274999999999997</v>
      </c>
    </row>
    <row r="1235" spans="1:2">
      <c r="A1235" s="117">
        <v>34789</v>
      </c>
      <c r="B1235">
        <v>6.8174999999999999</v>
      </c>
    </row>
    <row r="1236" spans="1:2">
      <c r="A1236" s="117">
        <v>34790</v>
      </c>
      <c r="B1236">
        <v>6.78</v>
      </c>
    </row>
    <row r="1237" spans="1:2">
      <c r="A1237" s="117">
        <v>34791</v>
      </c>
      <c r="B1237">
        <v>6.78</v>
      </c>
    </row>
    <row r="1238" spans="1:2">
      <c r="A1238" s="117">
        <v>34792</v>
      </c>
      <c r="B1238">
        <v>6.78</v>
      </c>
    </row>
    <row r="1239" spans="1:2">
      <c r="A1239" s="117">
        <v>34793</v>
      </c>
      <c r="B1239">
        <v>6.8475000000000001</v>
      </c>
    </row>
    <row r="1240" spans="1:2">
      <c r="A1240" s="117">
        <v>34794</v>
      </c>
      <c r="B1240">
        <v>6.8025000000000002</v>
      </c>
    </row>
    <row r="1241" spans="1:2">
      <c r="A1241" s="117">
        <v>34795</v>
      </c>
      <c r="B1241">
        <v>6.5883000000000003</v>
      </c>
    </row>
    <row r="1242" spans="1:2">
      <c r="A1242" s="117">
        <v>34796</v>
      </c>
      <c r="B1242">
        <v>6.4850000000000003</v>
      </c>
    </row>
    <row r="1243" spans="1:2">
      <c r="A1243" s="117">
        <v>34797</v>
      </c>
      <c r="B1243">
        <v>6.3807999999999998</v>
      </c>
    </row>
    <row r="1244" spans="1:2">
      <c r="A1244" s="117">
        <v>34798</v>
      </c>
      <c r="B1244">
        <v>6.3807999999999998</v>
      </c>
    </row>
    <row r="1245" spans="1:2">
      <c r="A1245" s="117">
        <v>34799</v>
      </c>
      <c r="B1245">
        <v>6.3807999999999998</v>
      </c>
    </row>
    <row r="1246" spans="1:2">
      <c r="A1246" s="117">
        <v>34800</v>
      </c>
      <c r="B1246">
        <v>6.2933000000000003</v>
      </c>
    </row>
    <row r="1247" spans="1:2">
      <c r="A1247" s="117">
        <v>34801</v>
      </c>
      <c r="B1247">
        <v>6.2916999999999996</v>
      </c>
    </row>
    <row r="1248" spans="1:2">
      <c r="A1248" s="117">
        <v>34802</v>
      </c>
      <c r="B1248">
        <v>6.3033000000000001</v>
      </c>
    </row>
    <row r="1249" spans="1:2">
      <c r="A1249" s="117">
        <v>34803</v>
      </c>
      <c r="B1249">
        <v>6.3033000000000001</v>
      </c>
    </row>
    <row r="1250" spans="1:2">
      <c r="A1250" s="117">
        <v>34804</v>
      </c>
      <c r="B1250">
        <v>6.3033000000000001</v>
      </c>
    </row>
    <row r="1251" spans="1:2">
      <c r="A1251" s="117">
        <v>34805</v>
      </c>
      <c r="B1251">
        <v>6.3033000000000001</v>
      </c>
    </row>
    <row r="1252" spans="1:2">
      <c r="A1252" s="117">
        <v>34806</v>
      </c>
      <c r="B1252">
        <v>6.3033000000000001</v>
      </c>
    </row>
    <row r="1253" spans="1:2">
      <c r="A1253" s="117">
        <v>34807</v>
      </c>
      <c r="B1253">
        <v>6.2866999999999997</v>
      </c>
    </row>
    <row r="1254" spans="1:2">
      <c r="A1254" s="117">
        <v>34808</v>
      </c>
      <c r="B1254">
        <v>6.2732999999999999</v>
      </c>
    </row>
    <row r="1255" spans="1:2">
      <c r="A1255" s="117">
        <v>34809</v>
      </c>
      <c r="B1255">
        <v>6.2450000000000001</v>
      </c>
    </row>
    <row r="1256" spans="1:2">
      <c r="A1256" s="117">
        <v>34810</v>
      </c>
      <c r="B1256">
        <v>6.1391999999999998</v>
      </c>
    </row>
    <row r="1257" spans="1:2">
      <c r="A1257" s="117">
        <v>34811</v>
      </c>
      <c r="B1257">
        <v>6.0483000000000002</v>
      </c>
    </row>
    <row r="1258" spans="1:2">
      <c r="A1258" s="117">
        <v>34812</v>
      </c>
      <c r="B1258">
        <v>6.0483000000000002</v>
      </c>
    </row>
    <row r="1259" spans="1:2">
      <c r="A1259" s="117">
        <v>34813</v>
      </c>
      <c r="B1259">
        <v>6.0483000000000002</v>
      </c>
    </row>
    <row r="1260" spans="1:2">
      <c r="A1260" s="117">
        <v>34814</v>
      </c>
      <c r="B1260">
        <v>6.0191999999999997</v>
      </c>
    </row>
    <row r="1261" spans="1:2">
      <c r="A1261" s="117">
        <v>34815</v>
      </c>
      <c r="B1261">
        <v>5.9349999999999996</v>
      </c>
    </row>
    <row r="1262" spans="1:2">
      <c r="A1262" s="117">
        <v>34816</v>
      </c>
      <c r="B1262">
        <v>5.8883000000000001</v>
      </c>
    </row>
    <row r="1263" spans="1:2">
      <c r="A1263" s="117">
        <v>34817</v>
      </c>
      <c r="B1263">
        <v>5.7850000000000001</v>
      </c>
    </row>
    <row r="1264" spans="1:2">
      <c r="A1264" s="117">
        <v>34818</v>
      </c>
      <c r="B1264">
        <v>5.8982999999999999</v>
      </c>
    </row>
    <row r="1265" spans="1:2">
      <c r="A1265" s="117">
        <v>34819</v>
      </c>
      <c r="B1265">
        <v>5.8982999999999999</v>
      </c>
    </row>
    <row r="1266" spans="1:2">
      <c r="A1266" s="117">
        <v>34820</v>
      </c>
      <c r="B1266">
        <v>5.8982999999999999</v>
      </c>
    </row>
    <row r="1267" spans="1:2">
      <c r="A1267" s="117">
        <v>34821</v>
      </c>
      <c r="B1267">
        <v>5.8982999999999999</v>
      </c>
    </row>
    <row r="1268" spans="1:2">
      <c r="A1268" s="117">
        <v>34822</v>
      </c>
      <c r="B1268">
        <v>6.0517000000000003</v>
      </c>
    </row>
    <row r="1269" spans="1:2">
      <c r="A1269" s="117">
        <v>34823</v>
      </c>
      <c r="B1269">
        <v>5.9566999999999997</v>
      </c>
    </row>
    <row r="1270" spans="1:2">
      <c r="A1270" s="117">
        <v>34824</v>
      </c>
      <c r="B1270">
        <v>5.8692000000000002</v>
      </c>
    </row>
    <row r="1271" spans="1:2">
      <c r="A1271" s="117">
        <v>34825</v>
      </c>
      <c r="B1271">
        <v>5.8692000000000002</v>
      </c>
    </row>
    <row r="1272" spans="1:2">
      <c r="A1272" s="117">
        <v>34826</v>
      </c>
      <c r="B1272">
        <v>5.8692000000000002</v>
      </c>
    </row>
    <row r="1273" spans="1:2">
      <c r="A1273" s="117">
        <v>34827</v>
      </c>
      <c r="B1273">
        <v>5.8692000000000002</v>
      </c>
    </row>
    <row r="1274" spans="1:2">
      <c r="A1274" s="117">
        <v>34828</v>
      </c>
      <c r="B1274">
        <v>5.8757999999999999</v>
      </c>
    </row>
    <row r="1275" spans="1:2">
      <c r="A1275" s="117">
        <v>34829</v>
      </c>
      <c r="B1275">
        <v>5.8417000000000003</v>
      </c>
    </row>
    <row r="1276" spans="1:2">
      <c r="A1276" s="117">
        <v>34830</v>
      </c>
      <c r="B1276">
        <v>5.8883000000000001</v>
      </c>
    </row>
    <row r="1277" spans="1:2">
      <c r="A1277" s="117">
        <v>34831</v>
      </c>
      <c r="B1277">
        <v>5.9574999999999996</v>
      </c>
    </row>
    <row r="1278" spans="1:2">
      <c r="A1278" s="117">
        <v>34832</v>
      </c>
      <c r="B1278">
        <v>5.9082999999999997</v>
      </c>
    </row>
    <row r="1279" spans="1:2">
      <c r="A1279" s="117">
        <v>34833</v>
      </c>
      <c r="B1279">
        <v>5.9082999999999997</v>
      </c>
    </row>
    <row r="1280" spans="1:2">
      <c r="A1280" s="117">
        <v>34834</v>
      </c>
      <c r="B1280">
        <v>5.9082999999999997</v>
      </c>
    </row>
    <row r="1281" spans="1:2">
      <c r="A1281" s="117">
        <v>34835</v>
      </c>
      <c r="B1281">
        <v>5.9408000000000003</v>
      </c>
    </row>
    <row r="1282" spans="1:2">
      <c r="A1282" s="117">
        <v>34836</v>
      </c>
      <c r="B1282">
        <v>5.9741999999999997</v>
      </c>
    </row>
    <row r="1283" spans="1:2">
      <c r="A1283" s="117">
        <v>34837</v>
      </c>
      <c r="B1283">
        <v>5.9492000000000003</v>
      </c>
    </row>
    <row r="1284" spans="1:2">
      <c r="A1284" s="117">
        <v>34838</v>
      </c>
      <c r="B1284">
        <v>5.9275000000000002</v>
      </c>
    </row>
    <row r="1285" spans="1:2">
      <c r="A1285" s="117">
        <v>34839</v>
      </c>
      <c r="B1285">
        <v>5.92</v>
      </c>
    </row>
    <row r="1286" spans="1:2">
      <c r="A1286" s="117">
        <v>34840</v>
      </c>
      <c r="B1286">
        <v>5.92</v>
      </c>
    </row>
    <row r="1287" spans="1:2">
      <c r="A1287" s="117">
        <v>34841</v>
      </c>
      <c r="B1287">
        <v>5.92</v>
      </c>
    </row>
    <row r="1288" spans="1:2">
      <c r="A1288" s="117">
        <v>34842</v>
      </c>
      <c r="B1288">
        <v>5.9175000000000004</v>
      </c>
    </row>
    <row r="1289" spans="1:2">
      <c r="A1289" s="117">
        <v>34843</v>
      </c>
      <c r="B1289">
        <v>5.9192</v>
      </c>
    </row>
    <row r="1290" spans="1:2">
      <c r="A1290" s="117">
        <v>34844</v>
      </c>
      <c r="B1290">
        <v>5.9950000000000001</v>
      </c>
    </row>
    <row r="1291" spans="1:2">
      <c r="A1291" s="117">
        <v>34845</v>
      </c>
      <c r="B1291">
        <v>6.0350000000000001</v>
      </c>
    </row>
    <row r="1292" spans="1:2">
      <c r="A1292" s="117">
        <v>34846</v>
      </c>
      <c r="B1292">
        <v>6.0549999999999997</v>
      </c>
    </row>
    <row r="1293" spans="1:2">
      <c r="A1293" s="117">
        <v>34847</v>
      </c>
      <c r="B1293">
        <v>6.0549999999999997</v>
      </c>
    </row>
    <row r="1294" spans="1:2">
      <c r="A1294" s="117">
        <v>34848</v>
      </c>
      <c r="B1294">
        <v>6.0549999999999997</v>
      </c>
    </row>
    <row r="1295" spans="1:2">
      <c r="A1295" s="117">
        <v>34849</v>
      </c>
      <c r="B1295">
        <v>6.1582999999999997</v>
      </c>
    </row>
    <row r="1296" spans="1:2">
      <c r="A1296" s="117">
        <v>34850</v>
      </c>
      <c r="B1296">
        <v>6.1775000000000002</v>
      </c>
    </row>
    <row r="1297" spans="1:2">
      <c r="A1297" s="117">
        <v>34851</v>
      </c>
      <c r="B1297">
        <v>6.26</v>
      </c>
    </row>
    <row r="1298" spans="1:2">
      <c r="A1298" s="117">
        <v>34852</v>
      </c>
      <c r="B1298">
        <v>6.1807999999999996</v>
      </c>
    </row>
    <row r="1299" spans="1:2">
      <c r="A1299" s="117">
        <v>34853</v>
      </c>
      <c r="B1299">
        <v>6.2167000000000003</v>
      </c>
    </row>
    <row r="1300" spans="1:2">
      <c r="A1300" s="117">
        <v>34854</v>
      </c>
      <c r="B1300">
        <v>6.2167000000000003</v>
      </c>
    </row>
    <row r="1301" spans="1:2">
      <c r="A1301" s="117">
        <v>34855</v>
      </c>
      <c r="B1301">
        <v>6.2167000000000003</v>
      </c>
    </row>
    <row r="1302" spans="1:2">
      <c r="A1302" s="117">
        <v>34856</v>
      </c>
      <c r="B1302">
        <v>6.2016999999999998</v>
      </c>
    </row>
    <row r="1303" spans="1:2">
      <c r="A1303" s="117">
        <v>34857</v>
      </c>
      <c r="B1303">
        <v>6.1407999999999996</v>
      </c>
    </row>
    <row r="1304" spans="1:2">
      <c r="A1304" s="117">
        <v>34858</v>
      </c>
      <c r="B1304">
        <v>6.1108000000000002</v>
      </c>
    </row>
    <row r="1305" spans="1:2">
      <c r="A1305" s="117">
        <v>34859</v>
      </c>
      <c r="B1305">
        <v>6.1616999999999997</v>
      </c>
    </row>
    <row r="1306" spans="1:2">
      <c r="A1306" s="117">
        <v>34860</v>
      </c>
      <c r="B1306">
        <v>6.2317</v>
      </c>
    </row>
    <row r="1307" spans="1:2">
      <c r="A1307" s="117">
        <v>34861</v>
      </c>
      <c r="B1307">
        <v>6.2317</v>
      </c>
    </row>
    <row r="1308" spans="1:2">
      <c r="A1308" s="117">
        <v>34862</v>
      </c>
      <c r="B1308">
        <v>6.2317</v>
      </c>
    </row>
    <row r="1309" spans="1:2">
      <c r="A1309" s="117">
        <v>34863</v>
      </c>
      <c r="B1309">
        <v>6.2824999999999998</v>
      </c>
    </row>
    <row r="1310" spans="1:2">
      <c r="A1310" s="117">
        <v>34864</v>
      </c>
      <c r="B1310">
        <v>6.2792000000000003</v>
      </c>
    </row>
    <row r="1311" spans="1:2">
      <c r="A1311" s="117">
        <v>34865</v>
      </c>
      <c r="B1311">
        <v>6.1807999999999996</v>
      </c>
    </row>
    <row r="1312" spans="1:2">
      <c r="A1312" s="117">
        <v>34866</v>
      </c>
      <c r="B1312">
        <v>6.2275</v>
      </c>
    </row>
    <row r="1313" spans="1:2">
      <c r="A1313" s="117">
        <v>34867</v>
      </c>
      <c r="B1313">
        <v>6.1867000000000001</v>
      </c>
    </row>
    <row r="1314" spans="1:2">
      <c r="A1314" s="117">
        <v>34868</v>
      </c>
      <c r="B1314">
        <v>6.1867000000000001</v>
      </c>
    </row>
    <row r="1315" spans="1:2">
      <c r="A1315" s="117">
        <v>34869</v>
      </c>
      <c r="B1315">
        <v>6.1867000000000001</v>
      </c>
    </row>
    <row r="1316" spans="1:2">
      <c r="A1316" s="117">
        <v>34870</v>
      </c>
      <c r="B1316">
        <v>6.1807999999999996</v>
      </c>
    </row>
    <row r="1317" spans="1:2">
      <c r="A1317" s="117">
        <v>34871</v>
      </c>
      <c r="B1317">
        <v>6.2008000000000001</v>
      </c>
    </row>
    <row r="1318" spans="1:2">
      <c r="A1318" s="117">
        <v>34872</v>
      </c>
      <c r="B1318">
        <v>6.2516999999999996</v>
      </c>
    </row>
    <row r="1319" spans="1:2">
      <c r="A1319" s="117">
        <v>34873</v>
      </c>
      <c r="B1319">
        <v>6.2866999999999997</v>
      </c>
    </row>
    <row r="1320" spans="1:2">
      <c r="A1320" s="117">
        <v>34874</v>
      </c>
      <c r="B1320">
        <v>6.2424999999999997</v>
      </c>
    </row>
    <row r="1321" spans="1:2">
      <c r="A1321" s="117">
        <v>34875</v>
      </c>
      <c r="B1321">
        <v>6.2424999999999997</v>
      </c>
    </row>
    <row r="1322" spans="1:2">
      <c r="A1322" s="117">
        <v>34876</v>
      </c>
      <c r="B1322">
        <v>6.2424999999999997</v>
      </c>
    </row>
    <row r="1323" spans="1:2">
      <c r="A1323" s="117">
        <v>34877</v>
      </c>
      <c r="B1323">
        <v>6.25</v>
      </c>
    </row>
    <row r="1324" spans="1:2">
      <c r="A1324" s="117">
        <v>34878</v>
      </c>
      <c r="B1324">
        <v>6.2549999999999999</v>
      </c>
    </row>
    <row r="1325" spans="1:2">
      <c r="A1325" s="117">
        <v>34879</v>
      </c>
      <c r="B1325">
        <v>6.2717000000000001</v>
      </c>
    </row>
    <row r="1326" spans="1:2">
      <c r="A1326" s="117">
        <v>34880</v>
      </c>
      <c r="B1326">
        <v>6.3091999999999997</v>
      </c>
    </row>
    <row r="1327" spans="1:2">
      <c r="A1327" s="117">
        <v>34881</v>
      </c>
      <c r="B1327">
        <v>6.2621000000000002</v>
      </c>
    </row>
    <row r="1328" spans="1:2">
      <c r="A1328" s="117">
        <v>34882</v>
      </c>
      <c r="B1328">
        <v>6.2621000000000002</v>
      </c>
    </row>
    <row r="1329" spans="1:2">
      <c r="A1329" s="117">
        <v>34883</v>
      </c>
      <c r="B1329">
        <v>6.2621000000000002</v>
      </c>
    </row>
    <row r="1330" spans="1:2">
      <c r="A1330" s="117">
        <v>34884</v>
      </c>
      <c r="B1330">
        <v>6.2607999999999997</v>
      </c>
    </row>
    <row r="1331" spans="1:2">
      <c r="A1331" s="117">
        <v>34885</v>
      </c>
      <c r="B1331">
        <v>6.2424999999999997</v>
      </c>
    </row>
    <row r="1332" spans="1:2">
      <c r="A1332" s="117">
        <v>34886</v>
      </c>
      <c r="B1332">
        <v>6.2683</v>
      </c>
    </row>
    <row r="1333" spans="1:2">
      <c r="A1333" s="117">
        <v>34887</v>
      </c>
      <c r="B1333">
        <v>6.2633000000000001</v>
      </c>
    </row>
    <row r="1334" spans="1:2">
      <c r="A1334" s="117">
        <v>34888</v>
      </c>
      <c r="B1334">
        <v>6.2370999999999999</v>
      </c>
    </row>
    <row r="1335" spans="1:2">
      <c r="A1335" s="117">
        <v>34889</v>
      </c>
      <c r="B1335">
        <v>6.2370999999999999</v>
      </c>
    </row>
    <row r="1336" spans="1:2">
      <c r="A1336" s="117">
        <v>34890</v>
      </c>
      <c r="B1336">
        <v>6.2370999999999999</v>
      </c>
    </row>
    <row r="1337" spans="1:2">
      <c r="A1337" s="117">
        <v>34891</v>
      </c>
      <c r="B1337">
        <v>6.165</v>
      </c>
    </row>
    <row r="1338" spans="1:2">
      <c r="A1338" s="117">
        <v>34892</v>
      </c>
      <c r="B1338">
        <v>6.1074999999999999</v>
      </c>
    </row>
    <row r="1339" spans="1:2">
      <c r="A1339" s="117">
        <v>34893</v>
      </c>
      <c r="B1339">
        <v>6.1208999999999998</v>
      </c>
    </row>
    <row r="1340" spans="1:2">
      <c r="A1340" s="117">
        <v>34894</v>
      </c>
      <c r="B1340">
        <v>6.0971000000000002</v>
      </c>
    </row>
    <row r="1341" spans="1:2">
      <c r="A1341" s="117">
        <v>34895</v>
      </c>
      <c r="B1341">
        <v>6.0282999999999998</v>
      </c>
    </row>
    <row r="1342" spans="1:2">
      <c r="A1342" s="117">
        <v>34896</v>
      </c>
      <c r="B1342">
        <v>6.0282999999999998</v>
      </c>
    </row>
    <row r="1343" spans="1:2">
      <c r="A1343" s="117">
        <v>34897</v>
      </c>
      <c r="B1343">
        <v>6.0282999999999998</v>
      </c>
    </row>
    <row r="1344" spans="1:2">
      <c r="A1344" s="117">
        <v>34898</v>
      </c>
      <c r="B1344">
        <v>6.0449999999999999</v>
      </c>
    </row>
    <row r="1345" spans="1:2">
      <c r="A1345" s="117">
        <v>34899</v>
      </c>
      <c r="B1345">
        <v>5.9896000000000003</v>
      </c>
    </row>
    <row r="1346" spans="1:2">
      <c r="A1346" s="117">
        <v>34900</v>
      </c>
      <c r="B1346">
        <v>6.0412999999999997</v>
      </c>
    </row>
    <row r="1347" spans="1:2">
      <c r="A1347" s="117">
        <v>34901</v>
      </c>
      <c r="B1347">
        <v>6.0792999999999999</v>
      </c>
    </row>
    <row r="1348" spans="1:2">
      <c r="A1348" s="117">
        <v>34902</v>
      </c>
      <c r="B1348">
        <v>6.1582999999999997</v>
      </c>
    </row>
    <row r="1349" spans="1:2">
      <c r="A1349" s="117">
        <v>34903</v>
      </c>
      <c r="B1349">
        <v>6.1582999999999997</v>
      </c>
    </row>
    <row r="1350" spans="1:2">
      <c r="A1350" s="117">
        <v>34904</v>
      </c>
      <c r="B1350">
        <v>6.1582999999999997</v>
      </c>
    </row>
    <row r="1351" spans="1:2">
      <c r="A1351" s="117">
        <v>34905</v>
      </c>
      <c r="B1351">
        <v>6.0983000000000001</v>
      </c>
    </row>
    <row r="1352" spans="1:2">
      <c r="A1352" s="117">
        <v>34906</v>
      </c>
      <c r="B1352">
        <v>6.1054000000000004</v>
      </c>
    </row>
    <row r="1353" spans="1:2">
      <c r="A1353" s="117">
        <v>34907</v>
      </c>
      <c r="B1353">
        <v>6.15</v>
      </c>
    </row>
    <row r="1354" spans="1:2">
      <c r="A1354" s="117">
        <v>34908</v>
      </c>
      <c r="B1354">
        <v>6.12</v>
      </c>
    </row>
    <row r="1355" spans="1:2">
      <c r="A1355" s="117">
        <v>34909</v>
      </c>
      <c r="B1355">
        <v>6.0881999999999996</v>
      </c>
    </row>
    <row r="1356" spans="1:2">
      <c r="A1356" s="117">
        <v>34910</v>
      </c>
      <c r="B1356">
        <v>6.0881999999999996</v>
      </c>
    </row>
    <row r="1357" spans="1:2">
      <c r="A1357" s="117">
        <v>34911</v>
      </c>
      <c r="B1357">
        <v>6.0881999999999996</v>
      </c>
    </row>
    <row r="1358" spans="1:2">
      <c r="A1358" s="117">
        <v>34912</v>
      </c>
      <c r="B1358">
        <v>6.1052</v>
      </c>
    </row>
    <row r="1359" spans="1:2">
      <c r="A1359" s="117">
        <v>34913</v>
      </c>
      <c r="B1359">
        <v>6.1142000000000003</v>
      </c>
    </row>
    <row r="1360" spans="1:2">
      <c r="A1360" s="117">
        <v>34914</v>
      </c>
      <c r="B1360">
        <v>6.1295999999999999</v>
      </c>
    </row>
    <row r="1361" spans="1:2">
      <c r="A1361" s="117">
        <v>34915</v>
      </c>
      <c r="B1361">
        <v>6.1143000000000001</v>
      </c>
    </row>
    <row r="1362" spans="1:2">
      <c r="A1362" s="117">
        <v>34916</v>
      </c>
      <c r="B1362">
        <v>6.1257999999999999</v>
      </c>
    </row>
    <row r="1363" spans="1:2">
      <c r="A1363" s="117">
        <v>34917</v>
      </c>
      <c r="B1363">
        <v>6.1257999999999999</v>
      </c>
    </row>
    <row r="1364" spans="1:2">
      <c r="A1364" s="117">
        <v>34918</v>
      </c>
      <c r="B1364">
        <v>6.1257999999999999</v>
      </c>
    </row>
    <row r="1365" spans="1:2">
      <c r="A1365" s="117">
        <v>34919</v>
      </c>
      <c r="B1365">
        <v>6.1528999999999998</v>
      </c>
    </row>
    <row r="1366" spans="1:2">
      <c r="A1366" s="117">
        <v>34920</v>
      </c>
      <c r="B1366">
        <v>6.1289999999999996</v>
      </c>
    </row>
    <row r="1367" spans="1:2">
      <c r="A1367" s="117">
        <v>34921</v>
      </c>
      <c r="B1367">
        <v>6.1460999999999997</v>
      </c>
    </row>
    <row r="1368" spans="1:2">
      <c r="A1368" s="117">
        <v>34922</v>
      </c>
      <c r="B1368">
        <v>6.1384999999999996</v>
      </c>
    </row>
    <row r="1369" spans="1:2">
      <c r="A1369" s="117">
        <v>34923</v>
      </c>
      <c r="B1369">
        <v>6.1452999999999998</v>
      </c>
    </row>
    <row r="1370" spans="1:2">
      <c r="A1370" s="117">
        <v>34924</v>
      </c>
      <c r="B1370">
        <v>6.1452999999999998</v>
      </c>
    </row>
    <row r="1371" spans="1:2">
      <c r="A1371" s="117">
        <v>34925</v>
      </c>
      <c r="B1371">
        <v>6.1452999999999998</v>
      </c>
    </row>
    <row r="1372" spans="1:2">
      <c r="A1372" s="117">
        <v>34926</v>
      </c>
      <c r="B1372">
        <v>6.14</v>
      </c>
    </row>
    <row r="1373" spans="1:2">
      <c r="A1373" s="117">
        <v>34927</v>
      </c>
      <c r="B1373">
        <v>6.1425999999999998</v>
      </c>
    </row>
    <row r="1374" spans="1:2">
      <c r="A1374" s="117">
        <v>34928</v>
      </c>
      <c r="B1374">
        <v>6.1544999999999996</v>
      </c>
    </row>
    <row r="1375" spans="1:2">
      <c r="A1375" s="117">
        <v>34929</v>
      </c>
      <c r="B1375">
        <v>6.1673</v>
      </c>
    </row>
    <row r="1376" spans="1:2">
      <c r="A1376" s="117">
        <v>34930</v>
      </c>
      <c r="B1376">
        <v>6.1849999999999996</v>
      </c>
    </row>
    <row r="1377" spans="1:2">
      <c r="A1377" s="117">
        <v>34931</v>
      </c>
      <c r="B1377">
        <v>6.1849999999999996</v>
      </c>
    </row>
    <row r="1378" spans="1:2">
      <c r="A1378" s="117">
        <v>34932</v>
      </c>
      <c r="B1378">
        <v>6.1849999999999996</v>
      </c>
    </row>
    <row r="1379" spans="1:2">
      <c r="A1379" s="117">
        <v>34933</v>
      </c>
      <c r="B1379">
        <v>6.2651000000000003</v>
      </c>
    </row>
    <row r="1380" spans="1:2">
      <c r="A1380" s="117">
        <v>34934</v>
      </c>
      <c r="B1380">
        <v>6.2278000000000002</v>
      </c>
    </row>
    <row r="1381" spans="1:2">
      <c r="A1381" s="117">
        <v>34935</v>
      </c>
      <c r="B1381">
        <v>6.2149999999999999</v>
      </c>
    </row>
    <row r="1382" spans="1:2">
      <c r="A1382" s="117">
        <v>34936</v>
      </c>
      <c r="B1382">
        <v>6.3049999999999997</v>
      </c>
    </row>
    <row r="1383" spans="1:2">
      <c r="A1383" s="117">
        <v>34937</v>
      </c>
      <c r="B1383">
        <v>6.3167</v>
      </c>
    </row>
    <row r="1384" spans="1:2">
      <c r="A1384" s="117">
        <v>34938</v>
      </c>
      <c r="B1384">
        <v>6.3167</v>
      </c>
    </row>
    <row r="1385" spans="1:2">
      <c r="A1385" s="117">
        <v>34939</v>
      </c>
      <c r="B1385">
        <v>6.3167</v>
      </c>
    </row>
    <row r="1386" spans="1:2">
      <c r="A1386" s="117">
        <v>34940</v>
      </c>
      <c r="B1386">
        <v>6.3342000000000001</v>
      </c>
    </row>
    <row r="1387" spans="1:2">
      <c r="A1387" s="117">
        <v>34941</v>
      </c>
      <c r="B1387">
        <v>6.3246000000000002</v>
      </c>
    </row>
    <row r="1388" spans="1:2">
      <c r="A1388" s="117">
        <v>34942</v>
      </c>
      <c r="B1388">
        <v>6.3113999999999999</v>
      </c>
    </row>
    <row r="1389" spans="1:2">
      <c r="A1389" s="117">
        <v>34943</v>
      </c>
      <c r="B1389">
        <v>6.28</v>
      </c>
    </row>
    <row r="1390" spans="1:2">
      <c r="A1390" s="117">
        <v>34944</v>
      </c>
      <c r="B1390">
        <v>6.28</v>
      </c>
    </row>
    <row r="1391" spans="1:2">
      <c r="A1391" s="117">
        <v>34945</v>
      </c>
      <c r="B1391">
        <v>6.28</v>
      </c>
    </row>
    <row r="1392" spans="1:2">
      <c r="A1392" s="117">
        <v>34946</v>
      </c>
      <c r="B1392">
        <v>6.28</v>
      </c>
    </row>
    <row r="1393" spans="1:2">
      <c r="A1393" s="117">
        <v>34947</v>
      </c>
      <c r="B1393">
        <v>6.2763</v>
      </c>
    </row>
    <row r="1394" spans="1:2">
      <c r="A1394" s="117">
        <v>34948</v>
      </c>
      <c r="B1394">
        <v>6.2453000000000003</v>
      </c>
    </row>
    <row r="1395" spans="1:2">
      <c r="A1395" s="117">
        <v>34949</v>
      </c>
      <c r="B1395">
        <v>6.2336999999999998</v>
      </c>
    </row>
    <row r="1396" spans="1:2">
      <c r="A1396" s="117">
        <v>34950</v>
      </c>
      <c r="B1396">
        <v>6.2643000000000004</v>
      </c>
    </row>
    <row r="1397" spans="1:2">
      <c r="A1397" s="117">
        <v>34951</v>
      </c>
      <c r="B1397">
        <v>6.2568000000000001</v>
      </c>
    </row>
    <row r="1398" spans="1:2">
      <c r="A1398" s="117">
        <v>34952</v>
      </c>
      <c r="B1398">
        <v>6.2568000000000001</v>
      </c>
    </row>
    <row r="1399" spans="1:2">
      <c r="A1399" s="117">
        <v>34953</v>
      </c>
      <c r="B1399">
        <v>6.2568000000000001</v>
      </c>
    </row>
    <row r="1400" spans="1:2">
      <c r="A1400" s="117">
        <v>34954</v>
      </c>
      <c r="B1400">
        <v>6.2754000000000003</v>
      </c>
    </row>
    <row r="1401" spans="1:2">
      <c r="A1401" s="117">
        <v>34955</v>
      </c>
      <c r="B1401">
        <v>6.2885999999999997</v>
      </c>
    </row>
    <row r="1402" spans="1:2">
      <c r="A1402" s="117">
        <v>34956</v>
      </c>
      <c r="B1402">
        <v>6.2850000000000001</v>
      </c>
    </row>
    <row r="1403" spans="1:2">
      <c r="A1403" s="117">
        <v>34957</v>
      </c>
      <c r="B1403">
        <v>6.2743000000000002</v>
      </c>
    </row>
    <row r="1404" spans="1:2">
      <c r="A1404" s="117">
        <v>34958</v>
      </c>
      <c r="B1404">
        <v>6.2775999999999996</v>
      </c>
    </row>
    <row r="1405" spans="1:2">
      <c r="A1405" s="117">
        <v>34959</v>
      </c>
      <c r="B1405">
        <v>6.2775999999999996</v>
      </c>
    </row>
    <row r="1406" spans="1:2">
      <c r="A1406" s="117">
        <v>34960</v>
      </c>
      <c r="B1406">
        <v>6.2775999999999996</v>
      </c>
    </row>
    <row r="1407" spans="1:2">
      <c r="A1407" s="117">
        <v>34961</v>
      </c>
      <c r="B1407">
        <v>6.2750000000000004</v>
      </c>
    </row>
    <row r="1408" spans="1:2">
      <c r="A1408" s="117">
        <v>34962</v>
      </c>
      <c r="B1408">
        <v>6.2874999999999996</v>
      </c>
    </row>
    <row r="1409" spans="1:2">
      <c r="A1409" s="117">
        <v>34963</v>
      </c>
      <c r="B1409">
        <v>6.3055000000000003</v>
      </c>
    </row>
    <row r="1410" spans="1:2">
      <c r="A1410" s="117">
        <v>34964</v>
      </c>
      <c r="B1410">
        <v>6.3296999999999999</v>
      </c>
    </row>
    <row r="1411" spans="1:2">
      <c r="A1411" s="117">
        <v>34965</v>
      </c>
      <c r="B1411">
        <v>6.3128000000000002</v>
      </c>
    </row>
    <row r="1412" spans="1:2">
      <c r="A1412" s="117">
        <v>34966</v>
      </c>
      <c r="B1412">
        <v>6.3128000000000002</v>
      </c>
    </row>
    <row r="1413" spans="1:2">
      <c r="A1413" s="117">
        <v>34967</v>
      </c>
      <c r="B1413">
        <v>6.3128000000000002</v>
      </c>
    </row>
    <row r="1414" spans="1:2">
      <c r="A1414" s="117">
        <v>34968</v>
      </c>
      <c r="B1414">
        <v>6.3685</v>
      </c>
    </row>
    <row r="1415" spans="1:2">
      <c r="A1415" s="117">
        <v>34969</v>
      </c>
      <c r="B1415">
        <v>6.3917999999999999</v>
      </c>
    </row>
    <row r="1416" spans="1:2">
      <c r="A1416" s="117">
        <v>34970</v>
      </c>
      <c r="B1416">
        <v>6.3878000000000004</v>
      </c>
    </row>
    <row r="1417" spans="1:2">
      <c r="A1417" s="117">
        <v>34971</v>
      </c>
      <c r="B1417">
        <v>6.4195000000000002</v>
      </c>
    </row>
    <row r="1418" spans="1:2">
      <c r="A1418" s="117">
        <v>34972</v>
      </c>
      <c r="B1418">
        <v>6.4042000000000003</v>
      </c>
    </row>
    <row r="1419" spans="1:2">
      <c r="A1419" s="117">
        <v>34973</v>
      </c>
      <c r="B1419">
        <v>6.4042000000000003</v>
      </c>
    </row>
    <row r="1420" spans="1:2">
      <c r="A1420" s="117">
        <v>34974</v>
      </c>
      <c r="B1420">
        <v>6.4042000000000003</v>
      </c>
    </row>
    <row r="1421" spans="1:2">
      <c r="A1421" s="117">
        <v>34975</v>
      </c>
      <c r="B1421">
        <v>6.3848000000000003</v>
      </c>
    </row>
    <row r="1422" spans="1:2">
      <c r="A1422" s="117">
        <v>34976</v>
      </c>
      <c r="B1422">
        <v>6.4341999999999997</v>
      </c>
    </row>
    <row r="1423" spans="1:2">
      <c r="A1423" s="117">
        <v>34977</v>
      </c>
      <c r="B1423">
        <v>6.5883000000000003</v>
      </c>
    </row>
    <row r="1424" spans="1:2">
      <c r="A1424" s="117">
        <v>34978</v>
      </c>
      <c r="B1424">
        <v>6.5425000000000004</v>
      </c>
    </row>
    <row r="1425" spans="1:2">
      <c r="A1425" s="117">
        <v>34979</v>
      </c>
      <c r="B1425">
        <v>6.5425000000000004</v>
      </c>
    </row>
    <row r="1426" spans="1:2">
      <c r="A1426" s="117">
        <v>34980</v>
      </c>
      <c r="B1426">
        <v>6.5425000000000004</v>
      </c>
    </row>
    <row r="1427" spans="1:2">
      <c r="A1427" s="117">
        <v>34981</v>
      </c>
      <c r="B1427">
        <v>6.5425000000000004</v>
      </c>
    </row>
    <row r="1428" spans="1:2">
      <c r="A1428" s="117">
        <v>34982</v>
      </c>
      <c r="B1428">
        <v>6.5404</v>
      </c>
    </row>
    <row r="1429" spans="1:2">
      <c r="A1429" s="117">
        <v>34983</v>
      </c>
      <c r="B1429">
        <v>6.5740999999999996</v>
      </c>
    </row>
    <row r="1430" spans="1:2">
      <c r="A1430" s="117">
        <v>34984</v>
      </c>
      <c r="B1430">
        <v>6.8132999999999999</v>
      </c>
    </row>
    <row r="1431" spans="1:2">
      <c r="A1431" s="117">
        <v>34985</v>
      </c>
      <c r="B1431">
        <v>6.7466999999999997</v>
      </c>
    </row>
    <row r="1432" spans="1:2">
      <c r="A1432" s="117">
        <v>34986</v>
      </c>
      <c r="B1432">
        <v>6.7042000000000002</v>
      </c>
    </row>
    <row r="1433" spans="1:2">
      <c r="A1433" s="117">
        <v>34987</v>
      </c>
      <c r="B1433">
        <v>6.7042000000000002</v>
      </c>
    </row>
    <row r="1434" spans="1:2">
      <c r="A1434" s="117">
        <v>34988</v>
      </c>
      <c r="B1434">
        <v>6.7042000000000002</v>
      </c>
    </row>
    <row r="1435" spans="1:2">
      <c r="A1435" s="117">
        <v>34989</v>
      </c>
      <c r="B1435">
        <v>6.7480000000000002</v>
      </c>
    </row>
    <row r="1436" spans="1:2">
      <c r="A1436" s="117">
        <v>34990</v>
      </c>
      <c r="B1436">
        <v>6.75</v>
      </c>
    </row>
    <row r="1437" spans="1:2">
      <c r="A1437" s="117">
        <v>34991</v>
      </c>
      <c r="B1437">
        <v>6.7607999999999997</v>
      </c>
    </row>
    <row r="1438" spans="1:2">
      <c r="A1438" s="117">
        <v>34992</v>
      </c>
      <c r="B1438">
        <v>6.7061999999999999</v>
      </c>
    </row>
    <row r="1439" spans="1:2">
      <c r="A1439" s="117">
        <v>34993</v>
      </c>
      <c r="B1439">
        <v>6.6908000000000003</v>
      </c>
    </row>
    <row r="1440" spans="1:2">
      <c r="A1440" s="117">
        <v>34994</v>
      </c>
      <c r="B1440">
        <v>6.6908000000000003</v>
      </c>
    </row>
    <row r="1441" spans="1:2">
      <c r="A1441" s="117">
        <v>34995</v>
      </c>
      <c r="B1441">
        <v>6.6908000000000003</v>
      </c>
    </row>
    <row r="1442" spans="1:2">
      <c r="A1442" s="117">
        <v>34996</v>
      </c>
      <c r="B1442">
        <v>6.6695000000000002</v>
      </c>
    </row>
    <row r="1443" spans="1:2">
      <c r="A1443" s="117">
        <v>34997</v>
      </c>
      <c r="B1443">
        <v>6.7034000000000002</v>
      </c>
    </row>
    <row r="1444" spans="1:2">
      <c r="A1444" s="117">
        <v>34998</v>
      </c>
      <c r="B1444">
        <v>6.7607999999999997</v>
      </c>
    </row>
    <row r="1445" spans="1:2">
      <c r="A1445" s="117">
        <v>34999</v>
      </c>
      <c r="B1445">
        <v>6.8007999999999997</v>
      </c>
    </row>
    <row r="1446" spans="1:2">
      <c r="A1446" s="117">
        <v>35000</v>
      </c>
      <c r="B1446">
        <v>7.1666999999999996</v>
      </c>
    </row>
    <row r="1447" spans="1:2">
      <c r="A1447" s="117">
        <v>35001</v>
      </c>
      <c r="B1447">
        <v>7.1666999999999996</v>
      </c>
    </row>
    <row r="1448" spans="1:2">
      <c r="A1448" s="117">
        <v>35002</v>
      </c>
      <c r="B1448">
        <v>7.1666999999999996</v>
      </c>
    </row>
    <row r="1449" spans="1:2">
      <c r="A1449" s="117">
        <v>35003</v>
      </c>
      <c r="B1449">
        <v>7.1717000000000004</v>
      </c>
    </row>
    <row r="1450" spans="1:2">
      <c r="A1450" s="117">
        <v>35004</v>
      </c>
      <c r="B1450">
        <v>6.9341999999999997</v>
      </c>
    </row>
    <row r="1451" spans="1:2">
      <c r="A1451" s="117">
        <v>35005</v>
      </c>
      <c r="B1451">
        <v>7.1471</v>
      </c>
    </row>
    <row r="1452" spans="1:2">
      <c r="A1452" s="117">
        <v>35006</v>
      </c>
      <c r="B1452">
        <v>7.1471</v>
      </c>
    </row>
    <row r="1453" spans="1:2">
      <c r="A1453" s="117">
        <v>35007</v>
      </c>
      <c r="B1453">
        <v>7.4032999999999998</v>
      </c>
    </row>
    <row r="1454" spans="1:2">
      <c r="A1454" s="117">
        <v>35008</v>
      </c>
      <c r="B1454">
        <v>7.4032999999999998</v>
      </c>
    </row>
    <row r="1455" spans="1:2">
      <c r="A1455" s="117">
        <v>35009</v>
      </c>
      <c r="B1455">
        <v>7.4032999999999998</v>
      </c>
    </row>
    <row r="1456" spans="1:2">
      <c r="A1456" s="117">
        <v>35010</v>
      </c>
      <c r="B1456">
        <v>7.6849999999999996</v>
      </c>
    </row>
    <row r="1457" spans="1:2">
      <c r="A1457" s="117">
        <v>35011</v>
      </c>
      <c r="B1457">
        <v>7.3483000000000001</v>
      </c>
    </row>
    <row r="1458" spans="1:2">
      <c r="A1458" s="117">
        <v>35012</v>
      </c>
      <c r="B1458">
        <v>7.5167000000000002</v>
      </c>
    </row>
    <row r="1459" spans="1:2">
      <c r="A1459" s="117">
        <v>35013</v>
      </c>
      <c r="B1459">
        <v>7.82</v>
      </c>
    </row>
    <row r="1460" spans="1:2">
      <c r="A1460" s="117">
        <v>35014</v>
      </c>
      <c r="B1460">
        <v>8.1382999999999992</v>
      </c>
    </row>
    <row r="1461" spans="1:2">
      <c r="A1461" s="117">
        <v>35015</v>
      </c>
      <c r="B1461">
        <v>8.1382999999999992</v>
      </c>
    </row>
    <row r="1462" spans="1:2">
      <c r="A1462" s="117">
        <v>35016</v>
      </c>
      <c r="B1462">
        <v>8.1382999999999992</v>
      </c>
    </row>
    <row r="1463" spans="1:2">
      <c r="A1463" s="117">
        <v>35017</v>
      </c>
      <c r="B1463">
        <v>7.665</v>
      </c>
    </row>
    <row r="1464" spans="1:2">
      <c r="A1464" s="117">
        <v>35018</v>
      </c>
      <c r="B1464">
        <v>7.8724999999999996</v>
      </c>
    </row>
    <row r="1465" spans="1:2">
      <c r="A1465" s="117">
        <v>35019</v>
      </c>
      <c r="B1465">
        <v>8.0950000000000006</v>
      </c>
    </row>
    <row r="1466" spans="1:2">
      <c r="A1466" s="117">
        <v>35020</v>
      </c>
      <c r="B1466">
        <v>7.9</v>
      </c>
    </row>
    <row r="1467" spans="1:2">
      <c r="A1467" s="117">
        <v>35021</v>
      </c>
      <c r="B1467">
        <v>7.8</v>
      </c>
    </row>
    <row r="1468" spans="1:2">
      <c r="A1468" s="117">
        <v>35022</v>
      </c>
      <c r="B1468">
        <v>7.8</v>
      </c>
    </row>
    <row r="1469" spans="1:2">
      <c r="A1469" s="117">
        <v>35023</v>
      </c>
      <c r="B1469">
        <v>7.8</v>
      </c>
    </row>
    <row r="1470" spans="1:2">
      <c r="A1470" s="117">
        <v>35024</v>
      </c>
      <c r="B1470">
        <v>7.8</v>
      </c>
    </row>
    <row r="1471" spans="1:2">
      <c r="A1471" s="117">
        <v>35025</v>
      </c>
      <c r="B1471">
        <v>7.7507999999999999</v>
      </c>
    </row>
    <row r="1472" spans="1:2">
      <c r="A1472" s="117">
        <v>35026</v>
      </c>
      <c r="B1472">
        <v>7.7066999999999997</v>
      </c>
    </row>
    <row r="1473" spans="1:2">
      <c r="A1473" s="117">
        <v>35027</v>
      </c>
      <c r="B1473">
        <v>7.7241999999999997</v>
      </c>
    </row>
    <row r="1474" spans="1:2">
      <c r="A1474" s="117">
        <v>35028</v>
      </c>
      <c r="B1474">
        <v>7.6349999999999998</v>
      </c>
    </row>
    <row r="1475" spans="1:2">
      <c r="A1475" s="117">
        <v>35029</v>
      </c>
      <c r="B1475">
        <v>7.6349999999999998</v>
      </c>
    </row>
    <row r="1476" spans="1:2">
      <c r="A1476" s="117">
        <v>35030</v>
      </c>
      <c r="B1476">
        <v>7.6349999999999998</v>
      </c>
    </row>
    <row r="1477" spans="1:2">
      <c r="A1477" s="117">
        <v>35031</v>
      </c>
      <c r="B1477">
        <v>7.6966999999999999</v>
      </c>
    </row>
    <row r="1478" spans="1:2">
      <c r="A1478" s="117">
        <v>35032</v>
      </c>
      <c r="B1478">
        <v>7.6783000000000001</v>
      </c>
    </row>
    <row r="1479" spans="1:2">
      <c r="A1479" s="117">
        <v>35033</v>
      </c>
      <c r="B1479">
        <v>7.6516999999999999</v>
      </c>
    </row>
    <row r="1480" spans="1:2">
      <c r="A1480" s="117">
        <v>35034</v>
      </c>
      <c r="B1480">
        <v>7.4775</v>
      </c>
    </row>
    <row r="1481" spans="1:2">
      <c r="A1481" s="117">
        <v>35035</v>
      </c>
      <c r="B1481">
        <v>7.5467000000000004</v>
      </c>
    </row>
    <row r="1482" spans="1:2">
      <c r="A1482" s="117">
        <v>35036</v>
      </c>
      <c r="B1482">
        <v>7.5467000000000004</v>
      </c>
    </row>
    <row r="1483" spans="1:2">
      <c r="A1483" s="117">
        <v>35037</v>
      </c>
      <c r="B1483">
        <v>7.5467000000000004</v>
      </c>
    </row>
    <row r="1484" spans="1:2">
      <c r="A1484" s="117">
        <v>35038</v>
      </c>
      <c r="B1484">
        <v>7.5766999999999998</v>
      </c>
    </row>
    <row r="1485" spans="1:2">
      <c r="A1485" s="117">
        <v>35039</v>
      </c>
      <c r="B1485">
        <v>7.6166999999999998</v>
      </c>
    </row>
    <row r="1486" spans="1:2">
      <c r="A1486" s="117">
        <v>35040</v>
      </c>
      <c r="B1486">
        <v>7.6707999999999998</v>
      </c>
    </row>
    <row r="1487" spans="1:2">
      <c r="A1487" s="117">
        <v>35041</v>
      </c>
      <c r="B1487">
        <v>7.6712999999999996</v>
      </c>
    </row>
    <row r="1488" spans="1:2">
      <c r="A1488" s="117">
        <v>35042</v>
      </c>
      <c r="B1488">
        <v>7.7083000000000004</v>
      </c>
    </row>
    <row r="1489" spans="1:2">
      <c r="A1489" s="117">
        <v>35043</v>
      </c>
      <c r="B1489">
        <v>7.7083000000000004</v>
      </c>
    </row>
    <row r="1490" spans="1:2">
      <c r="A1490" s="117">
        <v>35044</v>
      </c>
      <c r="B1490">
        <v>7.7083000000000004</v>
      </c>
    </row>
    <row r="1491" spans="1:2">
      <c r="A1491" s="117">
        <v>35045</v>
      </c>
      <c r="B1491">
        <v>7.79</v>
      </c>
    </row>
    <row r="1492" spans="1:2">
      <c r="A1492" s="117">
        <v>35046</v>
      </c>
      <c r="B1492">
        <v>7.79</v>
      </c>
    </row>
    <row r="1493" spans="1:2">
      <c r="A1493" s="117">
        <v>35047</v>
      </c>
      <c r="B1493">
        <v>7.7504</v>
      </c>
    </row>
    <row r="1494" spans="1:2">
      <c r="A1494" s="117">
        <v>35048</v>
      </c>
      <c r="B1494">
        <v>7.7949999999999999</v>
      </c>
    </row>
    <row r="1495" spans="1:2">
      <c r="A1495" s="117">
        <v>35049</v>
      </c>
      <c r="B1495">
        <v>7.8192000000000004</v>
      </c>
    </row>
    <row r="1496" spans="1:2">
      <c r="A1496" s="117">
        <v>35050</v>
      </c>
      <c r="B1496">
        <v>7.8192000000000004</v>
      </c>
    </row>
    <row r="1497" spans="1:2">
      <c r="A1497" s="117">
        <v>35051</v>
      </c>
      <c r="B1497">
        <v>7.8192000000000004</v>
      </c>
    </row>
    <row r="1498" spans="1:2">
      <c r="A1498" s="117">
        <v>35052</v>
      </c>
      <c r="B1498">
        <v>7.7695999999999996</v>
      </c>
    </row>
    <row r="1499" spans="1:2">
      <c r="A1499" s="117">
        <v>35053</v>
      </c>
      <c r="B1499">
        <v>7.7587999999999999</v>
      </c>
    </row>
    <row r="1500" spans="1:2">
      <c r="A1500" s="117">
        <v>35054</v>
      </c>
      <c r="B1500">
        <v>7.6809000000000003</v>
      </c>
    </row>
    <row r="1501" spans="1:2">
      <c r="A1501" s="117">
        <v>35055</v>
      </c>
      <c r="B1501">
        <v>7.55</v>
      </c>
    </row>
    <row r="1502" spans="1:2">
      <c r="A1502" s="117">
        <v>35056</v>
      </c>
      <c r="B1502">
        <v>7.5857999999999999</v>
      </c>
    </row>
    <row r="1503" spans="1:2">
      <c r="A1503" s="117">
        <v>35057</v>
      </c>
      <c r="B1503">
        <v>7.5857999999999999</v>
      </c>
    </row>
    <row r="1504" spans="1:2">
      <c r="A1504" s="117">
        <v>35058</v>
      </c>
      <c r="B1504">
        <v>7.5857999999999999</v>
      </c>
    </row>
    <row r="1505" spans="1:2">
      <c r="A1505" s="117">
        <v>35059</v>
      </c>
      <c r="B1505">
        <v>7.5857999999999999</v>
      </c>
    </row>
    <row r="1506" spans="1:2">
      <c r="A1506" s="117">
        <v>35060</v>
      </c>
      <c r="B1506">
        <v>7.5708000000000002</v>
      </c>
    </row>
    <row r="1507" spans="1:2">
      <c r="A1507" s="117">
        <v>35061</v>
      </c>
      <c r="B1507">
        <v>7.5533000000000001</v>
      </c>
    </row>
    <row r="1508" spans="1:2">
      <c r="A1508" s="117">
        <v>35062</v>
      </c>
      <c r="B1508">
        <v>7.6425000000000001</v>
      </c>
    </row>
    <row r="1509" spans="1:2">
      <c r="A1509" s="117">
        <v>35063</v>
      </c>
      <c r="B1509">
        <v>7.6841999999999997</v>
      </c>
    </row>
    <row r="1510" spans="1:2">
      <c r="A1510" s="117">
        <v>35064</v>
      </c>
      <c r="B1510">
        <v>7.6841999999999997</v>
      </c>
    </row>
    <row r="1511" spans="1:2">
      <c r="A1511" s="117">
        <v>35065</v>
      </c>
      <c r="B1511">
        <v>7.6841999999999997</v>
      </c>
    </row>
    <row r="1512" spans="1:2">
      <c r="A1512" s="117">
        <v>35066</v>
      </c>
      <c r="B1512">
        <v>7.6841999999999997</v>
      </c>
    </row>
    <row r="1513" spans="1:2">
      <c r="A1513" s="117">
        <v>35067</v>
      </c>
      <c r="B1513">
        <v>7.7396000000000003</v>
      </c>
    </row>
    <row r="1514" spans="1:2">
      <c r="A1514" s="117">
        <v>35068</v>
      </c>
      <c r="B1514">
        <v>7.6958000000000002</v>
      </c>
    </row>
    <row r="1515" spans="1:2">
      <c r="A1515" s="117">
        <v>35069</v>
      </c>
      <c r="B1515">
        <v>7.5595999999999997</v>
      </c>
    </row>
    <row r="1516" spans="1:2">
      <c r="A1516" s="117">
        <v>35070</v>
      </c>
      <c r="B1516">
        <v>7.57</v>
      </c>
    </row>
    <row r="1517" spans="1:2">
      <c r="A1517" s="117">
        <v>35071</v>
      </c>
      <c r="B1517">
        <v>7.57</v>
      </c>
    </row>
    <row r="1518" spans="1:2">
      <c r="A1518" s="117">
        <v>35072</v>
      </c>
      <c r="B1518">
        <v>7.57</v>
      </c>
    </row>
    <row r="1519" spans="1:2">
      <c r="A1519" s="117">
        <v>35073</v>
      </c>
      <c r="B1519">
        <v>7.5674999999999999</v>
      </c>
    </row>
    <row r="1520" spans="1:2">
      <c r="A1520" s="117">
        <v>35074</v>
      </c>
      <c r="B1520">
        <v>7.5388000000000002</v>
      </c>
    </row>
    <row r="1521" spans="1:2">
      <c r="A1521" s="117">
        <v>35075</v>
      </c>
      <c r="B1521">
        <v>7.4779</v>
      </c>
    </row>
    <row r="1522" spans="1:2">
      <c r="A1522" s="117">
        <v>35076</v>
      </c>
      <c r="B1522">
        <v>7.5187999999999997</v>
      </c>
    </row>
    <row r="1523" spans="1:2">
      <c r="A1523" s="117">
        <v>35077</v>
      </c>
      <c r="B1523">
        <v>7.5213000000000001</v>
      </c>
    </row>
    <row r="1524" spans="1:2">
      <c r="A1524" s="117">
        <v>35078</v>
      </c>
      <c r="B1524">
        <v>7.5213000000000001</v>
      </c>
    </row>
    <row r="1525" spans="1:2">
      <c r="A1525" s="117">
        <v>35079</v>
      </c>
      <c r="B1525">
        <v>7.5213000000000001</v>
      </c>
    </row>
    <row r="1526" spans="1:2">
      <c r="A1526" s="117">
        <v>35080</v>
      </c>
      <c r="B1526">
        <v>7.4679000000000002</v>
      </c>
    </row>
    <row r="1527" spans="1:2">
      <c r="A1527" s="117">
        <v>35081</v>
      </c>
      <c r="B1527">
        <v>7.5246000000000004</v>
      </c>
    </row>
    <row r="1528" spans="1:2">
      <c r="A1528" s="117">
        <v>35082</v>
      </c>
      <c r="B1528">
        <v>7.5254000000000003</v>
      </c>
    </row>
    <row r="1529" spans="1:2">
      <c r="A1529" s="117">
        <v>35083</v>
      </c>
      <c r="B1529">
        <v>7.51</v>
      </c>
    </row>
    <row r="1530" spans="1:2">
      <c r="A1530" s="117">
        <v>35084</v>
      </c>
      <c r="B1530">
        <v>7.4667000000000003</v>
      </c>
    </row>
    <row r="1531" spans="1:2">
      <c r="A1531" s="117">
        <v>35085</v>
      </c>
      <c r="B1531">
        <v>7.4667000000000003</v>
      </c>
    </row>
    <row r="1532" spans="1:2">
      <c r="A1532" s="117">
        <v>35086</v>
      </c>
      <c r="B1532">
        <v>7.4667000000000003</v>
      </c>
    </row>
    <row r="1533" spans="1:2">
      <c r="A1533" s="117">
        <v>35087</v>
      </c>
      <c r="B1533">
        <v>7.4295999999999998</v>
      </c>
    </row>
    <row r="1534" spans="1:2">
      <c r="A1534" s="117">
        <v>35088</v>
      </c>
      <c r="B1534">
        <v>7.3122999999999996</v>
      </c>
    </row>
    <row r="1535" spans="1:2">
      <c r="A1535" s="117">
        <v>35089</v>
      </c>
      <c r="B1535">
        <v>7.3608000000000002</v>
      </c>
    </row>
    <row r="1536" spans="1:2">
      <c r="A1536" s="117">
        <v>35090</v>
      </c>
      <c r="B1536">
        <v>7.4215</v>
      </c>
    </row>
    <row r="1537" spans="1:2">
      <c r="A1537" s="117">
        <v>35091</v>
      </c>
      <c r="B1537">
        <v>7.3867000000000003</v>
      </c>
    </row>
    <row r="1538" spans="1:2">
      <c r="A1538" s="117">
        <v>35092</v>
      </c>
      <c r="B1538">
        <v>7.3867000000000003</v>
      </c>
    </row>
    <row r="1539" spans="1:2">
      <c r="A1539" s="117">
        <v>35093</v>
      </c>
      <c r="B1539">
        <v>7.3867000000000003</v>
      </c>
    </row>
    <row r="1540" spans="1:2">
      <c r="A1540" s="117">
        <v>35094</v>
      </c>
      <c r="B1540">
        <v>7.4348999999999998</v>
      </c>
    </row>
    <row r="1541" spans="1:2">
      <c r="A1541" s="117">
        <v>35095</v>
      </c>
      <c r="B1541">
        <v>7.3907999999999996</v>
      </c>
    </row>
    <row r="1542" spans="1:2">
      <c r="A1542" s="117">
        <v>35096</v>
      </c>
      <c r="B1542">
        <v>7.3699000000000003</v>
      </c>
    </row>
    <row r="1543" spans="1:2">
      <c r="A1543" s="117">
        <v>35097</v>
      </c>
      <c r="B1543">
        <v>7.4211999999999998</v>
      </c>
    </row>
    <row r="1544" spans="1:2">
      <c r="A1544" s="117">
        <v>35098</v>
      </c>
      <c r="B1544">
        <v>7.4169999999999998</v>
      </c>
    </row>
    <row r="1545" spans="1:2">
      <c r="A1545" s="117">
        <v>35099</v>
      </c>
      <c r="B1545">
        <v>7.4169999999999998</v>
      </c>
    </row>
    <row r="1546" spans="1:2">
      <c r="A1546" s="117">
        <v>35100</v>
      </c>
      <c r="B1546">
        <v>7.4169999999999998</v>
      </c>
    </row>
    <row r="1547" spans="1:2">
      <c r="A1547" s="117">
        <v>35101</v>
      </c>
      <c r="B1547">
        <v>7.4169999999999998</v>
      </c>
    </row>
    <row r="1548" spans="1:2">
      <c r="A1548" s="117">
        <v>35102</v>
      </c>
      <c r="B1548">
        <v>7.4241000000000001</v>
      </c>
    </row>
    <row r="1549" spans="1:2">
      <c r="A1549" s="117">
        <v>35103</v>
      </c>
      <c r="B1549">
        <v>7.4821</v>
      </c>
    </row>
    <row r="1550" spans="1:2">
      <c r="A1550" s="117">
        <v>35104</v>
      </c>
      <c r="B1550">
        <v>7.48</v>
      </c>
    </row>
    <row r="1551" spans="1:2">
      <c r="A1551" s="117">
        <v>35105</v>
      </c>
      <c r="B1551">
        <v>7.4863</v>
      </c>
    </row>
    <row r="1552" spans="1:2">
      <c r="A1552" s="117">
        <v>35106</v>
      </c>
      <c r="B1552">
        <v>7.4863</v>
      </c>
    </row>
    <row r="1553" spans="1:2">
      <c r="A1553" s="117">
        <v>35107</v>
      </c>
      <c r="B1553">
        <v>7.4863</v>
      </c>
    </row>
    <row r="1554" spans="1:2">
      <c r="A1554" s="117">
        <v>35108</v>
      </c>
      <c r="B1554">
        <v>7.4928999999999997</v>
      </c>
    </row>
    <row r="1555" spans="1:2">
      <c r="A1555" s="117">
        <v>35109</v>
      </c>
      <c r="B1555">
        <v>7.5278999999999998</v>
      </c>
    </row>
    <row r="1556" spans="1:2">
      <c r="A1556" s="117">
        <v>35110</v>
      </c>
      <c r="B1556">
        <v>7.5688000000000004</v>
      </c>
    </row>
    <row r="1557" spans="1:2">
      <c r="A1557" s="117">
        <v>35111</v>
      </c>
      <c r="B1557">
        <v>7.5297999999999998</v>
      </c>
    </row>
    <row r="1558" spans="1:2">
      <c r="A1558" s="117">
        <v>35112</v>
      </c>
      <c r="B1558">
        <v>7.5007999999999999</v>
      </c>
    </row>
    <row r="1559" spans="1:2">
      <c r="A1559" s="117">
        <v>35113</v>
      </c>
      <c r="B1559">
        <v>7.5007999999999999</v>
      </c>
    </row>
    <row r="1560" spans="1:2">
      <c r="A1560" s="117">
        <v>35114</v>
      </c>
      <c r="B1560">
        <v>7.5007999999999999</v>
      </c>
    </row>
    <row r="1561" spans="1:2">
      <c r="A1561" s="117">
        <v>35115</v>
      </c>
      <c r="B1561">
        <v>7.5446</v>
      </c>
    </row>
    <row r="1562" spans="1:2">
      <c r="A1562" s="117">
        <v>35116</v>
      </c>
      <c r="B1562">
        <v>7.5457999999999998</v>
      </c>
    </row>
    <row r="1563" spans="1:2">
      <c r="A1563" s="117">
        <v>35117</v>
      </c>
      <c r="B1563">
        <v>7.5785</v>
      </c>
    </row>
    <row r="1564" spans="1:2">
      <c r="A1564" s="117">
        <v>35118</v>
      </c>
      <c r="B1564">
        <v>7.5381</v>
      </c>
    </row>
    <row r="1565" spans="1:2">
      <c r="A1565" s="117">
        <v>35119</v>
      </c>
      <c r="B1565">
        <v>7.5476999999999999</v>
      </c>
    </row>
    <row r="1566" spans="1:2">
      <c r="A1566" s="117">
        <v>35120</v>
      </c>
      <c r="B1566">
        <v>7.5476999999999999</v>
      </c>
    </row>
    <row r="1567" spans="1:2">
      <c r="A1567" s="117">
        <v>35121</v>
      </c>
      <c r="B1567">
        <v>7.5476999999999999</v>
      </c>
    </row>
    <row r="1568" spans="1:2">
      <c r="A1568" s="117">
        <v>35122</v>
      </c>
      <c r="B1568">
        <v>7.5331000000000001</v>
      </c>
    </row>
    <row r="1569" spans="1:2">
      <c r="A1569" s="117">
        <v>35123</v>
      </c>
      <c r="B1569">
        <v>7.5571000000000002</v>
      </c>
    </row>
    <row r="1570" spans="1:2">
      <c r="A1570" s="117">
        <v>35124</v>
      </c>
      <c r="B1570">
        <v>7.5389999999999997</v>
      </c>
    </row>
    <row r="1571" spans="1:2">
      <c r="A1571" s="117">
        <v>35125</v>
      </c>
      <c r="B1571">
        <v>7.5572999999999997</v>
      </c>
    </row>
    <row r="1572" spans="1:2">
      <c r="A1572" s="117">
        <v>35126</v>
      </c>
      <c r="B1572">
        <v>7.6295999999999999</v>
      </c>
    </row>
    <row r="1573" spans="1:2">
      <c r="A1573" s="117">
        <v>35127</v>
      </c>
      <c r="B1573">
        <v>7.6295999999999999</v>
      </c>
    </row>
    <row r="1574" spans="1:2">
      <c r="A1574" s="117">
        <v>35128</v>
      </c>
      <c r="B1574">
        <v>7.6295999999999999</v>
      </c>
    </row>
    <row r="1575" spans="1:2">
      <c r="A1575" s="117">
        <v>35129</v>
      </c>
      <c r="B1575">
        <v>7.5891000000000002</v>
      </c>
    </row>
    <row r="1576" spans="1:2">
      <c r="A1576" s="117">
        <v>35130</v>
      </c>
      <c r="B1576">
        <v>7.5747</v>
      </c>
    </row>
    <row r="1577" spans="1:2">
      <c r="A1577" s="117">
        <v>35131</v>
      </c>
      <c r="B1577">
        <v>7.5862999999999996</v>
      </c>
    </row>
    <row r="1578" spans="1:2">
      <c r="A1578" s="117">
        <v>35132</v>
      </c>
      <c r="B1578">
        <v>7.5952000000000002</v>
      </c>
    </row>
    <row r="1579" spans="1:2">
      <c r="A1579" s="117">
        <v>35133</v>
      </c>
      <c r="B1579">
        <v>7.5712999999999999</v>
      </c>
    </row>
    <row r="1580" spans="1:2">
      <c r="A1580" s="117">
        <v>35134</v>
      </c>
      <c r="B1580">
        <v>7.5712999999999999</v>
      </c>
    </row>
    <row r="1581" spans="1:2">
      <c r="A1581" s="117">
        <v>35135</v>
      </c>
      <c r="B1581">
        <v>7.5712999999999999</v>
      </c>
    </row>
    <row r="1582" spans="1:2">
      <c r="A1582" s="117">
        <v>35136</v>
      </c>
      <c r="B1582">
        <v>7.5892999999999997</v>
      </c>
    </row>
    <row r="1583" spans="1:2">
      <c r="A1583" s="117">
        <v>35137</v>
      </c>
      <c r="B1583">
        <v>7.6237000000000004</v>
      </c>
    </row>
    <row r="1584" spans="1:2">
      <c r="A1584" s="117">
        <v>35138</v>
      </c>
      <c r="B1584">
        <v>7.6044999999999998</v>
      </c>
    </row>
    <row r="1585" spans="1:2">
      <c r="A1585" s="117">
        <v>35139</v>
      </c>
      <c r="B1585">
        <v>7.5892999999999997</v>
      </c>
    </row>
    <row r="1586" spans="1:2">
      <c r="A1586" s="117">
        <v>35140</v>
      </c>
      <c r="B1586">
        <v>7.5616000000000003</v>
      </c>
    </row>
    <row r="1587" spans="1:2">
      <c r="A1587" s="117">
        <v>35141</v>
      </c>
      <c r="B1587">
        <v>7.5616000000000003</v>
      </c>
    </row>
    <row r="1588" spans="1:2">
      <c r="A1588" s="117">
        <v>35142</v>
      </c>
      <c r="B1588">
        <v>7.5616000000000003</v>
      </c>
    </row>
    <row r="1589" spans="1:2">
      <c r="A1589" s="117">
        <v>35143</v>
      </c>
      <c r="B1589">
        <v>7.5762</v>
      </c>
    </row>
    <row r="1590" spans="1:2">
      <c r="A1590" s="117">
        <v>35144</v>
      </c>
      <c r="B1590">
        <v>7.5560999999999998</v>
      </c>
    </row>
    <row r="1591" spans="1:2">
      <c r="A1591" s="117">
        <v>35145</v>
      </c>
      <c r="B1591">
        <v>7.5242000000000004</v>
      </c>
    </row>
    <row r="1592" spans="1:2">
      <c r="A1592" s="117">
        <v>35146</v>
      </c>
      <c r="B1592">
        <v>7.5242000000000004</v>
      </c>
    </row>
    <row r="1593" spans="1:2">
      <c r="A1593" s="117">
        <v>35147</v>
      </c>
      <c r="B1593">
        <v>7.5431999999999997</v>
      </c>
    </row>
    <row r="1594" spans="1:2">
      <c r="A1594" s="117">
        <v>35148</v>
      </c>
      <c r="B1594">
        <v>7.5431999999999997</v>
      </c>
    </row>
    <row r="1595" spans="1:2">
      <c r="A1595" s="117">
        <v>35149</v>
      </c>
      <c r="B1595">
        <v>7.5431999999999997</v>
      </c>
    </row>
    <row r="1596" spans="1:2">
      <c r="A1596" s="117">
        <v>35150</v>
      </c>
      <c r="B1596">
        <v>7.56</v>
      </c>
    </row>
    <row r="1597" spans="1:2">
      <c r="A1597" s="117">
        <v>35151</v>
      </c>
      <c r="B1597">
        <v>7.5484</v>
      </c>
    </row>
    <row r="1598" spans="1:2">
      <c r="A1598" s="117">
        <v>35152</v>
      </c>
      <c r="B1598">
        <v>7.5437000000000003</v>
      </c>
    </row>
    <row r="1599" spans="1:2">
      <c r="A1599" s="117">
        <v>35153</v>
      </c>
      <c r="B1599">
        <v>7.5479000000000003</v>
      </c>
    </row>
    <row r="1600" spans="1:2">
      <c r="A1600" s="117">
        <v>35154</v>
      </c>
      <c r="B1600">
        <v>7.5526</v>
      </c>
    </row>
    <row r="1601" spans="1:2">
      <c r="A1601" s="117">
        <v>35155</v>
      </c>
      <c r="B1601">
        <v>7.5526</v>
      </c>
    </row>
    <row r="1602" spans="1:2">
      <c r="A1602" s="117">
        <v>35156</v>
      </c>
      <c r="B1602">
        <v>7.5526</v>
      </c>
    </row>
    <row r="1603" spans="1:2">
      <c r="A1603" s="117">
        <v>35157</v>
      </c>
      <c r="B1603">
        <v>7.5374999999999996</v>
      </c>
    </row>
    <row r="1604" spans="1:2">
      <c r="A1604" s="117">
        <v>35158</v>
      </c>
      <c r="B1604">
        <v>7.5126999999999997</v>
      </c>
    </row>
    <row r="1605" spans="1:2">
      <c r="A1605" s="117">
        <v>35159</v>
      </c>
      <c r="B1605">
        <v>7.5110000000000001</v>
      </c>
    </row>
    <row r="1606" spans="1:2">
      <c r="A1606" s="117">
        <v>35160</v>
      </c>
      <c r="B1606">
        <v>7.5110000000000001</v>
      </c>
    </row>
    <row r="1607" spans="1:2">
      <c r="A1607" s="117">
        <v>35161</v>
      </c>
      <c r="B1607">
        <v>7.5110000000000001</v>
      </c>
    </row>
    <row r="1608" spans="1:2">
      <c r="A1608" s="117">
        <v>35162</v>
      </c>
      <c r="B1608">
        <v>7.5110000000000001</v>
      </c>
    </row>
    <row r="1609" spans="1:2">
      <c r="A1609" s="117">
        <v>35163</v>
      </c>
      <c r="B1609">
        <v>7.5110000000000001</v>
      </c>
    </row>
    <row r="1610" spans="1:2">
      <c r="A1610" s="117">
        <v>35164</v>
      </c>
      <c r="B1610">
        <v>7.5180999999999996</v>
      </c>
    </row>
    <row r="1611" spans="1:2">
      <c r="A1611" s="117">
        <v>35165</v>
      </c>
      <c r="B1611">
        <v>7.5724999999999998</v>
      </c>
    </row>
    <row r="1612" spans="1:2">
      <c r="A1612" s="117">
        <v>35166</v>
      </c>
      <c r="B1612">
        <v>7.5366</v>
      </c>
    </row>
    <row r="1613" spans="1:2">
      <c r="A1613" s="117">
        <v>35167</v>
      </c>
      <c r="B1613">
        <v>7.4950000000000001</v>
      </c>
    </row>
    <row r="1614" spans="1:2">
      <c r="A1614" s="117">
        <v>35168</v>
      </c>
      <c r="B1614">
        <v>7.4989999999999997</v>
      </c>
    </row>
    <row r="1615" spans="1:2">
      <c r="A1615" s="117">
        <v>35169</v>
      </c>
      <c r="B1615">
        <v>7.4989999999999997</v>
      </c>
    </row>
    <row r="1616" spans="1:2">
      <c r="A1616" s="117">
        <v>35170</v>
      </c>
      <c r="B1616">
        <v>7.4989999999999997</v>
      </c>
    </row>
    <row r="1617" spans="1:2">
      <c r="A1617" s="117">
        <v>35171</v>
      </c>
      <c r="B1617">
        <v>7.4995000000000003</v>
      </c>
    </row>
    <row r="1618" spans="1:2">
      <c r="A1618" s="117">
        <v>35172</v>
      </c>
      <c r="B1618">
        <v>7.4736000000000002</v>
      </c>
    </row>
    <row r="1619" spans="1:2">
      <c r="A1619" s="117">
        <v>35173</v>
      </c>
      <c r="B1619">
        <v>7.4314999999999998</v>
      </c>
    </row>
    <row r="1620" spans="1:2">
      <c r="A1620" s="117">
        <v>35174</v>
      </c>
      <c r="B1620">
        <v>7.4276</v>
      </c>
    </row>
    <row r="1621" spans="1:2">
      <c r="A1621" s="117">
        <v>35175</v>
      </c>
      <c r="B1621">
        <v>7.4409999999999998</v>
      </c>
    </row>
    <row r="1622" spans="1:2">
      <c r="A1622" s="117">
        <v>35176</v>
      </c>
      <c r="B1622">
        <v>7.4409999999999998</v>
      </c>
    </row>
    <row r="1623" spans="1:2">
      <c r="A1623" s="117">
        <v>35177</v>
      </c>
      <c r="B1623">
        <v>7.4409999999999998</v>
      </c>
    </row>
    <row r="1624" spans="1:2">
      <c r="A1624" s="117">
        <v>35178</v>
      </c>
      <c r="B1624">
        <v>7.4053000000000004</v>
      </c>
    </row>
    <row r="1625" spans="1:2">
      <c r="A1625" s="117">
        <v>35179</v>
      </c>
      <c r="B1625">
        <v>7.3776000000000002</v>
      </c>
    </row>
    <row r="1626" spans="1:2">
      <c r="A1626" s="117">
        <v>35180</v>
      </c>
      <c r="B1626">
        <v>7.4175000000000004</v>
      </c>
    </row>
    <row r="1627" spans="1:2">
      <c r="A1627" s="117">
        <v>35181</v>
      </c>
      <c r="B1627">
        <v>7.4329999999999998</v>
      </c>
    </row>
    <row r="1628" spans="1:2">
      <c r="A1628" s="117">
        <v>35182</v>
      </c>
      <c r="B1628">
        <v>7.3794000000000004</v>
      </c>
    </row>
    <row r="1629" spans="1:2">
      <c r="A1629" s="117">
        <v>35183</v>
      </c>
      <c r="B1629">
        <v>7.3794000000000004</v>
      </c>
    </row>
    <row r="1630" spans="1:2">
      <c r="A1630" s="117">
        <v>35184</v>
      </c>
      <c r="B1630">
        <v>7.3794000000000004</v>
      </c>
    </row>
    <row r="1631" spans="1:2">
      <c r="A1631" s="117">
        <v>35185</v>
      </c>
      <c r="B1631">
        <v>7.4042000000000003</v>
      </c>
    </row>
    <row r="1632" spans="1:2">
      <c r="A1632" s="117">
        <v>35186</v>
      </c>
      <c r="B1632">
        <v>7.4526000000000003</v>
      </c>
    </row>
    <row r="1633" spans="1:2">
      <c r="A1633" s="117">
        <v>35187</v>
      </c>
      <c r="B1633">
        <v>7.4526000000000003</v>
      </c>
    </row>
    <row r="1634" spans="1:2">
      <c r="A1634" s="117">
        <v>35188</v>
      </c>
      <c r="B1634">
        <v>7.4462000000000002</v>
      </c>
    </row>
    <row r="1635" spans="1:2">
      <c r="A1635" s="117">
        <v>35189</v>
      </c>
      <c r="B1635">
        <v>7.4691999999999998</v>
      </c>
    </row>
    <row r="1636" spans="1:2">
      <c r="A1636" s="117">
        <v>35190</v>
      </c>
      <c r="B1636">
        <v>7.4691999999999998</v>
      </c>
    </row>
    <row r="1637" spans="1:2">
      <c r="A1637" s="117">
        <v>35191</v>
      </c>
      <c r="B1637">
        <v>7.4691999999999998</v>
      </c>
    </row>
    <row r="1638" spans="1:2">
      <c r="A1638" s="117">
        <v>35192</v>
      </c>
      <c r="B1638">
        <v>7.4748999999999999</v>
      </c>
    </row>
    <row r="1639" spans="1:2">
      <c r="A1639" s="117">
        <v>35193</v>
      </c>
      <c r="B1639">
        <v>7.5282999999999998</v>
      </c>
    </row>
    <row r="1640" spans="1:2">
      <c r="A1640" s="117">
        <v>35194</v>
      </c>
      <c r="B1640">
        <v>7.5119999999999996</v>
      </c>
    </row>
    <row r="1641" spans="1:2">
      <c r="A1641" s="117">
        <v>35195</v>
      </c>
      <c r="B1641">
        <v>7.4828000000000001</v>
      </c>
    </row>
    <row r="1642" spans="1:2">
      <c r="A1642" s="117">
        <v>35196</v>
      </c>
      <c r="B1642">
        <v>7.4762000000000004</v>
      </c>
    </row>
    <row r="1643" spans="1:2">
      <c r="A1643" s="117">
        <v>35197</v>
      </c>
      <c r="B1643">
        <v>7.4762000000000004</v>
      </c>
    </row>
    <row r="1644" spans="1:2">
      <c r="A1644" s="117">
        <v>35198</v>
      </c>
      <c r="B1644">
        <v>7.4762000000000004</v>
      </c>
    </row>
    <row r="1645" spans="1:2">
      <c r="A1645" s="117">
        <v>35199</v>
      </c>
      <c r="B1645">
        <v>7.4469000000000003</v>
      </c>
    </row>
    <row r="1646" spans="1:2">
      <c r="A1646" s="117">
        <v>35200</v>
      </c>
      <c r="B1646">
        <v>7.4433999999999996</v>
      </c>
    </row>
    <row r="1647" spans="1:2">
      <c r="A1647" s="117">
        <v>35201</v>
      </c>
      <c r="B1647">
        <v>7.4074999999999998</v>
      </c>
    </row>
    <row r="1648" spans="1:2">
      <c r="A1648" s="117">
        <v>35202</v>
      </c>
      <c r="B1648">
        <v>7.4466999999999999</v>
      </c>
    </row>
    <row r="1649" spans="1:2">
      <c r="A1649" s="117">
        <v>35203</v>
      </c>
      <c r="B1649">
        <v>7.4179000000000004</v>
      </c>
    </row>
    <row r="1650" spans="1:2">
      <c r="A1650" s="117">
        <v>35204</v>
      </c>
      <c r="B1650">
        <v>7.4179000000000004</v>
      </c>
    </row>
    <row r="1651" spans="1:2">
      <c r="A1651" s="117">
        <v>35205</v>
      </c>
      <c r="B1651">
        <v>7.4179000000000004</v>
      </c>
    </row>
    <row r="1652" spans="1:2">
      <c r="A1652" s="117">
        <v>35206</v>
      </c>
      <c r="B1652">
        <v>7.4019000000000004</v>
      </c>
    </row>
    <row r="1653" spans="1:2">
      <c r="A1653" s="117">
        <v>35207</v>
      </c>
      <c r="B1653">
        <v>7.4123999999999999</v>
      </c>
    </row>
    <row r="1654" spans="1:2">
      <c r="A1654" s="117">
        <v>35208</v>
      </c>
      <c r="B1654">
        <v>7.3940000000000001</v>
      </c>
    </row>
    <row r="1655" spans="1:2">
      <c r="A1655" s="117">
        <v>35209</v>
      </c>
      <c r="B1655">
        <v>7.3860999999999999</v>
      </c>
    </row>
    <row r="1656" spans="1:2">
      <c r="A1656" s="117">
        <v>35210</v>
      </c>
      <c r="B1656">
        <v>7.3822999999999999</v>
      </c>
    </row>
    <row r="1657" spans="1:2">
      <c r="A1657" s="117">
        <v>35211</v>
      </c>
      <c r="B1657">
        <v>7.3822999999999999</v>
      </c>
    </row>
    <row r="1658" spans="1:2">
      <c r="A1658" s="117">
        <v>35212</v>
      </c>
      <c r="B1658">
        <v>7.3822999999999999</v>
      </c>
    </row>
    <row r="1659" spans="1:2">
      <c r="A1659" s="117">
        <v>35213</v>
      </c>
      <c r="B1659">
        <v>7.3987999999999996</v>
      </c>
    </row>
    <row r="1660" spans="1:2">
      <c r="A1660" s="117">
        <v>35214</v>
      </c>
      <c r="B1660">
        <v>7.3840000000000003</v>
      </c>
    </row>
    <row r="1661" spans="1:2">
      <c r="A1661" s="117">
        <v>35215</v>
      </c>
      <c r="B1661">
        <v>7.3849999999999998</v>
      </c>
    </row>
    <row r="1662" spans="1:2">
      <c r="A1662" s="117">
        <v>35216</v>
      </c>
      <c r="B1662">
        <v>7.4095000000000004</v>
      </c>
    </row>
    <row r="1663" spans="1:2">
      <c r="A1663" s="117">
        <v>35217</v>
      </c>
      <c r="B1663">
        <v>7.4367000000000001</v>
      </c>
    </row>
    <row r="1664" spans="1:2">
      <c r="A1664" s="117">
        <v>35218</v>
      </c>
      <c r="B1664">
        <v>7.4367000000000001</v>
      </c>
    </row>
    <row r="1665" spans="1:2">
      <c r="A1665" s="117">
        <v>35219</v>
      </c>
      <c r="B1665">
        <v>7.4367000000000001</v>
      </c>
    </row>
    <row r="1666" spans="1:2">
      <c r="A1666" s="117">
        <v>35220</v>
      </c>
      <c r="B1666">
        <v>7.4207999999999998</v>
      </c>
    </row>
    <row r="1667" spans="1:2">
      <c r="A1667" s="117">
        <v>35221</v>
      </c>
      <c r="B1667">
        <v>7.4747000000000003</v>
      </c>
    </row>
    <row r="1668" spans="1:2">
      <c r="A1668" s="117">
        <v>35222</v>
      </c>
      <c r="B1668">
        <v>7.4313000000000002</v>
      </c>
    </row>
    <row r="1669" spans="1:2">
      <c r="A1669" s="117">
        <v>35223</v>
      </c>
      <c r="B1669">
        <v>7.4650999999999996</v>
      </c>
    </row>
    <row r="1670" spans="1:2">
      <c r="A1670" s="117">
        <v>35224</v>
      </c>
      <c r="B1670">
        <v>7.5016999999999996</v>
      </c>
    </row>
    <row r="1671" spans="1:2">
      <c r="A1671" s="117">
        <v>35225</v>
      </c>
      <c r="B1671">
        <v>7.5016999999999996</v>
      </c>
    </row>
    <row r="1672" spans="1:2">
      <c r="A1672" s="117">
        <v>35226</v>
      </c>
      <c r="B1672">
        <v>7.5016999999999996</v>
      </c>
    </row>
    <row r="1673" spans="1:2">
      <c r="A1673" s="117">
        <v>35227</v>
      </c>
      <c r="B1673">
        <v>7.5278</v>
      </c>
    </row>
    <row r="1674" spans="1:2">
      <c r="A1674" s="117">
        <v>35228</v>
      </c>
      <c r="B1674">
        <v>7.5148999999999999</v>
      </c>
    </row>
    <row r="1675" spans="1:2">
      <c r="A1675" s="117">
        <v>35229</v>
      </c>
      <c r="B1675">
        <v>7.6307999999999998</v>
      </c>
    </row>
    <row r="1676" spans="1:2">
      <c r="A1676" s="117">
        <v>35230</v>
      </c>
      <c r="B1676">
        <v>7.5743</v>
      </c>
    </row>
    <row r="1677" spans="1:2">
      <c r="A1677" s="117">
        <v>35231</v>
      </c>
      <c r="B1677">
        <v>7.6342999999999996</v>
      </c>
    </row>
    <row r="1678" spans="1:2">
      <c r="A1678" s="117">
        <v>35232</v>
      </c>
      <c r="B1678">
        <v>7.6342999999999996</v>
      </c>
    </row>
    <row r="1679" spans="1:2">
      <c r="A1679" s="117">
        <v>35233</v>
      </c>
      <c r="B1679">
        <v>7.6342999999999996</v>
      </c>
    </row>
    <row r="1680" spans="1:2">
      <c r="A1680" s="117">
        <v>35234</v>
      </c>
      <c r="B1680">
        <v>7.5934999999999997</v>
      </c>
    </row>
    <row r="1681" spans="1:2">
      <c r="A1681" s="117">
        <v>35235</v>
      </c>
      <c r="B1681">
        <v>7.5842999999999998</v>
      </c>
    </row>
    <row r="1682" spans="1:2">
      <c r="A1682" s="117">
        <v>35236</v>
      </c>
      <c r="B1682">
        <v>7.5552000000000001</v>
      </c>
    </row>
    <row r="1683" spans="1:2">
      <c r="A1683" s="117">
        <v>35237</v>
      </c>
      <c r="B1683">
        <v>7.5267999999999997</v>
      </c>
    </row>
    <row r="1684" spans="1:2">
      <c r="A1684" s="117">
        <v>35238</v>
      </c>
      <c r="B1684">
        <v>7.5506000000000002</v>
      </c>
    </row>
    <row r="1685" spans="1:2">
      <c r="A1685" s="117">
        <v>35239</v>
      </c>
      <c r="B1685">
        <v>7.5506000000000002</v>
      </c>
    </row>
    <row r="1686" spans="1:2">
      <c r="A1686" s="117">
        <v>35240</v>
      </c>
      <c r="B1686">
        <v>7.5506000000000002</v>
      </c>
    </row>
    <row r="1687" spans="1:2">
      <c r="A1687" s="117">
        <v>35241</v>
      </c>
      <c r="B1687">
        <v>7.5743</v>
      </c>
    </row>
    <row r="1688" spans="1:2">
      <c r="A1688" s="117">
        <v>35242</v>
      </c>
      <c r="B1688">
        <v>7.6352000000000002</v>
      </c>
    </row>
    <row r="1689" spans="1:2">
      <c r="A1689" s="117">
        <v>35243</v>
      </c>
      <c r="B1689">
        <v>7.6077000000000004</v>
      </c>
    </row>
    <row r="1690" spans="1:2">
      <c r="A1690" s="117">
        <v>35244</v>
      </c>
      <c r="B1690">
        <v>7.6108000000000002</v>
      </c>
    </row>
    <row r="1691" spans="1:2">
      <c r="A1691" s="117">
        <v>35245</v>
      </c>
      <c r="B1691">
        <v>7.6322999999999999</v>
      </c>
    </row>
    <row r="1692" spans="1:2">
      <c r="A1692" s="117">
        <v>35246</v>
      </c>
      <c r="B1692">
        <v>7.6322999999999999</v>
      </c>
    </row>
    <row r="1693" spans="1:2">
      <c r="A1693" s="117">
        <v>35247</v>
      </c>
      <c r="B1693">
        <v>7.6322999999999999</v>
      </c>
    </row>
    <row r="1694" spans="1:2">
      <c r="A1694" s="117">
        <v>35248</v>
      </c>
      <c r="B1694">
        <v>7.5814000000000004</v>
      </c>
    </row>
    <row r="1695" spans="1:2">
      <c r="A1695" s="117">
        <v>35249</v>
      </c>
      <c r="B1695">
        <v>7.6215000000000002</v>
      </c>
    </row>
    <row r="1696" spans="1:2">
      <c r="A1696" s="117">
        <v>35250</v>
      </c>
      <c r="B1696">
        <v>7.5842000000000001</v>
      </c>
    </row>
    <row r="1697" spans="1:2">
      <c r="A1697" s="117">
        <v>35251</v>
      </c>
      <c r="B1697">
        <v>7.5925000000000002</v>
      </c>
    </row>
    <row r="1698" spans="1:2">
      <c r="A1698" s="117">
        <v>35252</v>
      </c>
      <c r="B1698">
        <v>7.6093000000000002</v>
      </c>
    </row>
    <row r="1699" spans="1:2">
      <c r="A1699" s="117">
        <v>35253</v>
      </c>
      <c r="B1699">
        <v>7.6093000000000002</v>
      </c>
    </row>
    <row r="1700" spans="1:2">
      <c r="A1700" s="117">
        <v>35254</v>
      </c>
      <c r="B1700">
        <v>7.6093000000000002</v>
      </c>
    </row>
    <row r="1701" spans="1:2">
      <c r="A1701" s="117">
        <v>35255</v>
      </c>
      <c r="B1701">
        <v>7.6318000000000001</v>
      </c>
    </row>
    <row r="1702" spans="1:2">
      <c r="A1702" s="117">
        <v>35256</v>
      </c>
      <c r="B1702">
        <v>7.6688000000000001</v>
      </c>
    </row>
    <row r="1703" spans="1:2">
      <c r="A1703" s="117">
        <v>35257</v>
      </c>
      <c r="B1703">
        <v>7.6383000000000001</v>
      </c>
    </row>
    <row r="1704" spans="1:2">
      <c r="A1704" s="117">
        <v>35258</v>
      </c>
      <c r="B1704">
        <v>7.6182999999999996</v>
      </c>
    </row>
    <row r="1705" spans="1:2">
      <c r="A1705" s="117">
        <v>35259</v>
      </c>
      <c r="B1705">
        <v>7.6429</v>
      </c>
    </row>
    <row r="1706" spans="1:2">
      <c r="A1706" s="117">
        <v>35260</v>
      </c>
      <c r="B1706">
        <v>7.6429</v>
      </c>
    </row>
    <row r="1707" spans="1:2">
      <c r="A1707" s="117">
        <v>35261</v>
      </c>
      <c r="B1707">
        <v>7.6429</v>
      </c>
    </row>
    <row r="1708" spans="1:2">
      <c r="A1708" s="117">
        <v>35262</v>
      </c>
      <c r="B1708">
        <v>7.6390000000000002</v>
      </c>
    </row>
    <row r="1709" spans="1:2">
      <c r="A1709" s="117">
        <v>35263</v>
      </c>
      <c r="B1709">
        <v>7.6452999999999998</v>
      </c>
    </row>
    <row r="1710" spans="1:2">
      <c r="A1710" s="117">
        <v>35264</v>
      </c>
      <c r="B1710">
        <v>7.6574999999999998</v>
      </c>
    </row>
    <row r="1711" spans="1:2">
      <c r="A1711" s="117">
        <v>35265</v>
      </c>
      <c r="B1711">
        <v>7.6536</v>
      </c>
    </row>
    <row r="1712" spans="1:2">
      <c r="A1712" s="117">
        <v>35266</v>
      </c>
      <c r="B1712">
        <v>7.6452999999999998</v>
      </c>
    </row>
    <row r="1713" spans="1:2">
      <c r="A1713" s="117">
        <v>35267</v>
      </c>
      <c r="B1713">
        <v>7.6452999999999998</v>
      </c>
    </row>
    <row r="1714" spans="1:2">
      <c r="A1714" s="117">
        <v>35268</v>
      </c>
      <c r="B1714">
        <v>7.6452999999999998</v>
      </c>
    </row>
    <row r="1715" spans="1:2">
      <c r="A1715" s="117">
        <v>35269</v>
      </c>
      <c r="B1715">
        <v>7.6167999999999996</v>
      </c>
    </row>
    <row r="1716" spans="1:2">
      <c r="A1716" s="117">
        <v>35270</v>
      </c>
      <c r="B1716">
        <v>7.6292999999999997</v>
      </c>
    </row>
    <row r="1717" spans="1:2">
      <c r="A1717" s="117">
        <v>35271</v>
      </c>
      <c r="B1717">
        <v>7.6078000000000001</v>
      </c>
    </row>
    <row r="1718" spans="1:2">
      <c r="A1718" s="117">
        <v>35272</v>
      </c>
      <c r="B1718">
        <v>7.6116999999999999</v>
      </c>
    </row>
    <row r="1719" spans="1:2">
      <c r="A1719" s="117">
        <v>35273</v>
      </c>
      <c r="B1719">
        <v>7.5903</v>
      </c>
    </row>
    <row r="1720" spans="1:2">
      <c r="A1720" s="117">
        <v>35274</v>
      </c>
      <c r="B1720">
        <v>7.5903</v>
      </c>
    </row>
    <row r="1721" spans="1:2">
      <c r="A1721" s="117">
        <v>35275</v>
      </c>
      <c r="B1721">
        <v>7.5903</v>
      </c>
    </row>
    <row r="1722" spans="1:2">
      <c r="A1722" s="117">
        <v>35276</v>
      </c>
      <c r="B1722">
        <v>7.5959000000000003</v>
      </c>
    </row>
    <row r="1723" spans="1:2">
      <c r="A1723" s="117">
        <v>35277</v>
      </c>
      <c r="B1723">
        <v>7.6135000000000002</v>
      </c>
    </row>
    <row r="1724" spans="1:2">
      <c r="A1724" s="117">
        <v>35278</v>
      </c>
      <c r="B1724">
        <v>7.5712999999999999</v>
      </c>
    </row>
    <row r="1725" spans="1:2">
      <c r="A1725" s="117">
        <v>35279</v>
      </c>
      <c r="B1725">
        <v>7.5892999999999997</v>
      </c>
    </row>
    <row r="1726" spans="1:2">
      <c r="A1726" s="117">
        <v>35280</v>
      </c>
      <c r="B1726">
        <v>7.5709</v>
      </c>
    </row>
    <row r="1727" spans="1:2">
      <c r="A1727" s="117">
        <v>35281</v>
      </c>
      <c r="B1727">
        <v>7.5709</v>
      </c>
    </row>
    <row r="1728" spans="1:2">
      <c r="A1728" s="117">
        <v>35282</v>
      </c>
      <c r="B1728">
        <v>7.5709</v>
      </c>
    </row>
    <row r="1729" spans="1:2">
      <c r="A1729" s="117">
        <v>35283</v>
      </c>
      <c r="B1729">
        <v>7.5374999999999996</v>
      </c>
    </row>
    <row r="1730" spans="1:2">
      <c r="A1730" s="117">
        <v>35284</v>
      </c>
      <c r="B1730">
        <v>7.5503999999999998</v>
      </c>
    </row>
    <row r="1731" spans="1:2">
      <c r="A1731" s="117">
        <v>35285</v>
      </c>
      <c r="B1731">
        <v>7.5339999999999998</v>
      </c>
    </row>
    <row r="1732" spans="1:2">
      <c r="A1732" s="117">
        <v>35286</v>
      </c>
      <c r="B1732">
        <v>7.5118999999999998</v>
      </c>
    </row>
    <row r="1733" spans="1:2">
      <c r="A1733" s="117">
        <v>35287</v>
      </c>
      <c r="B1733">
        <v>7.5349000000000004</v>
      </c>
    </row>
    <row r="1734" spans="1:2">
      <c r="A1734" s="117">
        <v>35288</v>
      </c>
      <c r="B1734">
        <v>7.5349000000000004</v>
      </c>
    </row>
    <row r="1735" spans="1:2">
      <c r="A1735" s="117">
        <v>35289</v>
      </c>
      <c r="B1735">
        <v>7.5349000000000004</v>
      </c>
    </row>
    <row r="1736" spans="1:2">
      <c r="A1736" s="117">
        <v>35290</v>
      </c>
      <c r="B1736">
        <v>7.5171999999999999</v>
      </c>
    </row>
    <row r="1737" spans="1:2">
      <c r="A1737" s="117">
        <v>35291</v>
      </c>
      <c r="B1737">
        <v>7.5106000000000002</v>
      </c>
    </row>
    <row r="1738" spans="1:2">
      <c r="A1738" s="117">
        <v>35292</v>
      </c>
      <c r="B1738">
        <v>7.4897</v>
      </c>
    </row>
    <row r="1739" spans="1:2">
      <c r="A1739" s="117">
        <v>35293</v>
      </c>
      <c r="B1739">
        <v>7.4867999999999997</v>
      </c>
    </row>
    <row r="1740" spans="1:2">
      <c r="A1740" s="117">
        <v>35294</v>
      </c>
      <c r="B1740">
        <v>7.5076999999999998</v>
      </c>
    </row>
    <row r="1741" spans="1:2">
      <c r="A1741" s="117">
        <v>35295</v>
      </c>
      <c r="B1741">
        <v>7.5076999999999998</v>
      </c>
    </row>
    <row r="1742" spans="1:2">
      <c r="A1742" s="117">
        <v>35296</v>
      </c>
      <c r="B1742">
        <v>7.5076999999999998</v>
      </c>
    </row>
    <row r="1743" spans="1:2">
      <c r="A1743" s="117">
        <v>35297</v>
      </c>
      <c r="B1743">
        <v>7.4789000000000003</v>
      </c>
    </row>
    <row r="1744" spans="1:2">
      <c r="A1744" s="117">
        <v>35298</v>
      </c>
      <c r="B1744">
        <v>7.4854000000000003</v>
      </c>
    </row>
    <row r="1745" spans="1:2">
      <c r="A1745" s="117">
        <v>35299</v>
      </c>
      <c r="B1745">
        <v>7.4778000000000002</v>
      </c>
    </row>
    <row r="1746" spans="1:2">
      <c r="A1746" s="117">
        <v>35300</v>
      </c>
      <c r="B1746">
        <v>7.4858000000000002</v>
      </c>
    </row>
    <row r="1747" spans="1:2">
      <c r="A1747" s="117">
        <v>35301</v>
      </c>
      <c r="B1747">
        <v>7.4756999999999998</v>
      </c>
    </row>
    <row r="1748" spans="1:2">
      <c r="A1748" s="117">
        <v>35302</v>
      </c>
      <c r="B1748">
        <v>7.4756999999999998</v>
      </c>
    </row>
    <row r="1749" spans="1:2">
      <c r="A1749" s="117">
        <v>35303</v>
      </c>
      <c r="B1749">
        <v>7.4756999999999998</v>
      </c>
    </row>
    <row r="1750" spans="1:2">
      <c r="A1750" s="117">
        <v>35304</v>
      </c>
      <c r="B1750">
        <v>7.4829999999999997</v>
      </c>
    </row>
    <row r="1751" spans="1:2">
      <c r="A1751" s="117">
        <v>35305</v>
      </c>
      <c r="B1751">
        <v>7.5019999999999998</v>
      </c>
    </row>
    <row r="1752" spans="1:2">
      <c r="A1752" s="117">
        <v>35306</v>
      </c>
      <c r="B1752">
        <v>7.5163000000000002</v>
      </c>
    </row>
    <row r="1753" spans="1:2">
      <c r="A1753" s="117">
        <v>35307</v>
      </c>
      <c r="B1753">
        <v>7.4930000000000003</v>
      </c>
    </row>
    <row r="1754" spans="1:2">
      <c r="A1754" s="117">
        <v>35308</v>
      </c>
      <c r="B1754">
        <v>7.5205000000000002</v>
      </c>
    </row>
    <row r="1755" spans="1:2">
      <c r="A1755" s="117">
        <v>35309</v>
      </c>
      <c r="B1755">
        <v>7.5205000000000002</v>
      </c>
    </row>
    <row r="1756" spans="1:2">
      <c r="A1756" s="117">
        <v>35310</v>
      </c>
      <c r="B1756">
        <v>7.5205000000000002</v>
      </c>
    </row>
    <row r="1757" spans="1:2">
      <c r="A1757" s="117">
        <v>35311</v>
      </c>
      <c r="B1757">
        <v>7.5831</v>
      </c>
    </row>
    <row r="1758" spans="1:2">
      <c r="A1758" s="117">
        <v>35312</v>
      </c>
      <c r="B1758">
        <v>7.5490000000000004</v>
      </c>
    </row>
    <row r="1759" spans="1:2">
      <c r="A1759" s="117">
        <v>35313</v>
      </c>
      <c r="B1759">
        <v>7.5827999999999998</v>
      </c>
    </row>
    <row r="1760" spans="1:2">
      <c r="A1760" s="117">
        <v>35314</v>
      </c>
      <c r="B1760">
        <v>7.5620000000000003</v>
      </c>
    </row>
    <row r="1761" spans="1:2">
      <c r="A1761" s="117">
        <v>35315</v>
      </c>
      <c r="B1761">
        <v>7.5995999999999997</v>
      </c>
    </row>
    <row r="1762" spans="1:2">
      <c r="A1762" s="117">
        <v>35316</v>
      </c>
      <c r="B1762">
        <v>7.5995999999999997</v>
      </c>
    </row>
    <row r="1763" spans="1:2">
      <c r="A1763" s="117">
        <v>35317</v>
      </c>
      <c r="B1763">
        <v>7.5995999999999997</v>
      </c>
    </row>
    <row r="1764" spans="1:2">
      <c r="A1764" s="117">
        <v>35318</v>
      </c>
      <c r="B1764">
        <v>7.5768000000000004</v>
      </c>
    </row>
    <row r="1765" spans="1:2">
      <c r="A1765" s="117">
        <v>35319</v>
      </c>
      <c r="B1765">
        <v>7.5426000000000002</v>
      </c>
    </row>
    <row r="1766" spans="1:2">
      <c r="A1766" s="117">
        <v>35320</v>
      </c>
      <c r="B1766">
        <v>7.5385</v>
      </c>
    </row>
    <row r="1767" spans="1:2">
      <c r="A1767" s="117">
        <v>35321</v>
      </c>
      <c r="B1767">
        <v>7.5561999999999996</v>
      </c>
    </row>
    <row r="1768" spans="1:2">
      <c r="A1768" s="117">
        <v>35322</v>
      </c>
      <c r="B1768">
        <v>7.5416999999999996</v>
      </c>
    </row>
    <row r="1769" spans="1:2">
      <c r="A1769" s="117">
        <v>35323</v>
      </c>
      <c r="B1769">
        <v>7.5416999999999996</v>
      </c>
    </row>
    <row r="1770" spans="1:2">
      <c r="A1770" s="117">
        <v>35324</v>
      </c>
      <c r="B1770">
        <v>7.5416999999999996</v>
      </c>
    </row>
    <row r="1771" spans="1:2">
      <c r="A1771" s="117">
        <v>35325</v>
      </c>
      <c r="B1771">
        <v>7.5416999999999996</v>
      </c>
    </row>
    <row r="1772" spans="1:2">
      <c r="A1772" s="117">
        <v>35326</v>
      </c>
      <c r="B1772">
        <v>7.5138999999999996</v>
      </c>
    </row>
    <row r="1773" spans="1:2">
      <c r="A1773" s="117">
        <v>35327</v>
      </c>
      <c r="B1773">
        <v>7.5054999999999996</v>
      </c>
    </row>
    <row r="1774" spans="1:2">
      <c r="A1774" s="117">
        <v>35328</v>
      </c>
      <c r="B1774">
        <v>7.4907000000000004</v>
      </c>
    </row>
    <row r="1775" spans="1:2">
      <c r="A1775" s="117">
        <v>35329</v>
      </c>
      <c r="B1775">
        <v>7.5052000000000003</v>
      </c>
    </row>
    <row r="1776" spans="1:2">
      <c r="A1776" s="117">
        <v>35330</v>
      </c>
      <c r="B1776">
        <v>7.5052000000000003</v>
      </c>
    </row>
    <row r="1777" spans="1:2">
      <c r="A1777" s="117">
        <v>35331</v>
      </c>
      <c r="B1777">
        <v>7.5052000000000003</v>
      </c>
    </row>
    <row r="1778" spans="1:2">
      <c r="A1778" s="117">
        <v>35332</v>
      </c>
      <c r="B1778">
        <v>7.5378999999999996</v>
      </c>
    </row>
    <row r="1779" spans="1:2">
      <c r="A1779" s="117">
        <v>35333</v>
      </c>
      <c r="B1779">
        <v>7.5827999999999998</v>
      </c>
    </row>
    <row r="1780" spans="1:2">
      <c r="A1780" s="117">
        <v>35334</v>
      </c>
      <c r="B1780">
        <v>7.5364000000000004</v>
      </c>
    </row>
    <row r="1781" spans="1:2">
      <c r="A1781" s="117">
        <v>35335</v>
      </c>
      <c r="B1781">
        <v>7.5316999999999998</v>
      </c>
    </row>
    <row r="1782" spans="1:2">
      <c r="A1782" s="117">
        <v>35336</v>
      </c>
      <c r="B1782">
        <v>7.5373999999999999</v>
      </c>
    </row>
    <row r="1783" spans="1:2">
      <c r="A1783" s="117">
        <v>35337</v>
      </c>
      <c r="B1783">
        <v>7.5373999999999999</v>
      </c>
    </row>
    <row r="1784" spans="1:2">
      <c r="A1784" s="117">
        <v>35338</v>
      </c>
      <c r="B1784">
        <v>7.5373999999999999</v>
      </c>
    </row>
    <row r="1785" spans="1:2">
      <c r="A1785" s="117">
        <v>35339</v>
      </c>
      <c r="B1785">
        <v>7.5382999999999996</v>
      </c>
    </row>
    <row r="1786" spans="1:2">
      <c r="A1786" s="117">
        <v>35340</v>
      </c>
      <c r="B1786">
        <v>7.5518999999999998</v>
      </c>
    </row>
    <row r="1787" spans="1:2">
      <c r="A1787" s="117">
        <v>35341</v>
      </c>
      <c r="B1787">
        <v>7.5316999999999998</v>
      </c>
    </row>
    <row r="1788" spans="1:2">
      <c r="A1788" s="117">
        <v>35342</v>
      </c>
      <c r="B1788">
        <v>7.5183</v>
      </c>
    </row>
    <row r="1789" spans="1:2">
      <c r="A1789" s="117">
        <v>35343</v>
      </c>
      <c r="B1789">
        <v>7.5301999999999998</v>
      </c>
    </row>
    <row r="1790" spans="1:2">
      <c r="A1790" s="117">
        <v>35344</v>
      </c>
      <c r="B1790">
        <v>7.5301999999999998</v>
      </c>
    </row>
    <row r="1791" spans="1:2">
      <c r="A1791" s="117">
        <v>35345</v>
      </c>
      <c r="B1791">
        <v>7.5301999999999998</v>
      </c>
    </row>
    <row r="1792" spans="1:2">
      <c r="A1792" s="117">
        <v>35346</v>
      </c>
      <c r="B1792">
        <v>7.5273000000000003</v>
      </c>
    </row>
    <row r="1793" spans="1:2">
      <c r="A1793" s="117">
        <v>35347</v>
      </c>
      <c r="B1793">
        <v>7.5281000000000002</v>
      </c>
    </row>
    <row r="1794" spans="1:2">
      <c r="A1794" s="117">
        <v>35348</v>
      </c>
      <c r="B1794">
        <v>7.54</v>
      </c>
    </row>
    <row r="1795" spans="1:2">
      <c r="A1795" s="117">
        <v>35349</v>
      </c>
      <c r="B1795">
        <v>7.5740999999999996</v>
      </c>
    </row>
    <row r="1796" spans="1:2">
      <c r="A1796" s="117">
        <v>35350</v>
      </c>
      <c r="B1796">
        <v>7.6109</v>
      </c>
    </row>
    <row r="1797" spans="1:2">
      <c r="A1797" s="117">
        <v>35351</v>
      </c>
      <c r="B1797">
        <v>7.6109</v>
      </c>
    </row>
    <row r="1798" spans="1:2">
      <c r="A1798" s="117">
        <v>35352</v>
      </c>
      <c r="B1798">
        <v>7.6109</v>
      </c>
    </row>
    <row r="1799" spans="1:2">
      <c r="A1799" s="117">
        <v>35353</v>
      </c>
      <c r="B1799">
        <v>7.6265000000000001</v>
      </c>
    </row>
    <row r="1800" spans="1:2">
      <c r="A1800" s="117">
        <v>35354</v>
      </c>
      <c r="B1800">
        <v>7.6923000000000004</v>
      </c>
    </row>
    <row r="1801" spans="1:2">
      <c r="A1801" s="117">
        <v>35355</v>
      </c>
      <c r="B1801">
        <v>7.7472000000000003</v>
      </c>
    </row>
    <row r="1802" spans="1:2">
      <c r="A1802" s="117">
        <v>35356</v>
      </c>
      <c r="B1802">
        <v>7.7949999999999999</v>
      </c>
    </row>
    <row r="1803" spans="1:2">
      <c r="A1803" s="117">
        <v>35357</v>
      </c>
      <c r="B1803">
        <v>7.7725999999999997</v>
      </c>
    </row>
    <row r="1804" spans="1:2">
      <c r="A1804" s="117">
        <v>35358</v>
      </c>
      <c r="B1804">
        <v>7.7725999999999997</v>
      </c>
    </row>
    <row r="1805" spans="1:2">
      <c r="A1805" s="117">
        <v>35359</v>
      </c>
      <c r="B1805">
        <v>7.7725999999999997</v>
      </c>
    </row>
    <row r="1806" spans="1:2">
      <c r="A1806" s="117">
        <v>35360</v>
      </c>
      <c r="B1806">
        <v>7.7306999999999997</v>
      </c>
    </row>
    <row r="1807" spans="1:2">
      <c r="A1807" s="117">
        <v>35361</v>
      </c>
      <c r="B1807">
        <v>7.7381000000000002</v>
      </c>
    </row>
    <row r="1808" spans="1:2">
      <c r="A1808" s="117">
        <v>35362</v>
      </c>
      <c r="B1808">
        <v>7.7625000000000002</v>
      </c>
    </row>
    <row r="1809" spans="1:2">
      <c r="A1809" s="117">
        <v>35363</v>
      </c>
      <c r="B1809">
        <v>7.8502000000000001</v>
      </c>
    </row>
    <row r="1810" spans="1:2">
      <c r="A1810" s="117">
        <v>35364</v>
      </c>
      <c r="B1810">
        <v>7.8296999999999999</v>
      </c>
    </row>
    <row r="1811" spans="1:2">
      <c r="A1811" s="117">
        <v>35365</v>
      </c>
      <c r="B1811">
        <v>7.8296999999999999</v>
      </c>
    </row>
    <row r="1812" spans="1:2">
      <c r="A1812" s="117">
        <v>35366</v>
      </c>
      <c r="B1812">
        <v>7.8296999999999999</v>
      </c>
    </row>
    <row r="1813" spans="1:2">
      <c r="A1813" s="117">
        <v>35367</v>
      </c>
      <c r="B1813">
        <v>7.9550000000000001</v>
      </c>
    </row>
    <row r="1814" spans="1:2">
      <c r="A1814" s="117">
        <v>35368</v>
      </c>
      <c r="B1814">
        <v>7.8903999999999996</v>
      </c>
    </row>
    <row r="1815" spans="1:2">
      <c r="A1815" s="117">
        <v>35369</v>
      </c>
      <c r="B1815">
        <v>7.9172000000000002</v>
      </c>
    </row>
    <row r="1816" spans="1:2">
      <c r="A1816" s="117">
        <v>35370</v>
      </c>
      <c r="B1816">
        <v>7.9882999999999997</v>
      </c>
    </row>
    <row r="1817" spans="1:2">
      <c r="A1817" s="117">
        <v>35371</v>
      </c>
      <c r="B1817">
        <v>8.0478000000000005</v>
      </c>
    </row>
    <row r="1818" spans="1:2">
      <c r="A1818" s="117">
        <v>35372</v>
      </c>
      <c r="B1818">
        <v>8.0478000000000005</v>
      </c>
    </row>
    <row r="1819" spans="1:2">
      <c r="A1819" s="117">
        <v>35373</v>
      </c>
      <c r="B1819">
        <v>8.0478000000000005</v>
      </c>
    </row>
    <row r="1820" spans="1:2">
      <c r="A1820" s="117">
        <v>35374</v>
      </c>
      <c r="B1820">
        <v>7.9653</v>
      </c>
    </row>
    <row r="1821" spans="1:2">
      <c r="A1821" s="117">
        <v>35375</v>
      </c>
      <c r="B1821">
        <v>7.9241999999999999</v>
      </c>
    </row>
    <row r="1822" spans="1:2">
      <c r="A1822" s="117">
        <v>35376</v>
      </c>
      <c r="B1822">
        <v>7.8920000000000003</v>
      </c>
    </row>
    <row r="1823" spans="1:2">
      <c r="A1823" s="117">
        <v>35377</v>
      </c>
      <c r="B1823">
        <v>7.9215</v>
      </c>
    </row>
    <row r="1824" spans="1:2">
      <c r="A1824" s="117">
        <v>35378</v>
      </c>
      <c r="B1824">
        <v>7.9527000000000001</v>
      </c>
    </row>
    <row r="1825" spans="1:2">
      <c r="A1825" s="117">
        <v>35379</v>
      </c>
      <c r="B1825">
        <v>7.9527000000000001</v>
      </c>
    </row>
    <row r="1826" spans="1:2">
      <c r="A1826" s="117">
        <v>35380</v>
      </c>
      <c r="B1826">
        <v>7.9527000000000001</v>
      </c>
    </row>
    <row r="1827" spans="1:2">
      <c r="A1827" s="117">
        <v>35381</v>
      </c>
      <c r="B1827">
        <v>7.9005000000000001</v>
      </c>
    </row>
    <row r="1828" spans="1:2">
      <c r="A1828" s="117">
        <v>35382</v>
      </c>
      <c r="B1828">
        <v>7.9016999999999999</v>
      </c>
    </row>
    <row r="1829" spans="1:2">
      <c r="A1829" s="117">
        <v>35383</v>
      </c>
      <c r="B1829">
        <v>7.9154999999999998</v>
      </c>
    </row>
    <row r="1830" spans="1:2">
      <c r="A1830" s="117">
        <v>35384</v>
      </c>
      <c r="B1830">
        <v>7.9215</v>
      </c>
    </row>
    <row r="1831" spans="1:2">
      <c r="A1831" s="117">
        <v>35385</v>
      </c>
      <c r="B1831">
        <v>7.9181999999999997</v>
      </c>
    </row>
    <row r="1832" spans="1:2">
      <c r="A1832" s="117">
        <v>35386</v>
      </c>
      <c r="B1832">
        <v>7.9181999999999997</v>
      </c>
    </row>
    <row r="1833" spans="1:2">
      <c r="A1833" s="117">
        <v>35387</v>
      </c>
      <c r="B1833">
        <v>7.9181999999999997</v>
      </c>
    </row>
    <row r="1834" spans="1:2">
      <c r="A1834" s="117">
        <v>35388</v>
      </c>
      <c r="B1834">
        <v>7.9020000000000001</v>
      </c>
    </row>
    <row r="1835" spans="1:2">
      <c r="A1835" s="117">
        <v>35389</v>
      </c>
      <c r="B1835">
        <v>7.9085000000000001</v>
      </c>
    </row>
    <row r="1836" spans="1:2">
      <c r="A1836" s="117">
        <v>35390</v>
      </c>
      <c r="B1836">
        <v>7.9085000000000001</v>
      </c>
    </row>
    <row r="1837" spans="1:2">
      <c r="A1837" s="117">
        <v>35391</v>
      </c>
      <c r="B1837">
        <v>7.8975</v>
      </c>
    </row>
    <row r="1838" spans="1:2">
      <c r="A1838" s="117">
        <v>35392</v>
      </c>
      <c r="B1838">
        <v>7.8959999999999999</v>
      </c>
    </row>
    <row r="1839" spans="1:2">
      <c r="A1839" s="117">
        <v>35393</v>
      </c>
      <c r="B1839">
        <v>7.8959999999999999</v>
      </c>
    </row>
    <row r="1840" spans="1:2">
      <c r="A1840" s="117">
        <v>35394</v>
      </c>
      <c r="B1840">
        <v>7.8959999999999999</v>
      </c>
    </row>
    <row r="1841" spans="1:2">
      <c r="A1841" s="117">
        <v>35395</v>
      </c>
      <c r="B1841">
        <v>7.87</v>
      </c>
    </row>
    <row r="1842" spans="1:2">
      <c r="A1842" s="117">
        <v>35396</v>
      </c>
      <c r="B1842">
        <v>7.9095000000000004</v>
      </c>
    </row>
    <row r="1843" spans="1:2">
      <c r="A1843" s="117">
        <v>35397</v>
      </c>
      <c r="B1843">
        <v>7.875</v>
      </c>
    </row>
    <row r="1844" spans="1:2">
      <c r="A1844" s="117">
        <v>35398</v>
      </c>
      <c r="B1844">
        <v>7.87</v>
      </c>
    </row>
    <row r="1845" spans="1:2">
      <c r="A1845" s="117">
        <v>35399</v>
      </c>
      <c r="B1845">
        <v>7.8857999999999997</v>
      </c>
    </row>
    <row r="1846" spans="1:2">
      <c r="A1846" s="117">
        <v>35400</v>
      </c>
      <c r="B1846">
        <v>7.8857999999999997</v>
      </c>
    </row>
    <row r="1847" spans="1:2">
      <c r="A1847" s="117">
        <v>35401</v>
      </c>
      <c r="B1847">
        <v>7.8857999999999997</v>
      </c>
    </row>
    <row r="1848" spans="1:2">
      <c r="A1848" s="117">
        <v>35402</v>
      </c>
      <c r="B1848">
        <v>7.8929999999999998</v>
      </c>
    </row>
    <row r="1849" spans="1:2">
      <c r="A1849" s="117">
        <v>35403</v>
      </c>
      <c r="B1849">
        <v>7.8928000000000003</v>
      </c>
    </row>
    <row r="1850" spans="1:2">
      <c r="A1850" s="117">
        <v>35404</v>
      </c>
      <c r="B1850">
        <v>7.8787000000000003</v>
      </c>
    </row>
    <row r="1851" spans="1:2">
      <c r="A1851" s="117">
        <v>35405</v>
      </c>
      <c r="B1851">
        <v>7.8625999999999996</v>
      </c>
    </row>
    <row r="1852" spans="1:2">
      <c r="A1852" s="117">
        <v>35406</v>
      </c>
      <c r="B1852">
        <v>7.8884999999999996</v>
      </c>
    </row>
    <row r="1853" spans="1:2">
      <c r="A1853" s="117">
        <v>35407</v>
      </c>
      <c r="B1853">
        <v>7.8884999999999996</v>
      </c>
    </row>
    <row r="1854" spans="1:2">
      <c r="A1854" s="117">
        <v>35408</v>
      </c>
      <c r="B1854">
        <v>7.8884999999999996</v>
      </c>
    </row>
    <row r="1855" spans="1:2">
      <c r="A1855" s="117">
        <v>35409</v>
      </c>
      <c r="B1855">
        <v>7.9260000000000002</v>
      </c>
    </row>
    <row r="1856" spans="1:2">
      <c r="A1856" s="117">
        <v>35410</v>
      </c>
      <c r="B1856">
        <v>7.9032</v>
      </c>
    </row>
    <row r="1857" spans="1:2">
      <c r="A1857" s="117">
        <v>35411</v>
      </c>
      <c r="B1857">
        <v>7.8723000000000001</v>
      </c>
    </row>
    <row r="1858" spans="1:2">
      <c r="A1858" s="117">
        <v>35412</v>
      </c>
      <c r="B1858">
        <v>7.8723000000000001</v>
      </c>
    </row>
    <row r="1859" spans="1:2">
      <c r="A1859" s="117">
        <v>35413</v>
      </c>
      <c r="B1859">
        <v>7.8723000000000001</v>
      </c>
    </row>
    <row r="1860" spans="1:2">
      <c r="A1860" s="117">
        <v>35414</v>
      </c>
      <c r="B1860">
        <v>7.8723000000000001</v>
      </c>
    </row>
    <row r="1861" spans="1:2">
      <c r="A1861" s="117">
        <v>35415</v>
      </c>
      <c r="B1861">
        <v>7.8723000000000001</v>
      </c>
    </row>
    <row r="1862" spans="1:2">
      <c r="A1862" s="117">
        <v>35416</v>
      </c>
      <c r="B1862">
        <v>7.9016999999999999</v>
      </c>
    </row>
    <row r="1863" spans="1:2">
      <c r="A1863" s="117">
        <v>35417</v>
      </c>
      <c r="B1863">
        <v>7.9272</v>
      </c>
    </row>
    <row r="1864" spans="1:2">
      <c r="A1864" s="117">
        <v>35418</v>
      </c>
      <c r="B1864">
        <v>7.8771000000000004</v>
      </c>
    </row>
    <row r="1865" spans="1:2">
      <c r="A1865" s="117">
        <v>35419</v>
      </c>
      <c r="B1865">
        <v>7.8810000000000002</v>
      </c>
    </row>
    <row r="1866" spans="1:2">
      <c r="A1866" s="117">
        <v>35420</v>
      </c>
      <c r="B1866">
        <v>7.8673999999999999</v>
      </c>
    </row>
    <row r="1867" spans="1:2">
      <c r="A1867" s="117">
        <v>35421</v>
      </c>
      <c r="B1867">
        <v>7.8673999999999999</v>
      </c>
    </row>
    <row r="1868" spans="1:2">
      <c r="A1868" s="117">
        <v>35422</v>
      </c>
      <c r="B1868">
        <v>7.8673999999999999</v>
      </c>
    </row>
    <row r="1869" spans="1:2">
      <c r="A1869" s="117">
        <v>35423</v>
      </c>
      <c r="B1869">
        <v>7.8426999999999998</v>
      </c>
    </row>
    <row r="1870" spans="1:2">
      <c r="A1870" s="117">
        <v>35424</v>
      </c>
      <c r="B1870">
        <v>7.8343999999999996</v>
      </c>
    </row>
    <row r="1871" spans="1:2">
      <c r="A1871" s="117">
        <v>35425</v>
      </c>
      <c r="B1871">
        <v>7.8343999999999996</v>
      </c>
    </row>
    <row r="1872" spans="1:2">
      <c r="A1872" s="117">
        <v>35426</v>
      </c>
      <c r="B1872">
        <v>7.8324999999999996</v>
      </c>
    </row>
    <row r="1873" spans="1:2">
      <c r="A1873" s="117">
        <v>35427</v>
      </c>
      <c r="B1873">
        <v>7.8441999999999998</v>
      </c>
    </row>
    <row r="1874" spans="1:2">
      <c r="A1874" s="117">
        <v>35428</v>
      </c>
      <c r="B1874">
        <v>7.8441999999999998</v>
      </c>
    </row>
    <row r="1875" spans="1:2">
      <c r="A1875" s="117">
        <v>35429</v>
      </c>
      <c r="B1875">
        <v>7.8441999999999998</v>
      </c>
    </row>
    <row r="1876" spans="1:2">
      <c r="A1876" s="117">
        <v>35430</v>
      </c>
      <c r="B1876">
        <v>7.8509000000000002</v>
      </c>
    </row>
    <row r="1877" spans="1:2">
      <c r="A1877" s="117">
        <v>35431</v>
      </c>
      <c r="B1877">
        <v>7.8556999999999997</v>
      </c>
    </row>
    <row r="1878" spans="1:2">
      <c r="A1878" s="117">
        <v>35432</v>
      </c>
      <c r="B1878">
        <v>7.8556999999999997</v>
      </c>
    </row>
    <row r="1879" spans="1:2">
      <c r="A1879" s="117">
        <v>35433</v>
      </c>
      <c r="B1879">
        <v>7.8703000000000003</v>
      </c>
    </row>
    <row r="1880" spans="1:2">
      <c r="A1880" s="117">
        <v>35434</v>
      </c>
      <c r="B1880">
        <v>7.9027000000000003</v>
      </c>
    </row>
    <row r="1881" spans="1:2">
      <c r="A1881" s="117">
        <v>35435</v>
      </c>
      <c r="B1881">
        <v>7.9027000000000003</v>
      </c>
    </row>
    <row r="1882" spans="1:2">
      <c r="A1882" s="117">
        <v>35436</v>
      </c>
      <c r="B1882">
        <v>7.9027000000000003</v>
      </c>
    </row>
    <row r="1883" spans="1:2">
      <c r="A1883" s="117">
        <v>35437</v>
      </c>
      <c r="B1883">
        <v>7.8663999999999996</v>
      </c>
    </row>
    <row r="1884" spans="1:2">
      <c r="A1884" s="117">
        <v>35438</v>
      </c>
      <c r="B1884">
        <v>7.8507999999999996</v>
      </c>
    </row>
    <row r="1885" spans="1:2">
      <c r="A1885" s="117">
        <v>35439</v>
      </c>
      <c r="B1885">
        <v>7.8375000000000004</v>
      </c>
    </row>
    <row r="1886" spans="1:2">
      <c r="A1886" s="117">
        <v>35440</v>
      </c>
      <c r="B1886">
        <v>7.8174000000000001</v>
      </c>
    </row>
    <row r="1887" spans="1:2">
      <c r="A1887" s="117">
        <v>35441</v>
      </c>
      <c r="B1887">
        <v>7.8208000000000002</v>
      </c>
    </row>
    <row r="1888" spans="1:2">
      <c r="A1888" s="117">
        <v>35442</v>
      </c>
      <c r="B1888">
        <v>7.8208000000000002</v>
      </c>
    </row>
    <row r="1889" spans="1:2">
      <c r="A1889" s="117">
        <v>35443</v>
      </c>
      <c r="B1889">
        <v>7.8208000000000002</v>
      </c>
    </row>
    <row r="1890" spans="1:2">
      <c r="A1890" s="117">
        <v>35444</v>
      </c>
      <c r="B1890">
        <v>7.8606999999999996</v>
      </c>
    </row>
    <row r="1891" spans="1:2">
      <c r="A1891" s="117">
        <v>35445</v>
      </c>
      <c r="B1891">
        <v>7.8125</v>
      </c>
    </row>
    <row r="1892" spans="1:2">
      <c r="A1892" s="117">
        <v>35446</v>
      </c>
      <c r="B1892">
        <v>7.8005000000000004</v>
      </c>
    </row>
    <row r="1893" spans="1:2">
      <c r="A1893" s="117">
        <v>35447</v>
      </c>
      <c r="B1893">
        <v>7.8085000000000004</v>
      </c>
    </row>
    <row r="1894" spans="1:2">
      <c r="A1894" s="117">
        <v>35448</v>
      </c>
      <c r="B1894">
        <v>7.8221999999999996</v>
      </c>
    </row>
    <row r="1895" spans="1:2">
      <c r="A1895" s="117">
        <v>35449</v>
      </c>
      <c r="B1895">
        <v>7.8221999999999996</v>
      </c>
    </row>
    <row r="1896" spans="1:2">
      <c r="A1896" s="117">
        <v>35450</v>
      </c>
      <c r="B1896">
        <v>7.8221999999999996</v>
      </c>
    </row>
    <row r="1897" spans="1:2">
      <c r="A1897" s="117">
        <v>35451</v>
      </c>
      <c r="B1897">
        <v>7.8274999999999997</v>
      </c>
    </row>
    <row r="1898" spans="1:2">
      <c r="A1898" s="117">
        <v>35452</v>
      </c>
      <c r="B1898">
        <v>7.8082000000000003</v>
      </c>
    </row>
    <row r="1899" spans="1:2">
      <c r="A1899" s="117">
        <v>35453</v>
      </c>
      <c r="B1899">
        <v>7.8033000000000001</v>
      </c>
    </row>
    <row r="1900" spans="1:2">
      <c r="A1900" s="117">
        <v>35454</v>
      </c>
      <c r="B1900">
        <v>7.7946</v>
      </c>
    </row>
    <row r="1901" spans="1:2">
      <c r="A1901" s="117">
        <v>35455</v>
      </c>
      <c r="B1901">
        <v>7.7912999999999997</v>
      </c>
    </row>
    <row r="1902" spans="1:2">
      <c r="A1902" s="117">
        <v>35456</v>
      </c>
      <c r="B1902">
        <v>7.7912999999999997</v>
      </c>
    </row>
    <row r="1903" spans="1:2">
      <c r="A1903" s="117">
        <v>35457</v>
      </c>
      <c r="B1903">
        <v>7.7912999999999997</v>
      </c>
    </row>
    <row r="1904" spans="1:2">
      <c r="A1904" s="117">
        <v>35458</v>
      </c>
      <c r="B1904">
        <v>7.8205</v>
      </c>
    </row>
    <row r="1905" spans="1:2">
      <c r="A1905" s="117">
        <v>35459</v>
      </c>
      <c r="B1905">
        <v>7.8311999999999999</v>
      </c>
    </row>
    <row r="1906" spans="1:2">
      <c r="A1906" s="117">
        <v>35460</v>
      </c>
      <c r="B1906">
        <v>7.8151999999999999</v>
      </c>
    </row>
    <row r="1907" spans="1:2">
      <c r="A1907" s="117">
        <v>35461</v>
      </c>
      <c r="B1907">
        <v>7.8392999999999997</v>
      </c>
    </row>
    <row r="1908" spans="1:2">
      <c r="A1908" s="117">
        <v>35462</v>
      </c>
      <c r="B1908">
        <v>7.8409000000000004</v>
      </c>
    </row>
    <row r="1909" spans="1:2">
      <c r="A1909" s="117">
        <v>35463</v>
      </c>
      <c r="B1909">
        <v>7.8409000000000004</v>
      </c>
    </row>
    <row r="1910" spans="1:2">
      <c r="A1910" s="117">
        <v>35464</v>
      </c>
      <c r="B1910">
        <v>7.8409000000000004</v>
      </c>
    </row>
    <row r="1911" spans="1:2">
      <c r="A1911" s="117">
        <v>35465</v>
      </c>
      <c r="B1911">
        <v>7.8216999999999999</v>
      </c>
    </row>
    <row r="1912" spans="1:2">
      <c r="A1912" s="117">
        <v>35466</v>
      </c>
      <c r="B1912">
        <v>7.8182999999999998</v>
      </c>
    </row>
    <row r="1913" spans="1:2">
      <c r="A1913" s="117">
        <v>35467</v>
      </c>
      <c r="B1913">
        <v>7.8182999999999998</v>
      </c>
    </row>
    <row r="1914" spans="1:2">
      <c r="A1914" s="117">
        <v>35468</v>
      </c>
      <c r="B1914">
        <v>7.8322000000000003</v>
      </c>
    </row>
    <row r="1915" spans="1:2">
      <c r="A1915" s="117">
        <v>35469</v>
      </c>
      <c r="B1915">
        <v>7.8281999999999998</v>
      </c>
    </row>
    <row r="1916" spans="1:2">
      <c r="A1916" s="117">
        <v>35470</v>
      </c>
      <c r="B1916">
        <v>7.8281999999999998</v>
      </c>
    </row>
    <row r="1917" spans="1:2">
      <c r="A1917" s="117">
        <v>35471</v>
      </c>
      <c r="B1917">
        <v>7.8281999999999998</v>
      </c>
    </row>
    <row r="1918" spans="1:2">
      <c r="A1918" s="117">
        <v>35472</v>
      </c>
      <c r="B1918">
        <v>7.8048000000000002</v>
      </c>
    </row>
    <row r="1919" spans="1:2">
      <c r="A1919" s="117">
        <v>35473</v>
      </c>
      <c r="B1919">
        <v>7.7988</v>
      </c>
    </row>
    <row r="1920" spans="1:2">
      <c r="A1920" s="117">
        <v>35474</v>
      </c>
      <c r="B1920">
        <v>7.7927</v>
      </c>
    </row>
    <row r="1921" spans="1:2">
      <c r="A1921" s="117">
        <v>35475</v>
      </c>
      <c r="B1921">
        <v>7.7968000000000002</v>
      </c>
    </row>
    <row r="1922" spans="1:2">
      <c r="A1922" s="117">
        <v>35476</v>
      </c>
      <c r="B1922">
        <v>7.7897999999999996</v>
      </c>
    </row>
    <row r="1923" spans="1:2">
      <c r="A1923" s="117">
        <v>35477</v>
      </c>
      <c r="B1923">
        <v>7.7897999999999996</v>
      </c>
    </row>
    <row r="1924" spans="1:2">
      <c r="A1924" s="117">
        <v>35478</v>
      </c>
      <c r="B1924">
        <v>7.7897999999999996</v>
      </c>
    </row>
    <row r="1925" spans="1:2">
      <c r="A1925" s="117">
        <v>35479</v>
      </c>
      <c r="B1925">
        <v>7.7779999999999996</v>
      </c>
    </row>
    <row r="1926" spans="1:2">
      <c r="A1926" s="117">
        <v>35480</v>
      </c>
      <c r="B1926">
        <v>7.7691999999999997</v>
      </c>
    </row>
    <row r="1927" spans="1:2">
      <c r="A1927" s="117">
        <v>35481</v>
      </c>
      <c r="B1927">
        <v>7.8010000000000002</v>
      </c>
    </row>
    <row r="1928" spans="1:2">
      <c r="A1928" s="117">
        <v>35482</v>
      </c>
      <c r="B1928">
        <v>7.7887000000000004</v>
      </c>
    </row>
    <row r="1929" spans="1:2">
      <c r="A1929" s="117">
        <v>35483</v>
      </c>
      <c r="B1929">
        <v>7.7460000000000004</v>
      </c>
    </row>
    <row r="1930" spans="1:2">
      <c r="A1930" s="117">
        <v>35484</v>
      </c>
      <c r="B1930">
        <v>7.7460000000000004</v>
      </c>
    </row>
    <row r="1931" spans="1:2">
      <c r="A1931" s="117">
        <v>35485</v>
      </c>
      <c r="B1931">
        <v>7.7460000000000004</v>
      </c>
    </row>
    <row r="1932" spans="1:2">
      <c r="A1932" s="117">
        <v>35486</v>
      </c>
      <c r="B1932">
        <v>7.7617000000000003</v>
      </c>
    </row>
    <row r="1933" spans="1:2">
      <c r="A1933" s="117">
        <v>35487</v>
      </c>
      <c r="B1933">
        <v>7.7502000000000004</v>
      </c>
    </row>
    <row r="1934" spans="1:2">
      <c r="A1934" s="117">
        <v>35488</v>
      </c>
      <c r="B1934">
        <v>7.7556000000000003</v>
      </c>
    </row>
    <row r="1935" spans="1:2">
      <c r="A1935" s="117">
        <v>35489</v>
      </c>
      <c r="B1935">
        <v>7.7843999999999998</v>
      </c>
    </row>
    <row r="1936" spans="1:2">
      <c r="A1936" s="117">
        <v>35490</v>
      </c>
      <c r="B1936">
        <v>7.8357999999999999</v>
      </c>
    </row>
    <row r="1937" spans="1:2">
      <c r="A1937" s="117">
        <v>35491</v>
      </c>
      <c r="B1937">
        <v>7.8357999999999999</v>
      </c>
    </row>
    <row r="1938" spans="1:2">
      <c r="A1938" s="117">
        <v>35492</v>
      </c>
      <c r="B1938">
        <v>7.8357999999999999</v>
      </c>
    </row>
    <row r="1939" spans="1:2">
      <c r="A1939" s="117">
        <v>35493</v>
      </c>
      <c r="B1939">
        <v>7.9740000000000002</v>
      </c>
    </row>
    <row r="1940" spans="1:2">
      <c r="A1940" s="117">
        <v>35494</v>
      </c>
      <c r="B1940">
        <v>8.0116999999999994</v>
      </c>
    </row>
    <row r="1941" spans="1:2">
      <c r="A1941" s="117">
        <v>35495</v>
      </c>
      <c r="B1941">
        <v>7.9737</v>
      </c>
    </row>
    <row r="1942" spans="1:2">
      <c r="A1942" s="117">
        <v>35496</v>
      </c>
      <c r="B1942">
        <v>8.0437999999999992</v>
      </c>
    </row>
    <row r="1943" spans="1:2">
      <c r="A1943" s="117">
        <v>35497</v>
      </c>
      <c r="B1943">
        <v>8.0091999999999999</v>
      </c>
    </row>
    <row r="1944" spans="1:2">
      <c r="A1944" s="117">
        <v>35498</v>
      </c>
      <c r="B1944">
        <v>8.0091999999999999</v>
      </c>
    </row>
    <row r="1945" spans="1:2">
      <c r="A1945" s="117">
        <v>35499</v>
      </c>
      <c r="B1945">
        <v>8.0091999999999999</v>
      </c>
    </row>
    <row r="1946" spans="1:2">
      <c r="A1946" s="117">
        <v>35500</v>
      </c>
      <c r="B1946">
        <v>8.0152000000000001</v>
      </c>
    </row>
    <row r="1947" spans="1:2">
      <c r="A1947" s="117">
        <v>35501</v>
      </c>
      <c r="B1947">
        <v>7.9589999999999996</v>
      </c>
    </row>
    <row r="1948" spans="1:2">
      <c r="A1948" s="117">
        <v>35502</v>
      </c>
      <c r="B1948">
        <v>7.9779999999999998</v>
      </c>
    </row>
    <row r="1949" spans="1:2">
      <c r="A1949" s="117">
        <v>35503</v>
      </c>
      <c r="B1949">
        <v>7.9611000000000001</v>
      </c>
    </row>
    <row r="1950" spans="1:2">
      <c r="A1950" s="117">
        <v>35504</v>
      </c>
      <c r="B1950">
        <v>7.9987000000000004</v>
      </c>
    </row>
    <row r="1951" spans="1:2">
      <c r="A1951" s="117">
        <v>35505</v>
      </c>
      <c r="B1951">
        <v>7.9987000000000004</v>
      </c>
    </row>
    <row r="1952" spans="1:2">
      <c r="A1952" s="117">
        <v>35506</v>
      </c>
      <c r="B1952">
        <v>7.9987000000000004</v>
      </c>
    </row>
    <row r="1953" spans="1:2">
      <c r="A1953" s="117">
        <v>35507</v>
      </c>
      <c r="B1953">
        <v>7.9789000000000003</v>
      </c>
    </row>
    <row r="1954" spans="1:2">
      <c r="A1954" s="117">
        <v>35508</v>
      </c>
      <c r="B1954">
        <v>7.992</v>
      </c>
    </row>
    <row r="1955" spans="1:2">
      <c r="A1955" s="117">
        <v>35509</v>
      </c>
      <c r="B1955">
        <v>7.9492000000000003</v>
      </c>
    </row>
    <row r="1956" spans="1:2">
      <c r="A1956" s="117">
        <v>35510</v>
      </c>
      <c r="B1956">
        <v>7.9233000000000002</v>
      </c>
    </row>
    <row r="1957" spans="1:2">
      <c r="A1957" s="117">
        <v>35511</v>
      </c>
      <c r="B1957">
        <v>7.9233000000000002</v>
      </c>
    </row>
    <row r="1958" spans="1:2">
      <c r="A1958" s="117">
        <v>35512</v>
      </c>
      <c r="B1958">
        <v>7.9233000000000002</v>
      </c>
    </row>
    <row r="1959" spans="1:2">
      <c r="A1959" s="117">
        <v>35513</v>
      </c>
      <c r="B1959">
        <v>7.9233000000000002</v>
      </c>
    </row>
    <row r="1960" spans="1:2">
      <c r="A1960" s="117">
        <v>35514</v>
      </c>
      <c r="B1960">
        <v>7.9406999999999996</v>
      </c>
    </row>
    <row r="1961" spans="1:2">
      <c r="A1961" s="117">
        <v>35515</v>
      </c>
      <c r="B1961">
        <v>7.8958000000000004</v>
      </c>
    </row>
    <row r="1962" spans="1:2">
      <c r="A1962" s="117">
        <v>35516</v>
      </c>
      <c r="B1962">
        <v>7.8905000000000003</v>
      </c>
    </row>
    <row r="1963" spans="1:2">
      <c r="A1963" s="117">
        <v>35517</v>
      </c>
      <c r="B1963">
        <v>7.8905000000000003</v>
      </c>
    </row>
    <row r="1964" spans="1:2">
      <c r="A1964" s="117">
        <v>35518</v>
      </c>
      <c r="B1964">
        <v>7.8905000000000003</v>
      </c>
    </row>
    <row r="1965" spans="1:2">
      <c r="A1965" s="117">
        <v>35519</v>
      </c>
      <c r="B1965">
        <v>7.8905000000000003</v>
      </c>
    </row>
    <row r="1966" spans="1:2">
      <c r="A1966" s="117">
        <v>35520</v>
      </c>
      <c r="B1966">
        <v>7.8905000000000003</v>
      </c>
    </row>
    <row r="1967" spans="1:2">
      <c r="A1967" s="117">
        <v>35521</v>
      </c>
      <c r="B1967">
        <v>7.9126000000000003</v>
      </c>
    </row>
    <row r="1968" spans="1:2">
      <c r="A1968" s="117">
        <v>35522</v>
      </c>
      <c r="B1968">
        <v>7.9313000000000002</v>
      </c>
    </row>
    <row r="1969" spans="1:2">
      <c r="A1969" s="117">
        <v>35523</v>
      </c>
      <c r="B1969">
        <v>7.9116999999999997</v>
      </c>
    </row>
    <row r="1970" spans="1:2">
      <c r="A1970" s="117">
        <v>35524</v>
      </c>
      <c r="B1970">
        <v>7.9248000000000003</v>
      </c>
    </row>
    <row r="1971" spans="1:2">
      <c r="A1971" s="117">
        <v>35525</v>
      </c>
      <c r="B1971">
        <v>7.9720000000000004</v>
      </c>
    </row>
    <row r="1972" spans="1:2">
      <c r="A1972" s="117">
        <v>35526</v>
      </c>
      <c r="B1972">
        <v>7.9720000000000004</v>
      </c>
    </row>
    <row r="1973" spans="1:2">
      <c r="A1973" s="117">
        <v>35527</v>
      </c>
      <c r="B1973">
        <v>7.9720000000000004</v>
      </c>
    </row>
    <row r="1974" spans="1:2">
      <c r="A1974" s="117">
        <v>35528</v>
      </c>
      <c r="B1974">
        <v>7.9592000000000001</v>
      </c>
    </row>
    <row r="1975" spans="1:2">
      <c r="A1975" s="117">
        <v>35529</v>
      </c>
      <c r="B1975">
        <v>7.9061000000000003</v>
      </c>
    </row>
    <row r="1976" spans="1:2">
      <c r="A1976" s="117">
        <v>35530</v>
      </c>
      <c r="B1976">
        <v>7.8851000000000004</v>
      </c>
    </row>
    <row r="1977" spans="1:2">
      <c r="A1977" s="117">
        <v>35531</v>
      </c>
      <c r="B1977">
        <v>7.8913000000000002</v>
      </c>
    </row>
    <row r="1978" spans="1:2">
      <c r="A1978" s="117">
        <v>35532</v>
      </c>
      <c r="B1978">
        <v>7.9153000000000002</v>
      </c>
    </row>
    <row r="1979" spans="1:2">
      <c r="A1979" s="117">
        <v>35533</v>
      </c>
      <c r="B1979">
        <v>7.9153000000000002</v>
      </c>
    </row>
    <row r="1980" spans="1:2">
      <c r="A1980" s="117">
        <v>35534</v>
      </c>
      <c r="B1980">
        <v>7.9153000000000002</v>
      </c>
    </row>
    <row r="1981" spans="1:2">
      <c r="A1981" s="117">
        <v>35535</v>
      </c>
      <c r="B1981">
        <v>7.9222000000000001</v>
      </c>
    </row>
    <row r="1982" spans="1:2">
      <c r="A1982" s="117">
        <v>35536</v>
      </c>
      <c r="B1982">
        <v>7.9063999999999997</v>
      </c>
    </row>
    <row r="1983" spans="1:2">
      <c r="A1983" s="117">
        <v>35537</v>
      </c>
      <c r="B1983">
        <v>7.8876999999999997</v>
      </c>
    </row>
    <row r="1984" spans="1:2">
      <c r="A1984" s="117">
        <v>35538</v>
      </c>
      <c r="B1984">
        <v>7.8978000000000002</v>
      </c>
    </row>
    <row r="1985" spans="1:2">
      <c r="A1985" s="117">
        <v>35539</v>
      </c>
      <c r="B1985">
        <v>7.8852000000000002</v>
      </c>
    </row>
    <row r="1986" spans="1:2">
      <c r="A1986" s="117">
        <v>35540</v>
      </c>
      <c r="B1986">
        <v>7.8852000000000002</v>
      </c>
    </row>
    <row r="1987" spans="1:2">
      <c r="A1987" s="117">
        <v>35541</v>
      </c>
      <c r="B1987">
        <v>7.8852000000000002</v>
      </c>
    </row>
    <row r="1988" spans="1:2">
      <c r="A1988" s="117">
        <v>35542</v>
      </c>
      <c r="B1988">
        <v>7.8738000000000001</v>
      </c>
    </row>
    <row r="1989" spans="1:2">
      <c r="A1989" s="117">
        <v>35543</v>
      </c>
      <c r="B1989">
        <v>7.8773</v>
      </c>
    </row>
    <row r="1990" spans="1:2">
      <c r="A1990" s="117">
        <v>35544</v>
      </c>
      <c r="B1990">
        <v>7.8703000000000003</v>
      </c>
    </row>
    <row r="1991" spans="1:2">
      <c r="A1991" s="117">
        <v>35545</v>
      </c>
      <c r="B1991">
        <v>7.8783000000000003</v>
      </c>
    </row>
    <row r="1992" spans="1:2">
      <c r="A1992" s="117">
        <v>35546</v>
      </c>
      <c r="B1992">
        <v>7.8544999999999998</v>
      </c>
    </row>
    <row r="1993" spans="1:2">
      <c r="A1993" s="117">
        <v>35547</v>
      </c>
      <c r="B1993">
        <v>7.8544999999999998</v>
      </c>
    </row>
    <row r="1994" spans="1:2">
      <c r="A1994" s="117">
        <v>35548</v>
      </c>
      <c r="B1994">
        <v>7.8544999999999998</v>
      </c>
    </row>
    <row r="1995" spans="1:2">
      <c r="A1995" s="117">
        <v>35549</v>
      </c>
      <c r="B1995">
        <v>7.8917000000000002</v>
      </c>
    </row>
    <row r="1996" spans="1:2">
      <c r="A1996" s="117">
        <v>35550</v>
      </c>
      <c r="B1996">
        <v>7.9267000000000003</v>
      </c>
    </row>
    <row r="1997" spans="1:2">
      <c r="A1997" s="117">
        <v>35551</v>
      </c>
      <c r="B1997">
        <v>7.9743000000000004</v>
      </c>
    </row>
    <row r="1998" spans="1:2">
      <c r="A1998" s="117">
        <v>35552</v>
      </c>
      <c r="B1998">
        <v>7.9743000000000004</v>
      </c>
    </row>
    <row r="1999" spans="1:2">
      <c r="A1999" s="117">
        <v>35553</v>
      </c>
      <c r="B1999">
        <v>7.9519000000000002</v>
      </c>
    </row>
    <row r="2000" spans="1:2">
      <c r="A2000" s="117">
        <v>35554</v>
      </c>
      <c r="B2000">
        <v>7.9519000000000002</v>
      </c>
    </row>
    <row r="2001" spans="1:2">
      <c r="A2001" s="117">
        <v>35555</v>
      </c>
      <c r="B2001">
        <v>7.9519000000000002</v>
      </c>
    </row>
    <row r="2002" spans="1:2">
      <c r="A2002" s="117">
        <v>35556</v>
      </c>
      <c r="B2002">
        <v>7.9519000000000002</v>
      </c>
    </row>
    <row r="2003" spans="1:2">
      <c r="A2003" s="117">
        <v>35557</v>
      </c>
      <c r="B2003">
        <v>7.9112999999999998</v>
      </c>
    </row>
    <row r="2004" spans="1:2">
      <c r="A2004" s="117">
        <v>35558</v>
      </c>
      <c r="B2004">
        <v>7.8780999999999999</v>
      </c>
    </row>
    <row r="2005" spans="1:2">
      <c r="A2005" s="117">
        <v>35559</v>
      </c>
      <c r="B2005">
        <v>7.9203000000000001</v>
      </c>
    </row>
    <row r="2006" spans="1:2">
      <c r="A2006" s="117">
        <v>35560</v>
      </c>
      <c r="B2006">
        <v>7.9253</v>
      </c>
    </row>
    <row r="2007" spans="1:2">
      <c r="A2007" s="117">
        <v>35561</v>
      </c>
      <c r="B2007">
        <v>7.9253</v>
      </c>
    </row>
    <row r="2008" spans="1:2">
      <c r="A2008" s="117">
        <v>35562</v>
      </c>
      <c r="B2008">
        <v>7.9253</v>
      </c>
    </row>
    <row r="2009" spans="1:2">
      <c r="A2009" s="117">
        <v>35563</v>
      </c>
      <c r="B2009">
        <v>7.9028</v>
      </c>
    </row>
    <row r="2010" spans="1:2">
      <c r="A2010" s="117">
        <v>35564</v>
      </c>
      <c r="B2010">
        <v>7.9242999999999997</v>
      </c>
    </row>
    <row r="2011" spans="1:2">
      <c r="A2011" s="117">
        <v>35565</v>
      </c>
      <c r="B2011">
        <v>7.9065000000000003</v>
      </c>
    </row>
    <row r="2012" spans="1:2">
      <c r="A2012" s="117">
        <v>35566</v>
      </c>
      <c r="B2012">
        <v>7.8925000000000001</v>
      </c>
    </row>
    <row r="2013" spans="1:2">
      <c r="A2013" s="117">
        <v>35567</v>
      </c>
      <c r="B2013">
        <v>7.9031000000000002</v>
      </c>
    </row>
    <row r="2014" spans="1:2">
      <c r="A2014" s="117">
        <v>35568</v>
      </c>
      <c r="B2014">
        <v>7.9031000000000002</v>
      </c>
    </row>
    <row r="2015" spans="1:2">
      <c r="A2015" s="117">
        <v>35569</v>
      </c>
      <c r="B2015">
        <v>7.9031000000000002</v>
      </c>
    </row>
    <row r="2016" spans="1:2">
      <c r="A2016" s="117">
        <v>35570</v>
      </c>
      <c r="B2016">
        <v>7.8941999999999997</v>
      </c>
    </row>
    <row r="2017" spans="1:2">
      <c r="A2017" s="117">
        <v>35571</v>
      </c>
      <c r="B2017">
        <v>7.8933999999999997</v>
      </c>
    </row>
    <row r="2018" spans="1:2">
      <c r="A2018" s="117">
        <v>35572</v>
      </c>
      <c r="B2018">
        <v>7.8878000000000004</v>
      </c>
    </row>
    <row r="2019" spans="1:2">
      <c r="A2019" s="117">
        <v>35573</v>
      </c>
      <c r="B2019">
        <v>7.8654999999999999</v>
      </c>
    </row>
    <row r="2020" spans="1:2">
      <c r="A2020" s="117">
        <v>35574</v>
      </c>
      <c r="B2020">
        <v>7.8689</v>
      </c>
    </row>
    <row r="2021" spans="1:2">
      <c r="A2021" s="117">
        <v>35575</v>
      </c>
      <c r="B2021">
        <v>7.8689</v>
      </c>
    </row>
    <row r="2022" spans="1:2">
      <c r="A2022" s="117">
        <v>35576</v>
      </c>
      <c r="B2022">
        <v>7.8689</v>
      </c>
    </row>
    <row r="2023" spans="1:2">
      <c r="A2023" s="117">
        <v>35577</v>
      </c>
      <c r="B2023">
        <v>7.8731</v>
      </c>
    </row>
    <row r="2024" spans="1:2">
      <c r="A2024" s="117">
        <v>35578</v>
      </c>
      <c r="B2024">
        <v>7.9058999999999999</v>
      </c>
    </row>
    <row r="2025" spans="1:2">
      <c r="A2025" s="117">
        <v>35579</v>
      </c>
      <c r="B2025">
        <v>7.9263000000000003</v>
      </c>
    </row>
    <row r="2026" spans="1:2">
      <c r="A2026" s="117">
        <v>35580</v>
      </c>
      <c r="B2026">
        <v>7.9085000000000001</v>
      </c>
    </row>
    <row r="2027" spans="1:2">
      <c r="A2027" s="117">
        <v>35581</v>
      </c>
      <c r="B2027">
        <v>7.9081999999999999</v>
      </c>
    </row>
    <row r="2028" spans="1:2">
      <c r="A2028" s="117">
        <v>35582</v>
      </c>
      <c r="B2028">
        <v>7.9081999999999999</v>
      </c>
    </row>
    <row r="2029" spans="1:2">
      <c r="A2029" s="117">
        <v>35583</v>
      </c>
      <c r="B2029">
        <v>7.9081999999999999</v>
      </c>
    </row>
    <row r="2030" spans="1:2">
      <c r="A2030" s="117">
        <v>35584</v>
      </c>
      <c r="B2030">
        <v>7.9166999999999996</v>
      </c>
    </row>
    <row r="2031" spans="1:2">
      <c r="A2031" s="117">
        <v>35585</v>
      </c>
      <c r="B2031">
        <v>7.9183000000000003</v>
      </c>
    </row>
    <row r="2032" spans="1:2">
      <c r="A2032" s="117">
        <v>35586</v>
      </c>
      <c r="B2032">
        <v>7.9118000000000004</v>
      </c>
    </row>
    <row r="2033" spans="1:2">
      <c r="A2033" s="117">
        <v>35587</v>
      </c>
      <c r="B2033">
        <v>7.9283000000000001</v>
      </c>
    </row>
    <row r="2034" spans="1:2">
      <c r="A2034" s="117">
        <v>35588</v>
      </c>
      <c r="B2034">
        <v>7.9481999999999999</v>
      </c>
    </row>
    <row r="2035" spans="1:2">
      <c r="A2035" s="117">
        <v>35589</v>
      </c>
      <c r="B2035">
        <v>7.9481999999999999</v>
      </c>
    </row>
    <row r="2036" spans="1:2">
      <c r="A2036" s="117">
        <v>35590</v>
      </c>
      <c r="B2036">
        <v>7.9481999999999999</v>
      </c>
    </row>
    <row r="2037" spans="1:2">
      <c r="A2037" s="117">
        <v>35591</v>
      </c>
      <c r="B2037">
        <v>7.9870000000000001</v>
      </c>
    </row>
    <row r="2038" spans="1:2">
      <c r="A2038" s="117">
        <v>35592</v>
      </c>
      <c r="B2038">
        <v>7.9878</v>
      </c>
    </row>
    <row r="2039" spans="1:2">
      <c r="A2039" s="117">
        <v>35593</v>
      </c>
      <c r="B2039">
        <v>7.9688999999999997</v>
      </c>
    </row>
    <row r="2040" spans="1:2">
      <c r="A2040" s="117">
        <v>35594</v>
      </c>
      <c r="B2040">
        <v>7.9752999999999998</v>
      </c>
    </row>
    <row r="2041" spans="1:2">
      <c r="A2041" s="117">
        <v>35595</v>
      </c>
      <c r="B2041">
        <v>7.9633000000000003</v>
      </c>
    </row>
    <row r="2042" spans="1:2">
      <c r="A2042" s="117">
        <v>35596</v>
      </c>
      <c r="B2042">
        <v>7.9633000000000003</v>
      </c>
    </row>
    <row r="2043" spans="1:2">
      <c r="A2043" s="117">
        <v>35597</v>
      </c>
      <c r="B2043">
        <v>7.9633000000000003</v>
      </c>
    </row>
    <row r="2044" spans="1:2">
      <c r="A2044" s="117">
        <v>35598</v>
      </c>
      <c r="B2044">
        <v>7.9581</v>
      </c>
    </row>
    <row r="2045" spans="1:2">
      <c r="A2045" s="117">
        <v>35599</v>
      </c>
      <c r="B2045">
        <v>7.9537000000000004</v>
      </c>
    </row>
    <row r="2046" spans="1:2">
      <c r="A2046" s="117">
        <v>35600</v>
      </c>
      <c r="B2046">
        <v>7.9424000000000001</v>
      </c>
    </row>
    <row r="2047" spans="1:2">
      <c r="A2047" s="117">
        <v>35601</v>
      </c>
      <c r="B2047">
        <v>7.9097999999999997</v>
      </c>
    </row>
    <row r="2048" spans="1:2">
      <c r="A2048" s="117">
        <v>35602</v>
      </c>
      <c r="B2048">
        <v>7.9168000000000003</v>
      </c>
    </row>
    <row r="2049" spans="1:2">
      <c r="A2049" s="117">
        <v>35603</v>
      </c>
      <c r="B2049">
        <v>7.9168000000000003</v>
      </c>
    </row>
    <row r="2050" spans="1:2">
      <c r="A2050" s="117">
        <v>35604</v>
      </c>
      <c r="B2050">
        <v>7.9168000000000003</v>
      </c>
    </row>
    <row r="2051" spans="1:2">
      <c r="A2051" s="117">
        <v>35605</v>
      </c>
      <c r="B2051">
        <v>7.9581999999999997</v>
      </c>
    </row>
    <row r="2052" spans="1:2">
      <c r="A2052" s="117">
        <v>35606</v>
      </c>
      <c r="B2052">
        <v>7.9770000000000003</v>
      </c>
    </row>
    <row r="2053" spans="1:2">
      <c r="A2053" s="117">
        <v>35607</v>
      </c>
      <c r="B2053">
        <v>7.9413</v>
      </c>
    </row>
    <row r="2054" spans="1:2">
      <c r="A2054" s="117">
        <v>35608</v>
      </c>
      <c r="B2054">
        <v>7.9482999999999997</v>
      </c>
    </row>
    <row r="2055" spans="1:2">
      <c r="A2055" s="117">
        <v>35609</v>
      </c>
      <c r="B2055">
        <v>7.9577</v>
      </c>
    </row>
    <row r="2056" spans="1:2">
      <c r="A2056" s="117">
        <v>35610</v>
      </c>
      <c r="B2056">
        <v>7.9577</v>
      </c>
    </row>
    <row r="2057" spans="1:2">
      <c r="A2057" s="117">
        <v>35611</v>
      </c>
      <c r="B2057">
        <v>7.9577</v>
      </c>
    </row>
    <row r="2058" spans="1:2">
      <c r="A2058" s="117">
        <v>35612</v>
      </c>
      <c r="B2058">
        <v>7.9516999999999998</v>
      </c>
    </row>
    <row r="2059" spans="1:2">
      <c r="A2059" s="117">
        <v>35613</v>
      </c>
      <c r="B2059">
        <v>7.9504000000000001</v>
      </c>
    </row>
    <row r="2060" spans="1:2">
      <c r="A2060" s="117">
        <v>35614</v>
      </c>
      <c r="B2060">
        <v>7.9298000000000002</v>
      </c>
    </row>
    <row r="2061" spans="1:2">
      <c r="A2061" s="117">
        <v>35615</v>
      </c>
      <c r="B2061">
        <v>7.9394999999999998</v>
      </c>
    </row>
    <row r="2062" spans="1:2">
      <c r="A2062" s="117">
        <v>35616</v>
      </c>
      <c r="B2062">
        <v>7.9497</v>
      </c>
    </row>
    <row r="2063" spans="1:2">
      <c r="A2063" s="117">
        <v>35617</v>
      </c>
      <c r="B2063">
        <v>7.9497</v>
      </c>
    </row>
    <row r="2064" spans="1:2">
      <c r="A2064" s="117">
        <v>35618</v>
      </c>
      <c r="B2064">
        <v>7.9497</v>
      </c>
    </row>
    <row r="2065" spans="1:2">
      <c r="A2065" s="117">
        <v>35619</v>
      </c>
      <c r="B2065">
        <v>7.9660000000000002</v>
      </c>
    </row>
    <row r="2066" spans="1:2">
      <c r="A2066" s="117">
        <v>35620</v>
      </c>
      <c r="B2066">
        <v>7.9071999999999996</v>
      </c>
    </row>
    <row r="2067" spans="1:2">
      <c r="A2067" s="117">
        <v>35621</v>
      </c>
      <c r="B2067">
        <v>7.9146999999999998</v>
      </c>
    </row>
    <row r="2068" spans="1:2">
      <c r="A2068" s="117">
        <v>35622</v>
      </c>
      <c r="B2068">
        <v>7.8952999999999998</v>
      </c>
    </row>
    <row r="2069" spans="1:2">
      <c r="A2069" s="117">
        <v>35623</v>
      </c>
      <c r="B2069">
        <v>7.8913000000000002</v>
      </c>
    </row>
    <row r="2070" spans="1:2">
      <c r="A2070" s="117">
        <v>35624</v>
      </c>
      <c r="B2070">
        <v>7.8913000000000002</v>
      </c>
    </row>
    <row r="2071" spans="1:2">
      <c r="A2071" s="117">
        <v>35625</v>
      </c>
      <c r="B2071">
        <v>7.8913000000000002</v>
      </c>
    </row>
    <row r="2072" spans="1:2">
      <c r="A2072" s="117">
        <v>35626</v>
      </c>
      <c r="B2072">
        <v>7.8525999999999998</v>
      </c>
    </row>
    <row r="2073" spans="1:2">
      <c r="A2073" s="117">
        <v>35627</v>
      </c>
      <c r="B2073">
        <v>7.8693</v>
      </c>
    </row>
    <row r="2074" spans="1:2">
      <c r="A2074" s="117">
        <v>35628</v>
      </c>
      <c r="B2074">
        <v>7.8860999999999999</v>
      </c>
    </row>
    <row r="2075" spans="1:2">
      <c r="A2075" s="117">
        <v>35629</v>
      </c>
      <c r="B2075">
        <v>7.9282000000000004</v>
      </c>
    </row>
    <row r="2076" spans="1:2">
      <c r="A2076" s="117">
        <v>35630</v>
      </c>
      <c r="B2076">
        <v>7.8556999999999997</v>
      </c>
    </row>
    <row r="2077" spans="1:2">
      <c r="A2077" s="117">
        <v>35631</v>
      </c>
      <c r="B2077">
        <v>7.8556999999999997</v>
      </c>
    </row>
    <row r="2078" spans="1:2">
      <c r="A2078" s="117">
        <v>35632</v>
      </c>
      <c r="B2078">
        <v>7.8556999999999997</v>
      </c>
    </row>
    <row r="2079" spans="1:2">
      <c r="A2079" s="117">
        <v>35633</v>
      </c>
      <c r="B2079">
        <v>7.9097</v>
      </c>
    </row>
    <row r="2080" spans="1:2">
      <c r="A2080" s="117">
        <v>35634</v>
      </c>
      <c r="B2080">
        <v>7.8868</v>
      </c>
    </row>
    <row r="2081" spans="1:2">
      <c r="A2081" s="117">
        <v>35635</v>
      </c>
      <c r="B2081">
        <v>7.8571</v>
      </c>
    </row>
    <row r="2082" spans="1:2">
      <c r="A2082" s="117">
        <v>35636</v>
      </c>
      <c r="B2082">
        <v>7.8372999999999999</v>
      </c>
    </row>
    <row r="2083" spans="1:2">
      <c r="A2083" s="117">
        <v>35637</v>
      </c>
      <c r="B2083">
        <v>7.8312999999999997</v>
      </c>
    </row>
    <row r="2084" spans="1:2">
      <c r="A2084" s="117">
        <v>35638</v>
      </c>
      <c r="B2084">
        <v>7.8312999999999997</v>
      </c>
    </row>
    <row r="2085" spans="1:2">
      <c r="A2085" s="117">
        <v>35639</v>
      </c>
      <c r="B2085">
        <v>7.8312999999999997</v>
      </c>
    </row>
    <row r="2086" spans="1:2">
      <c r="A2086" s="117">
        <v>35640</v>
      </c>
      <c r="B2086">
        <v>7.7717000000000001</v>
      </c>
    </row>
    <row r="2087" spans="1:2">
      <c r="A2087" s="117">
        <v>35641</v>
      </c>
      <c r="B2087">
        <v>7.7808000000000002</v>
      </c>
    </row>
    <row r="2088" spans="1:2">
      <c r="A2088" s="117">
        <v>35642</v>
      </c>
      <c r="B2088">
        <v>7.8087999999999997</v>
      </c>
    </row>
    <row r="2089" spans="1:2">
      <c r="A2089" s="117">
        <v>35643</v>
      </c>
      <c r="B2089">
        <v>7.7657999999999996</v>
      </c>
    </row>
    <row r="2090" spans="1:2">
      <c r="A2090" s="117">
        <v>35644</v>
      </c>
      <c r="B2090">
        <v>7.8247999999999998</v>
      </c>
    </row>
    <row r="2091" spans="1:2">
      <c r="A2091" s="117">
        <v>35645</v>
      </c>
      <c r="B2091">
        <v>7.8247999999999998</v>
      </c>
    </row>
    <row r="2092" spans="1:2">
      <c r="A2092" s="117">
        <v>35646</v>
      </c>
      <c r="B2092">
        <v>7.8247999999999998</v>
      </c>
    </row>
    <row r="2093" spans="1:2">
      <c r="A2093" s="117">
        <v>35647</v>
      </c>
      <c r="B2093">
        <v>7.8243999999999998</v>
      </c>
    </row>
    <row r="2094" spans="1:2">
      <c r="A2094" s="117">
        <v>35648</v>
      </c>
      <c r="B2094">
        <v>7.8310000000000004</v>
      </c>
    </row>
    <row r="2095" spans="1:2">
      <c r="A2095" s="117">
        <v>35649</v>
      </c>
      <c r="B2095">
        <v>7.8051000000000004</v>
      </c>
    </row>
    <row r="2096" spans="1:2">
      <c r="A2096" s="117">
        <v>35650</v>
      </c>
      <c r="B2096">
        <v>7.7805999999999997</v>
      </c>
    </row>
    <row r="2097" spans="1:2">
      <c r="A2097" s="117">
        <v>35651</v>
      </c>
      <c r="B2097">
        <v>7.7895000000000003</v>
      </c>
    </row>
    <row r="2098" spans="1:2">
      <c r="A2098" s="117">
        <v>35652</v>
      </c>
      <c r="B2098">
        <v>7.7895000000000003</v>
      </c>
    </row>
    <row r="2099" spans="1:2">
      <c r="A2099" s="117">
        <v>35653</v>
      </c>
      <c r="B2099">
        <v>7.7895000000000003</v>
      </c>
    </row>
    <row r="2100" spans="1:2">
      <c r="A2100" s="117">
        <v>35654</v>
      </c>
      <c r="B2100">
        <v>7.8262999999999998</v>
      </c>
    </row>
    <row r="2101" spans="1:2">
      <c r="A2101" s="117">
        <v>35655</v>
      </c>
      <c r="B2101">
        <v>7.8059000000000003</v>
      </c>
    </row>
    <row r="2102" spans="1:2">
      <c r="A2102" s="117">
        <v>35656</v>
      </c>
      <c r="B2102">
        <v>7.782</v>
      </c>
    </row>
    <row r="2103" spans="1:2">
      <c r="A2103" s="117">
        <v>35657</v>
      </c>
      <c r="B2103">
        <v>7.7827999999999999</v>
      </c>
    </row>
    <row r="2104" spans="1:2">
      <c r="A2104" s="117">
        <v>35658</v>
      </c>
      <c r="B2104">
        <v>7.766</v>
      </c>
    </row>
    <row r="2105" spans="1:2">
      <c r="A2105" s="117">
        <v>35659</v>
      </c>
      <c r="B2105">
        <v>7.766</v>
      </c>
    </row>
    <row r="2106" spans="1:2">
      <c r="A2106" s="117">
        <v>35660</v>
      </c>
      <c r="B2106">
        <v>7.766</v>
      </c>
    </row>
    <row r="2107" spans="1:2">
      <c r="A2107" s="117">
        <v>35661</v>
      </c>
      <c r="B2107">
        <v>7.7645999999999997</v>
      </c>
    </row>
    <row r="2108" spans="1:2">
      <c r="A2108" s="117">
        <v>35662</v>
      </c>
      <c r="B2108">
        <v>7.7756999999999996</v>
      </c>
    </row>
    <row r="2109" spans="1:2">
      <c r="A2109" s="117">
        <v>35663</v>
      </c>
      <c r="B2109">
        <v>7.7575000000000003</v>
      </c>
    </row>
    <row r="2110" spans="1:2">
      <c r="A2110" s="117">
        <v>35664</v>
      </c>
      <c r="B2110">
        <v>7.7614999999999998</v>
      </c>
    </row>
    <row r="2111" spans="1:2">
      <c r="A2111" s="117">
        <v>35665</v>
      </c>
      <c r="B2111">
        <v>7.7596999999999996</v>
      </c>
    </row>
    <row r="2112" spans="1:2">
      <c r="A2112" s="117">
        <v>35666</v>
      </c>
      <c r="B2112">
        <v>7.7596999999999996</v>
      </c>
    </row>
    <row r="2113" spans="1:2">
      <c r="A2113" s="117">
        <v>35667</v>
      </c>
      <c r="B2113">
        <v>7.7596999999999996</v>
      </c>
    </row>
    <row r="2114" spans="1:2">
      <c r="A2114" s="117">
        <v>35668</v>
      </c>
      <c r="B2114">
        <v>7.7904999999999998</v>
      </c>
    </row>
    <row r="2115" spans="1:2">
      <c r="A2115" s="117">
        <v>35669</v>
      </c>
      <c r="B2115">
        <v>7.7583000000000002</v>
      </c>
    </row>
    <row r="2116" spans="1:2">
      <c r="A2116" s="117">
        <v>35670</v>
      </c>
      <c r="B2116">
        <v>7.7637</v>
      </c>
    </row>
    <row r="2117" spans="1:2">
      <c r="A2117" s="117">
        <v>35671</v>
      </c>
      <c r="B2117">
        <v>7.7548000000000004</v>
      </c>
    </row>
    <row r="2118" spans="1:2">
      <c r="A2118" s="117">
        <v>35672</v>
      </c>
      <c r="B2118">
        <v>7.7746000000000004</v>
      </c>
    </row>
    <row r="2119" spans="1:2">
      <c r="A2119" s="117">
        <v>35673</v>
      </c>
      <c r="B2119">
        <v>7.7746000000000004</v>
      </c>
    </row>
    <row r="2120" spans="1:2">
      <c r="A2120" s="117">
        <v>35674</v>
      </c>
      <c r="B2120">
        <v>7.7746000000000004</v>
      </c>
    </row>
    <row r="2121" spans="1:2">
      <c r="A2121" s="117">
        <v>35675</v>
      </c>
      <c r="B2121">
        <v>7.7746000000000004</v>
      </c>
    </row>
    <row r="2122" spans="1:2">
      <c r="A2122" s="117">
        <v>35676</v>
      </c>
      <c r="B2122">
        <v>7.7853000000000003</v>
      </c>
    </row>
    <row r="2123" spans="1:2">
      <c r="A2123" s="117">
        <v>35677</v>
      </c>
      <c r="B2123">
        <v>7.7770000000000001</v>
      </c>
    </row>
    <row r="2124" spans="1:2">
      <c r="A2124" s="117">
        <v>35678</v>
      </c>
      <c r="B2124">
        <v>7.7686999999999999</v>
      </c>
    </row>
    <row r="2125" spans="1:2">
      <c r="A2125" s="117">
        <v>35679</v>
      </c>
      <c r="B2125">
        <v>7.7881999999999998</v>
      </c>
    </row>
    <row r="2126" spans="1:2">
      <c r="A2126" s="117">
        <v>35680</v>
      </c>
      <c r="B2126">
        <v>7.7881999999999998</v>
      </c>
    </row>
    <row r="2127" spans="1:2">
      <c r="A2127" s="117">
        <v>35681</v>
      </c>
      <c r="B2127">
        <v>7.7881999999999998</v>
      </c>
    </row>
    <row r="2128" spans="1:2">
      <c r="A2128" s="117">
        <v>35682</v>
      </c>
      <c r="B2128">
        <v>7.8070000000000004</v>
      </c>
    </row>
    <row r="2129" spans="1:2">
      <c r="A2129" s="117">
        <v>35683</v>
      </c>
      <c r="B2129">
        <v>7.7839999999999998</v>
      </c>
    </row>
    <row r="2130" spans="1:2">
      <c r="A2130" s="117">
        <v>35684</v>
      </c>
      <c r="B2130">
        <v>7.7790999999999997</v>
      </c>
    </row>
    <row r="2131" spans="1:2">
      <c r="A2131" s="117">
        <v>35685</v>
      </c>
      <c r="B2131">
        <v>7.7769000000000004</v>
      </c>
    </row>
    <row r="2132" spans="1:2">
      <c r="A2132" s="117">
        <v>35686</v>
      </c>
      <c r="B2132">
        <v>7.7847</v>
      </c>
    </row>
    <row r="2133" spans="1:2">
      <c r="A2133" s="117">
        <v>35687</v>
      </c>
      <c r="B2133">
        <v>7.7847</v>
      </c>
    </row>
    <row r="2134" spans="1:2">
      <c r="A2134" s="117">
        <v>35688</v>
      </c>
      <c r="B2134">
        <v>7.7847</v>
      </c>
    </row>
    <row r="2135" spans="1:2">
      <c r="A2135" s="117">
        <v>35689</v>
      </c>
      <c r="B2135">
        <v>7.7793999999999999</v>
      </c>
    </row>
    <row r="2136" spans="1:2">
      <c r="A2136" s="117">
        <v>35690</v>
      </c>
      <c r="B2136">
        <v>7.7793999999999999</v>
      </c>
    </row>
    <row r="2137" spans="1:2">
      <c r="A2137" s="117">
        <v>35691</v>
      </c>
      <c r="B2137">
        <v>7.7676999999999996</v>
      </c>
    </row>
    <row r="2138" spans="1:2">
      <c r="A2138" s="117">
        <v>35692</v>
      </c>
      <c r="B2138">
        <v>7.7545999999999999</v>
      </c>
    </row>
    <row r="2139" spans="1:2">
      <c r="A2139" s="117">
        <v>35693</v>
      </c>
      <c r="B2139">
        <v>7.7560000000000002</v>
      </c>
    </row>
    <row r="2140" spans="1:2">
      <c r="A2140" s="117">
        <v>35694</v>
      </c>
      <c r="B2140">
        <v>7.7560000000000002</v>
      </c>
    </row>
    <row r="2141" spans="1:2">
      <c r="A2141" s="117">
        <v>35695</v>
      </c>
      <c r="B2141">
        <v>7.7560000000000002</v>
      </c>
    </row>
    <row r="2142" spans="1:2">
      <c r="A2142" s="117">
        <v>35696</v>
      </c>
      <c r="B2142">
        <v>7.7557999999999998</v>
      </c>
    </row>
    <row r="2143" spans="1:2">
      <c r="A2143" s="117">
        <v>35697</v>
      </c>
      <c r="B2143">
        <v>7.7244999999999999</v>
      </c>
    </row>
    <row r="2144" spans="1:2">
      <c r="A2144" s="117">
        <v>35698</v>
      </c>
      <c r="B2144">
        <v>7.7680999999999996</v>
      </c>
    </row>
    <row r="2145" spans="1:2">
      <c r="A2145" s="117">
        <v>35699</v>
      </c>
      <c r="B2145">
        <v>7.8243</v>
      </c>
    </row>
    <row r="2146" spans="1:2">
      <c r="A2146" s="117">
        <v>35700</v>
      </c>
      <c r="B2146">
        <v>7.8071999999999999</v>
      </c>
    </row>
    <row r="2147" spans="1:2">
      <c r="A2147" s="117">
        <v>35701</v>
      </c>
      <c r="B2147">
        <v>7.8071999999999999</v>
      </c>
    </row>
    <row r="2148" spans="1:2">
      <c r="A2148" s="117">
        <v>35702</v>
      </c>
      <c r="B2148">
        <v>7.8071999999999999</v>
      </c>
    </row>
    <row r="2149" spans="1:2">
      <c r="A2149" s="117">
        <v>35703</v>
      </c>
      <c r="B2149">
        <v>7.8198999999999996</v>
      </c>
    </row>
    <row r="2150" spans="1:2">
      <c r="A2150" s="117">
        <v>35704</v>
      </c>
      <c r="B2150">
        <v>7.8158000000000003</v>
      </c>
    </row>
    <row r="2151" spans="1:2">
      <c r="A2151" s="117">
        <v>35705</v>
      </c>
      <c r="B2151">
        <v>7.7706999999999997</v>
      </c>
    </row>
    <row r="2152" spans="1:2">
      <c r="A2152" s="117">
        <v>35706</v>
      </c>
      <c r="B2152">
        <v>7.7535999999999996</v>
      </c>
    </row>
    <row r="2153" spans="1:2">
      <c r="A2153" s="117">
        <v>35707</v>
      </c>
      <c r="B2153">
        <v>7.7530000000000001</v>
      </c>
    </row>
    <row r="2154" spans="1:2">
      <c r="A2154" s="117">
        <v>35708</v>
      </c>
      <c r="B2154">
        <v>7.7530000000000001</v>
      </c>
    </row>
    <row r="2155" spans="1:2">
      <c r="A2155" s="117">
        <v>35709</v>
      </c>
      <c r="B2155">
        <v>7.7530000000000001</v>
      </c>
    </row>
    <row r="2156" spans="1:2">
      <c r="A2156" s="117">
        <v>35710</v>
      </c>
      <c r="B2156">
        <v>7.7561999999999998</v>
      </c>
    </row>
    <row r="2157" spans="1:2">
      <c r="A2157" s="117">
        <v>35711</v>
      </c>
      <c r="B2157">
        <v>7.7601000000000004</v>
      </c>
    </row>
    <row r="2158" spans="1:2">
      <c r="A2158" s="117">
        <v>35712</v>
      </c>
      <c r="B2158">
        <v>7.7496999999999998</v>
      </c>
    </row>
    <row r="2159" spans="1:2">
      <c r="A2159" s="117">
        <v>35713</v>
      </c>
      <c r="B2159">
        <v>7.7603</v>
      </c>
    </row>
    <row r="2160" spans="1:2">
      <c r="A2160" s="117">
        <v>35714</v>
      </c>
      <c r="B2160">
        <v>7.77</v>
      </c>
    </row>
    <row r="2161" spans="1:2">
      <c r="A2161" s="117">
        <v>35715</v>
      </c>
      <c r="B2161">
        <v>7.77</v>
      </c>
    </row>
    <row r="2162" spans="1:2">
      <c r="A2162" s="117">
        <v>35716</v>
      </c>
      <c r="B2162">
        <v>7.77</v>
      </c>
    </row>
    <row r="2163" spans="1:2">
      <c r="A2163" s="117">
        <v>35717</v>
      </c>
      <c r="B2163">
        <v>7.7591999999999999</v>
      </c>
    </row>
    <row r="2164" spans="1:2">
      <c r="A2164" s="117">
        <v>35718</v>
      </c>
      <c r="B2164">
        <v>7.7483000000000004</v>
      </c>
    </row>
    <row r="2165" spans="1:2">
      <c r="A2165" s="117">
        <v>35719</v>
      </c>
      <c r="B2165">
        <v>7.7427000000000001</v>
      </c>
    </row>
    <row r="2166" spans="1:2">
      <c r="A2166" s="117">
        <v>35720</v>
      </c>
      <c r="B2166">
        <v>7.7403000000000004</v>
      </c>
    </row>
    <row r="2167" spans="1:2">
      <c r="A2167" s="117">
        <v>35721</v>
      </c>
      <c r="B2167">
        <v>7.7336</v>
      </c>
    </row>
    <row r="2168" spans="1:2">
      <c r="A2168" s="117">
        <v>35722</v>
      </c>
      <c r="B2168">
        <v>7.7336</v>
      </c>
    </row>
    <row r="2169" spans="1:2">
      <c r="A2169" s="117">
        <v>35723</v>
      </c>
      <c r="B2169">
        <v>7.7336</v>
      </c>
    </row>
    <row r="2170" spans="1:2">
      <c r="A2170" s="117">
        <v>35724</v>
      </c>
      <c r="B2170">
        <v>7.7484000000000002</v>
      </c>
    </row>
    <row r="2171" spans="1:2">
      <c r="A2171" s="117">
        <v>35725</v>
      </c>
      <c r="B2171">
        <v>7.7270000000000003</v>
      </c>
    </row>
    <row r="2172" spans="1:2">
      <c r="A2172" s="117">
        <v>35726</v>
      </c>
      <c r="B2172">
        <v>7.7195999999999998</v>
      </c>
    </row>
    <row r="2173" spans="1:2">
      <c r="A2173" s="117">
        <v>35727</v>
      </c>
      <c r="B2173">
        <v>7.7229000000000001</v>
      </c>
    </row>
    <row r="2174" spans="1:2">
      <c r="A2174" s="117">
        <v>35728</v>
      </c>
      <c r="B2174">
        <v>7.7629999999999999</v>
      </c>
    </row>
    <row r="2175" spans="1:2">
      <c r="A2175" s="117">
        <v>35729</v>
      </c>
      <c r="B2175">
        <v>7.7629999999999999</v>
      </c>
    </row>
    <row r="2176" spans="1:2">
      <c r="A2176" s="117">
        <v>35730</v>
      </c>
      <c r="B2176">
        <v>7.7629999999999999</v>
      </c>
    </row>
    <row r="2177" spans="1:2">
      <c r="A2177" s="117">
        <v>35731</v>
      </c>
      <c r="B2177">
        <v>7.8272000000000004</v>
      </c>
    </row>
    <row r="2178" spans="1:2">
      <c r="A2178" s="117">
        <v>35732</v>
      </c>
      <c r="B2178">
        <v>8.14</v>
      </c>
    </row>
    <row r="2179" spans="1:2">
      <c r="A2179" s="117">
        <v>35733</v>
      </c>
      <c r="B2179">
        <v>8.2966999999999995</v>
      </c>
    </row>
    <row r="2180" spans="1:2">
      <c r="A2180" s="117">
        <v>35734</v>
      </c>
      <c r="B2180">
        <v>8.1033000000000008</v>
      </c>
    </row>
    <row r="2181" spans="1:2">
      <c r="A2181" s="117">
        <v>35735</v>
      </c>
      <c r="B2181">
        <v>8.3432999999999993</v>
      </c>
    </row>
    <row r="2182" spans="1:2">
      <c r="A2182" s="117">
        <v>35736</v>
      </c>
      <c r="B2182">
        <v>8.3432999999999993</v>
      </c>
    </row>
    <row r="2183" spans="1:2">
      <c r="A2183" s="117">
        <v>35737</v>
      </c>
      <c r="B2183">
        <v>8.3432999999999993</v>
      </c>
    </row>
    <row r="2184" spans="1:2">
      <c r="A2184" s="117">
        <v>35738</v>
      </c>
      <c r="B2184">
        <v>8.3682999999999996</v>
      </c>
    </row>
    <row r="2185" spans="1:2">
      <c r="A2185" s="117">
        <v>35739</v>
      </c>
      <c r="B2185">
        <v>8.2367000000000008</v>
      </c>
    </row>
    <row r="2186" spans="1:2">
      <c r="A2186" s="117">
        <v>35740</v>
      </c>
      <c r="B2186">
        <v>8.2535000000000007</v>
      </c>
    </row>
    <row r="2187" spans="1:2">
      <c r="A2187" s="117">
        <v>35741</v>
      </c>
      <c r="B2187">
        <v>8.1659000000000006</v>
      </c>
    </row>
    <row r="2188" spans="1:2">
      <c r="A2188" s="117">
        <v>35742</v>
      </c>
      <c r="B2188">
        <v>8.3650000000000002</v>
      </c>
    </row>
    <row r="2189" spans="1:2">
      <c r="A2189" s="117">
        <v>35743</v>
      </c>
      <c r="B2189">
        <v>8.3650000000000002</v>
      </c>
    </row>
    <row r="2190" spans="1:2">
      <c r="A2190" s="117">
        <v>35744</v>
      </c>
      <c r="B2190">
        <v>8.3650000000000002</v>
      </c>
    </row>
    <row r="2191" spans="1:2">
      <c r="A2191" s="117">
        <v>35745</v>
      </c>
      <c r="B2191">
        <v>8.3766999999999996</v>
      </c>
    </row>
    <row r="2192" spans="1:2">
      <c r="A2192" s="117">
        <v>35746</v>
      </c>
      <c r="B2192">
        <v>8.2627000000000006</v>
      </c>
    </row>
    <row r="2193" spans="1:2">
      <c r="A2193" s="117">
        <v>35747</v>
      </c>
      <c r="B2193">
        <v>8.31</v>
      </c>
    </row>
    <row r="2194" spans="1:2">
      <c r="A2194" s="117">
        <v>35748</v>
      </c>
      <c r="B2194">
        <v>8.3582999999999998</v>
      </c>
    </row>
    <row r="2195" spans="1:2">
      <c r="A2195" s="117">
        <v>35749</v>
      </c>
      <c r="B2195">
        <v>8.3800000000000008</v>
      </c>
    </row>
    <row r="2196" spans="1:2">
      <c r="A2196" s="117">
        <v>35750</v>
      </c>
      <c r="B2196">
        <v>8.3800000000000008</v>
      </c>
    </row>
    <row r="2197" spans="1:2">
      <c r="A2197" s="117">
        <v>35751</v>
      </c>
      <c r="B2197">
        <v>8.3800000000000008</v>
      </c>
    </row>
    <row r="2198" spans="1:2">
      <c r="A2198" s="117">
        <v>35752</v>
      </c>
      <c r="B2198">
        <v>8.3275000000000006</v>
      </c>
    </row>
    <row r="2199" spans="1:2">
      <c r="A2199" s="117">
        <v>35753</v>
      </c>
      <c r="B2199">
        <v>8.2424999999999997</v>
      </c>
    </row>
    <row r="2200" spans="1:2">
      <c r="A2200" s="117">
        <v>35754</v>
      </c>
      <c r="B2200">
        <v>8.2642000000000007</v>
      </c>
    </row>
    <row r="2201" spans="1:2">
      <c r="A2201" s="117">
        <v>35755</v>
      </c>
      <c r="B2201">
        <v>8.2642000000000007</v>
      </c>
    </row>
    <row r="2202" spans="1:2">
      <c r="A2202" s="117">
        <v>35756</v>
      </c>
      <c r="B2202">
        <v>8.2882999999999996</v>
      </c>
    </row>
    <row r="2203" spans="1:2">
      <c r="A2203" s="117">
        <v>35757</v>
      </c>
      <c r="B2203">
        <v>8.2882999999999996</v>
      </c>
    </row>
    <row r="2204" spans="1:2">
      <c r="A2204" s="117">
        <v>35758</v>
      </c>
      <c r="B2204">
        <v>8.2882999999999996</v>
      </c>
    </row>
    <row r="2205" spans="1:2">
      <c r="A2205" s="117">
        <v>35759</v>
      </c>
      <c r="B2205">
        <v>8.1773000000000007</v>
      </c>
    </row>
    <row r="2206" spans="1:2">
      <c r="A2206" s="117">
        <v>35760</v>
      </c>
      <c r="B2206">
        <v>8.2352000000000007</v>
      </c>
    </row>
    <row r="2207" spans="1:2">
      <c r="A2207" s="117">
        <v>35761</v>
      </c>
      <c r="B2207">
        <v>8.2357999999999993</v>
      </c>
    </row>
    <row r="2208" spans="1:2">
      <c r="A2208" s="117">
        <v>35762</v>
      </c>
      <c r="B2208">
        <v>8.1999999999999993</v>
      </c>
    </row>
    <row r="2209" spans="1:2">
      <c r="A2209" s="117">
        <v>35763</v>
      </c>
      <c r="B2209">
        <v>8.2164999999999999</v>
      </c>
    </row>
    <row r="2210" spans="1:2">
      <c r="A2210" s="117">
        <v>35764</v>
      </c>
      <c r="B2210">
        <v>8.2164999999999999</v>
      </c>
    </row>
    <row r="2211" spans="1:2">
      <c r="A2211" s="117">
        <v>35765</v>
      </c>
      <c r="B2211">
        <v>8.2164999999999999</v>
      </c>
    </row>
    <row r="2212" spans="1:2">
      <c r="A2212" s="117">
        <v>35766</v>
      </c>
      <c r="B2212">
        <v>8.2134999999999998</v>
      </c>
    </row>
    <row r="2213" spans="1:2">
      <c r="A2213" s="117">
        <v>35767</v>
      </c>
      <c r="B2213">
        <v>8.1809999999999992</v>
      </c>
    </row>
    <row r="2214" spans="1:2">
      <c r="A2214" s="117">
        <v>35768</v>
      </c>
      <c r="B2214">
        <v>8.1538000000000004</v>
      </c>
    </row>
    <row r="2215" spans="1:2">
      <c r="A2215" s="117">
        <v>35769</v>
      </c>
      <c r="B2215">
        <v>8.1305999999999994</v>
      </c>
    </row>
    <row r="2216" spans="1:2">
      <c r="A2216" s="117">
        <v>35770</v>
      </c>
      <c r="B2216">
        <v>8.1057000000000006</v>
      </c>
    </row>
    <row r="2217" spans="1:2">
      <c r="A2217" s="117">
        <v>35771</v>
      </c>
      <c r="B2217">
        <v>8.1057000000000006</v>
      </c>
    </row>
    <row r="2218" spans="1:2">
      <c r="A2218" s="117">
        <v>35772</v>
      </c>
      <c r="B2218">
        <v>8.1057000000000006</v>
      </c>
    </row>
    <row r="2219" spans="1:2">
      <c r="A2219" s="117">
        <v>35773</v>
      </c>
      <c r="B2219">
        <v>8.1440000000000001</v>
      </c>
    </row>
    <row r="2220" spans="1:2">
      <c r="A2220" s="117">
        <v>35774</v>
      </c>
      <c r="B2220">
        <v>8.1105</v>
      </c>
    </row>
    <row r="2221" spans="1:2">
      <c r="A2221" s="117">
        <v>35775</v>
      </c>
      <c r="B2221">
        <v>8.1148000000000007</v>
      </c>
    </row>
    <row r="2222" spans="1:2">
      <c r="A2222" s="117">
        <v>35776</v>
      </c>
      <c r="B2222">
        <v>8.1394000000000002</v>
      </c>
    </row>
    <row r="2223" spans="1:2">
      <c r="A2223" s="117">
        <v>35777</v>
      </c>
      <c r="B2223">
        <v>8.1394000000000002</v>
      </c>
    </row>
    <row r="2224" spans="1:2">
      <c r="A2224" s="117">
        <v>35778</v>
      </c>
      <c r="B2224">
        <v>8.1394000000000002</v>
      </c>
    </row>
    <row r="2225" spans="1:2">
      <c r="A2225" s="117">
        <v>35779</v>
      </c>
      <c r="B2225">
        <v>8.1394000000000002</v>
      </c>
    </row>
    <row r="2226" spans="1:2">
      <c r="A2226" s="117">
        <v>35780</v>
      </c>
      <c r="B2226">
        <v>8.1997999999999998</v>
      </c>
    </row>
    <row r="2227" spans="1:2">
      <c r="A2227" s="117">
        <v>35781</v>
      </c>
      <c r="B2227">
        <v>8.1376000000000008</v>
      </c>
    </row>
    <row r="2228" spans="1:2">
      <c r="A2228" s="117">
        <v>35782</v>
      </c>
      <c r="B2228">
        <v>8.0915999999999997</v>
      </c>
    </row>
    <row r="2229" spans="1:2">
      <c r="A2229" s="117">
        <v>35783</v>
      </c>
      <c r="B2229">
        <v>8.0786999999999995</v>
      </c>
    </row>
    <row r="2230" spans="1:2">
      <c r="A2230" s="117">
        <v>35784</v>
      </c>
      <c r="B2230">
        <v>8.0739999999999998</v>
      </c>
    </row>
    <row r="2231" spans="1:2">
      <c r="A2231" s="117">
        <v>35785</v>
      </c>
      <c r="B2231">
        <v>8.0739999999999998</v>
      </c>
    </row>
    <row r="2232" spans="1:2">
      <c r="A2232" s="117">
        <v>35786</v>
      </c>
      <c r="B2232">
        <v>8.0739999999999998</v>
      </c>
    </row>
    <row r="2233" spans="1:2">
      <c r="A2233" s="117">
        <v>35787</v>
      </c>
      <c r="B2233">
        <v>8.1318000000000001</v>
      </c>
    </row>
    <row r="2234" spans="1:2">
      <c r="A2234" s="117">
        <v>35788</v>
      </c>
      <c r="B2234">
        <v>8.1156000000000006</v>
      </c>
    </row>
    <row r="2235" spans="1:2">
      <c r="A2235" s="117">
        <v>35789</v>
      </c>
      <c r="B2235">
        <v>8.1267999999999994</v>
      </c>
    </row>
    <row r="2236" spans="1:2">
      <c r="A2236" s="117">
        <v>35790</v>
      </c>
      <c r="B2236">
        <v>8.1267999999999994</v>
      </c>
    </row>
    <row r="2237" spans="1:2">
      <c r="A2237" s="117">
        <v>35791</v>
      </c>
      <c r="B2237">
        <v>8.1647999999999996</v>
      </c>
    </row>
    <row r="2238" spans="1:2">
      <c r="A2238" s="117">
        <v>35792</v>
      </c>
      <c r="B2238">
        <v>8.1647999999999996</v>
      </c>
    </row>
    <row r="2239" spans="1:2">
      <c r="A2239" s="117">
        <v>35793</v>
      </c>
      <c r="B2239">
        <v>8.1647999999999996</v>
      </c>
    </row>
    <row r="2240" spans="1:2">
      <c r="A2240" s="117">
        <v>35794</v>
      </c>
      <c r="B2240">
        <v>8.1430000000000007</v>
      </c>
    </row>
    <row r="2241" spans="1:2">
      <c r="A2241" s="117">
        <v>35795</v>
      </c>
      <c r="B2241">
        <v>8.0832999999999995</v>
      </c>
    </row>
    <row r="2242" spans="1:2">
      <c r="A2242" s="117">
        <v>35796</v>
      </c>
      <c r="B2242">
        <v>8.0640000000000001</v>
      </c>
    </row>
    <row r="2243" spans="1:2">
      <c r="A2243" s="117">
        <v>35797</v>
      </c>
      <c r="B2243">
        <v>8.0640000000000001</v>
      </c>
    </row>
    <row r="2244" spans="1:2">
      <c r="A2244" s="117">
        <v>35798</v>
      </c>
      <c r="B2244">
        <v>8.0680999999999994</v>
      </c>
    </row>
    <row r="2245" spans="1:2">
      <c r="A2245" s="117">
        <v>35799</v>
      </c>
      <c r="B2245">
        <v>8.0680999999999994</v>
      </c>
    </row>
    <row r="2246" spans="1:2">
      <c r="A2246" s="117">
        <v>35800</v>
      </c>
      <c r="B2246">
        <v>8.0680999999999994</v>
      </c>
    </row>
    <row r="2247" spans="1:2">
      <c r="A2247" s="117">
        <v>35801</v>
      </c>
      <c r="B2247">
        <v>8.0585000000000004</v>
      </c>
    </row>
    <row r="2248" spans="1:2">
      <c r="A2248" s="117">
        <v>35802</v>
      </c>
      <c r="B2248">
        <v>8.0422999999999991</v>
      </c>
    </row>
    <row r="2249" spans="1:2">
      <c r="A2249" s="117">
        <v>35803</v>
      </c>
      <c r="B2249">
        <v>8.0421999999999993</v>
      </c>
    </row>
    <row r="2250" spans="1:2">
      <c r="A2250" s="117">
        <v>35804</v>
      </c>
      <c r="B2250">
        <v>8.0597999999999992</v>
      </c>
    </row>
    <row r="2251" spans="1:2">
      <c r="A2251" s="117">
        <v>35805</v>
      </c>
      <c r="B2251">
        <v>8.0775000000000006</v>
      </c>
    </row>
    <row r="2252" spans="1:2">
      <c r="A2252" s="117">
        <v>35806</v>
      </c>
      <c r="B2252">
        <v>8.0775000000000006</v>
      </c>
    </row>
    <row r="2253" spans="1:2">
      <c r="A2253" s="117">
        <v>35807</v>
      </c>
      <c r="B2253">
        <v>8.0775000000000006</v>
      </c>
    </row>
    <row r="2254" spans="1:2">
      <c r="A2254" s="117">
        <v>35808</v>
      </c>
      <c r="B2254">
        <v>8.0856999999999992</v>
      </c>
    </row>
    <row r="2255" spans="1:2">
      <c r="A2255" s="117">
        <v>35809</v>
      </c>
      <c r="B2255">
        <v>8.2774999999999999</v>
      </c>
    </row>
    <row r="2256" spans="1:2">
      <c r="A2256" s="117">
        <v>35810</v>
      </c>
      <c r="B2256">
        <v>8.1628000000000007</v>
      </c>
    </row>
    <row r="2257" spans="1:2">
      <c r="A2257" s="117">
        <v>35811</v>
      </c>
      <c r="B2257">
        <v>8.1661999999999999</v>
      </c>
    </row>
    <row r="2258" spans="1:2">
      <c r="A2258" s="117">
        <v>35812</v>
      </c>
      <c r="B2258">
        <v>8.2761999999999993</v>
      </c>
    </row>
    <row r="2259" spans="1:2">
      <c r="A2259" s="117">
        <v>35813</v>
      </c>
      <c r="B2259">
        <v>8.2761999999999993</v>
      </c>
    </row>
    <row r="2260" spans="1:2">
      <c r="A2260" s="117">
        <v>35814</v>
      </c>
      <c r="B2260">
        <v>8.2761999999999993</v>
      </c>
    </row>
    <row r="2261" spans="1:2">
      <c r="A2261" s="117">
        <v>35815</v>
      </c>
      <c r="B2261">
        <v>8.1978000000000009</v>
      </c>
    </row>
    <row r="2262" spans="1:2">
      <c r="A2262" s="117">
        <v>35816</v>
      </c>
      <c r="B2262">
        <v>8.1803000000000008</v>
      </c>
    </row>
    <row r="2263" spans="1:2">
      <c r="A2263" s="117">
        <v>35817</v>
      </c>
      <c r="B2263">
        <v>8.2144999999999992</v>
      </c>
    </row>
    <row r="2264" spans="1:2">
      <c r="A2264" s="117">
        <v>35818</v>
      </c>
      <c r="B2264">
        <v>8.2682000000000002</v>
      </c>
    </row>
    <row r="2265" spans="1:2">
      <c r="A2265" s="117">
        <v>35819</v>
      </c>
      <c r="B2265">
        <v>8.3320000000000007</v>
      </c>
    </row>
    <row r="2266" spans="1:2">
      <c r="A2266" s="117">
        <v>35820</v>
      </c>
      <c r="B2266">
        <v>8.3320000000000007</v>
      </c>
    </row>
    <row r="2267" spans="1:2">
      <c r="A2267" s="117">
        <v>35821</v>
      </c>
      <c r="B2267">
        <v>8.3320000000000007</v>
      </c>
    </row>
    <row r="2268" spans="1:2">
      <c r="A2268" s="117">
        <v>35822</v>
      </c>
      <c r="B2268">
        <v>8.2939000000000007</v>
      </c>
    </row>
    <row r="2269" spans="1:2">
      <c r="A2269" s="117">
        <v>35823</v>
      </c>
      <c r="B2269">
        <v>8.2810000000000006</v>
      </c>
    </row>
    <row r="2270" spans="1:2">
      <c r="A2270" s="117">
        <v>35824</v>
      </c>
      <c r="B2270">
        <v>8.2661999999999995</v>
      </c>
    </row>
    <row r="2271" spans="1:2">
      <c r="A2271" s="117">
        <v>35825</v>
      </c>
      <c r="B2271">
        <v>8.3603000000000005</v>
      </c>
    </row>
    <row r="2272" spans="1:2">
      <c r="A2272" s="117">
        <v>35826</v>
      </c>
      <c r="B2272">
        <v>8.4640000000000004</v>
      </c>
    </row>
    <row r="2273" spans="1:2">
      <c r="A2273" s="117">
        <v>35827</v>
      </c>
      <c r="B2273">
        <v>8.4640000000000004</v>
      </c>
    </row>
    <row r="2274" spans="1:2">
      <c r="A2274" s="117">
        <v>35828</v>
      </c>
      <c r="B2274">
        <v>8.4640000000000004</v>
      </c>
    </row>
    <row r="2275" spans="1:2">
      <c r="A2275" s="117">
        <v>35829</v>
      </c>
      <c r="B2275">
        <v>8.4642999999999997</v>
      </c>
    </row>
    <row r="2276" spans="1:2">
      <c r="A2276" s="117">
        <v>35830</v>
      </c>
      <c r="B2276">
        <v>8.4367000000000001</v>
      </c>
    </row>
    <row r="2277" spans="1:2">
      <c r="A2277" s="117">
        <v>35831</v>
      </c>
      <c r="B2277">
        <v>8.4322999999999997</v>
      </c>
    </row>
    <row r="2278" spans="1:2">
      <c r="A2278" s="117">
        <v>35832</v>
      </c>
      <c r="B2278">
        <v>8.4322999999999997</v>
      </c>
    </row>
    <row r="2279" spans="1:2">
      <c r="A2279" s="117">
        <v>35833</v>
      </c>
      <c r="B2279">
        <v>8.4135000000000009</v>
      </c>
    </row>
    <row r="2280" spans="1:2">
      <c r="A2280" s="117">
        <v>35834</v>
      </c>
      <c r="B2280">
        <v>8.4135000000000009</v>
      </c>
    </row>
    <row r="2281" spans="1:2">
      <c r="A2281" s="117">
        <v>35835</v>
      </c>
      <c r="B2281">
        <v>8.4135000000000009</v>
      </c>
    </row>
    <row r="2282" spans="1:2">
      <c r="A2282" s="117">
        <v>35836</v>
      </c>
      <c r="B2282">
        <v>8.4222000000000001</v>
      </c>
    </row>
    <row r="2283" spans="1:2">
      <c r="A2283" s="117">
        <v>35837</v>
      </c>
      <c r="B2283">
        <v>8.4528999999999996</v>
      </c>
    </row>
    <row r="2284" spans="1:2">
      <c r="A2284" s="117">
        <v>35838</v>
      </c>
      <c r="B2284">
        <v>8.4849999999999994</v>
      </c>
    </row>
    <row r="2285" spans="1:2">
      <c r="A2285" s="117">
        <v>35839</v>
      </c>
      <c r="B2285">
        <v>8.4521999999999995</v>
      </c>
    </row>
    <row r="2286" spans="1:2">
      <c r="A2286" s="117">
        <v>35840</v>
      </c>
      <c r="B2286">
        <v>8.4495000000000005</v>
      </c>
    </row>
    <row r="2287" spans="1:2">
      <c r="A2287" s="117">
        <v>35841</v>
      </c>
      <c r="B2287">
        <v>8.4495000000000005</v>
      </c>
    </row>
    <row r="2288" spans="1:2">
      <c r="A2288" s="117">
        <v>35842</v>
      </c>
      <c r="B2288">
        <v>8.4495000000000005</v>
      </c>
    </row>
    <row r="2289" spans="1:2">
      <c r="A2289" s="117">
        <v>35843</v>
      </c>
      <c r="B2289">
        <v>8.4651999999999994</v>
      </c>
    </row>
    <row r="2290" spans="1:2">
      <c r="A2290" s="117">
        <v>35844</v>
      </c>
      <c r="B2290">
        <v>8.4628999999999994</v>
      </c>
    </row>
    <row r="2291" spans="1:2">
      <c r="A2291" s="117">
        <v>35845</v>
      </c>
      <c r="B2291">
        <v>8.4578000000000007</v>
      </c>
    </row>
    <row r="2292" spans="1:2">
      <c r="A2292" s="117">
        <v>35846</v>
      </c>
      <c r="B2292">
        <v>8.5427</v>
      </c>
    </row>
    <row r="2293" spans="1:2">
      <c r="A2293" s="117">
        <v>35847</v>
      </c>
      <c r="B2293">
        <v>8.5449000000000002</v>
      </c>
    </row>
    <row r="2294" spans="1:2">
      <c r="A2294" s="117">
        <v>35848</v>
      </c>
      <c r="B2294">
        <v>8.5449000000000002</v>
      </c>
    </row>
    <row r="2295" spans="1:2">
      <c r="A2295" s="117">
        <v>35849</v>
      </c>
      <c r="B2295">
        <v>8.5449000000000002</v>
      </c>
    </row>
    <row r="2296" spans="1:2">
      <c r="A2296" s="117">
        <v>35850</v>
      </c>
      <c r="B2296">
        <v>8.5891999999999999</v>
      </c>
    </row>
    <row r="2297" spans="1:2">
      <c r="A2297" s="117">
        <v>35851</v>
      </c>
      <c r="B2297">
        <v>8.6379000000000001</v>
      </c>
    </row>
    <row r="2298" spans="1:2">
      <c r="A2298" s="117">
        <v>35852</v>
      </c>
      <c r="B2298">
        <v>8.6140000000000008</v>
      </c>
    </row>
    <row r="2299" spans="1:2">
      <c r="A2299" s="117">
        <v>35853</v>
      </c>
      <c r="B2299">
        <v>8.5831999999999997</v>
      </c>
    </row>
    <row r="2300" spans="1:2">
      <c r="A2300" s="117">
        <v>35854</v>
      </c>
      <c r="B2300">
        <v>8.5582999999999991</v>
      </c>
    </row>
    <row r="2301" spans="1:2">
      <c r="A2301" s="117">
        <v>35855</v>
      </c>
      <c r="B2301">
        <v>8.5582999999999991</v>
      </c>
    </row>
    <row r="2302" spans="1:2">
      <c r="A2302" s="117">
        <v>35856</v>
      </c>
      <c r="B2302">
        <v>8.5582999999999991</v>
      </c>
    </row>
    <row r="2303" spans="1:2">
      <c r="A2303" s="117">
        <v>35857</v>
      </c>
      <c r="B2303">
        <v>8.5252999999999997</v>
      </c>
    </row>
    <row r="2304" spans="1:2">
      <c r="A2304" s="117">
        <v>35858</v>
      </c>
      <c r="B2304">
        <v>8.4956999999999994</v>
      </c>
    </row>
    <row r="2305" spans="1:2">
      <c r="A2305" s="117">
        <v>35859</v>
      </c>
      <c r="B2305">
        <v>8.5347000000000008</v>
      </c>
    </row>
    <row r="2306" spans="1:2">
      <c r="A2306" s="117">
        <v>35860</v>
      </c>
      <c r="B2306">
        <v>8.5824999999999996</v>
      </c>
    </row>
    <row r="2307" spans="1:2">
      <c r="A2307" s="117">
        <v>35861</v>
      </c>
      <c r="B2307">
        <v>8.6202000000000005</v>
      </c>
    </row>
    <row r="2308" spans="1:2">
      <c r="A2308" s="117">
        <v>35862</v>
      </c>
      <c r="B2308">
        <v>8.6202000000000005</v>
      </c>
    </row>
    <row r="2309" spans="1:2">
      <c r="A2309" s="117">
        <v>35863</v>
      </c>
      <c r="B2309">
        <v>8.6202000000000005</v>
      </c>
    </row>
    <row r="2310" spans="1:2">
      <c r="A2310" s="117">
        <v>35864</v>
      </c>
      <c r="B2310">
        <v>8.5977999999999994</v>
      </c>
    </row>
    <row r="2311" spans="1:2">
      <c r="A2311" s="117">
        <v>35865</v>
      </c>
      <c r="B2311">
        <v>8.6273</v>
      </c>
    </row>
    <row r="2312" spans="1:2">
      <c r="A2312" s="117">
        <v>35866</v>
      </c>
      <c r="B2312">
        <v>8.6273</v>
      </c>
    </row>
    <row r="2313" spans="1:2">
      <c r="A2313" s="117">
        <v>35867</v>
      </c>
      <c r="B2313">
        <v>8.6690000000000005</v>
      </c>
    </row>
    <row r="2314" spans="1:2">
      <c r="A2314" s="117">
        <v>35868</v>
      </c>
      <c r="B2314">
        <v>8.5672999999999995</v>
      </c>
    </row>
    <row r="2315" spans="1:2">
      <c r="A2315" s="117">
        <v>35869</v>
      </c>
      <c r="B2315">
        <v>8.5672999999999995</v>
      </c>
    </row>
    <row r="2316" spans="1:2">
      <c r="A2316" s="117">
        <v>35870</v>
      </c>
      <c r="B2316">
        <v>8.5672999999999995</v>
      </c>
    </row>
    <row r="2317" spans="1:2">
      <c r="A2317" s="117">
        <v>35871</v>
      </c>
      <c r="B2317">
        <v>8.5594999999999999</v>
      </c>
    </row>
    <row r="2318" spans="1:2">
      <c r="A2318" s="117">
        <v>35872</v>
      </c>
      <c r="B2318">
        <v>8.5927000000000007</v>
      </c>
    </row>
    <row r="2319" spans="1:2">
      <c r="A2319" s="117">
        <v>35873</v>
      </c>
      <c r="B2319">
        <v>8.6047999999999991</v>
      </c>
    </row>
    <row r="2320" spans="1:2">
      <c r="A2320" s="117">
        <v>35874</v>
      </c>
      <c r="B2320">
        <v>8.5640999999999998</v>
      </c>
    </row>
    <row r="2321" spans="1:2">
      <c r="A2321" s="117">
        <v>35875</v>
      </c>
      <c r="B2321">
        <v>8.5638000000000005</v>
      </c>
    </row>
    <row r="2322" spans="1:2">
      <c r="A2322" s="117">
        <v>35876</v>
      </c>
      <c r="B2322">
        <v>8.5638000000000005</v>
      </c>
    </row>
    <row r="2323" spans="1:2">
      <c r="A2323" s="117">
        <v>35877</v>
      </c>
      <c r="B2323">
        <v>8.5638000000000005</v>
      </c>
    </row>
    <row r="2324" spans="1:2">
      <c r="A2324" s="117">
        <v>35878</v>
      </c>
      <c r="B2324">
        <v>8.5784000000000002</v>
      </c>
    </row>
    <row r="2325" spans="1:2">
      <c r="A2325" s="117">
        <v>35879</v>
      </c>
      <c r="B2325">
        <v>8.5367999999999995</v>
      </c>
    </row>
    <row r="2326" spans="1:2">
      <c r="A2326" s="117">
        <v>35880</v>
      </c>
      <c r="B2326">
        <v>8.5410000000000004</v>
      </c>
    </row>
    <row r="2327" spans="1:2">
      <c r="A2327" s="117">
        <v>35881</v>
      </c>
      <c r="B2327">
        <v>8.5282</v>
      </c>
    </row>
    <row r="2328" spans="1:2">
      <c r="A2328" s="117">
        <v>35882</v>
      </c>
      <c r="B2328">
        <v>8.5251999999999999</v>
      </c>
    </row>
    <row r="2329" spans="1:2">
      <c r="A2329" s="117">
        <v>35883</v>
      </c>
      <c r="B2329">
        <v>8.5251999999999999</v>
      </c>
    </row>
    <row r="2330" spans="1:2">
      <c r="A2330" s="117">
        <v>35884</v>
      </c>
      <c r="B2330">
        <v>8.5251999999999999</v>
      </c>
    </row>
    <row r="2331" spans="1:2">
      <c r="A2331" s="117">
        <v>35885</v>
      </c>
      <c r="B2331">
        <v>8.5165000000000006</v>
      </c>
    </row>
    <row r="2332" spans="1:2">
      <c r="A2332" s="117">
        <v>35886</v>
      </c>
      <c r="B2332">
        <v>8.5352999999999994</v>
      </c>
    </row>
    <row r="2333" spans="1:2">
      <c r="A2333" s="117">
        <v>35887</v>
      </c>
      <c r="B2333">
        <v>8.5191999999999997</v>
      </c>
    </row>
    <row r="2334" spans="1:2">
      <c r="A2334" s="117">
        <v>35888</v>
      </c>
      <c r="B2334">
        <v>8.5096000000000007</v>
      </c>
    </row>
    <row r="2335" spans="1:2">
      <c r="A2335" s="117">
        <v>35889</v>
      </c>
      <c r="B2335">
        <v>8.5213999999999999</v>
      </c>
    </row>
    <row r="2336" spans="1:2">
      <c r="A2336" s="117">
        <v>35890</v>
      </c>
      <c r="B2336">
        <v>8.5213999999999999</v>
      </c>
    </row>
    <row r="2337" spans="1:2">
      <c r="A2337" s="117">
        <v>35891</v>
      </c>
      <c r="B2337">
        <v>8.5213999999999999</v>
      </c>
    </row>
    <row r="2338" spans="1:2">
      <c r="A2338" s="117">
        <v>35892</v>
      </c>
      <c r="B2338">
        <v>8.5410000000000004</v>
      </c>
    </row>
    <row r="2339" spans="1:2">
      <c r="A2339" s="117">
        <v>35893</v>
      </c>
      <c r="B2339">
        <v>8.52</v>
      </c>
    </row>
    <row r="2340" spans="1:2">
      <c r="A2340" s="117">
        <v>35894</v>
      </c>
      <c r="B2340">
        <v>8.5274000000000001</v>
      </c>
    </row>
    <row r="2341" spans="1:2">
      <c r="A2341" s="117">
        <v>35895</v>
      </c>
      <c r="B2341">
        <v>8.5274000000000001</v>
      </c>
    </row>
    <row r="2342" spans="1:2">
      <c r="A2342" s="117">
        <v>35896</v>
      </c>
      <c r="B2342">
        <v>8.5274000000000001</v>
      </c>
    </row>
    <row r="2343" spans="1:2">
      <c r="A2343" s="117">
        <v>35897</v>
      </c>
      <c r="B2343">
        <v>8.5274000000000001</v>
      </c>
    </row>
    <row r="2344" spans="1:2">
      <c r="A2344" s="117">
        <v>35898</v>
      </c>
      <c r="B2344">
        <v>8.5274000000000001</v>
      </c>
    </row>
    <row r="2345" spans="1:2">
      <c r="A2345" s="117">
        <v>35899</v>
      </c>
      <c r="B2345">
        <v>8.5106000000000002</v>
      </c>
    </row>
    <row r="2346" spans="1:2">
      <c r="A2346" s="117">
        <v>35900</v>
      </c>
      <c r="B2346">
        <v>8.5129999999999999</v>
      </c>
    </row>
    <row r="2347" spans="1:2">
      <c r="A2347" s="117">
        <v>35901</v>
      </c>
      <c r="B2347">
        <v>8.4928000000000008</v>
      </c>
    </row>
    <row r="2348" spans="1:2">
      <c r="A2348" s="117">
        <v>35902</v>
      </c>
      <c r="B2348">
        <v>8.4716000000000005</v>
      </c>
    </row>
    <row r="2349" spans="1:2">
      <c r="A2349" s="117">
        <v>35903</v>
      </c>
      <c r="B2349">
        <v>8.5008999999999997</v>
      </c>
    </row>
    <row r="2350" spans="1:2">
      <c r="A2350" s="117">
        <v>35904</v>
      </c>
      <c r="B2350">
        <v>8.5008999999999997</v>
      </c>
    </row>
    <row r="2351" spans="1:2">
      <c r="A2351" s="117">
        <v>35905</v>
      </c>
      <c r="B2351">
        <v>8.5008999999999997</v>
      </c>
    </row>
    <row r="2352" spans="1:2">
      <c r="A2352" s="117">
        <v>35906</v>
      </c>
      <c r="B2352">
        <v>8.4945000000000004</v>
      </c>
    </row>
    <row r="2353" spans="1:2">
      <c r="A2353" s="117">
        <v>35907</v>
      </c>
      <c r="B2353">
        <v>8.4727999999999994</v>
      </c>
    </row>
    <row r="2354" spans="1:2">
      <c r="A2354" s="117">
        <v>35908</v>
      </c>
      <c r="B2354">
        <v>8.4550000000000001</v>
      </c>
    </row>
    <row r="2355" spans="1:2">
      <c r="A2355" s="117">
        <v>35909</v>
      </c>
      <c r="B2355">
        <v>8.4616000000000007</v>
      </c>
    </row>
    <row r="2356" spans="1:2">
      <c r="A2356" s="117">
        <v>35910</v>
      </c>
      <c r="B2356">
        <v>8.4702999999999999</v>
      </c>
    </row>
    <row r="2357" spans="1:2">
      <c r="A2357" s="117">
        <v>35911</v>
      </c>
      <c r="B2357">
        <v>8.4702999999999999</v>
      </c>
    </row>
    <row r="2358" spans="1:2">
      <c r="A2358" s="117">
        <v>35912</v>
      </c>
      <c r="B2358">
        <v>8.4702999999999999</v>
      </c>
    </row>
    <row r="2359" spans="1:2">
      <c r="A2359" s="117">
        <v>35913</v>
      </c>
      <c r="B2359">
        <v>8.4747000000000003</v>
      </c>
    </row>
    <row r="2360" spans="1:2">
      <c r="A2360" s="117">
        <v>35914</v>
      </c>
      <c r="B2360">
        <v>8.5190000000000001</v>
      </c>
    </row>
    <row r="2361" spans="1:2">
      <c r="A2361" s="117">
        <v>35915</v>
      </c>
      <c r="B2361">
        <v>8.4817999999999998</v>
      </c>
    </row>
    <row r="2362" spans="1:2">
      <c r="A2362" s="117">
        <v>35916</v>
      </c>
      <c r="B2362">
        <v>8.5029000000000003</v>
      </c>
    </row>
    <row r="2363" spans="1:2">
      <c r="A2363" s="117">
        <v>35917</v>
      </c>
      <c r="B2363">
        <v>8.5029000000000003</v>
      </c>
    </row>
    <row r="2364" spans="1:2">
      <c r="A2364" s="117">
        <v>35918</v>
      </c>
      <c r="B2364">
        <v>8.5029000000000003</v>
      </c>
    </row>
    <row r="2365" spans="1:2">
      <c r="A2365" s="117">
        <v>35919</v>
      </c>
      <c r="B2365">
        <v>8.5029000000000003</v>
      </c>
    </row>
    <row r="2366" spans="1:2">
      <c r="A2366" s="117">
        <v>35920</v>
      </c>
      <c r="B2366">
        <v>8.4898000000000007</v>
      </c>
    </row>
    <row r="2367" spans="1:2">
      <c r="A2367" s="117">
        <v>35921</v>
      </c>
      <c r="B2367">
        <v>8.4898000000000007</v>
      </c>
    </row>
    <row r="2368" spans="1:2">
      <c r="A2368" s="117">
        <v>35922</v>
      </c>
      <c r="B2368">
        <v>8.4770000000000003</v>
      </c>
    </row>
    <row r="2369" spans="1:2">
      <c r="A2369" s="117">
        <v>35923</v>
      </c>
      <c r="B2369">
        <v>8.4793000000000003</v>
      </c>
    </row>
    <row r="2370" spans="1:2">
      <c r="A2370" s="117">
        <v>35924</v>
      </c>
      <c r="B2370">
        <v>8.5007000000000001</v>
      </c>
    </row>
    <row r="2371" spans="1:2">
      <c r="A2371" s="117">
        <v>35925</v>
      </c>
      <c r="B2371">
        <v>8.5007000000000001</v>
      </c>
    </row>
    <row r="2372" spans="1:2">
      <c r="A2372" s="117">
        <v>35926</v>
      </c>
      <c r="B2372">
        <v>8.5007000000000001</v>
      </c>
    </row>
    <row r="2373" spans="1:2">
      <c r="A2373" s="117">
        <v>35927</v>
      </c>
      <c r="B2373">
        <v>8.4833999999999996</v>
      </c>
    </row>
    <row r="2374" spans="1:2">
      <c r="A2374" s="117">
        <v>35928</v>
      </c>
      <c r="B2374">
        <v>8.4672999999999998</v>
      </c>
    </row>
    <row r="2375" spans="1:2">
      <c r="A2375" s="117">
        <v>35929</v>
      </c>
      <c r="B2375">
        <v>8.4964999999999993</v>
      </c>
    </row>
    <row r="2376" spans="1:2">
      <c r="A2376" s="117">
        <v>35930</v>
      </c>
      <c r="B2376">
        <v>8.5198</v>
      </c>
    </row>
    <row r="2377" spans="1:2">
      <c r="A2377" s="117">
        <v>35931</v>
      </c>
      <c r="B2377">
        <v>8.5068999999999999</v>
      </c>
    </row>
    <row r="2378" spans="1:2">
      <c r="A2378" s="117">
        <v>35932</v>
      </c>
      <c r="B2378">
        <v>8.5068999999999999</v>
      </c>
    </row>
    <row r="2379" spans="1:2">
      <c r="A2379" s="117">
        <v>35933</v>
      </c>
      <c r="B2379">
        <v>8.5068999999999999</v>
      </c>
    </row>
    <row r="2380" spans="1:2">
      <c r="A2380" s="117">
        <v>35934</v>
      </c>
      <c r="B2380">
        <v>8.5146999999999995</v>
      </c>
    </row>
    <row r="2381" spans="1:2">
      <c r="A2381" s="117">
        <v>35935</v>
      </c>
      <c r="B2381">
        <v>8.5303000000000004</v>
      </c>
    </row>
    <row r="2382" spans="1:2">
      <c r="A2382" s="117">
        <v>35936</v>
      </c>
      <c r="B2382">
        <v>8.5848999999999993</v>
      </c>
    </row>
    <row r="2383" spans="1:2">
      <c r="A2383" s="117">
        <v>35937</v>
      </c>
      <c r="B2383">
        <v>8.6212</v>
      </c>
    </row>
    <row r="2384" spans="1:2">
      <c r="A2384" s="117">
        <v>35938</v>
      </c>
      <c r="B2384">
        <v>8.6222999999999992</v>
      </c>
    </row>
    <row r="2385" spans="1:2">
      <c r="A2385" s="117">
        <v>35939</v>
      </c>
      <c r="B2385">
        <v>8.6222999999999992</v>
      </c>
    </row>
    <row r="2386" spans="1:2">
      <c r="A2386" s="117">
        <v>35940</v>
      </c>
      <c r="B2386">
        <v>8.6222999999999992</v>
      </c>
    </row>
    <row r="2387" spans="1:2">
      <c r="A2387" s="117">
        <v>35941</v>
      </c>
      <c r="B2387">
        <v>8.6402000000000001</v>
      </c>
    </row>
    <row r="2388" spans="1:2">
      <c r="A2388" s="117">
        <v>35942</v>
      </c>
      <c r="B2388">
        <v>8.6378000000000004</v>
      </c>
    </row>
    <row r="2389" spans="1:2">
      <c r="A2389" s="117">
        <v>35943</v>
      </c>
      <c r="B2389">
        <v>8.7081</v>
      </c>
    </row>
    <row r="2390" spans="1:2">
      <c r="A2390" s="117">
        <v>35944</v>
      </c>
      <c r="B2390">
        <v>8.8802000000000003</v>
      </c>
    </row>
    <row r="2391" spans="1:2">
      <c r="A2391" s="117">
        <v>35945</v>
      </c>
      <c r="B2391">
        <v>8.7873000000000001</v>
      </c>
    </row>
    <row r="2392" spans="1:2">
      <c r="A2392" s="117">
        <v>35946</v>
      </c>
      <c r="B2392">
        <v>8.7873000000000001</v>
      </c>
    </row>
    <row r="2393" spans="1:2">
      <c r="A2393" s="117">
        <v>35947</v>
      </c>
      <c r="B2393">
        <v>8.7873000000000001</v>
      </c>
    </row>
    <row r="2394" spans="1:2">
      <c r="A2394" s="117">
        <v>35948</v>
      </c>
      <c r="B2394">
        <v>8.8163999999999998</v>
      </c>
    </row>
    <row r="2395" spans="1:2">
      <c r="A2395" s="117">
        <v>35949</v>
      </c>
      <c r="B2395">
        <v>8.8983000000000008</v>
      </c>
    </row>
    <row r="2396" spans="1:2">
      <c r="A2396" s="117">
        <v>35950</v>
      </c>
      <c r="B2396">
        <v>8.8818000000000001</v>
      </c>
    </row>
    <row r="2397" spans="1:2">
      <c r="A2397" s="117">
        <v>35951</v>
      </c>
      <c r="B2397">
        <v>8.7957999999999998</v>
      </c>
    </row>
    <row r="2398" spans="1:2">
      <c r="A2398" s="117">
        <v>35952</v>
      </c>
      <c r="B2398">
        <v>8.7803000000000004</v>
      </c>
    </row>
    <row r="2399" spans="1:2">
      <c r="A2399" s="117">
        <v>35953</v>
      </c>
      <c r="B2399">
        <v>8.7803000000000004</v>
      </c>
    </row>
    <row r="2400" spans="1:2">
      <c r="A2400" s="117">
        <v>35954</v>
      </c>
      <c r="B2400">
        <v>8.7803000000000004</v>
      </c>
    </row>
    <row r="2401" spans="1:2">
      <c r="A2401" s="117">
        <v>35955</v>
      </c>
      <c r="B2401">
        <v>8.7619000000000007</v>
      </c>
    </row>
    <row r="2402" spans="1:2">
      <c r="A2402" s="117">
        <v>35956</v>
      </c>
      <c r="B2402">
        <v>8.8252000000000006</v>
      </c>
    </row>
    <row r="2403" spans="1:2">
      <c r="A2403" s="117">
        <v>35957</v>
      </c>
      <c r="B2403">
        <v>8.8360000000000003</v>
      </c>
    </row>
    <row r="2404" spans="1:2">
      <c r="A2404" s="117">
        <v>35958</v>
      </c>
      <c r="B2404">
        <v>8.8808000000000007</v>
      </c>
    </row>
    <row r="2405" spans="1:2">
      <c r="A2405" s="117">
        <v>35959</v>
      </c>
      <c r="B2405">
        <v>8.9609000000000005</v>
      </c>
    </row>
    <row r="2406" spans="1:2">
      <c r="A2406" s="117">
        <v>35960</v>
      </c>
      <c r="B2406">
        <v>8.9609000000000005</v>
      </c>
    </row>
    <row r="2407" spans="1:2">
      <c r="A2407" s="117">
        <v>35961</v>
      </c>
      <c r="B2407">
        <v>8.9609000000000005</v>
      </c>
    </row>
    <row r="2408" spans="1:2">
      <c r="A2408" s="117">
        <v>35962</v>
      </c>
      <c r="B2408">
        <v>9.0463000000000005</v>
      </c>
    </row>
    <row r="2409" spans="1:2">
      <c r="A2409" s="117">
        <v>35963</v>
      </c>
      <c r="B2409">
        <v>9.0374999999999996</v>
      </c>
    </row>
    <row r="2410" spans="1:2">
      <c r="A2410" s="117">
        <v>35964</v>
      </c>
      <c r="B2410">
        <v>8.9815000000000005</v>
      </c>
    </row>
    <row r="2411" spans="1:2">
      <c r="A2411" s="117">
        <v>35965</v>
      </c>
      <c r="B2411">
        <v>8.8803000000000001</v>
      </c>
    </row>
    <row r="2412" spans="1:2">
      <c r="A2412" s="117">
        <v>35966</v>
      </c>
      <c r="B2412">
        <v>8.8966999999999992</v>
      </c>
    </row>
    <row r="2413" spans="1:2">
      <c r="A2413" s="117">
        <v>35967</v>
      </c>
      <c r="B2413">
        <v>8.8966999999999992</v>
      </c>
    </row>
    <row r="2414" spans="1:2">
      <c r="A2414" s="117">
        <v>35968</v>
      </c>
      <c r="B2414">
        <v>8.8966999999999992</v>
      </c>
    </row>
    <row r="2415" spans="1:2">
      <c r="A2415" s="117">
        <v>35969</v>
      </c>
      <c r="B2415">
        <v>8.8928999999999991</v>
      </c>
    </row>
    <row r="2416" spans="1:2">
      <c r="A2416" s="117">
        <v>35970</v>
      </c>
      <c r="B2416">
        <v>8.9123000000000001</v>
      </c>
    </row>
    <row r="2417" spans="1:2">
      <c r="A2417" s="117">
        <v>35971</v>
      </c>
      <c r="B2417">
        <v>8.8926999999999996</v>
      </c>
    </row>
    <row r="2418" spans="1:2">
      <c r="A2418" s="117">
        <v>35972</v>
      </c>
      <c r="B2418">
        <v>8.9252000000000002</v>
      </c>
    </row>
    <row r="2419" spans="1:2">
      <c r="A2419" s="117">
        <v>35973</v>
      </c>
      <c r="B2419">
        <v>8.9536999999999995</v>
      </c>
    </row>
    <row r="2420" spans="1:2">
      <c r="A2420" s="117">
        <v>35974</v>
      </c>
      <c r="B2420">
        <v>8.9536999999999995</v>
      </c>
    </row>
    <row r="2421" spans="1:2">
      <c r="A2421" s="117">
        <v>35975</v>
      </c>
      <c r="B2421">
        <v>8.9536999999999995</v>
      </c>
    </row>
    <row r="2422" spans="1:2">
      <c r="A2422" s="117">
        <v>35976</v>
      </c>
      <c r="B2422">
        <v>9.0406999999999993</v>
      </c>
    </row>
    <row r="2423" spans="1:2">
      <c r="A2423" s="117">
        <v>35977</v>
      </c>
      <c r="B2423">
        <v>9.0228000000000002</v>
      </c>
    </row>
    <row r="2424" spans="1:2">
      <c r="A2424" s="117">
        <v>35978</v>
      </c>
      <c r="B2424">
        <v>8.9852000000000007</v>
      </c>
    </row>
    <row r="2425" spans="1:2">
      <c r="A2425" s="117">
        <v>35979</v>
      </c>
      <c r="B2425">
        <v>8.9375</v>
      </c>
    </row>
    <row r="2426" spans="1:2">
      <c r="A2426" s="117">
        <v>35980</v>
      </c>
      <c r="B2426">
        <v>8.9863</v>
      </c>
    </row>
    <row r="2427" spans="1:2">
      <c r="A2427" s="117">
        <v>35981</v>
      </c>
      <c r="B2427">
        <v>8.9863</v>
      </c>
    </row>
    <row r="2428" spans="1:2">
      <c r="A2428" s="117">
        <v>35982</v>
      </c>
      <c r="B2428">
        <v>8.9863</v>
      </c>
    </row>
    <row r="2429" spans="1:2">
      <c r="A2429" s="117">
        <v>35983</v>
      </c>
      <c r="B2429">
        <v>8.9497</v>
      </c>
    </row>
    <row r="2430" spans="1:2">
      <c r="A2430" s="117">
        <v>35984</v>
      </c>
      <c r="B2430">
        <v>8.9694000000000003</v>
      </c>
    </row>
    <row r="2431" spans="1:2">
      <c r="A2431" s="117">
        <v>35985</v>
      </c>
      <c r="B2431">
        <v>8.9558</v>
      </c>
    </row>
    <row r="2432" spans="1:2">
      <c r="A2432" s="117">
        <v>35986</v>
      </c>
      <c r="B2432">
        <v>8.9242000000000008</v>
      </c>
    </row>
    <row r="2433" spans="1:2">
      <c r="A2433" s="117">
        <v>35987</v>
      </c>
      <c r="B2433">
        <v>8.9431999999999992</v>
      </c>
    </row>
    <row r="2434" spans="1:2">
      <c r="A2434" s="117">
        <v>35988</v>
      </c>
      <c r="B2434">
        <v>8.9431999999999992</v>
      </c>
    </row>
    <row r="2435" spans="1:2">
      <c r="A2435" s="117">
        <v>35989</v>
      </c>
      <c r="B2435">
        <v>8.9431999999999992</v>
      </c>
    </row>
    <row r="2436" spans="1:2">
      <c r="A2436" s="117">
        <v>35990</v>
      </c>
      <c r="B2436">
        <v>8.9535</v>
      </c>
    </row>
    <row r="2437" spans="1:2">
      <c r="A2437" s="117">
        <v>35991</v>
      </c>
      <c r="B2437">
        <v>8.9024999999999999</v>
      </c>
    </row>
    <row r="2438" spans="1:2">
      <c r="A2438" s="117">
        <v>35992</v>
      </c>
      <c r="B2438">
        <v>8.8547999999999991</v>
      </c>
    </row>
    <row r="2439" spans="1:2">
      <c r="A2439" s="117">
        <v>35993</v>
      </c>
      <c r="B2439">
        <v>8.8535000000000004</v>
      </c>
    </row>
    <row r="2440" spans="1:2">
      <c r="A2440" s="117">
        <v>35994</v>
      </c>
      <c r="B2440">
        <v>8.8392999999999997</v>
      </c>
    </row>
    <row r="2441" spans="1:2">
      <c r="A2441" s="117">
        <v>35995</v>
      </c>
      <c r="B2441">
        <v>8.8392999999999997</v>
      </c>
    </row>
    <row r="2442" spans="1:2">
      <c r="A2442" s="117">
        <v>35996</v>
      </c>
      <c r="B2442">
        <v>8.8392999999999997</v>
      </c>
    </row>
    <row r="2443" spans="1:2">
      <c r="A2443" s="117">
        <v>35997</v>
      </c>
      <c r="B2443">
        <v>8.8217999999999996</v>
      </c>
    </row>
    <row r="2444" spans="1:2">
      <c r="A2444" s="117">
        <v>35998</v>
      </c>
      <c r="B2444">
        <v>8.7896000000000001</v>
      </c>
    </row>
    <row r="2445" spans="1:2">
      <c r="A2445" s="117">
        <v>35999</v>
      </c>
      <c r="B2445">
        <v>8.8033000000000001</v>
      </c>
    </row>
    <row r="2446" spans="1:2">
      <c r="A2446" s="117">
        <v>36000</v>
      </c>
      <c r="B2446">
        <v>8.8720999999999997</v>
      </c>
    </row>
    <row r="2447" spans="1:2">
      <c r="A2447" s="117">
        <v>36001</v>
      </c>
      <c r="B2447">
        <v>8.8646999999999991</v>
      </c>
    </row>
    <row r="2448" spans="1:2">
      <c r="A2448" s="117">
        <v>36002</v>
      </c>
      <c r="B2448">
        <v>8.8646999999999991</v>
      </c>
    </row>
    <row r="2449" spans="1:2">
      <c r="A2449" s="117">
        <v>36003</v>
      </c>
      <c r="B2449">
        <v>8.8646999999999991</v>
      </c>
    </row>
    <row r="2450" spans="1:2">
      <c r="A2450" s="117">
        <v>36004</v>
      </c>
      <c r="B2450">
        <v>8.8670000000000009</v>
      </c>
    </row>
    <row r="2451" spans="1:2">
      <c r="A2451" s="117">
        <v>36005</v>
      </c>
      <c r="B2451">
        <v>8.8930000000000007</v>
      </c>
    </row>
    <row r="2452" spans="1:2">
      <c r="A2452" s="117">
        <v>36006</v>
      </c>
      <c r="B2452">
        <v>8.8861000000000008</v>
      </c>
    </row>
    <row r="2453" spans="1:2">
      <c r="A2453" s="117">
        <v>36007</v>
      </c>
      <c r="B2453">
        <v>8.9177999999999997</v>
      </c>
    </row>
    <row r="2454" spans="1:2">
      <c r="A2454" s="117">
        <v>36008</v>
      </c>
      <c r="B2454">
        <v>8.9008000000000003</v>
      </c>
    </row>
    <row r="2455" spans="1:2">
      <c r="A2455" s="117">
        <v>36009</v>
      </c>
      <c r="B2455">
        <v>8.9008000000000003</v>
      </c>
    </row>
    <row r="2456" spans="1:2">
      <c r="A2456" s="117">
        <v>36010</v>
      </c>
      <c r="B2456">
        <v>8.9008000000000003</v>
      </c>
    </row>
    <row r="2457" spans="1:2">
      <c r="A2457" s="117">
        <v>36011</v>
      </c>
      <c r="B2457">
        <v>8.9215</v>
      </c>
    </row>
    <row r="2458" spans="1:2">
      <c r="A2458" s="117">
        <v>36012</v>
      </c>
      <c r="B2458">
        <v>8.9544999999999995</v>
      </c>
    </row>
    <row r="2459" spans="1:2">
      <c r="A2459" s="117">
        <v>36013</v>
      </c>
      <c r="B2459">
        <v>8.9648000000000003</v>
      </c>
    </row>
    <row r="2460" spans="1:2">
      <c r="A2460" s="117">
        <v>36014</v>
      </c>
      <c r="B2460">
        <v>9.0061999999999998</v>
      </c>
    </row>
    <row r="2461" spans="1:2">
      <c r="A2461" s="117">
        <v>36015</v>
      </c>
      <c r="B2461">
        <v>9.0254999999999992</v>
      </c>
    </row>
    <row r="2462" spans="1:2">
      <c r="A2462" s="117">
        <v>36016</v>
      </c>
      <c r="B2462">
        <v>9.0254999999999992</v>
      </c>
    </row>
    <row r="2463" spans="1:2">
      <c r="A2463" s="117">
        <v>36017</v>
      </c>
      <c r="B2463">
        <v>9.0254999999999992</v>
      </c>
    </row>
    <row r="2464" spans="1:2">
      <c r="A2464" s="117">
        <v>36018</v>
      </c>
      <c r="B2464">
        <v>9.0187000000000008</v>
      </c>
    </row>
    <row r="2465" spans="1:2">
      <c r="A2465" s="117">
        <v>36019</v>
      </c>
      <c r="B2465">
        <v>9.1252999999999993</v>
      </c>
    </row>
    <row r="2466" spans="1:2">
      <c r="A2466" s="117">
        <v>36020</v>
      </c>
      <c r="B2466">
        <v>9.2015999999999991</v>
      </c>
    </row>
    <row r="2467" spans="1:2">
      <c r="A2467" s="117">
        <v>36021</v>
      </c>
      <c r="B2467">
        <v>9.1761999999999997</v>
      </c>
    </row>
    <row r="2468" spans="1:2">
      <c r="A2468" s="117">
        <v>36022</v>
      </c>
      <c r="B2468">
        <v>9.2324999999999999</v>
      </c>
    </row>
    <row r="2469" spans="1:2">
      <c r="A2469" s="117">
        <v>36023</v>
      </c>
      <c r="B2469">
        <v>9.2324999999999999</v>
      </c>
    </row>
    <row r="2470" spans="1:2">
      <c r="A2470" s="117">
        <v>36024</v>
      </c>
      <c r="B2470">
        <v>9.2324999999999999</v>
      </c>
    </row>
    <row r="2471" spans="1:2">
      <c r="A2471" s="117">
        <v>36025</v>
      </c>
      <c r="B2471">
        <v>9.1812000000000005</v>
      </c>
    </row>
    <row r="2472" spans="1:2">
      <c r="A2472" s="117">
        <v>36026</v>
      </c>
      <c r="B2472">
        <v>9.3018000000000001</v>
      </c>
    </row>
    <row r="2473" spans="1:2">
      <c r="A2473" s="117">
        <v>36027</v>
      </c>
      <c r="B2473">
        <v>9.2302</v>
      </c>
    </row>
    <row r="2474" spans="1:2">
      <c r="A2474" s="117">
        <v>36028</v>
      </c>
      <c r="B2474">
        <v>9.1873000000000005</v>
      </c>
    </row>
    <row r="2475" spans="1:2">
      <c r="A2475" s="117">
        <v>36029</v>
      </c>
      <c r="B2475">
        <v>9.3133999999999997</v>
      </c>
    </row>
    <row r="2476" spans="1:2">
      <c r="A2476" s="117">
        <v>36030</v>
      </c>
      <c r="B2476">
        <v>9.3133999999999997</v>
      </c>
    </row>
    <row r="2477" spans="1:2">
      <c r="A2477" s="117">
        <v>36031</v>
      </c>
      <c r="B2477">
        <v>9.3133999999999997</v>
      </c>
    </row>
    <row r="2478" spans="1:2">
      <c r="A2478" s="117">
        <v>36032</v>
      </c>
      <c r="B2478">
        <v>9.69</v>
      </c>
    </row>
    <row r="2479" spans="1:2">
      <c r="A2479" s="117">
        <v>36033</v>
      </c>
      <c r="B2479">
        <v>9.6457999999999995</v>
      </c>
    </row>
    <row r="2480" spans="1:2">
      <c r="A2480" s="117">
        <v>36034</v>
      </c>
      <c r="B2480">
        <v>9.6000999999999994</v>
      </c>
    </row>
    <row r="2481" spans="1:2">
      <c r="A2481" s="117">
        <v>36035</v>
      </c>
      <c r="B2481">
        <v>9.8149999999999995</v>
      </c>
    </row>
    <row r="2482" spans="1:2">
      <c r="A2482" s="117">
        <v>36036</v>
      </c>
      <c r="B2482">
        <v>9.9600000000000009</v>
      </c>
    </row>
    <row r="2483" spans="1:2">
      <c r="A2483" s="117">
        <v>36037</v>
      </c>
      <c r="B2483">
        <v>9.9600000000000009</v>
      </c>
    </row>
    <row r="2484" spans="1:2">
      <c r="A2484" s="117">
        <v>36038</v>
      </c>
      <c r="B2484">
        <v>9.9600000000000009</v>
      </c>
    </row>
    <row r="2485" spans="1:2">
      <c r="A2485" s="117">
        <v>36039</v>
      </c>
      <c r="B2485">
        <v>10.0275</v>
      </c>
    </row>
    <row r="2486" spans="1:2">
      <c r="A2486" s="117">
        <v>36040</v>
      </c>
      <c r="B2486">
        <v>10.0275</v>
      </c>
    </row>
    <row r="2487" spans="1:2">
      <c r="A2487" s="117">
        <v>36041</v>
      </c>
      <c r="B2487">
        <v>9.9717000000000002</v>
      </c>
    </row>
    <row r="2488" spans="1:2">
      <c r="A2488" s="117">
        <v>36042</v>
      </c>
      <c r="B2488">
        <v>9.9458000000000002</v>
      </c>
    </row>
    <row r="2489" spans="1:2">
      <c r="A2489" s="117">
        <v>36043</v>
      </c>
      <c r="B2489">
        <v>10.107200000000001</v>
      </c>
    </row>
    <row r="2490" spans="1:2">
      <c r="A2490" s="117">
        <v>36044</v>
      </c>
      <c r="B2490">
        <v>10.107200000000001</v>
      </c>
    </row>
    <row r="2491" spans="1:2">
      <c r="A2491" s="117">
        <v>36045</v>
      </c>
      <c r="B2491">
        <v>10.107200000000001</v>
      </c>
    </row>
    <row r="2492" spans="1:2">
      <c r="A2492" s="117">
        <v>36046</v>
      </c>
      <c r="B2492">
        <v>10.161799999999999</v>
      </c>
    </row>
    <row r="2493" spans="1:2">
      <c r="A2493" s="117">
        <v>36047</v>
      </c>
      <c r="B2493">
        <v>10.1967</v>
      </c>
    </row>
    <row r="2494" spans="1:2">
      <c r="A2494" s="117">
        <v>36048</v>
      </c>
      <c r="B2494">
        <v>10.2742</v>
      </c>
    </row>
    <row r="2495" spans="1:2">
      <c r="A2495" s="117">
        <v>36049</v>
      </c>
      <c r="B2495">
        <v>10.3499</v>
      </c>
    </row>
    <row r="2496" spans="1:2">
      <c r="A2496" s="117">
        <v>36050</v>
      </c>
      <c r="B2496">
        <v>10.532500000000001</v>
      </c>
    </row>
    <row r="2497" spans="1:2">
      <c r="A2497" s="117">
        <v>36051</v>
      </c>
      <c r="B2497">
        <v>10.532500000000001</v>
      </c>
    </row>
    <row r="2498" spans="1:2">
      <c r="A2498" s="117">
        <v>36052</v>
      </c>
      <c r="B2498">
        <v>10.532500000000001</v>
      </c>
    </row>
    <row r="2499" spans="1:2">
      <c r="A2499" s="117">
        <v>36053</v>
      </c>
      <c r="B2499">
        <v>10.5792</v>
      </c>
    </row>
    <row r="2500" spans="1:2">
      <c r="A2500" s="117">
        <v>36054</v>
      </c>
      <c r="B2500">
        <v>10.523300000000001</v>
      </c>
    </row>
    <row r="2501" spans="1:2">
      <c r="A2501" s="117">
        <v>36055</v>
      </c>
      <c r="B2501">
        <v>10.523300000000001</v>
      </c>
    </row>
    <row r="2502" spans="1:2">
      <c r="A2502" s="117">
        <v>36056</v>
      </c>
      <c r="B2502">
        <v>10.2058</v>
      </c>
    </row>
    <row r="2503" spans="1:2">
      <c r="A2503" s="117">
        <v>36057</v>
      </c>
      <c r="B2503">
        <v>10.315799999999999</v>
      </c>
    </row>
    <row r="2504" spans="1:2">
      <c r="A2504" s="117">
        <v>36058</v>
      </c>
      <c r="B2504">
        <v>10.315799999999999</v>
      </c>
    </row>
    <row r="2505" spans="1:2">
      <c r="A2505" s="117">
        <v>36059</v>
      </c>
      <c r="B2505">
        <v>10.315799999999999</v>
      </c>
    </row>
    <row r="2506" spans="1:2">
      <c r="A2506" s="117">
        <v>36060</v>
      </c>
      <c r="B2506">
        <v>10.138299999999999</v>
      </c>
    </row>
    <row r="2507" spans="1:2">
      <c r="A2507" s="117">
        <v>36061</v>
      </c>
      <c r="B2507">
        <v>10.305</v>
      </c>
    </row>
    <row r="2508" spans="1:2">
      <c r="A2508" s="117">
        <v>36062</v>
      </c>
      <c r="B2508">
        <v>10.0962</v>
      </c>
    </row>
    <row r="2509" spans="1:2">
      <c r="A2509" s="117">
        <v>36063</v>
      </c>
      <c r="B2509">
        <v>10.1159</v>
      </c>
    </row>
    <row r="2510" spans="1:2">
      <c r="A2510" s="117">
        <v>36064</v>
      </c>
      <c r="B2510">
        <v>10.111700000000001</v>
      </c>
    </row>
    <row r="2511" spans="1:2">
      <c r="A2511" s="117">
        <v>36065</v>
      </c>
      <c r="B2511">
        <v>10.111700000000001</v>
      </c>
    </row>
    <row r="2512" spans="1:2">
      <c r="A2512" s="117">
        <v>36066</v>
      </c>
      <c r="B2512">
        <v>10.111700000000001</v>
      </c>
    </row>
    <row r="2513" spans="1:2">
      <c r="A2513" s="117">
        <v>36067</v>
      </c>
      <c r="B2513">
        <v>10.2438</v>
      </c>
    </row>
    <row r="2514" spans="1:2">
      <c r="A2514" s="117">
        <v>36068</v>
      </c>
      <c r="B2514">
        <v>10.106199999999999</v>
      </c>
    </row>
    <row r="2515" spans="1:2">
      <c r="A2515" s="117">
        <v>36069</v>
      </c>
      <c r="B2515">
        <v>10.1119</v>
      </c>
    </row>
    <row r="2516" spans="1:2">
      <c r="A2516" s="117">
        <v>36070</v>
      </c>
      <c r="B2516">
        <v>10.193300000000001</v>
      </c>
    </row>
    <row r="2517" spans="1:2">
      <c r="A2517" s="117">
        <v>36071</v>
      </c>
      <c r="B2517">
        <v>10.313700000000001</v>
      </c>
    </row>
    <row r="2518" spans="1:2">
      <c r="A2518" s="117">
        <v>36072</v>
      </c>
      <c r="B2518">
        <v>10.313700000000001</v>
      </c>
    </row>
    <row r="2519" spans="1:2">
      <c r="A2519" s="117">
        <v>36073</v>
      </c>
      <c r="B2519">
        <v>10.313700000000001</v>
      </c>
    </row>
    <row r="2520" spans="1:2">
      <c r="A2520" s="117">
        <v>36074</v>
      </c>
      <c r="B2520">
        <v>10.313700000000001</v>
      </c>
    </row>
    <row r="2521" spans="1:2">
      <c r="A2521" s="117">
        <v>36075</v>
      </c>
      <c r="B2521">
        <v>10.218</v>
      </c>
    </row>
    <row r="2522" spans="1:2">
      <c r="A2522" s="117">
        <v>36076</v>
      </c>
      <c r="B2522">
        <v>10.1729</v>
      </c>
    </row>
    <row r="2523" spans="1:2">
      <c r="A2523" s="117">
        <v>36077</v>
      </c>
      <c r="B2523">
        <v>10.1835</v>
      </c>
    </row>
    <row r="2524" spans="1:2">
      <c r="A2524" s="117">
        <v>36078</v>
      </c>
      <c r="B2524">
        <v>10.354900000000001</v>
      </c>
    </row>
    <row r="2525" spans="1:2">
      <c r="A2525" s="117">
        <v>36079</v>
      </c>
      <c r="B2525">
        <v>10.354900000000001</v>
      </c>
    </row>
    <row r="2526" spans="1:2">
      <c r="A2526" s="117">
        <v>36080</v>
      </c>
      <c r="B2526">
        <v>10.354900000000001</v>
      </c>
    </row>
    <row r="2527" spans="1:2">
      <c r="A2527" s="117">
        <v>36081</v>
      </c>
      <c r="B2527">
        <v>10.2157</v>
      </c>
    </row>
    <row r="2528" spans="1:2">
      <c r="A2528" s="117">
        <v>36082</v>
      </c>
      <c r="B2528">
        <v>10.1555</v>
      </c>
    </row>
    <row r="2529" spans="1:2">
      <c r="A2529" s="117">
        <v>36083</v>
      </c>
      <c r="B2529">
        <v>10.186299999999999</v>
      </c>
    </row>
    <row r="2530" spans="1:2">
      <c r="A2530" s="117">
        <v>36084</v>
      </c>
      <c r="B2530">
        <v>10.18</v>
      </c>
    </row>
    <row r="2531" spans="1:2">
      <c r="A2531" s="117">
        <v>36085</v>
      </c>
      <c r="B2531">
        <v>10.1312</v>
      </c>
    </row>
    <row r="2532" spans="1:2">
      <c r="A2532" s="117">
        <v>36086</v>
      </c>
      <c r="B2532">
        <v>10.1312</v>
      </c>
    </row>
    <row r="2533" spans="1:2">
      <c r="A2533" s="117">
        <v>36087</v>
      </c>
      <c r="B2533">
        <v>10.1312</v>
      </c>
    </row>
    <row r="2534" spans="1:2">
      <c r="A2534" s="117">
        <v>36088</v>
      </c>
      <c r="B2534">
        <v>10.093299999999999</v>
      </c>
    </row>
    <row r="2535" spans="1:2">
      <c r="A2535" s="117">
        <v>36089</v>
      </c>
      <c r="B2535">
        <v>10.0863</v>
      </c>
    </row>
    <row r="2536" spans="1:2">
      <c r="A2536" s="117">
        <v>36090</v>
      </c>
      <c r="B2536">
        <v>10.042</v>
      </c>
    </row>
    <row r="2537" spans="1:2">
      <c r="A2537" s="117">
        <v>36091</v>
      </c>
      <c r="B2537">
        <v>10.033799999999999</v>
      </c>
    </row>
    <row r="2538" spans="1:2">
      <c r="A2538" s="117">
        <v>36092</v>
      </c>
      <c r="B2538">
        <v>9.9930000000000003</v>
      </c>
    </row>
    <row r="2539" spans="1:2">
      <c r="A2539" s="117">
        <v>36093</v>
      </c>
      <c r="B2539">
        <v>9.9930000000000003</v>
      </c>
    </row>
    <row r="2540" spans="1:2">
      <c r="A2540" s="117">
        <v>36094</v>
      </c>
      <c r="B2540">
        <v>9.9930000000000003</v>
      </c>
    </row>
    <row r="2541" spans="1:2">
      <c r="A2541" s="117">
        <v>36095</v>
      </c>
      <c r="B2541">
        <v>10.035299999999999</v>
      </c>
    </row>
    <row r="2542" spans="1:2">
      <c r="A2542" s="117">
        <v>36096</v>
      </c>
      <c r="B2542">
        <v>10.029299999999999</v>
      </c>
    </row>
    <row r="2543" spans="1:2">
      <c r="A2543" s="117">
        <v>36097</v>
      </c>
      <c r="B2543">
        <v>10.148999999999999</v>
      </c>
    </row>
    <row r="2544" spans="1:2">
      <c r="A2544" s="117">
        <v>36098</v>
      </c>
      <c r="B2544">
        <v>10.157500000000001</v>
      </c>
    </row>
    <row r="2545" spans="1:2">
      <c r="A2545" s="117">
        <v>36099</v>
      </c>
      <c r="B2545">
        <v>10.219799999999999</v>
      </c>
    </row>
    <row r="2546" spans="1:2">
      <c r="A2546" s="117">
        <v>36100</v>
      </c>
      <c r="B2546">
        <v>10.219799999999999</v>
      </c>
    </row>
    <row r="2547" spans="1:2">
      <c r="A2547" s="117">
        <v>36101</v>
      </c>
      <c r="B2547">
        <v>10.219799999999999</v>
      </c>
    </row>
    <row r="2548" spans="1:2">
      <c r="A2548" s="117">
        <v>36102</v>
      </c>
      <c r="B2548">
        <v>10.219799999999999</v>
      </c>
    </row>
    <row r="2549" spans="1:2">
      <c r="A2549" s="117">
        <v>36103</v>
      </c>
      <c r="B2549">
        <v>10.1137</v>
      </c>
    </row>
    <row r="2550" spans="1:2">
      <c r="A2550" s="117">
        <v>36104</v>
      </c>
      <c r="B2550">
        <v>10.0312</v>
      </c>
    </row>
    <row r="2551" spans="1:2">
      <c r="A2551" s="117">
        <v>36105</v>
      </c>
      <c r="B2551">
        <v>9.9365000000000006</v>
      </c>
    </row>
    <row r="2552" spans="1:2">
      <c r="A2552" s="117">
        <v>36106</v>
      </c>
      <c r="B2552">
        <v>9.9885999999999999</v>
      </c>
    </row>
    <row r="2553" spans="1:2">
      <c r="A2553" s="117">
        <v>36107</v>
      </c>
      <c r="B2553">
        <v>9.9885999999999999</v>
      </c>
    </row>
    <row r="2554" spans="1:2">
      <c r="A2554" s="117">
        <v>36108</v>
      </c>
      <c r="B2554">
        <v>9.9885999999999999</v>
      </c>
    </row>
    <row r="2555" spans="1:2">
      <c r="A2555" s="117">
        <v>36109</v>
      </c>
      <c r="B2555">
        <v>9.9717000000000002</v>
      </c>
    </row>
    <row r="2556" spans="1:2">
      <c r="A2556" s="117">
        <v>36110</v>
      </c>
      <c r="B2556">
        <v>10.0015</v>
      </c>
    </row>
    <row r="2557" spans="1:2">
      <c r="A2557" s="117">
        <v>36111</v>
      </c>
      <c r="B2557">
        <v>10.025600000000001</v>
      </c>
    </row>
    <row r="2558" spans="1:2">
      <c r="A2558" s="117">
        <v>36112</v>
      </c>
      <c r="B2558">
        <v>10.006</v>
      </c>
    </row>
    <row r="2559" spans="1:2">
      <c r="A2559" s="117">
        <v>36113</v>
      </c>
      <c r="B2559">
        <v>10.0563</v>
      </c>
    </row>
    <row r="2560" spans="1:2">
      <c r="A2560" s="117">
        <v>36114</v>
      </c>
      <c r="B2560">
        <v>10.0563</v>
      </c>
    </row>
    <row r="2561" spans="1:2">
      <c r="A2561" s="117">
        <v>36115</v>
      </c>
      <c r="B2561">
        <v>10.0563</v>
      </c>
    </row>
    <row r="2562" spans="1:2">
      <c r="A2562" s="117">
        <v>36116</v>
      </c>
      <c r="B2562">
        <v>9.9964999999999993</v>
      </c>
    </row>
    <row r="2563" spans="1:2">
      <c r="A2563" s="117">
        <v>36117</v>
      </c>
      <c r="B2563">
        <v>9.9764999999999997</v>
      </c>
    </row>
    <row r="2564" spans="1:2">
      <c r="A2564" s="117">
        <v>36118</v>
      </c>
      <c r="B2564">
        <v>9.9440000000000008</v>
      </c>
    </row>
    <row r="2565" spans="1:2">
      <c r="A2565" s="117">
        <v>36119</v>
      </c>
      <c r="B2565">
        <v>9.9305000000000003</v>
      </c>
    </row>
    <row r="2566" spans="1:2">
      <c r="A2566" s="117">
        <v>36120</v>
      </c>
      <c r="B2566">
        <v>9.9305000000000003</v>
      </c>
    </row>
    <row r="2567" spans="1:2">
      <c r="A2567" s="117">
        <v>36121</v>
      </c>
      <c r="B2567">
        <v>9.9305000000000003</v>
      </c>
    </row>
    <row r="2568" spans="1:2">
      <c r="A2568" s="117">
        <v>36122</v>
      </c>
      <c r="B2568">
        <v>9.9305000000000003</v>
      </c>
    </row>
    <row r="2569" spans="1:2">
      <c r="A2569" s="117">
        <v>36123</v>
      </c>
      <c r="B2569">
        <v>9.9202999999999992</v>
      </c>
    </row>
    <row r="2570" spans="1:2">
      <c r="A2570" s="117">
        <v>36124</v>
      </c>
      <c r="B2570">
        <v>9.8772000000000002</v>
      </c>
    </row>
    <row r="2571" spans="1:2">
      <c r="A2571" s="117">
        <v>36125</v>
      </c>
      <c r="B2571">
        <v>9.9145000000000003</v>
      </c>
    </row>
    <row r="2572" spans="1:2">
      <c r="A2572" s="117">
        <v>36126</v>
      </c>
      <c r="B2572">
        <v>9.9107000000000003</v>
      </c>
    </row>
    <row r="2573" spans="1:2">
      <c r="A2573" s="117">
        <v>36127</v>
      </c>
      <c r="B2573">
        <v>9.9404000000000003</v>
      </c>
    </row>
    <row r="2574" spans="1:2">
      <c r="A2574" s="117">
        <v>36128</v>
      </c>
      <c r="B2574">
        <v>9.9404000000000003</v>
      </c>
    </row>
    <row r="2575" spans="1:2">
      <c r="A2575" s="117">
        <v>36129</v>
      </c>
      <c r="B2575">
        <v>9.9404000000000003</v>
      </c>
    </row>
    <row r="2576" spans="1:2">
      <c r="A2576" s="117">
        <v>36130</v>
      </c>
      <c r="B2576">
        <v>9.9675999999999991</v>
      </c>
    </row>
    <row r="2577" spans="1:2">
      <c r="A2577" s="117">
        <v>36131</v>
      </c>
      <c r="B2577">
        <v>9.9994999999999994</v>
      </c>
    </row>
    <row r="2578" spans="1:2">
      <c r="A2578" s="117">
        <v>36132</v>
      </c>
      <c r="B2578">
        <v>10.0318</v>
      </c>
    </row>
    <row r="2579" spans="1:2">
      <c r="A2579" s="117">
        <v>36133</v>
      </c>
      <c r="B2579">
        <v>9.9681999999999995</v>
      </c>
    </row>
    <row r="2580" spans="1:2">
      <c r="A2580" s="117">
        <v>36134</v>
      </c>
      <c r="B2580">
        <v>9.9876000000000005</v>
      </c>
    </row>
    <row r="2581" spans="1:2">
      <c r="A2581" s="117">
        <v>36135</v>
      </c>
      <c r="B2581">
        <v>9.9876000000000005</v>
      </c>
    </row>
    <row r="2582" spans="1:2">
      <c r="A2582" s="117">
        <v>36136</v>
      </c>
      <c r="B2582">
        <v>9.9876000000000005</v>
      </c>
    </row>
    <row r="2583" spans="1:2">
      <c r="A2583" s="117">
        <v>36137</v>
      </c>
      <c r="B2583">
        <v>9.9896999999999991</v>
      </c>
    </row>
    <row r="2584" spans="1:2">
      <c r="A2584" s="117">
        <v>36138</v>
      </c>
      <c r="B2584">
        <v>9.9992999999999999</v>
      </c>
    </row>
    <row r="2585" spans="1:2">
      <c r="A2585" s="117">
        <v>36139</v>
      </c>
      <c r="B2585">
        <v>9.9422999999999995</v>
      </c>
    </row>
    <row r="2586" spans="1:2">
      <c r="A2586" s="117">
        <v>36140</v>
      </c>
      <c r="B2586">
        <v>9.9517000000000007</v>
      </c>
    </row>
    <row r="2587" spans="1:2">
      <c r="A2587" s="117">
        <v>36141</v>
      </c>
      <c r="B2587">
        <v>9.9499999999999993</v>
      </c>
    </row>
    <row r="2588" spans="1:2">
      <c r="A2588" s="117">
        <v>36142</v>
      </c>
      <c r="B2588">
        <v>9.9499999999999993</v>
      </c>
    </row>
    <row r="2589" spans="1:2">
      <c r="A2589" s="117">
        <v>36143</v>
      </c>
      <c r="B2589">
        <v>9.9499999999999993</v>
      </c>
    </row>
    <row r="2590" spans="1:2">
      <c r="A2590" s="117">
        <v>36144</v>
      </c>
      <c r="B2590">
        <v>9.9481999999999999</v>
      </c>
    </row>
    <row r="2591" spans="1:2">
      <c r="A2591" s="117">
        <v>36145</v>
      </c>
      <c r="B2591">
        <v>9.9490999999999996</v>
      </c>
    </row>
    <row r="2592" spans="1:2">
      <c r="A2592" s="117">
        <v>36146</v>
      </c>
      <c r="B2592">
        <v>9.9497999999999998</v>
      </c>
    </row>
    <row r="2593" spans="1:2">
      <c r="A2593" s="117">
        <v>36147</v>
      </c>
      <c r="B2593">
        <v>9.8827999999999996</v>
      </c>
    </row>
    <row r="2594" spans="1:2">
      <c r="A2594" s="117">
        <v>36148</v>
      </c>
      <c r="B2594">
        <v>9.7863000000000007</v>
      </c>
    </row>
    <row r="2595" spans="1:2">
      <c r="A2595" s="117">
        <v>36149</v>
      </c>
      <c r="B2595">
        <v>9.7863000000000007</v>
      </c>
    </row>
    <row r="2596" spans="1:2">
      <c r="A2596" s="117">
        <v>36150</v>
      </c>
      <c r="B2596">
        <v>9.7863000000000007</v>
      </c>
    </row>
    <row r="2597" spans="1:2">
      <c r="A2597" s="117">
        <v>36151</v>
      </c>
      <c r="B2597">
        <v>9.7972000000000001</v>
      </c>
    </row>
    <row r="2598" spans="1:2">
      <c r="A2598" s="117">
        <v>36152</v>
      </c>
      <c r="B2598">
        <v>9.7568000000000001</v>
      </c>
    </row>
    <row r="2599" spans="1:2">
      <c r="A2599" s="117">
        <v>36153</v>
      </c>
      <c r="B2599">
        <v>9.8027999999999995</v>
      </c>
    </row>
    <row r="2600" spans="1:2">
      <c r="A2600" s="117">
        <v>36154</v>
      </c>
      <c r="B2600">
        <v>9.8103999999999996</v>
      </c>
    </row>
    <row r="2601" spans="1:2">
      <c r="A2601" s="117">
        <v>36155</v>
      </c>
      <c r="B2601">
        <v>9.8103999999999996</v>
      </c>
    </row>
    <row r="2602" spans="1:2">
      <c r="A2602" s="117">
        <v>36156</v>
      </c>
      <c r="B2602">
        <v>9.8103999999999996</v>
      </c>
    </row>
    <row r="2603" spans="1:2">
      <c r="A2603" s="117">
        <v>36157</v>
      </c>
      <c r="B2603">
        <v>9.8103999999999996</v>
      </c>
    </row>
    <row r="2604" spans="1:2">
      <c r="A2604" s="117">
        <v>36158</v>
      </c>
      <c r="B2604">
        <v>9.8821999999999992</v>
      </c>
    </row>
    <row r="2605" spans="1:2">
      <c r="A2605" s="117">
        <v>36159</v>
      </c>
      <c r="B2605">
        <v>9.8382000000000005</v>
      </c>
    </row>
    <row r="2606" spans="1:2">
      <c r="A2606" s="117">
        <v>36160</v>
      </c>
      <c r="B2606">
        <v>9.8650000000000002</v>
      </c>
    </row>
    <row r="2607" spans="1:2">
      <c r="A2607" s="117">
        <v>36161</v>
      </c>
      <c r="B2607">
        <v>9.9395000000000007</v>
      </c>
    </row>
    <row r="2608" spans="1:2">
      <c r="A2608" s="117">
        <v>36162</v>
      </c>
      <c r="B2608">
        <v>9.9395000000000007</v>
      </c>
    </row>
    <row r="2609" spans="1:2">
      <c r="A2609" s="117">
        <v>36163</v>
      </c>
      <c r="B2609">
        <v>9.9395000000000007</v>
      </c>
    </row>
    <row r="2610" spans="1:2">
      <c r="A2610" s="117">
        <v>36164</v>
      </c>
      <c r="B2610">
        <v>9.9395000000000007</v>
      </c>
    </row>
    <row r="2611" spans="1:2">
      <c r="A2611" s="117">
        <v>36165</v>
      </c>
      <c r="B2611">
        <v>9.8963000000000001</v>
      </c>
    </row>
    <row r="2612" spans="1:2">
      <c r="A2612" s="117">
        <v>36166</v>
      </c>
      <c r="B2612">
        <v>9.8376000000000001</v>
      </c>
    </row>
    <row r="2613" spans="1:2">
      <c r="A2613" s="117">
        <v>36167</v>
      </c>
      <c r="B2613">
        <v>9.7920999999999996</v>
      </c>
    </row>
    <row r="2614" spans="1:2">
      <c r="A2614" s="117">
        <v>36168</v>
      </c>
      <c r="B2614">
        <v>9.7754999999999992</v>
      </c>
    </row>
    <row r="2615" spans="1:2">
      <c r="A2615" s="117">
        <v>36169</v>
      </c>
      <c r="B2615">
        <v>9.8527000000000005</v>
      </c>
    </row>
    <row r="2616" spans="1:2">
      <c r="A2616" s="117">
        <v>36170</v>
      </c>
      <c r="B2616">
        <v>9.8527000000000005</v>
      </c>
    </row>
    <row r="2617" spans="1:2">
      <c r="A2617" s="117">
        <v>36171</v>
      </c>
      <c r="B2617">
        <v>9.8527000000000005</v>
      </c>
    </row>
    <row r="2618" spans="1:2">
      <c r="A2618" s="117">
        <v>36172</v>
      </c>
      <c r="B2618">
        <v>9.8091000000000008</v>
      </c>
    </row>
    <row r="2619" spans="1:2">
      <c r="A2619" s="117">
        <v>36173</v>
      </c>
      <c r="B2619">
        <v>9.9393999999999991</v>
      </c>
    </row>
    <row r="2620" spans="1:2">
      <c r="A2620" s="117">
        <v>36174</v>
      </c>
      <c r="B2620">
        <v>10.0848</v>
      </c>
    </row>
    <row r="2621" spans="1:2">
      <c r="A2621" s="117">
        <v>36175</v>
      </c>
      <c r="B2621">
        <v>10.6</v>
      </c>
    </row>
    <row r="2622" spans="1:2">
      <c r="A2622" s="117">
        <v>36176</v>
      </c>
      <c r="B2622">
        <v>10.5383</v>
      </c>
    </row>
    <row r="2623" spans="1:2">
      <c r="A2623" s="117">
        <v>36177</v>
      </c>
      <c r="B2623">
        <v>10.5383</v>
      </c>
    </row>
    <row r="2624" spans="1:2">
      <c r="A2624" s="117">
        <v>36178</v>
      </c>
      <c r="B2624">
        <v>10.5383</v>
      </c>
    </row>
    <row r="2625" spans="1:2">
      <c r="A2625" s="117">
        <v>36179</v>
      </c>
      <c r="B2625">
        <v>10.3485</v>
      </c>
    </row>
    <row r="2626" spans="1:2">
      <c r="A2626" s="117">
        <v>36180</v>
      </c>
      <c r="B2626">
        <v>10.2258</v>
      </c>
    </row>
    <row r="2627" spans="1:2">
      <c r="A2627" s="117">
        <v>36181</v>
      </c>
      <c r="B2627">
        <v>10.2783</v>
      </c>
    </row>
    <row r="2628" spans="1:2">
      <c r="A2628" s="117">
        <v>36182</v>
      </c>
      <c r="B2628">
        <v>10.178000000000001</v>
      </c>
    </row>
    <row r="2629" spans="1:2">
      <c r="A2629" s="117">
        <v>36183</v>
      </c>
      <c r="B2629">
        <v>10.2874</v>
      </c>
    </row>
    <row r="2630" spans="1:2">
      <c r="A2630" s="117">
        <v>36184</v>
      </c>
      <c r="B2630">
        <v>10.2874</v>
      </c>
    </row>
    <row r="2631" spans="1:2">
      <c r="A2631" s="117">
        <v>36185</v>
      </c>
      <c r="B2631">
        <v>10.2874</v>
      </c>
    </row>
    <row r="2632" spans="1:2">
      <c r="A2632" s="117">
        <v>36186</v>
      </c>
      <c r="B2632">
        <v>10.201700000000001</v>
      </c>
    </row>
    <row r="2633" spans="1:2">
      <c r="A2633" s="117">
        <v>36187</v>
      </c>
      <c r="B2633">
        <v>10.2242</v>
      </c>
    </row>
    <row r="2634" spans="1:2">
      <c r="A2634" s="117">
        <v>36188</v>
      </c>
      <c r="B2634">
        <v>10.225199999999999</v>
      </c>
    </row>
    <row r="2635" spans="1:2">
      <c r="A2635" s="117">
        <v>36189</v>
      </c>
      <c r="B2635">
        <v>10.1745</v>
      </c>
    </row>
    <row r="2636" spans="1:2">
      <c r="A2636" s="117">
        <v>36190</v>
      </c>
      <c r="B2636">
        <v>10.1752</v>
      </c>
    </row>
    <row r="2637" spans="1:2">
      <c r="A2637" s="117">
        <v>36191</v>
      </c>
      <c r="B2637">
        <v>10.1752</v>
      </c>
    </row>
    <row r="2638" spans="1:2">
      <c r="A2638" s="117">
        <v>36192</v>
      </c>
      <c r="B2638">
        <v>10.1752</v>
      </c>
    </row>
    <row r="2639" spans="1:2">
      <c r="A2639" s="117">
        <v>36193</v>
      </c>
      <c r="B2639">
        <v>10.154299999999999</v>
      </c>
    </row>
    <row r="2640" spans="1:2">
      <c r="A2640" s="117">
        <v>36194</v>
      </c>
      <c r="B2640">
        <v>10.098599999999999</v>
      </c>
    </row>
    <row r="2641" spans="1:2">
      <c r="A2641" s="117">
        <v>36195</v>
      </c>
      <c r="B2641">
        <v>10.0823</v>
      </c>
    </row>
    <row r="2642" spans="1:2">
      <c r="A2642" s="117">
        <v>36196</v>
      </c>
      <c r="B2642">
        <v>10.113799999999999</v>
      </c>
    </row>
    <row r="2643" spans="1:2">
      <c r="A2643" s="117">
        <v>36197</v>
      </c>
      <c r="B2643">
        <v>10.113799999999999</v>
      </c>
    </row>
    <row r="2644" spans="1:2">
      <c r="A2644" s="117">
        <v>36198</v>
      </c>
      <c r="B2644">
        <v>10.113799999999999</v>
      </c>
    </row>
    <row r="2645" spans="1:2">
      <c r="A2645" s="117">
        <v>36199</v>
      </c>
      <c r="B2645">
        <v>10.113799999999999</v>
      </c>
    </row>
    <row r="2646" spans="1:2">
      <c r="A2646" s="117">
        <v>36200</v>
      </c>
      <c r="B2646">
        <v>10.121700000000001</v>
      </c>
    </row>
    <row r="2647" spans="1:2">
      <c r="A2647" s="117">
        <v>36201</v>
      </c>
      <c r="B2647">
        <v>10.082100000000001</v>
      </c>
    </row>
    <row r="2648" spans="1:2">
      <c r="A2648" s="117">
        <v>36202</v>
      </c>
      <c r="B2648">
        <v>10.0764</v>
      </c>
    </row>
    <row r="2649" spans="1:2">
      <c r="A2649" s="117">
        <v>36203</v>
      </c>
      <c r="B2649">
        <v>10.060600000000001</v>
      </c>
    </row>
    <row r="2650" spans="1:2">
      <c r="A2650" s="117">
        <v>36204</v>
      </c>
      <c r="B2650">
        <v>9.9793000000000003</v>
      </c>
    </row>
    <row r="2651" spans="1:2">
      <c r="A2651" s="117">
        <v>36205</v>
      </c>
      <c r="B2651">
        <v>9.9793000000000003</v>
      </c>
    </row>
    <row r="2652" spans="1:2">
      <c r="A2652" s="117">
        <v>36206</v>
      </c>
      <c r="B2652">
        <v>9.9793000000000003</v>
      </c>
    </row>
    <row r="2653" spans="1:2">
      <c r="A2653" s="117">
        <v>36207</v>
      </c>
      <c r="B2653">
        <v>9.9486000000000008</v>
      </c>
    </row>
    <row r="2654" spans="1:2">
      <c r="A2654" s="117">
        <v>36208</v>
      </c>
      <c r="B2654">
        <v>9.9314999999999998</v>
      </c>
    </row>
    <row r="2655" spans="1:2">
      <c r="A2655" s="117">
        <v>36209</v>
      </c>
      <c r="B2655">
        <v>9.9190000000000005</v>
      </c>
    </row>
    <row r="2656" spans="1:2">
      <c r="A2656" s="117">
        <v>36210</v>
      </c>
      <c r="B2656">
        <v>9.9042999999999992</v>
      </c>
    </row>
    <row r="2657" spans="1:2">
      <c r="A2657" s="117">
        <v>36211</v>
      </c>
      <c r="B2657">
        <v>9.8809000000000005</v>
      </c>
    </row>
    <row r="2658" spans="1:2">
      <c r="A2658" s="117">
        <v>36212</v>
      </c>
      <c r="B2658">
        <v>9.8809000000000005</v>
      </c>
    </row>
    <row r="2659" spans="1:2">
      <c r="A2659" s="117">
        <v>36213</v>
      </c>
      <c r="B2659">
        <v>9.8809000000000005</v>
      </c>
    </row>
    <row r="2660" spans="1:2">
      <c r="A2660" s="117">
        <v>36214</v>
      </c>
      <c r="B2660">
        <v>9.9332999999999991</v>
      </c>
    </row>
    <row r="2661" spans="1:2">
      <c r="A2661" s="117">
        <v>36215</v>
      </c>
      <c r="B2661">
        <v>9.9314999999999998</v>
      </c>
    </row>
    <row r="2662" spans="1:2">
      <c r="A2662" s="117">
        <v>36216</v>
      </c>
      <c r="B2662">
        <v>9.9565000000000001</v>
      </c>
    </row>
    <row r="2663" spans="1:2">
      <c r="A2663" s="117">
        <v>36217</v>
      </c>
      <c r="B2663">
        <v>9.9357000000000006</v>
      </c>
    </row>
    <row r="2664" spans="1:2">
      <c r="A2664" s="117">
        <v>36218</v>
      </c>
      <c r="B2664">
        <v>9.9835999999999991</v>
      </c>
    </row>
    <row r="2665" spans="1:2">
      <c r="A2665" s="117">
        <v>36219</v>
      </c>
      <c r="B2665">
        <v>9.9835999999999991</v>
      </c>
    </row>
    <row r="2666" spans="1:2">
      <c r="A2666" s="117">
        <v>36220</v>
      </c>
      <c r="B2666">
        <v>9.9835999999999991</v>
      </c>
    </row>
    <row r="2667" spans="1:2">
      <c r="A2667" s="117">
        <v>36221</v>
      </c>
      <c r="B2667">
        <v>9.9441000000000006</v>
      </c>
    </row>
    <row r="2668" spans="1:2">
      <c r="A2668" s="117">
        <v>36222</v>
      </c>
      <c r="B2668">
        <v>9.9071999999999996</v>
      </c>
    </row>
    <row r="2669" spans="1:2">
      <c r="A2669" s="117">
        <v>36223</v>
      </c>
      <c r="B2669">
        <v>9.9527999999999999</v>
      </c>
    </row>
    <row r="2670" spans="1:2">
      <c r="A2670" s="117">
        <v>36224</v>
      </c>
      <c r="B2670">
        <v>9.9641000000000002</v>
      </c>
    </row>
    <row r="2671" spans="1:2">
      <c r="A2671" s="117">
        <v>36225</v>
      </c>
      <c r="B2671">
        <v>9.9334000000000007</v>
      </c>
    </row>
    <row r="2672" spans="1:2">
      <c r="A2672" s="117">
        <v>36226</v>
      </c>
      <c r="B2672">
        <v>9.9334000000000007</v>
      </c>
    </row>
    <row r="2673" spans="1:2">
      <c r="A2673" s="117">
        <v>36227</v>
      </c>
      <c r="B2673">
        <v>9.9334000000000007</v>
      </c>
    </row>
    <row r="2674" spans="1:2">
      <c r="A2674" s="117">
        <v>36228</v>
      </c>
      <c r="B2674">
        <v>9.8732000000000006</v>
      </c>
    </row>
    <row r="2675" spans="1:2">
      <c r="A2675" s="117">
        <v>36229</v>
      </c>
      <c r="B2675">
        <v>9.8434000000000008</v>
      </c>
    </row>
    <row r="2676" spans="1:2">
      <c r="A2676" s="117">
        <v>36230</v>
      </c>
      <c r="B2676">
        <v>9.7927</v>
      </c>
    </row>
    <row r="2677" spans="1:2">
      <c r="A2677" s="117">
        <v>36231</v>
      </c>
      <c r="B2677">
        <v>9.8011999999999997</v>
      </c>
    </row>
    <row r="2678" spans="1:2">
      <c r="A2678" s="117">
        <v>36232</v>
      </c>
      <c r="B2678">
        <v>9.7479999999999993</v>
      </c>
    </row>
    <row r="2679" spans="1:2">
      <c r="A2679" s="117">
        <v>36233</v>
      </c>
      <c r="B2679">
        <v>9.7479999999999993</v>
      </c>
    </row>
    <row r="2680" spans="1:2">
      <c r="A2680" s="117">
        <v>36234</v>
      </c>
      <c r="B2680">
        <v>9.7479999999999993</v>
      </c>
    </row>
    <row r="2681" spans="1:2">
      <c r="A2681" s="117">
        <v>36235</v>
      </c>
      <c r="B2681">
        <v>9.7527000000000008</v>
      </c>
    </row>
    <row r="2682" spans="1:2">
      <c r="A2682" s="117">
        <v>36236</v>
      </c>
      <c r="B2682">
        <v>9.7052999999999994</v>
      </c>
    </row>
    <row r="2683" spans="1:2">
      <c r="A2683" s="117">
        <v>36237</v>
      </c>
      <c r="B2683">
        <v>9.6586999999999996</v>
      </c>
    </row>
    <row r="2684" spans="1:2">
      <c r="A2684" s="117">
        <v>36238</v>
      </c>
      <c r="B2684">
        <v>9.6888000000000005</v>
      </c>
    </row>
    <row r="2685" spans="1:2">
      <c r="A2685" s="117">
        <v>36239</v>
      </c>
      <c r="B2685">
        <v>9.6462000000000003</v>
      </c>
    </row>
    <row r="2686" spans="1:2">
      <c r="A2686" s="117">
        <v>36240</v>
      </c>
      <c r="B2686">
        <v>9.6462000000000003</v>
      </c>
    </row>
    <row r="2687" spans="1:2">
      <c r="A2687" s="117">
        <v>36241</v>
      </c>
      <c r="B2687">
        <v>9.6462000000000003</v>
      </c>
    </row>
    <row r="2688" spans="1:2">
      <c r="A2688" s="117">
        <v>36242</v>
      </c>
      <c r="B2688">
        <v>9.6675000000000004</v>
      </c>
    </row>
    <row r="2689" spans="1:2">
      <c r="A2689" s="117">
        <v>36243</v>
      </c>
      <c r="B2689">
        <v>9.7116000000000007</v>
      </c>
    </row>
    <row r="2690" spans="1:2">
      <c r="A2690" s="117">
        <v>36244</v>
      </c>
      <c r="B2690">
        <v>9.6722999999999999</v>
      </c>
    </row>
    <row r="2691" spans="1:2">
      <c r="A2691" s="117">
        <v>36245</v>
      </c>
      <c r="B2691">
        <v>9.6917000000000009</v>
      </c>
    </row>
    <row r="2692" spans="1:2">
      <c r="A2692" s="117">
        <v>36246</v>
      </c>
      <c r="B2692">
        <v>9.6454000000000004</v>
      </c>
    </row>
    <row r="2693" spans="1:2">
      <c r="A2693" s="117">
        <v>36247</v>
      </c>
      <c r="B2693">
        <v>9.6454000000000004</v>
      </c>
    </row>
    <row r="2694" spans="1:2">
      <c r="A2694" s="117">
        <v>36248</v>
      </c>
      <c r="B2694">
        <v>9.6454000000000004</v>
      </c>
    </row>
    <row r="2695" spans="1:2">
      <c r="A2695" s="117">
        <v>36249</v>
      </c>
      <c r="B2695">
        <v>9.5953999999999997</v>
      </c>
    </row>
    <row r="2696" spans="1:2">
      <c r="A2696" s="117">
        <v>36250</v>
      </c>
      <c r="B2696">
        <v>9.5158000000000005</v>
      </c>
    </row>
    <row r="2697" spans="1:2">
      <c r="A2697" s="117">
        <v>36251</v>
      </c>
      <c r="B2697">
        <v>9.5375999999999994</v>
      </c>
    </row>
    <row r="2698" spans="1:2">
      <c r="A2698" s="117">
        <v>36252</v>
      </c>
      <c r="B2698">
        <v>9.5375999999999994</v>
      </c>
    </row>
    <row r="2699" spans="1:2">
      <c r="A2699" s="117">
        <v>36253</v>
      </c>
      <c r="B2699">
        <v>9.5375999999999994</v>
      </c>
    </row>
    <row r="2700" spans="1:2">
      <c r="A2700" s="117">
        <v>36254</v>
      </c>
      <c r="B2700">
        <v>9.5375999999999994</v>
      </c>
    </row>
    <row r="2701" spans="1:2">
      <c r="A2701" s="117">
        <v>36255</v>
      </c>
      <c r="B2701">
        <v>9.5375999999999994</v>
      </c>
    </row>
    <row r="2702" spans="1:2">
      <c r="A2702" s="117">
        <v>36256</v>
      </c>
      <c r="B2702">
        <v>9.5218000000000007</v>
      </c>
    </row>
    <row r="2703" spans="1:2">
      <c r="A2703" s="117">
        <v>36257</v>
      </c>
      <c r="B2703">
        <v>9.4817999999999998</v>
      </c>
    </row>
    <row r="2704" spans="1:2">
      <c r="A2704" s="117">
        <v>36258</v>
      </c>
      <c r="B2704">
        <v>9.4846000000000004</v>
      </c>
    </row>
    <row r="2705" spans="1:2">
      <c r="A2705" s="117">
        <v>36259</v>
      </c>
      <c r="B2705">
        <v>9.4968000000000004</v>
      </c>
    </row>
    <row r="2706" spans="1:2">
      <c r="A2706" s="117">
        <v>36260</v>
      </c>
      <c r="B2706">
        <v>9.4771000000000001</v>
      </c>
    </row>
    <row r="2707" spans="1:2">
      <c r="A2707" s="117">
        <v>36261</v>
      </c>
      <c r="B2707">
        <v>9.4771000000000001</v>
      </c>
    </row>
    <row r="2708" spans="1:2">
      <c r="A2708" s="117">
        <v>36262</v>
      </c>
      <c r="B2708">
        <v>9.4771000000000001</v>
      </c>
    </row>
    <row r="2709" spans="1:2">
      <c r="A2709" s="117">
        <v>36263</v>
      </c>
      <c r="B2709">
        <v>9.5728000000000009</v>
      </c>
    </row>
    <row r="2710" spans="1:2">
      <c r="A2710" s="117">
        <v>36264</v>
      </c>
      <c r="B2710">
        <v>9.5569000000000006</v>
      </c>
    </row>
    <row r="2711" spans="1:2">
      <c r="A2711" s="117">
        <v>36265</v>
      </c>
      <c r="B2711">
        <v>9.5058000000000007</v>
      </c>
    </row>
    <row r="2712" spans="1:2">
      <c r="A2712" s="117">
        <v>36266</v>
      </c>
      <c r="B2712">
        <v>9.5084999999999997</v>
      </c>
    </row>
    <row r="2713" spans="1:2">
      <c r="A2713" s="117">
        <v>36267</v>
      </c>
      <c r="B2713">
        <v>9.5429999999999993</v>
      </c>
    </row>
    <row r="2714" spans="1:2">
      <c r="A2714" s="117">
        <v>36268</v>
      </c>
      <c r="B2714">
        <v>9.5429999999999993</v>
      </c>
    </row>
    <row r="2715" spans="1:2">
      <c r="A2715" s="117">
        <v>36269</v>
      </c>
      <c r="B2715">
        <v>9.5429999999999993</v>
      </c>
    </row>
    <row r="2716" spans="1:2">
      <c r="A2716" s="117">
        <v>36270</v>
      </c>
      <c r="B2716">
        <v>9.5236999999999998</v>
      </c>
    </row>
    <row r="2717" spans="1:2">
      <c r="A2717" s="117">
        <v>36271</v>
      </c>
      <c r="B2717">
        <v>9.3831000000000007</v>
      </c>
    </row>
    <row r="2718" spans="1:2">
      <c r="A2718" s="117">
        <v>36272</v>
      </c>
      <c r="B2718">
        <v>9.4077000000000002</v>
      </c>
    </row>
    <row r="2719" spans="1:2">
      <c r="A2719" s="117">
        <v>36273</v>
      </c>
      <c r="B2719">
        <v>9.3643000000000001</v>
      </c>
    </row>
    <row r="2720" spans="1:2">
      <c r="A2720" s="117">
        <v>36274</v>
      </c>
      <c r="B2720">
        <v>9.3316999999999997</v>
      </c>
    </row>
    <row r="2721" spans="1:2">
      <c r="A2721" s="117">
        <v>36275</v>
      </c>
      <c r="B2721">
        <v>9.3316999999999997</v>
      </c>
    </row>
    <row r="2722" spans="1:2">
      <c r="A2722" s="117">
        <v>36276</v>
      </c>
      <c r="B2722">
        <v>9.3316999999999997</v>
      </c>
    </row>
    <row r="2723" spans="1:2">
      <c r="A2723" s="117">
        <v>36277</v>
      </c>
      <c r="B2723">
        <v>9.3004999999999995</v>
      </c>
    </row>
    <row r="2724" spans="1:2">
      <c r="A2724" s="117">
        <v>36278</v>
      </c>
      <c r="B2724">
        <v>9.3084000000000007</v>
      </c>
    </row>
    <row r="2725" spans="1:2">
      <c r="A2725" s="117">
        <v>36279</v>
      </c>
      <c r="B2725">
        <v>9.3285</v>
      </c>
    </row>
    <row r="2726" spans="1:2">
      <c r="A2726" s="117">
        <v>36280</v>
      </c>
      <c r="B2726">
        <v>9.2871000000000006</v>
      </c>
    </row>
    <row r="2727" spans="1:2">
      <c r="A2727" s="117">
        <v>36281</v>
      </c>
      <c r="B2727">
        <v>9.2622</v>
      </c>
    </row>
    <row r="2728" spans="1:2">
      <c r="A2728" s="117">
        <v>36282</v>
      </c>
      <c r="B2728">
        <v>9.2622</v>
      </c>
    </row>
    <row r="2729" spans="1:2">
      <c r="A2729" s="117">
        <v>36283</v>
      </c>
      <c r="B2729">
        <v>9.2622</v>
      </c>
    </row>
    <row r="2730" spans="1:2">
      <c r="A2730" s="117">
        <v>36284</v>
      </c>
      <c r="B2730">
        <v>9.2446999999999999</v>
      </c>
    </row>
    <row r="2731" spans="1:2">
      <c r="A2731" s="117">
        <v>36285</v>
      </c>
      <c r="B2731">
        <v>9.2689000000000004</v>
      </c>
    </row>
    <row r="2732" spans="1:2">
      <c r="A2732" s="117">
        <v>36286</v>
      </c>
      <c r="B2732">
        <v>9.2689000000000004</v>
      </c>
    </row>
    <row r="2733" spans="1:2">
      <c r="A2733" s="117">
        <v>36287</v>
      </c>
      <c r="B2733">
        <v>9.2749000000000006</v>
      </c>
    </row>
    <row r="2734" spans="1:2">
      <c r="A2734" s="117">
        <v>36288</v>
      </c>
      <c r="B2734">
        <v>9.3330000000000002</v>
      </c>
    </row>
    <row r="2735" spans="1:2">
      <c r="A2735" s="117">
        <v>36289</v>
      </c>
      <c r="B2735">
        <v>9.3330000000000002</v>
      </c>
    </row>
    <row r="2736" spans="1:2">
      <c r="A2736" s="117">
        <v>36290</v>
      </c>
      <c r="B2736">
        <v>9.3330000000000002</v>
      </c>
    </row>
    <row r="2737" spans="1:2">
      <c r="A2737" s="117">
        <v>36291</v>
      </c>
      <c r="B2737">
        <v>9.3480000000000008</v>
      </c>
    </row>
    <row r="2738" spans="1:2">
      <c r="A2738" s="117">
        <v>36292</v>
      </c>
      <c r="B2738">
        <v>9.2992000000000008</v>
      </c>
    </row>
    <row r="2739" spans="1:2">
      <c r="A2739" s="117">
        <v>36293</v>
      </c>
      <c r="B2739">
        <v>9.2532999999999994</v>
      </c>
    </row>
    <row r="2740" spans="1:2">
      <c r="A2740" s="117">
        <v>36294</v>
      </c>
      <c r="B2740">
        <v>9.3247</v>
      </c>
    </row>
    <row r="2741" spans="1:2">
      <c r="A2741" s="117">
        <v>36295</v>
      </c>
      <c r="B2741">
        <v>9.2698</v>
      </c>
    </row>
    <row r="2742" spans="1:2">
      <c r="A2742" s="117">
        <v>36296</v>
      </c>
      <c r="B2742">
        <v>9.2698</v>
      </c>
    </row>
    <row r="2743" spans="1:2">
      <c r="A2743" s="117">
        <v>36297</v>
      </c>
      <c r="B2743">
        <v>9.2698</v>
      </c>
    </row>
    <row r="2744" spans="1:2">
      <c r="A2744" s="117">
        <v>36298</v>
      </c>
      <c r="B2744">
        <v>9.3590999999999998</v>
      </c>
    </row>
    <row r="2745" spans="1:2">
      <c r="A2745" s="117">
        <v>36299</v>
      </c>
      <c r="B2745">
        <v>9.3663000000000007</v>
      </c>
    </row>
    <row r="2746" spans="1:2">
      <c r="A2746" s="117">
        <v>36300</v>
      </c>
      <c r="B2746">
        <v>9.2982999999999993</v>
      </c>
    </row>
    <row r="2747" spans="1:2">
      <c r="A2747" s="117">
        <v>36301</v>
      </c>
      <c r="B2747">
        <v>9.3086000000000002</v>
      </c>
    </row>
    <row r="2748" spans="1:2">
      <c r="A2748" s="117">
        <v>36302</v>
      </c>
      <c r="B2748">
        <v>9.3241999999999994</v>
      </c>
    </row>
    <row r="2749" spans="1:2">
      <c r="A2749" s="117">
        <v>36303</v>
      </c>
      <c r="B2749">
        <v>9.3241999999999994</v>
      </c>
    </row>
    <row r="2750" spans="1:2">
      <c r="A2750" s="117">
        <v>36304</v>
      </c>
      <c r="B2750">
        <v>9.3241999999999994</v>
      </c>
    </row>
    <row r="2751" spans="1:2">
      <c r="A2751" s="117">
        <v>36305</v>
      </c>
      <c r="B2751">
        <v>9.3589000000000002</v>
      </c>
    </row>
    <row r="2752" spans="1:2">
      <c r="A2752" s="117">
        <v>36306</v>
      </c>
      <c r="B2752">
        <v>9.3844999999999992</v>
      </c>
    </row>
    <row r="2753" spans="1:2">
      <c r="A2753" s="117">
        <v>36307</v>
      </c>
      <c r="B2753">
        <v>9.5467999999999993</v>
      </c>
    </row>
    <row r="2754" spans="1:2">
      <c r="A2754" s="117">
        <v>36308</v>
      </c>
      <c r="B2754">
        <v>9.6715</v>
      </c>
    </row>
    <row r="2755" spans="1:2">
      <c r="A2755" s="117">
        <v>36309</v>
      </c>
      <c r="B2755">
        <v>9.7498000000000005</v>
      </c>
    </row>
    <row r="2756" spans="1:2">
      <c r="A2756" s="117">
        <v>36310</v>
      </c>
      <c r="B2756">
        <v>9.7498000000000005</v>
      </c>
    </row>
    <row r="2757" spans="1:2">
      <c r="A2757" s="117">
        <v>36311</v>
      </c>
      <c r="B2757">
        <v>9.7498000000000005</v>
      </c>
    </row>
    <row r="2758" spans="1:2">
      <c r="A2758" s="117">
        <v>36312</v>
      </c>
      <c r="B2758">
        <v>9.7833000000000006</v>
      </c>
    </row>
    <row r="2759" spans="1:2">
      <c r="A2759" s="117">
        <v>36313</v>
      </c>
      <c r="B2759">
        <v>9.6872000000000007</v>
      </c>
    </row>
    <row r="2760" spans="1:2">
      <c r="A2760" s="117">
        <v>36314</v>
      </c>
      <c r="B2760">
        <v>9.8155999999999999</v>
      </c>
    </row>
    <row r="2761" spans="1:2">
      <c r="A2761" s="117">
        <v>36315</v>
      </c>
      <c r="B2761">
        <v>9.7652999999999999</v>
      </c>
    </row>
    <row r="2762" spans="1:2">
      <c r="A2762" s="117">
        <v>36316</v>
      </c>
      <c r="B2762">
        <v>9.6545000000000005</v>
      </c>
    </row>
    <row r="2763" spans="1:2">
      <c r="A2763" s="117">
        <v>36317</v>
      </c>
      <c r="B2763">
        <v>9.6545000000000005</v>
      </c>
    </row>
    <row r="2764" spans="1:2">
      <c r="A2764" s="117">
        <v>36318</v>
      </c>
      <c r="B2764">
        <v>9.6545000000000005</v>
      </c>
    </row>
    <row r="2765" spans="1:2">
      <c r="A2765" s="117">
        <v>36319</v>
      </c>
      <c r="B2765">
        <v>9.6272000000000002</v>
      </c>
    </row>
    <row r="2766" spans="1:2">
      <c r="A2766" s="117">
        <v>36320</v>
      </c>
      <c r="B2766">
        <v>9.5045000000000002</v>
      </c>
    </row>
    <row r="2767" spans="1:2">
      <c r="A2767" s="117">
        <v>36321</v>
      </c>
      <c r="B2767">
        <v>9.4878999999999998</v>
      </c>
    </row>
    <row r="2768" spans="1:2">
      <c r="A2768" s="117">
        <v>36322</v>
      </c>
      <c r="B2768">
        <v>9.5816999999999997</v>
      </c>
    </row>
    <row r="2769" spans="1:2">
      <c r="A2769" s="117">
        <v>36323</v>
      </c>
      <c r="B2769">
        <v>9.5984999999999996</v>
      </c>
    </row>
    <row r="2770" spans="1:2">
      <c r="A2770" s="117">
        <v>36324</v>
      </c>
      <c r="B2770">
        <v>9.5984999999999996</v>
      </c>
    </row>
    <row r="2771" spans="1:2">
      <c r="A2771" s="117">
        <v>36325</v>
      </c>
      <c r="B2771">
        <v>9.5984999999999996</v>
      </c>
    </row>
    <row r="2772" spans="1:2">
      <c r="A2772" s="117">
        <v>36326</v>
      </c>
      <c r="B2772">
        <v>9.5451999999999995</v>
      </c>
    </row>
    <row r="2773" spans="1:2">
      <c r="A2773" s="117">
        <v>36327</v>
      </c>
      <c r="B2773">
        <v>9.5767000000000007</v>
      </c>
    </row>
    <row r="2774" spans="1:2">
      <c r="A2774" s="117">
        <v>36328</v>
      </c>
      <c r="B2774">
        <v>9.5017999999999994</v>
      </c>
    </row>
    <row r="2775" spans="1:2">
      <c r="A2775" s="117">
        <v>36329</v>
      </c>
      <c r="B2775">
        <v>9.4585000000000008</v>
      </c>
    </row>
    <row r="2776" spans="1:2">
      <c r="A2776" s="117">
        <v>36330</v>
      </c>
      <c r="B2776">
        <v>9.4038000000000004</v>
      </c>
    </row>
    <row r="2777" spans="1:2">
      <c r="A2777" s="117">
        <v>36331</v>
      </c>
      <c r="B2777">
        <v>9.4038000000000004</v>
      </c>
    </row>
    <row r="2778" spans="1:2">
      <c r="A2778" s="117">
        <v>36332</v>
      </c>
      <c r="B2778">
        <v>9.4038000000000004</v>
      </c>
    </row>
    <row r="2779" spans="1:2">
      <c r="A2779" s="117">
        <v>36333</v>
      </c>
      <c r="B2779">
        <v>9.3550000000000004</v>
      </c>
    </row>
    <row r="2780" spans="1:2">
      <c r="A2780" s="117">
        <v>36334</v>
      </c>
      <c r="B2780">
        <v>9.3780999999999999</v>
      </c>
    </row>
    <row r="2781" spans="1:2">
      <c r="A2781" s="117">
        <v>36335</v>
      </c>
      <c r="B2781">
        <v>9.3717000000000006</v>
      </c>
    </row>
    <row r="2782" spans="1:2">
      <c r="A2782" s="117">
        <v>36336</v>
      </c>
      <c r="B2782">
        <v>9.4038000000000004</v>
      </c>
    </row>
    <row r="2783" spans="1:2">
      <c r="A2783" s="117">
        <v>36337</v>
      </c>
      <c r="B2783">
        <v>9.4589999999999996</v>
      </c>
    </row>
    <row r="2784" spans="1:2">
      <c r="A2784" s="117">
        <v>36338</v>
      </c>
      <c r="B2784">
        <v>9.4589999999999996</v>
      </c>
    </row>
    <row r="2785" spans="1:2">
      <c r="A2785" s="117">
        <v>36339</v>
      </c>
      <c r="B2785">
        <v>9.4589999999999996</v>
      </c>
    </row>
    <row r="2786" spans="1:2">
      <c r="A2786" s="117">
        <v>36340</v>
      </c>
      <c r="B2786">
        <v>9.4717000000000002</v>
      </c>
    </row>
    <row r="2787" spans="1:2">
      <c r="A2787" s="117">
        <v>36341</v>
      </c>
      <c r="B2787">
        <v>9.4875000000000007</v>
      </c>
    </row>
    <row r="2788" spans="1:2">
      <c r="A2788" s="117">
        <v>36342</v>
      </c>
      <c r="B2788">
        <v>9.4164999999999992</v>
      </c>
    </row>
    <row r="2789" spans="1:2">
      <c r="A2789" s="117">
        <v>36343</v>
      </c>
      <c r="B2789">
        <v>9.4408999999999992</v>
      </c>
    </row>
    <row r="2790" spans="1:2">
      <c r="A2790" s="117">
        <v>36344</v>
      </c>
      <c r="B2790">
        <v>9.3773</v>
      </c>
    </row>
    <row r="2791" spans="1:2">
      <c r="A2791" s="117">
        <v>36345</v>
      </c>
      <c r="B2791">
        <v>9.3773</v>
      </c>
    </row>
    <row r="2792" spans="1:2">
      <c r="A2792" s="117">
        <v>36346</v>
      </c>
      <c r="B2792">
        <v>9.3773</v>
      </c>
    </row>
    <row r="2793" spans="1:2">
      <c r="A2793" s="117">
        <v>36347</v>
      </c>
      <c r="B2793">
        <v>9.3513000000000002</v>
      </c>
    </row>
    <row r="2794" spans="1:2">
      <c r="A2794" s="117">
        <v>36348</v>
      </c>
      <c r="B2794">
        <v>9.3167000000000009</v>
      </c>
    </row>
    <row r="2795" spans="1:2">
      <c r="A2795" s="117">
        <v>36349</v>
      </c>
      <c r="B2795">
        <v>9.3314000000000004</v>
      </c>
    </row>
    <row r="2796" spans="1:2">
      <c r="A2796" s="117">
        <v>36350</v>
      </c>
      <c r="B2796">
        <v>9.3636999999999997</v>
      </c>
    </row>
    <row r="2797" spans="1:2">
      <c r="A2797" s="117">
        <v>36351</v>
      </c>
      <c r="B2797">
        <v>9.3302999999999994</v>
      </c>
    </row>
    <row r="2798" spans="1:2">
      <c r="A2798" s="117">
        <v>36352</v>
      </c>
      <c r="B2798">
        <v>9.3302999999999994</v>
      </c>
    </row>
    <row r="2799" spans="1:2">
      <c r="A2799" s="117">
        <v>36353</v>
      </c>
      <c r="B2799">
        <v>9.3302999999999994</v>
      </c>
    </row>
    <row r="2800" spans="1:2">
      <c r="A2800" s="117">
        <v>36354</v>
      </c>
      <c r="B2800">
        <v>9.3522999999999996</v>
      </c>
    </row>
    <row r="2801" spans="1:2">
      <c r="A2801" s="117">
        <v>36355</v>
      </c>
      <c r="B2801">
        <v>9.4358000000000004</v>
      </c>
    </row>
    <row r="2802" spans="1:2">
      <c r="A2802" s="117">
        <v>36356</v>
      </c>
      <c r="B2802">
        <v>9.4589999999999996</v>
      </c>
    </row>
    <row r="2803" spans="1:2">
      <c r="A2803" s="117">
        <v>36357</v>
      </c>
      <c r="B2803">
        <v>9.3388000000000009</v>
      </c>
    </row>
    <row r="2804" spans="1:2">
      <c r="A2804" s="117">
        <v>36358</v>
      </c>
      <c r="B2804">
        <v>9.3343000000000007</v>
      </c>
    </row>
    <row r="2805" spans="1:2">
      <c r="A2805" s="117">
        <v>36359</v>
      </c>
      <c r="B2805">
        <v>9.3343000000000007</v>
      </c>
    </row>
    <row r="2806" spans="1:2">
      <c r="A2806" s="117">
        <v>36360</v>
      </c>
      <c r="B2806">
        <v>9.3343000000000007</v>
      </c>
    </row>
    <row r="2807" spans="1:2">
      <c r="A2807" s="117">
        <v>36361</v>
      </c>
      <c r="B2807">
        <v>9.3562999999999992</v>
      </c>
    </row>
    <row r="2808" spans="1:2">
      <c r="A2808" s="117">
        <v>36362</v>
      </c>
      <c r="B2808">
        <v>9.3008000000000006</v>
      </c>
    </row>
    <row r="2809" spans="1:2">
      <c r="A2809" s="117">
        <v>36363</v>
      </c>
      <c r="B2809">
        <v>9.3012999999999995</v>
      </c>
    </row>
    <row r="2810" spans="1:2">
      <c r="A2810" s="117">
        <v>36364</v>
      </c>
      <c r="B2810">
        <v>9.3347999999999995</v>
      </c>
    </row>
    <row r="2811" spans="1:2">
      <c r="A2811" s="117">
        <v>36365</v>
      </c>
      <c r="B2811">
        <v>9.3745999999999992</v>
      </c>
    </row>
    <row r="2812" spans="1:2">
      <c r="A2812" s="117">
        <v>36366</v>
      </c>
      <c r="B2812">
        <v>9.3745999999999992</v>
      </c>
    </row>
    <row r="2813" spans="1:2">
      <c r="A2813" s="117">
        <v>36367</v>
      </c>
      <c r="B2813">
        <v>9.3745999999999992</v>
      </c>
    </row>
    <row r="2814" spans="1:2">
      <c r="A2814" s="117">
        <v>36368</v>
      </c>
      <c r="B2814">
        <v>9.3856000000000002</v>
      </c>
    </row>
    <row r="2815" spans="1:2">
      <c r="A2815" s="117">
        <v>36369</v>
      </c>
      <c r="B2815">
        <v>9.4235000000000007</v>
      </c>
    </row>
    <row r="2816" spans="1:2">
      <c r="A2816" s="117">
        <v>36370</v>
      </c>
      <c r="B2816">
        <v>9.3680000000000003</v>
      </c>
    </row>
    <row r="2817" spans="1:2">
      <c r="A2817" s="117">
        <v>36371</v>
      </c>
      <c r="B2817">
        <v>9.3826999999999998</v>
      </c>
    </row>
    <row r="2818" spans="1:2">
      <c r="A2818" s="117">
        <v>36372</v>
      </c>
      <c r="B2818">
        <v>9.4260000000000002</v>
      </c>
    </row>
    <row r="2819" spans="1:2">
      <c r="A2819" s="117">
        <v>36373</v>
      </c>
      <c r="B2819">
        <v>9.4260000000000002</v>
      </c>
    </row>
    <row r="2820" spans="1:2">
      <c r="A2820" s="117">
        <v>36374</v>
      </c>
      <c r="B2820">
        <v>9.4260000000000002</v>
      </c>
    </row>
    <row r="2821" spans="1:2">
      <c r="A2821" s="117">
        <v>36375</v>
      </c>
      <c r="B2821">
        <v>9.4009999999999998</v>
      </c>
    </row>
    <row r="2822" spans="1:2">
      <c r="A2822" s="117">
        <v>36376</v>
      </c>
      <c r="B2822">
        <v>9.4057999999999993</v>
      </c>
    </row>
    <row r="2823" spans="1:2">
      <c r="A2823" s="117">
        <v>36377</v>
      </c>
      <c r="B2823">
        <v>9.4551999999999996</v>
      </c>
    </row>
    <row r="2824" spans="1:2">
      <c r="A2824" s="117">
        <v>36378</v>
      </c>
      <c r="B2824">
        <v>9.4364000000000008</v>
      </c>
    </row>
    <row r="2825" spans="1:2">
      <c r="A2825" s="117">
        <v>36379</v>
      </c>
      <c r="B2825">
        <v>9.5097000000000005</v>
      </c>
    </row>
    <row r="2826" spans="1:2">
      <c r="A2826" s="117">
        <v>36380</v>
      </c>
      <c r="B2826">
        <v>9.5097000000000005</v>
      </c>
    </row>
    <row r="2827" spans="1:2">
      <c r="A2827" s="117">
        <v>36381</v>
      </c>
      <c r="B2827">
        <v>9.5097000000000005</v>
      </c>
    </row>
    <row r="2828" spans="1:2">
      <c r="A2828" s="117">
        <v>36382</v>
      </c>
      <c r="B2828">
        <v>9.4962</v>
      </c>
    </row>
    <row r="2829" spans="1:2">
      <c r="A2829" s="117">
        <v>36383</v>
      </c>
      <c r="B2829">
        <v>9.4873999999999992</v>
      </c>
    </row>
    <row r="2830" spans="1:2">
      <c r="A2830" s="117">
        <v>36384</v>
      </c>
      <c r="B2830">
        <v>9.5062999999999995</v>
      </c>
    </row>
    <row r="2831" spans="1:2">
      <c r="A2831" s="117">
        <v>36385</v>
      </c>
      <c r="B2831">
        <v>9.4149999999999991</v>
      </c>
    </row>
    <row r="2832" spans="1:2">
      <c r="A2832" s="117">
        <v>36386</v>
      </c>
      <c r="B2832">
        <v>9.3533000000000008</v>
      </c>
    </row>
    <row r="2833" spans="1:2">
      <c r="A2833" s="117">
        <v>36387</v>
      </c>
      <c r="B2833">
        <v>9.3533000000000008</v>
      </c>
    </row>
    <row r="2834" spans="1:2">
      <c r="A2834" s="117">
        <v>36388</v>
      </c>
      <c r="B2834">
        <v>9.3533000000000008</v>
      </c>
    </row>
    <row r="2835" spans="1:2">
      <c r="A2835" s="117">
        <v>36389</v>
      </c>
      <c r="B2835">
        <v>9.3882999999999992</v>
      </c>
    </row>
    <row r="2836" spans="1:2">
      <c r="A2836" s="117">
        <v>36390</v>
      </c>
      <c r="B2836">
        <v>9.3567999999999998</v>
      </c>
    </row>
    <row r="2837" spans="1:2">
      <c r="A2837" s="117">
        <v>36391</v>
      </c>
      <c r="B2837">
        <v>9.3331999999999997</v>
      </c>
    </row>
    <row r="2838" spans="1:2">
      <c r="A2838" s="117">
        <v>36392</v>
      </c>
      <c r="B2838">
        <v>9.3217999999999996</v>
      </c>
    </row>
    <row r="2839" spans="1:2">
      <c r="A2839" s="117">
        <v>36393</v>
      </c>
      <c r="B2839">
        <v>9.3744999999999994</v>
      </c>
    </row>
    <row r="2840" spans="1:2">
      <c r="A2840" s="117">
        <v>36394</v>
      </c>
      <c r="B2840">
        <v>9.3744999999999994</v>
      </c>
    </row>
    <row r="2841" spans="1:2">
      <c r="A2841" s="117">
        <v>36395</v>
      </c>
      <c r="B2841">
        <v>9.3744999999999994</v>
      </c>
    </row>
    <row r="2842" spans="1:2">
      <c r="A2842" s="117">
        <v>36396</v>
      </c>
      <c r="B2842">
        <v>9.3867999999999991</v>
      </c>
    </row>
    <row r="2843" spans="1:2">
      <c r="A2843" s="117">
        <v>36397</v>
      </c>
      <c r="B2843">
        <v>9.3435000000000006</v>
      </c>
    </row>
    <row r="2844" spans="1:2">
      <c r="A2844" s="117">
        <v>36398</v>
      </c>
      <c r="B2844">
        <v>9.3309999999999995</v>
      </c>
    </row>
    <row r="2845" spans="1:2">
      <c r="A2845" s="117">
        <v>36399</v>
      </c>
      <c r="B2845">
        <v>9.3080999999999996</v>
      </c>
    </row>
    <row r="2846" spans="1:2">
      <c r="A2846" s="117">
        <v>36400</v>
      </c>
      <c r="B2846">
        <v>9.3393999999999995</v>
      </c>
    </row>
    <row r="2847" spans="1:2">
      <c r="A2847" s="117">
        <v>36401</v>
      </c>
      <c r="B2847">
        <v>9.3393999999999995</v>
      </c>
    </row>
    <row r="2848" spans="1:2">
      <c r="A2848" s="117">
        <v>36402</v>
      </c>
      <c r="B2848">
        <v>9.3393999999999995</v>
      </c>
    </row>
    <row r="2849" spans="1:2">
      <c r="A2849" s="117">
        <v>36403</v>
      </c>
      <c r="B2849">
        <v>9.3818999999999999</v>
      </c>
    </row>
    <row r="2850" spans="1:2">
      <c r="A2850" s="117">
        <v>36404</v>
      </c>
      <c r="B2850">
        <v>9.4094999999999995</v>
      </c>
    </row>
    <row r="2851" spans="1:2">
      <c r="A2851" s="117">
        <v>36405</v>
      </c>
      <c r="B2851">
        <v>9.4094999999999995</v>
      </c>
    </row>
    <row r="2852" spans="1:2">
      <c r="A2852" s="117">
        <v>36406</v>
      </c>
      <c r="B2852">
        <v>9.3849999999999998</v>
      </c>
    </row>
    <row r="2853" spans="1:2">
      <c r="A2853" s="117">
        <v>36407</v>
      </c>
      <c r="B2853">
        <v>9.3739000000000008</v>
      </c>
    </row>
    <row r="2854" spans="1:2">
      <c r="A2854" s="117">
        <v>36408</v>
      </c>
      <c r="B2854">
        <v>9.3739000000000008</v>
      </c>
    </row>
    <row r="2855" spans="1:2">
      <c r="A2855" s="117">
        <v>36409</v>
      </c>
      <c r="B2855">
        <v>9.3739000000000008</v>
      </c>
    </row>
    <row r="2856" spans="1:2">
      <c r="A2856" s="117">
        <v>36410</v>
      </c>
      <c r="B2856">
        <v>9.3382000000000005</v>
      </c>
    </row>
    <row r="2857" spans="1:2">
      <c r="A2857" s="117">
        <v>36411</v>
      </c>
      <c r="B2857">
        <v>9.3461999999999996</v>
      </c>
    </row>
    <row r="2858" spans="1:2">
      <c r="A2858" s="117">
        <v>36412</v>
      </c>
      <c r="B2858">
        <v>9.3497000000000003</v>
      </c>
    </row>
    <row r="2859" spans="1:2">
      <c r="A2859" s="117">
        <v>36413</v>
      </c>
      <c r="B2859">
        <v>9.3577999999999992</v>
      </c>
    </row>
    <row r="2860" spans="1:2">
      <c r="A2860" s="117">
        <v>36414</v>
      </c>
      <c r="B2860">
        <v>9.3470999999999993</v>
      </c>
    </row>
    <row r="2861" spans="1:2">
      <c r="A2861" s="117">
        <v>36415</v>
      </c>
      <c r="B2861">
        <v>9.3470999999999993</v>
      </c>
    </row>
    <row r="2862" spans="1:2">
      <c r="A2862" s="117">
        <v>36416</v>
      </c>
      <c r="B2862">
        <v>9.3470999999999993</v>
      </c>
    </row>
    <row r="2863" spans="1:2">
      <c r="A2863" s="117">
        <v>36417</v>
      </c>
      <c r="B2863">
        <v>9.3173999999999992</v>
      </c>
    </row>
    <row r="2864" spans="1:2">
      <c r="A2864" s="117">
        <v>36418</v>
      </c>
      <c r="B2864">
        <v>9.3192000000000004</v>
      </c>
    </row>
    <row r="2865" spans="1:2">
      <c r="A2865" s="117">
        <v>36419</v>
      </c>
      <c r="B2865">
        <v>9.3323</v>
      </c>
    </row>
    <row r="2866" spans="1:2">
      <c r="A2866" s="117">
        <v>36420</v>
      </c>
      <c r="B2866">
        <v>9.3323</v>
      </c>
    </row>
    <row r="2867" spans="1:2">
      <c r="A2867" s="117">
        <v>36421</v>
      </c>
      <c r="B2867">
        <v>9.3092000000000006</v>
      </c>
    </row>
    <row r="2868" spans="1:2">
      <c r="A2868" s="117">
        <v>36422</v>
      </c>
      <c r="B2868">
        <v>9.3092000000000006</v>
      </c>
    </row>
    <row r="2869" spans="1:2">
      <c r="A2869" s="117">
        <v>36423</v>
      </c>
      <c r="B2869">
        <v>9.3092000000000006</v>
      </c>
    </row>
    <row r="2870" spans="1:2">
      <c r="A2870" s="117">
        <v>36424</v>
      </c>
      <c r="B2870">
        <v>9.3712</v>
      </c>
    </row>
    <row r="2871" spans="1:2">
      <c r="A2871" s="117">
        <v>36425</v>
      </c>
      <c r="B2871">
        <v>9.3223000000000003</v>
      </c>
    </row>
    <row r="2872" spans="1:2">
      <c r="A2872" s="117">
        <v>36426</v>
      </c>
      <c r="B2872">
        <v>9.3043999999999993</v>
      </c>
    </row>
    <row r="2873" spans="1:2">
      <c r="A2873" s="117">
        <v>36427</v>
      </c>
      <c r="B2873">
        <v>9.2858000000000001</v>
      </c>
    </row>
    <row r="2874" spans="1:2">
      <c r="A2874" s="117">
        <v>36428</v>
      </c>
      <c r="B2874">
        <v>9.3055000000000003</v>
      </c>
    </row>
    <row r="2875" spans="1:2">
      <c r="A2875" s="117">
        <v>36429</v>
      </c>
      <c r="B2875">
        <v>9.3055000000000003</v>
      </c>
    </row>
    <row r="2876" spans="1:2">
      <c r="A2876" s="117">
        <v>36430</v>
      </c>
      <c r="B2876">
        <v>9.3055000000000003</v>
      </c>
    </row>
    <row r="2877" spans="1:2">
      <c r="A2877" s="117">
        <v>36431</v>
      </c>
      <c r="B2877">
        <v>9.3565000000000005</v>
      </c>
    </row>
    <row r="2878" spans="1:2">
      <c r="A2878" s="117">
        <v>36432</v>
      </c>
      <c r="B2878">
        <v>9.3157999999999994</v>
      </c>
    </row>
    <row r="2879" spans="1:2">
      <c r="A2879" s="117">
        <v>36433</v>
      </c>
      <c r="B2879">
        <v>9.3582000000000001</v>
      </c>
    </row>
    <row r="2880" spans="1:2">
      <c r="A2880" s="117">
        <v>36434</v>
      </c>
      <c r="B2880">
        <v>9.3565000000000005</v>
      </c>
    </row>
    <row r="2881" spans="1:2">
      <c r="A2881" s="117">
        <v>36435</v>
      </c>
      <c r="B2881">
        <v>9.3483000000000001</v>
      </c>
    </row>
    <row r="2882" spans="1:2">
      <c r="A2882" s="117">
        <v>36436</v>
      </c>
      <c r="B2882">
        <v>9.3483000000000001</v>
      </c>
    </row>
    <row r="2883" spans="1:2">
      <c r="A2883" s="117">
        <v>36437</v>
      </c>
      <c r="B2883">
        <v>9.3483000000000001</v>
      </c>
    </row>
    <row r="2884" spans="1:2">
      <c r="A2884" s="117">
        <v>36438</v>
      </c>
      <c r="B2884">
        <v>9.4062999999999999</v>
      </c>
    </row>
    <row r="2885" spans="1:2">
      <c r="A2885" s="117">
        <v>36439</v>
      </c>
      <c r="B2885">
        <v>9.4530999999999992</v>
      </c>
    </row>
    <row r="2886" spans="1:2">
      <c r="A2886" s="117">
        <v>36440</v>
      </c>
      <c r="B2886">
        <v>9.4757999999999996</v>
      </c>
    </row>
    <row r="2887" spans="1:2">
      <c r="A2887" s="117">
        <v>36441</v>
      </c>
      <c r="B2887">
        <v>9.4322999999999997</v>
      </c>
    </row>
    <row r="2888" spans="1:2">
      <c r="A2888" s="117">
        <v>36442</v>
      </c>
      <c r="B2888">
        <v>9.4597999999999995</v>
      </c>
    </row>
    <row r="2889" spans="1:2">
      <c r="A2889" s="117">
        <v>36443</v>
      </c>
      <c r="B2889">
        <v>9.4597999999999995</v>
      </c>
    </row>
    <row r="2890" spans="1:2">
      <c r="A2890" s="117">
        <v>36444</v>
      </c>
      <c r="B2890">
        <v>9.4597999999999995</v>
      </c>
    </row>
    <row r="2891" spans="1:2">
      <c r="A2891" s="117">
        <v>36445</v>
      </c>
      <c r="B2891">
        <v>9.4681999999999995</v>
      </c>
    </row>
    <row r="2892" spans="1:2">
      <c r="A2892" s="117">
        <v>36446</v>
      </c>
      <c r="B2892">
        <v>9.4506999999999994</v>
      </c>
    </row>
    <row r="2893" spans="1:2">
      <c r="A2893" s="117">
        <v>36447</v>
      </c>
      <c r="B2893">
        <v>9.4674999999999994</v>
      </c>
    </row>
    <row r="2894" spans="1:2">
      <c r="A2894" s="117">
        <v>36448</v>
      </c>
      <c r="B2894">
        <v>9.5190000000000001</v>
      </c>
    </row>
    <row r="2895" spans="1:2">
      <c r="A2895" s="117">
        <v>36449</v>
      </c>
      <c r="B2895">
        <v>9.6308000000000007</v>
      </c>
    </row>
    <row r="2896" spans="1:2">
      <c r="A2896" s="117">
        <v>36450</v>
      </c>
      <c r="B2896">
        <v>9.6308000000000007</v>
      </c>
    </row>
    <row r="2897" spans="1:2">
      <c r="A2897" s="117">
        <v>36451</v>
      </c>
      <c r="B2897">
        <v>9.6308000000000007</v>
      </c>
    </row>
    <row r="2898" spans="1:2">
      <c r="A2898" s="117">
        <v>36452</v>
      </c>
      <c r="B2898">
        <v>9.7113999999999994</v>
      </c>
    </row>
    <row r="2899" spans="1:2">
      <c r="A2899" s="117">
        <v>36453</v>
      </c>
      <c r="B2899">
        <v>9.7142999999999997</v>
      </c>
    </row>
    <row r="2900" spans="1:2">
      <c r="A2900" s="117">
        <v>36454</v>
      </c>
      <c r="B2900">
        <v>9.6713000000000005</v>
      </c>
    </row>
    <row r="2901" spans="1:2">
      <c r="A2901" s="117">
        <v>36455</v>
      </c>
      <c r="B2901">
        <v>9.6113999999999997</v>
      </c>
    </row>
    <row r="2902" spans="1:2">
      <c r="A2902" s="117">
        <v>36456</v>
      </c>
      <c r="B2902">
        <v>9.6481999999999992</v>
      </c>
    </row>
    <row r="2903" spans="1:2">
      <c r="A2903" s="117">
        <v>36457</v>
      </c>
      <c r="B2903">
        <v>9.6481999999999992</v>
      </c>
    </row>
    <row r="2904" spans="1:2">
      <c r="A2904" s="117">
        <v>36458</v>
      </c>
      <c r="B2904">
        <v>9.6481999999999992</v>
      </c>
    </row>
    <row r="2905" spans="1:2">
      <c r="A2905" s="117">
        <v>36459</v>
      </c>
      <c r="B2905">
        <v>9.6029999999999998</v>
      </c>
    </row>
    <row r="2906" spans="1:2">
      <c r="A2906" s="117">
        <v>36460</v>
      </c>
      <c r="B2906">
        <v>9.6373999999999995</v>
      </c>
    </row>
    <row r="2907" spans="1:2">
      <c r="A2907" s="117">
        <v>36461</v>
      </c>
      <c r="B2907">
        <v>9.6298999999999992</v>
      </c>
    </row>
    <row r="2908" spans="1:2">
      <c r="A2908" s="117">
        <v>36462</v>
      </c>
      <c r="B2908">
        <v>9.6503999999999994</v>
      </c>
    </row>
    <row r="2909" spans="1:2">
      <c r="A2909" s="117">
        <v>36463</v>
      </c>
      <c r="B2909">
        <v>9.6356999999999999</v>
      </c>
    </row>
    <row r="2910" spans="1:2">
      <c r="A2910" s="117">
        <v>36464</v>
      </c>
      <c r="B2910">
        <v>9.6356999999999999</v>
      </c>
    </row>
    <row r="2911" spans="1:2">
      <c r="A2911" s="117">
        <v>36465</v>
      </c>
      <c r="B2911">
        <v>9.6356999999999999</v>
      </c>
    </row>
    <row r="2912" spans="1:2">
      <c r="A2912" s="117">
        <v>36466</v>
      </c>
      <c r="B2912">
        <v>9.625</v>
      </c>
    </row>
    <row r="2913" spans="1:2">
      <c r="A2913" s="117">
        <v>36467</v>
      </c>
      <c r="B2913">
        <v>9.625</v>
      </c>
    </row>
    <row r="2914" spans="1:2">
      <c r="A2914" s="117">
        <v>36468</v>
      </c>
      <c r="B2914">
        <v>9.6207999999999991</v>
      </c>
    </row>
    <row r="2915" spans="1:2">
      <c r="A2915" s="117">
        <v>36469</v>
      </c>
      <c r="B2915">
        <v>9.5551999999999992</v>
      </c>
    </row>
    <row r="2916" spans="1:2">
      <c r="A2916" s="117">
        <v>36470</v>
      </c>
      <c r="B2916">
        <v>9.4711999999999996</v>
      </c>
    </row>
    <row r="2917" spans="1:2">
      <c r="A2917" s="117">
        <v>36471</v>
      </c>
      <c r="B2917">
        <v>9.4711999999999996</v>
      </c>
    </row>
    <row r="2918" spans="1:2">
      <c r="A2918" s="117">
        <v>36472</v>
      </c>
      <c r="B2918">
        <v>9.4711999999999996</v>
      </c>
    </row>
    <row r="2919" spans="1:2">
      <c r="A2919" s="117">
        <v>36473</v>
      </c>
      <c r="B2919">
        <v>9.4518000000000004</v>
      </c>
    </row>
    <row r="2920" spans="1:2">
      <c r="A2920" s="117">
        <v>36474</v>
      </c>
      <c r="B2920">
        <v>9.4571000000000005</v>
      </c>
    </row>
    <row r="2921" spans="1:2">
      <c r="A2921" s="117">
        <v>36475</v>
      </c>
      <c r="B2921">
        <v>9.4158000000000008</v>
      </c>
    </row>
    <row r="2922" spans="1:2">
      <c r="A2922" s="117">
        <v>36476</v>
      </c>
      <c r="B2922">
        <v>9.4125999999999994</v>
      </c>
    </row>
    <row r="2923" spans="1:2">
      <c r="A2923" s="117">
        <v>36477</v>
      </c>
      <c r="B2923">
        <v>9.3856999999999999</v>
      </c>
    </row>
    <row r="2924" spans="1:2">
      <c r="A2924" s="117">
        <v>36478</v>
      </c>
      <c r="B2924">
        <v>9.3856999999999999</v>
      </c>
    </row>
    <row r="2925" spans="1:2">
      <c r="A2925" s="117">
        <v>36479</v>
      </c>
      <c r="B2925">
        <v>9.3856999999999999</v>
      </c>
    </row>
    <row r="2926" spans="1:2">
      <c r="A2926" s="117">
        <v>36480</v>
      </c>
      <c r="B2926">
        <v>9.3787000000000003</v>
      </c>
    </row>
    <row r="2927" spans="1:2">
      <c r="A2927" s="117">
        <v>36481</v>
      </c>
      <c r="B2927">
        <v>9.3684999999999992</v>
      </c>
    </row>
    <row r="2928" spans="1:2">
      <c r="A2928" s="117">
        <v>36482</v>
      </c>
      <c r="B2928">
        <v>9.4017999999999997</v>
      </c>
    </row>
    <row r="2929" spans="1:2">
      <c r="A2929" s="117">
        <v>36483</v>
      </c>
      <c r="B2929">
        <v>9.3549000000000007</v>
      </c>
    </row>
    <row r="2930" spans="1:2">
      <c r="A2930" s="117">
        <v>36484</v>
      </c>
      <c r="B2930">
        <v>9.3460000000000001</v>
      </c>
    </row>
    <row r="2931" spans="1:2">
      <c r="A2931" s="117">
        <v>36485</v>
      </c>
      <c r="B2931">
        <v>9.3460000000000001</v>
      </c>
    </row>
    <row r="2932" spans="1:2">
      <c r="A2932" s="117">
        <v>36486</v>
      </c>
      <c r="B2932">
        <v>9.3460000000000001</v>
      </c>
    </row>
    <row r="2933" spans="1:2">
      <c r="A2933" s="117">
        <v>36487</v>
      </c>
      <c r="B2933">
        <v>9.3287999999999993</v>
      </c>
    </row>
    <row r="2934" spans="1:2">
      <c r="A2934" s="117">
        <v>36488</v>
      </c>
      <c r="B2934">
        <v>9.3190000000000008</v>
      </c>
    </row>
    <row r="2935" spans="1:2">
      <c r="A2935" s="117">
        <v>36489</v>
      </c>
      <c r="B2935">
        <v>9.3323999999999998</v>
      </c>
    </row>
    <row r="2936" spans="1:2">
      <c r="A2936" s="117">
        <v>36490</v>
      </c>
      <c r="B2936">
        <v>9.3194999999999997</v>
      </c>
    </row>
    <row r="2937" spans="1:2">
      <c r="A2937" s="117">
        <v>36491</v>
      </c>
      <c r="B2937">
        <v>9.2944999999999993</v>
      </c>
    </row>
    <row r="2938" spans="1:2">
      <c r="A2938" s="117">
        <v>36492</v>
      </c>
      <c r="B2938">
        <v>9.2944999999999993</v>
      </c>
    </row>
    <row r="2939" spans="1:2">
      <c r="A2939" s="117">
        <v>36493</v>
      </c>
      <c r="B2939">
        <v>9.2944999999999993</v>
      </c>
    </row>
    <row r="2940" spans="1:2">
      <c r="A2940" s="117">
        <v>36494</v>
      </c>
      <c r="B2940">
        <v>9.3550000000000004</v>
      </c>
    </row>
    <row r="2941" spans="1:2">
      <c r="A2941" s="117">
        <v>36495</v>
      </c>
      <c r="B2941">
        <v>9.3736999999999995</v>
      </c>
    </row>
    <row r="2942" spans="1:2">
      <c r="A2942" s="117">
        <v>36496</v>
      </c>
      <c r="B2942">
        <v>9.4320000000000004</v>
      </c>
    </row>
    <row r="2943" spans="1:2">
      <c r="A2943" s="117">
        <v>36497</v>
      </c>
      <c r="B2943">
        <v>9.4682999999999993</v>
      </c>
    </row>
    <row r="2944" spans="1:2">
      <c r="A2944" s="117">
        <v>36498</v>
      </c>
      <c r="B2944">
        <v>9.5326000000000004</v>
      </c>
    </row>
    <row r="2945" spans="1:2">
      <c r="A2945" s="117">
        <v>36499</v>
      </c>
      <c r="B2945">
        <v>9.5326000000000004</v>
      </c>
    </row>
    <row r="2946" spans="1:2">
      <c r="A2946" s="117">
        <v>36500</v>
      </c>
      <c r="B2946">
        <v>9.5326000000000004</v>
      </c>
    </row>
    <row r="2947" spans="1:2">
      <c r="A2947" s="117">
        <v>36501</v>
      </c>
      <c r="B2947">
        <v>9.4941999999999993</v>
      </c>
    </row>
    <row r="2948" spans="1:2">
      <c r="A2948" s="117">
        <v>36502</v>
      </c>
      <c r="B2948">
        <v>9.4562000000000008</v>
      </c>
    </row>
    <row r="2949" spans="1:2">
      <c r="A2949" s="117">
        <v>36503</v>
      </c>
      <c r="B2949">
        <v>9.4415999999999993</v>
      </c>
    </row>
    <row r="2950" spans="1:2">
      <c r="A2950" s="117">
        <v>36504</v>
      </c>
      <c r="B2950">
        <v>9.4755000000000003</v>
      </c>
    </row>
    <row r="2951" spans="1:2">
      <c r="A2951" s="117">
        <v>36505</v>
      </c>
      <c r="B2951">
        <v>9.4288000000000007</v>
      </c>
    </row>
    <row r="2952" spans="1:2">
      <c r="A2952" s="117">
        <v>36506</v>
      </c>
      <c r="B2952">
        <v>9.4288000000000007</v>
      </c>
    </row>
    <row r="2953" spans="1:2">
      <c r="A2953" s="117">
        <v>36507</v>
      </c>
      <c r="B2953">
        <v>9.4288000000000007</v>
      </c>
    </row>
    <row r="2954" spans="1:2">
      <c r="A2954" s="117">
        <v>36508</v>
      </c>
      <c r="B2954">
        <v>9.4143000000000008</v>
      </c>
    </row>
    <row r="2955" spans="1:2">
      <c r="A2955" s="117">
        <v>36509</v>
      </c>
      <c r="B2955">
        <v>9.4143000000000008</v>
      </c>
    </row>
    <row r="2956" spans="1:2">
      <c r="A2956" s="117">
        <v>36510</v>
      </c>
      <c r="B2956">
        <v>9.4109999999999996</v>
      </c>
    </row>
    <row r="2957" spans="1:2">
      <c r="A2957" s="117">
        <v>36511</v>
      </c>
      <c r="B2957">
        <v>9.3789999999999996</v>
      </c>
    </row>
    <row r="2958" spans="1:2">
      <c r="A2958" s="117">
        <v>36512</v>
      </c>
      <c r="B2958">
        <v>9.3577999999999992</v>
      </c>
    </row>
    <row r="2959" spans="1:2">
      <c r="A2959" s="117">
        <v>36513</v>
      </c>
      <c r="B2959">
        <v>9.3577999999999992</v>
      </c>
    </row>
    <row r="2960" spans="1:2">
      <c r="A2960" s="117">
        <v>36514</v>
      </c>
      <c r="B2960">
        <v>9.3577999999999992</v>
      </c>
    </row>
    <row r="2961" spans="1:2">
      <c r="A2961" s="117">
        <v>36515</v>
      </c>
      <c r="B2961">
        <v>9.3298000000000005</v>
      </c>
    </row>
    <row r="2962" spans="1:2">
      <c r="A2962" s="117">
        <v>36516</v>
      </c>
      <c r="B2962">
        <v>9.3338000000000001</v>
      </c>
    </row>
    <row r="2963" spans="1:2">
      <c r="A2963" s="117">
        <v>36517</v>
      </c>
      <c r="B2963">
        <v>9.3141999999999996</v>
      </c>
    </row>
    <row r="2964" spans="1:2">
      <c r="A2964" s="117">
        <v>36518</v>
      </c>
      <c r="B2964">
        <v>9.3094999999999999</v>
      </c>
    </row>
    <row r="2965" spans="1:2">
      <c r="A2965" s="117">
        <v>36519</v>
      </c>
      <c r="B2965">
        <v>9.3695000000000004</v>
      </c>
    </row>
    <row r="2966" spans="1:2">
      <c r="A2966" s="117">
        <v>36520</v>
      </c>
      <c r="B2966">
        <v>9.3695000000000004</v>
      </c>
    </row>
    <row r="2967" spans="1:2">
      <c r="A2967" s="117">
        <v>36521</v>
      </c>
      <c r="B2967">
        <v>9.3695000000000004</v>
      </c>
    </row>
    <row r="2968" spans="1:2">
      <c r="A2968" s="117">
        <v>36522</v>
      </c>
      <c r="B2968">
        <v>9.4187999999999992</v>
      </c>
    </row>
    <row r="2969" spans="1:2">
      <c r="A2969" s="117">
        <v>36523</v>
      </c>
      <c r="B2969">
        <v>9.4632000000000005</v>
      </c>
    </row>
    <row r="2970" spans="1:2">
      <c r="A2970" s="117">
        <v>36524</v>
      </c>
      <c r="B2970">
        <v>9.5143000000000004</v>
      </c>
    </row>
    <row r="2971" spans="1:2">
      <c r="A2971" s="117">
        <v>36525</v>
      </c>
      <c r="B2971">
        <v>9.5221999999999998</v>
      </c>
    </row>
    <row r="2972" spans="1:2">
      <c r="A2972" s="117">
        <v>36526</v>
      </c>
      <c r="B2972">
        <v>9.5221999999999998</v>
      </c>
    </row>
    <row r="2973" spans="1:2">
      <c r="A2973" s="117">
        <v>36527</v>
      </c>
      <c r="B2973">
        <v>9.5221999999999998</v>
      </c>
    </row>
    <row r="2974" spans="1:2">
      <c r="A2974" s="117">
        <v>36528</v>
      </c>
      <c r="B2974">
        <v>9.5221999999999998</v>
      </c>
    </row>
    <row r="2975" spans="1:2">
      <c r="A2975" s="117">
        <v>36529</v>
      </c>
      <c r="B2975">
        <v>9.4985999999999997</v>
      </c>
    </row>
    <row r="2976" spans="1:2">
      <c r="A2976" s="117">
        <v>36530</v>
      </c>
      <c r="B2976">
        <v>9.3948999999999998</v>
      </c>
    </row>
    <row r="2977" spans="1:2">
      <c r="A2977" s="117">
        <v>36531</v>
      </c>
      <c r="B2977">
        <v>9.4564000000000004</v>
      </c>
    </row>
    <row r="2978" spans="1:2">
      <c r="A2978" s="117">
        <v>36532</v>
      </c>
      <c r="B2978">
        <v>9.5455000000000005</v>
      </c>
    </row>
    <row r="2979" spans="1:2">
      <c r="A2979" s="117">
        <v>36533</v>
      </c>
      <c r="B2979">
        <v>9.5704999999999991</v>
      </c>
    </row>
    <row r="2980" spans="1:2">
      <c r="A2980" s="117">
        <v>36534</v>
      </c>
      <c r="B2980">
        <v>9.5704999999999991</v>
      </c>
    </row>
    <row r="2981" spans="1:2">
      <c r="A2981" s="117">
        <v>36535</v>
      </c>
      <c r="B2981">
        <v>9.5704999999999991</v>
      </c>
    </row>
    <row r="2982" spans="1:2">
      <c r="A2982" s="117">
        <v>36536</v>
      </c>
      <c r="B2982">
        <v>9.5150000000000006</v>
      </c>
    </row>
    <row r="2983" spans="1:2">
      <c r="A2983" s="117">
        <v>36537</v>
      </c>
      <c r="B2983">
        <v>9.4464000000000006</v>
      </c>
    </row>
    <row r="2984" spans="1:2">
      <c r="A2984" s="117">
        <v>36538</v>
      </c>
      <c r="B2984">
        <v>9.4779999999999998</v>
      </c>
    </row>
    <row r="2985" spans="1:2">
      <c r="A2985" s="117">
        <v>36539</v>
      </c>
      <c r="B2985">
        <v>9.5351999999999997</v>
      </c>
    </row>
    <row r="2986" spans="1:2">
      <c r="A2986" s="117">
        <v>36540</v>
      </c>
      <c r="B2986">
        <v>9.5056999999999992</v>
      </c>
    </row>
    <row r="2987" spans="1:2">
      <c r="A2987" s="117">
        <v>36541</v>
      </c>
      <c r="B2987">
        <v>9.5056999999999992</v>
      </c>
    </row>
    <row r="2988" spans="1:2">
      <c r="A2988" s="117">
        <v>36542</v>
      </c>
      <c r="B2988">
        <v>9.5056999999999992</v>
      </c>
    </row>
    <row r="2989" spans="1:2">
      <c r="A2989" s="117">
        <v>36543</v>
      </c>
      <c r="B2989">
        <v>9.4482999999999997</v>
      </c>
    </row>
    <row r="2990" spans="1:2">
      <c r="A2990" s="117">
        <v>36544</v>
      </c>
      <c r="B2990">
        <v>9.4171999999999993</v>
      </c>
    </row>
    <row r="2991" spans="1:2">
      <c r="A2991" s="117">
        <v>36545</v>
      </c>
      <c r="B2991">
        <v>9.4382999999999999</v>
      </c>
    </row>
    <row r="2992" spans="1:2">
      <c r="A2992" s="117">
        <v>36546</v>
      </c>
      <c r="B2992">
        <v>9.4085999999999999</v>
      </c>
    </row>
    <row r="2993" spans="1:2">
      <c r="A2993" s="117">
        <v>36547</v>
      </c>
      <c r="B2993">
        <v>9.4038000000000004</v>
      </c>
    </row>
    <row r="2994" spans="1:2">
      <c r="A2994" s="117">
        <v>36548</v>
      </c>
      <c r="B2994">
        <v>9.4038000000000004</v>
      </c>
    </row>
    <row r="2995" spans="1:2">
      <c r="A2995" s="117">
        <v>36549</v>
      </c>
      <c r="B2995">
        <v>9.4038000000000004</v>
      </c>
    </row>
    <row r="2996" spans="1:2">
      <c r="A2996" s="117">
        <v>36550</v>
      </c>
      <c r="B2996">
        <v>9.4463000000000008</v>
      </c>
    </row>
    <row r="2997" spans="1:2">
      <c r="A2997" s="117">
        <v>36551</v>
      </c>
      <c r="B2997">
        <v>9.4838000000000005</v>
      </c>
    </row>
    <row r="2998" spans="1:2">
      <c r="A2998" s="117">
        <v>36552</v>
      </c>
      <c r="B2998">
        <v>9.5288000000000004</v>
      </c>
    </row>
    <row r="2999" spans="1:2">
      <c r="A2999" s="117">
        <v>36553</v>
      </c>
      <c r="B2999">
        <v>9.5103000000000009</v>
      </c>
    </row>
    <row r="3000" spans="1:2">
      <c r="A3000" s="117">
        <v>36554</v>
      </c>
      <c r="B3000">
        <v>9.5122999999999998</v>
      </c>
    </row>
    <row r="3001" spans="1:2">
      <c r="A3001" s="117">
        <v>36555</v>
      </c>
      <c r="B3001">
        <v>9.5122999999999998</v>
      </c>
    </row>
    <row r="3002" spans="1:2">
      <c r="A3002" s="117">
        <v>36556</v>
      </c>
      <c r="B3002">
        <v>9.5122999999999998</v>
      </c>
    </row>
    <row r="3003" spans="1:2">
      <c r="A3003" s="117">
        <v>36557</v>
      </c>
      <c r="B3003">
        <v>9.5726999999999993</v>
      </c>
    </row>
    <row r="3004" spans="1:2">
      <c r="A3004" s="117">
        <v>36558</v>
      </c>
      <c r="B3004">
        <v>9.6252999999999993</v>
      </c>
    </row>
    <row r="3005" spans="1:2">
      <c r="A3005" s="117">
        <v>36559</v>
      </c>
      <c r="B3005">
        <v>9.5955999999999992</v>
      </c>
    </row>
    <row r="3006" spans="1:2">
      <c r="A3006" s="117">
        <v>36560</v>
      </c>
      <c r="B3006">
        <v>9.5724</v>
      </c>
    </row>
    <row r="3007" spans="1:2">
      <c r="A3007" s="117">
        <v>36561</v>
      </c>
      <c r="B3007">
        <v>9.5010999999999992</v>
      </c>
    </row>
    <row r="3008" spans="1:2">
      <c r="A3008" s="117">
        <v>36562</v>
      </c>
      <c r="B3008">
        <v>9.5010999999999992</v>
      </c>
    </row>
    <row r="3009" spans="1:2">
      <c r="A3009" s="117">
        <v>36563</v>
      </c>
      <c r="B3009">
        <v>9.5010999999999992</v>
      </c>
    </row>
    <row r="3010" spans="1:2">
      <c r="A3010" s="117">
        <v>36564</v>
      </c>
      <c r="B3010">
        <v>9.4802999999999997</v>
      </c>
    </row>
    <row r="3011" spans="1:2">
      <c r="A3011" s="117">
        <v>36565</v>
      </c>
      <c r="B3011">
        <v>9.4327000000000005</v>
      </c>
    </row>
    <row r="3012" spans="1:2">
      <c r="A3012" s="117">
        <v>36566</v>
      </c>
      <c r="B3012">
        <v>9.4017999999999997</v>
      </c>
    </row>
    <row r="3013" spans="1:2">
      <c r="A3013" s="117">
        <v>36567</v>
      </c>
      <c r="B3013">
        <v>9.3998000000000008</v>
      </c>
    </row>
    <row r="3014" spans="1:2">
      <c r="A3014" s="117">
        <v>36568</v>
      </c>
      <c r="B3014">
        <v>9.4347999999999992</v>
      </c>
    </row>
    <row r="3015" spans="1:2">
      <c r="A3015" s="117">
        <v>36569</v>
      </c>
      <c r="B3015">
        <v>9.4347999999999992</v>
      </c>
    </row>
    <row r="3016" spans="1:2">
      <c r="A3016" s="117">
        <v>36570</v>
      </c>
      <c r="B3016">
        <v>9.4347999999999992</v>
      </c>
    </row>
    <row r="3017" spans="1:2">
      <c r="A3017" s="117">
        <v>36571</v>
      </c>
      <c r="B3017">
        <v>9.4212000000000007</v>
      </c>
    </row>
    <row r="3018" spans="1:2">
      <c r="A3018" s="117">
        <v>36572</v>
      </c>
      <c r="B3018">
        <v>9.3987999999999996</v>
      </c>
    </row>
    <row r="3019" spans="1:2">
      <c r="A3019" s="117">
        <v>36573</v>
      </c>
      <c r="B3019">
        <v>9.3879999999999999</v>
      </c>
    </row>
    <row r="3020" spans="1:2">
      <c r="A3020" s="117">
        <v>36574</v>
      </c>
      <c r="B3020">
        <v>9.3710000000000004</v>
      </c>
    </row>
    <row r="3021" spans="1:2">
      <c r="A3021" s="117">
        <v>36575</v>
      </c>
      <c r="B3021">
        <v>9.3904999999999994</v>
      </c>
    </row>
    <row r="3022" spans="1:2">
      <c r="A3022" s="117">
        <v>36576</v>
      </c>
      <c r="B3022">
        <v>9.3904999999999994</v>
      </c>
    </row>
    <row r="3023" spans="1:2">
      <c r="A3023" s="117">
        <v>36577</v>
      </c>
      <c r="B3023">
        <v>9.3904999999999994</v>
      </c>
    </row>
    <row r="3024" spans="1:2">
      <c r="A3024" s="117">
        <v>36578</v>
      </c>
      <c r="B3024">
        <v>9.3591999999999995</v>
      </c>
    </row>
    <row r="3025" spans="1:2">
      <c r="A3025" s="117">
        <v>36579</v>
      </c>
      <c r="B3025">
        <v>9.4108000000000001</v>
      </c>
    </row>
    <row r="3026" spans="1:2">
      <c r="A3026" s="117">
        <v>36580</v>
      </c>
      <c r="B3026">
        <v>9.4395000000000007</v>
      </c>
    </row>
    <row r="3027" spans="1:2">
      <c r="A3027" s="117">
        <v>36581</v>
      </c>
      <c r="B3027">
        <v>9.4067000000000007</v>
      </c>
    </row>
    <row r="3028" spans="1:2">
      <c r="A3028" s="117">
        <v>36582</v>
      </c>
      <c r="B3028">
        <v>9.3797999999999995</v>
      </c>
    </row>
    <row r="3029" spans="1:2">
      <c r="A3029" s="117">
        <v>36583</v>
      </c>
      <c r="B3029">
        <v>9.3797999999999995</v>
      </c>
    </row>
    <row r="3030" spans="1:2">
      <c r="A3030" s="117">
        <v>36584</v>
      </c>
      <c r="B3030">
        <v>9.3797999999999995</v>
      </c>
    </row>
    <row r="3031" spans="1:2">
      <c r="A3031" s="117">
        <v>36585</v>
      </c>
      <c r="B3031">
        <v>9.3748000000000005</v>
      </c>
    </row>
    <row r="3032" spans="1:2">
      <c r="A3032" s="117">
        <v>36586</v>
      </c>
      <c r="B3032">
        <v>9.4032999999999998</v>
      </c>
    </row>
    <row r="3033" spans="1:2">
      <c r="A3033" s="117">
        <v>36587</v>
      </c>
      <c r="B3033">
        <v>9.3661999999999992</v>
      </c>
    </row>
    <row r="3034" spans="1:2">
      <c r="A3034" s="117">
        <v>36588</v>
      </c>
      <c r="B3034">
        <v>9.3633000000000006</v>
      </c>
    </row>
    <row r="3035" spans="1:2">
      <c r="A3035" s="117">
        <v>36589</v>
      </c>
      <c r="B3035">
        <v>9.3382000000000005</v>
      </c>
    </row>
    <row r="3036" spans="1:2">
      <c r="A3036" s="117">
        <v>36590</v>
      </c>
      <c r="B3036">
        <v>9.3382000000000005</v>
      </c>
    </row>
    <row r="3037" spans="1:2">
      <c r="A3037" s="117">
        <v>36591</v>
      </c>
      <c r="B3037">
        <v>9.3382000000000005</v>
      </c>
    </row>
    <row r="3038" spans="1:2">
      <c r="A3038" s="117">
        <v>36592</v>
      </c>
      <c r="B3038">
        <v>9.3115000000000006</v>
      </c>
    </row>
    <row r="3039" spans="1:2">
      <c r="A3039" s="117">
        <v>36593</v>
      </c>
      <c r="B3039">
        <v>9.3215000000000003</v>
      </c>
    </row>
    <row r="3040" spans="1:2">
      <c r="A3040" s="117">
        <v>36594</v>
      </c>
      <c r="B3040">
        <v>9.3009000000000004</v>
      </c>
    </row>
    <row r="3041" spans="1:2">
      <c r="A3041" s="117">
        <v>36595</v>
      </c>
      <c r="B3041">
        <v>9.2661999999999995</v>
      </c>
    </row>
    <row r="3042" spans="1:2">
      <c r="A3042" s="117">
        <v>36596</v>
      </c>
      <c r="B3042">
        <v>9.2836999999999996</v>
      </c>
    </row>
    <row r="3043" spans="1:2">
      <c r="A3043" s="117">
        <v>36597</v>
      </c>
      <c r="B3043">
        <v>9.2836999999999996</v>
      </c>
    </row>
    <row r="3044" spans="1:2">
      <c r="A3044" s="117">
        <v>36598</v>
      </c>
      <c r="B3044">
        <v>9.2836999999999996</v>
      </c>
    </row>
    <row r="3045" spans="1:2">
      <c r="A3045" s="117">
        <v>36599</v>
      </c>
      <c r="B3045">
        <v>9.3125</v>
      </c>
    </row>
    <row r="3046" spans="1:2">
      <c r="A3046" s="117">
        <v>36600</v>
      </c>
      <c r="B3046">
        <v>9.3338000000000001</v>
      </c>
    </row>
    <row r="3047" spans="1:2">
      <c r="A3047" s="117">
        <v>36601</v>
      </c>
      <c r="B3047">
        <v>9.3126999999999995</v>
      </c>
    </row>
    <row r="3048" spans="1:2">
      <c r="A3048" s="117">
        <v>36602</v>
      </c>
      <c r="B3048">
        <v>9.3436000000000003</v>
      </c>
    </row>
    <row r="3049" spans="1:2">
      <c r="A3049" s="117">
        <v>36603</v>
      </c>
      <c r="B3049">
        <v>9.3224</v>
      </c>
    </row>
    <row r="3050" spans="1:2">
      <c r="A3050" s="117">
        <v>36604</v>
      </c>
      <c r="B3050">
        <v>9.3224</v>
      </c>
    </row>
    <row r="3051" spans="1:2">
      <c r="A3051" s="117">
        <v>36605</v>
      </c>
      <c r="B3051">
        <v>9.3224</v>
      </c>
    </row>
    <row r="3052" spans="1:2">
      <c r="A3052" s="117">
        <v>36606</v>
      </c>
      <c r="B3052">
        <v>9.3254999999999999</v>
      </c>
    </row>
    <row r="3053" spans="1:2">
      <c r="A3053" s="117">
        <v>36607</v>
      </c>
      <c r="B3053">
        <v>9.3254999999999999</v>
      </c>
    </row>
    <row r="3054" spans="1:2">
      <c r="A3054" s="117">
        <v>36608</v>
      </c>
      <c r="B3054">
        <v>9.3185000000000002</v>
      </c>
    </row>
    <row r="3055" spans="1:2">
      <c r="A3055" s="117">
        <v>36609</v>
      </c>
      <c r="B3055">
        <v>9.2765000000000004</v>
      </c>
    </row>
    <row r="3056" spans="1:2">
      <c r="A3056" s="117">
        <v>36610</v>
      </c>
      <c r="B3056">
        <v>9.2398000000000007</v>
      </c>
    </row>
    <row r="3057" spans="1:2">
      <c r="A3057" s="117">
        <v>36611</v>
      </c>
      <c r="B3057">
        <v>9.2398000000000007</v>
      </c>
    </row>
    <row r="3058" spans="1:2">
      <c r="A3058" s="117">
        <v>36612</v>
      </c>
      <c r="B3058">
        <v>9.2398000000000007</v>
      </c>
    </row>
    <row r="3059" spans="1:2">
      <c r="A3059" s="117">
        <v>36613</v>
      </c>
      <c r="B3059">
        <v>9.1712000000000007</v>
      </c>
    </row>
    <row r="3060" spans="1:2">
      <c r="A3060" s="117">
        <v>36614</v>
      </c>
      <c r="B3060">
        <v>9.1775000000000002</v>
      </c>
    </row>
    <row r="3061" spans="1:2">
      <c r="A3061" s="117">
        <v>36615</v>
      </c>
      <c r="B3061">
        <v>9.1882999999999999</v>
      </c>
    </row>
    <row r="3062" spans="1:2">
      <c r="A3062" s="117">
        <v>36616</v>
      </c>
      <c r="B3062">
        <v>9.2331000000000003</v>
      </c>
    </row>
    <row r="3063" spans="1:2">
      <c r="A3063" s="117">
        <v>36617</v>
      </c>
      <c r="B3063">
        <v>9.3015000000000008</v>
      </c>
    </row>
    <row r="3064" spans="1:2">
      <c r="A3064" s="117">
        <v>36618</v>
      </c>
      <c r="B3064">
        <v>9.3015000000000008</v>
      </c>
    </row>
    <row r="3065" spans="1:2">
      <c r="A3065" s="117">
        <v>36619</v>
      </c>
      <c r="B3065">
        <v>9.3015000000000008</v>
      </c>
    </row>
    <row r="3066" spans="1:2">
      <c r="A3066" s="117">
        <v>36620</v>
      </c>
      <c r="B3066">
        <v>9.2844999999999995</v>
      </c>
    </row>
    <row r="3067" spans="1:2">
      <c r="A3067" s="117">
        <v>36621</v>
      </c>
      <c r="B3067">
        <v>9.2760999999999996</v>
      </c>
    </row>
    <row r="3068" spans="1:2">
      <c r="A3068" s="117">
        <v>36622</v>
      </c>
      <c r="B3068">
        <v>9.2878000000000007</v>
      </c>
    </row>
    <row r="3069" spans="1:2">
      <c r="A3069" s="117">
        <v>36623</v>
      </c>
      <c r="B3069">
        <v>9.3834999999999997</v>
      </c>
    </row>
    <row r="3070" spans="1:2">
      <c r="A3070" s="117">
        <v>36624</v>
      </c>
      <c r="B3070">
        <v>9.3535000000000004</v>
      </c>
    </row>
    <row r="3071" spans="1:2">
      <c r="A3071" s="117">
        <v>36625</v>
      </c>
      <c r="B3071">
        <v>9.3535000000000004</v>
      </c>
    </row>
    <row r="3072" spans="1:2">
      <c r="A3072" s="117">
        <v>36626</v>
      </c>
      <c r="B3072">
        <v>9.3535000000000004</v>
      </c>
    </row>
    <row r="3073" spans="1:2">
      <c r="A3073" s="117">
        <v>36627</v>
      </c>
      <c r="B3073">
        <v>9.3217999999999996</v>
      </c>
    </row>
    <row r="3074" spans="1:2">
      <c r="A3074" s="117">
        <v>36628</v>
      </c>
      <c r="B3074">
        <v>9.2867999999999995</v>
      </c>
    </row>
    <row r="3075" spans="1:2">
      <c r="A3075" s="117">
        <v>36629</v>
      </c>
      <c r="B3075">
        <v>9.3917999999999999</v>
      </c>
    </row>
    <row r="3076" spans="1:2">
      <c r="A3076" s="117">
        <v>36630</v>
      </c>
      <c r="B3076">
        <v>9.3964999999999996</v>
      </c>
    </row>
    <row r="3077" spans="1:2">
      <c r="A3077" s="117">
        <v>36631</v>
      </c>
      <c r="B3077">
        <v>9.3987999999999996</v>
      </c>
    </row>
    <row r="3078" spans="1:2">
      <c r="A3078" s="117">
        <v>36632</v>
      </c>
      <c r="B3078">
        <v>9.3987999999999996</v>
      </c>
    </row>
    <row r="3079" spans="1:2">
      <c r="A3079" s="117">
        <v>36633</v>
      </c>
      <c r="B3079">
        <v>9.3987999999999996</v>
      </c>
    </row>
    <row r="3080" spans="1:2">
      <c r="A3080" s="117">
        <v>36634</v>
      </c>
      <c r="B3080">
        <v>9.4841999999999995</v>
      </c>
    </row>
    <row r="3081" spans="1:2">
      <c r="A3081" s="117">
        <v>36635</v>
      </c>
      <c r="B3081">
        <v>9.4882000000000009</v>
      </c>
    </row>
    <row r="3082" spans="1:2">
      <c r="A3082" s="117">
        <v>36636</v>
      </c>
      <c r="B3082">
        <v>9.4388000000000005</v>
      </c>
    </row>
    <row r="3083" spans="1:2">
      <c r="A3083" s="117">
        <v>36637</v>
      </c>
      <c r="B3083">
        <v>9.4388000000000005</v>
      </c>
    </row>
    <row r="3084" spans="1:2">
      <c r="A3084" s="117">
        <v>36638</v>
      </c>
      <c r="B3084">
        <v>9.4388000000000005</v>
      </c>
    </row>
    <row r="3085" spans="1:2">
      <c r="A3085" s="117">
        <v>36639</v>
      </c>
      <c r="B3085">
        <v>9.4388000000000005</v>
      </c>
    </row>
    <row r="3086" spans="1:2">
      <c r="A3086" s="117">
        <v>36640</v>
      </c>
      <c r="B3086">
        <v>9.4388000000000005</v>
      </c>
    </row>
    <row r="3087" spans="1:2">
      <c r="A3087" s="117">
        <v>36641</v>
      </c>
      <c r="B3087">
        <v>9.3939000000000004</v>
      </c>
    </row>
    <row r="3088" spans="1:2">
      <c r="A3088" s="117">
        <v>36642</v>
      </c>
      <c r="B3088">
        <v>9.4443000000000001</v>
      </c>
    </row>
    <row r="3089" spans="1:2">
      <c r="A3089" s="117">
        <v>36643</v>
      </c>
      <c r="B3089">
        <v>9.4077999999999999</v>
      </c>
    </row>
    <row r="3090" spans="1:2">
      <c r="A3090" s="117">
        <v>36644</v>
      </c>
      <c r="B3090">
        <v>9.4072999999999993</v>
      </c>
    </row>
    <row r="3091" spans="1:2">
      <c r="A3091" s="117">
        <v>36645</v>
      </c>
      <c r="B3091">
        <v>9.4520999999999997</v>
      </c>
    </row>
    <row r="3092" spans="1:2">
      <c r="A3092" s="117">
        <v>36646</v>
      </c>
      <c r="B3092">
        <v>9.4520999999999997</v>
      </c>
    </row>
    <row r="3093" spans="1:2">
      <c r="A3093" s="117">
        <v>36647</v>
      </c>
      <c r="B3093">
        <v>9.4520999999999997</v>
      </c>
    </row>
    <row r="3094" spans="1:2">
      <c r="A3094" s="117">
        <v>36648</v>
      </c>
      <c r="B3094">
        <v>9.4520999999999997</v>
      </c>
    </row>
    <row r="3095" spans="1:2">
      <c r="A3095" s="117">
        <v>36649</v>
      </c>
      <c r="B3095">
        <v>9.4126999999999992</v>
      </c>
    </row>
    <row r="3096" spans="1:2">
      <c r="A3096" s="117">
        <v>36650</v>
      </c>
      <c r="B3096">
        <v>9.3374000000000006</v>
      </c>
    </row>
    <row r="3097" spans="1:2">
      <c r="A3097" s="117">
        <v>36651</v>
      </c>
      <c r="B3097">
        <v>9.3848000000000003</v>
      </c>
    </row>
    <row r="3098" spans="1:2">
      <c r="A3098" s="117">
        <v>36652</v>
      </c>
      <c r="B3098">
        <v>9.3848000000000003</v>
      </c>
    </row>
    <row r="3099" spans="1:2">
      <c r="A3099" s="117">
        <v>36653</v>
      </c>
      <c r="B3099">
        <v>9.3848000000000003</v>
      </c>
    </row>
    <row r="3100" spans="1:2">
      <c r="A3100" s="117">
        <v>36654</v>
      </c>
      <c r="B3100">
        <v>9.3848000000000003</v>
      </c>
    </row>
    <row r="3101" spans="1:2">
      <c r="A3101" s="117">
        <v>36655</v>
      </c>
      <c r="B3101">
        <v>9.3927999999999994</v>
      </c>
    </row>
    <row r="3102" spans="1:2">
      <c r="A3102" s="117">
        <v>36656</v>
      </c>
      <c r="B3102">
        <v>9.4917999999999996</v>
      </c>
    </row>
    <row r="3103" spans="1:2">
      <c r="A3103" s="117">
        <v>36657</v>
      </c>
      <c r="B3103">
        <v>9.4855</v>
      </c>
    </row>
    <row r="3104" spans="1:2">
      <c r="A3104" s="117">
        <v>36658</v>
      </c>
      <c r="B3104">
        <v>9.5701999999999998</v>
      </c>
    </row>
    <row r="3105" spans="1:2">
      <c r="A3105" s="117">
        <v>36659</v>
      </c>
      <c r="B3105">
        <v>9.5768000000000004</v>
      </c>
    </row>
    <row r="3106" spans="1:2">
      <c r="A3106" s="117">
        <v>36660</v>
      </c>
      <c r="B3106">
        <v>9.5768000000000004</v>
      </c>
    </row>
    <row r="3107" spans="1:2">
      <c r="A3107" s="117">
        <v>36661</v>
      </c>
      <c r="B3107">
        <v>9.5768000000000004</v>
      </c>
    </row>
    <row r="3108" spans="1:2">
      <c r="A3108" s="117">
        <v>36662</v>
      </c>
      <c r="B3108">
        <v>9.5661000000000005</v>
      </c>
    </row>
    <row r="3109" spans="1:2">
      <c r="A3109" s="117">
        <v>36663</v>
      </c>
      <c r="B3109">
        <v>9.5820000000000007</v>
      </c>
    </row>
    <row r="3110" spans="1:2">
      <c r="A3110" s="117">
        <v>36664</v>
      </c>
      <c r="B3110">
        <v>9.5088000000000008</v>
      </c>
    </row>
    <row r="3111" spans="1:2">
      <c r="A3111" s="117">
        <v>36665</v>
      </c>
      <c r="B3111">
        <v>9.5450999999999997</v>
      </c>
    </row>
    <row r="3112" spans="1:2">
      <c r="A3112" s="117">
        <v>36666</v>
      </c>
      <c r="B3112">
        <v>9.5751000000000008</v>
      </c>
    </row>
    <row r="3113" spans="1:2">
      <c r="A3113" s="117">
        <v>36667</v>
      </c>
      <c r="B3113">
        <v>9.5751000000000008</v>
      </c>
    </row>
    <row r="3114" spans="1:2">
      <c r="A3114" s="117">
        <v>36668</v>
      </c>
      <c r="B3114">
        <v>9.5751000000000008</v>
      </c>
    </row>
    <row r="3115" spans="1:2">
      <c r="A3115" s="117">
        <v>36669</v>
      </c>
      <c r="B3115">
        <v>9.6150000000000002</v>
      </c>
    </row>
    <row r="3116" spans="1:2">
      <c r="A3116" s="117">
        <v>36670</v>
      </c>
      <c r="B3116">
        <v>9.5777999999999999</v>
      </c>
    </row>
    <row r="3117" spans="1:2">
      <c r="A3117" s="117">
        <v>36671</v>
      </c>
      <c r="B3117">
        <v>9.5090000000000003</v>
      </c>
    </row>
    <row r="3118" spans="1:2">
      <c r="A3118" s="117">
        <v>36672</v>
      </c>
      <c r="B3118">
        <v>9.5327999999999999</v>
      </c>
    </row>
    <row r="3119" spans="1:2">
      <c r="A3119" s="117">
        <v>36673</v>
      </c>
      <c r="B3119">
        <v>9.4939999999999998</v>
      </c>
    </row>
    <row r="3120" spans="1:2">
      <c r="A3120" s="117">
        <v>36674</v>
      </c>
      <c r="B3120">
        <v>9.4939999999999998</v>
      </c>
    </row>
    <row r="3121" spans="1:2">
      <c r="A3121" s="117">
        <v>36675</v>
      </c>
      <c r="B3121">
        <v>9.4939999999999998</v>
      </c>
    </row>
    <row r="3122" spans="1:2">
      <c r="A3122" s="117">
        <v>36676</v>
      </c>
      <c r="B3122">
        <v>9.5274000000000001</v>
      </c>
    </row>
    <row r="3123" spans="1:2">
      <c r="A3123" s="117">
        <v>36677</v>
      </c>
      <c r="B3123">
        <v>9.5326000000000004</v>
      </c>
    </row>
    <row r="3124" spans="1:2">
      <c r="A3124" s="117">
        <v>36678</v>
      </c>
      <c r="B3124">
        <v>9.516</v>
      </c>
    </row>
    <row r="3125" spans="1:2">
      <c r="A3125" s="117">
        <v>36679</v>
      </c>
      <c r="B3125">
        <v>9.5109999999999992</v>
      </c>
    </row>
    <row r="3126" spans="1:2">
      <c r="A3126" s="117">
        <v>36680</v>
      </c>
      <c r="B3126">
        <v>9.4987999999999992</v>
      </c>
    </row>
    <row r="3127" spans="1:2">
      <c r="A3127" s="117">
        <v>36681</v>
      </c>
      <c r="B3127">
        <v>9.4987999999999992</v>
      </c>
    </row>
    <row r="3128" spans="1:2">
      <c r="A3128" s="117">
        <v>36682</v>
      </c>
      <c r="B3128">
        <v>9.4987999999999992</v>
      </c>
    </row>
    <row r="3129" spans="1:2">
      <c r="A3129" s="117">
        <v>36683</v>
      </c>
      <c r="B3129">
        <v>9.5460999999999991</v>
      </c>
    </row>
    <row r="3130" spans="1:2">
      <c r="A3130" s="117">
        <v>36684</v>
      </c>
      <c r="B3130">
        <v>9.5442</v>
      </c>
    </row>
    <row r="3131" spans="1:2">
      <c r="A3131" s="117">
        <v>36685</v>
      </c>
      <c r="B3131">
        <v>9.657</v>
      </c>
    </row>
    <row r="3132" spans="1:2">
      <c r="A3132" s="117">
        <v>36686</v>
      </c>
      <c r="B3132">
        <v>9.7942</v>
      </c>
    </row>
    <row r="3133" spans="1:2">
      <c r="A3133" s="117">
        <v>36687</v>
      </c>
      <c r="B3133">
        <v>9.8519000000000005</v>
      </c>
    </row>
    <row r="3134" spans="1:2">
      <c r="A3134" s="117">
        <v>36688</v>
      </c>
      <c r="B3134">
        <v>9.8519000000000005</v>
      </c>
    </row>
    <row r="3135" spans="1:2">
      <c r="A3135" s="117">
        <v>36689</v>
      </c>
      <c r="B3135">
        <v>9.8519000000000005</v>
      </c>
    </row>
    <row r="3136" spans="1:2">
      <c r="A3136" s="117">
        <v>36690</v>
      </c>
      <c r="B3136">
        <v>9.9262999999999995</v>
      </c>
    </row>
    <row r="3137" spans="1:2">
      <c r="A3137" s="117">
        <v>36691</v>
      </c>
      <c r="B3137">
        <v>9.8545999999999996</v>
      </c>
    </row>
    <row r="3138" spans="1:2">
      <c r="A3138" s="117">
        <v>36692</v>
      </c>
      <c r="B3138">
        <v>9.7645</v>
      </c>
    </row>
    <row r="3139" spans="1:2">
      <c r="A3139" s="117">
        <v>36693</v>
      </c>
      <c r="B3139">
        <v>9.7879000000000005</v>
      </c>
    </row>
    <row r="3140" spans="1:2">
      <c r="A3140" s="117">
        <v>36694</v>
      </c>
      <c r="B3140">
        <v>9.8477999999999994</v>
      </c>
    </row>
    <row r="3141" spans="1:2">
      <c r="A3141" s="117">
        <v>36695</v>
      </c>
      <c r="B3141">
        <v>9.8477999999999994</v>
      </c>
    </row>
    <row r="3142" spans="1:2">
      <c r="A3142" s="117">
        <v>36696</v>
      </c>
      <c r="B3142">
        <v>9.8477999999999994</v>
      </c>
    </row>
    <row r="3143" spans="1:2">
      <c r="A3143" s="117">
        <v>36697</v>
      </c>
      <c r="B3143">
        <v>9.9243000000000006</v>
      </c>
    </row>
    <row r="3144" spans="1:2">
      <c r="A3144" s="117">
        <v>36698</v>
      </c>
      <c r="B3144">
        <v>9.9031000000000002</v>
      </c>
    </row>
    <row r="3145" spans="1:2">
      <c r="A3145" s="117">
        <v>36699</v>
      </c>
      <c r="B3145">
        <v>9.8643999999999998</v>
      </c>
    </row>
    <row r="3146" spans="1:2">
      <c r="A3146" s="117">
        <v>36700</v>
      </c>
      <c r="B3146">
        <v>9.8567999999999998</v>
      </c>
    </row>
    <row r="3147" spans="1:2">
      <c r="A3147" s="117">
        <v>36701</v>
      </c>
      <c r="B3147">
        <v>9.8706999999999994</v>
      </c>
    </row>
    <row r="3148" spans="1:2">
      <c r="A3148" s="117">
        <v>36702</v>
      </c>
      <c r="B3148">
        <v>9.8706999999999994</v>
      </c>
    </row>
    <row r="3149" spans="1:2">
      <c r="A3149" s="117">
        <v>36703</v>
      </c>
      <c r="B3149">
        <v>9.8706999999999994</v>
      </c>
    </row>
    <row r="3150" spans="1:2">
      <c r="A3150" s="117">
        <v>36704</v>
      </c>
      <c r="B3150">
        <v>9.9804999999999993</v>
      </c>
    </row>
    <row r="3151" spans="1:2">
      <c r="A3151" s="117">
        <v>36705</v>
      </c>
      <c r="B3151">
        <v>10.0197</v>
      </c>
    </row>
    <row r="3152" spans="1:2">
      <c r="A3152" s="117">
        <v>36706</v>
      </c>
      <c r="B3152">
        <v>10.0787</v>
      </c>
    </row>
    <row r="3153" spans="1:2">
      <c r="A3153" s="117">
        <v>36707</v>
      </c>
      <c r="B3153">
        <v>9.9537999999999993</v>
      </c>
    </row>
    <row r="3154" spans="1:2">
      <c r="A3154" s="117">
        <v>36708</v>
      </c>
      <c r="B3154">
        <v>9.9002999999999997</v>
      </c>
    </row>
    <row r="3155" spans="1:2">
      <c r="A3155" s="117">
        <v>36709</v>
      </c>
      <c r="B3155">
        <v>9.9002999999999997</v>
      </c>
    </row>
    <row r="3156" spans="1:2">
      <c r="A3156" s="117">
        <v>36710</v>
      </c>
      <c r="B3156">
        <v>9.9002999999999997</v>
      </c>
    </row>
    <row r="3157" spans="1:2">
      <c r="A3157" s="117">
        <v>36711</v>
      </c>
      <c r="B3157">
        <v>9.8242999999999991</v>
      </c>
    </row>
    <row r="3158" spans="1:2">
      <c r="A3158" s="117">
        <v>36712</v>
      </c>
      <c r="B3158">
        <v>9.5460999999999991</v>
      </c>
    </row>
    <row r="3159" spans="1:2">
      <c r="A3159" s="117">
        <v>36713</v>
      </c>
      <c r="B3159">
        <v>9.4876000000000005</v>
      </c>
    </row>
    <row r="3160" spans="1:2">
      <c r="A3160" s="117">
        <v>36714</v>
      </c>
      <c r="B3160">
        <v>9.5383999999999993</v>
      </c>
    </row>
    <row r="3161" spans="1:2">
      <c r="A3161" s="117">
        <v>36715</v>
      </c>
      <c r="B3161">
        <v>9.5459999999999994</v>
      </c>
    </row>
    <row r="3162" spans="1:2">
      <c r="A3162" s="117">
        <v>36716</v>
      </c>
      <c r="B3162">
        <v>9.5459999999999994</v>
      </c>
    </row>
    <row r="3163" spans="1:2">
      <c r="A3163" s="117">
        <v>36717</v>
      </c>
      <c r="B3163">
        <v>9.5459999999999994</v>
      </c>
    </row>
    <row r="3164" spans="1:2">
      <c r="A3164" s="117">
        <v>36718</v>
      </c>
      <c r="B3164">
        <v>9.5195000000000007</v>
      </c>
    </row>
    <row r="3165" spans="1:2">
      <c r="A3165" s="117">
        <v>36719</v>
      </c>
      <c r="B3165">
        <v>9.5023</v>
      </c>
    </row>
    <row r="3166" spans="1:2">
      <c r="A3166" s="117">
        <v>36720</v>
      </c>
      <c r="B3166">
        <v>9.4280000000000008</v>
      </c>
    </row>
    <row r="3167" spans="1:2">
      <c r="A3167" s="117">
        <v>36721</v>
      </c>
      <c r="B3167">
        <v>9.4748000000000001</v>
      </c>
    </row>
    <row r="3168" spans="1:2">
      <c r="A3168" s="117">
        <v>36722</v>
      </c>
      <c r="B3168">
        <v>9.4367999999999999</v>
      </c>
    </row>
    <row r="3169" spans="1:2">
      <c r="A3169" s="117">
        <v>36723</v>
      </c>
      <c r="B3169">
        <v>9.4367999999999999</v>
      </c>
    </row>
    <row r="3170" spans="1:2">
      <c r="A3170" s="117">
        <v>36724</v>
      </c>
      <c r="B3170">
        <v>9.4367999999999999</v>
      </c>
    </row>
    <row r="3171" spans="1:2">
      <c r="A3171" s="117">
        <v>36725</v>
      </c>
      <c r="B3171">
        <v>9.4152000000000005</v>
      </c>
    </row>
    <row r="3172" spans="1:2">
      <c r="A3172" s="117">
        <v>36726</v>
      </c>
      <c r="B3172">
        <v>9.3491</v>
      </c>
    </row>
    <row r="3173" spans="1:2">
      <c r="A3173" s="117">
        <v>36727</v>
      </c>
      <c r="B3173">
        <v>9.3327000000000009</v>
      </c>
    </row>
    <row r="3174" spans="1:2">
      <c r="A3174" s="117">
        <v>36728</v>
      </c>
      <c r="B3174">
        <v>9.4117999999999995</v>
      </c>
    </row>
    <row r="3175" spans="1:2">
      <c r="A3175" s="117">
        <v>36729</v>
      </c>
      <c r="B3175">
        <v>9.3607999999999993</v>
      </c>
    </row>
    <row r="3176" spans="1:2">
      <c r="A3176" s="117">
        <v>36730</v>
      </c>
      <c r="B3176">
        <v>9.3607999999999993</v>
      </c>
    </row>
    <row r="3177" spans="1:2">
      <c r="A3177" s="117">
        <v>36731</v>
      </c>
      <c r="B3177">
        <v>9.3607999999999993</v>
      </c>
    </row>
    <row r="3178" spans="1:2">
      <c r="A3178" s="117">
        <v>36732</v>
      </c>
      <c r="B3178">
        <v>9.3484999999999996</v>
      </c>
    </row>
    <row r="3179" spans="1:2">
      <c r="A3179" s="117">
        <v>36733</v>
      </c>
      <c r="B3179">
        <v>9.3337000000000003</v>
      </c>
    </row>
    <row r="3180" spans="1:2">
      <c r="A3180" s="117">
        <v>36734</v>
      </c>
      <c r="B3180">
        <v>9.3657000000000004</v>
      </c>
    </row>
    <row r="3181" spans="1:2">
      <c r="A3181" s="117">
        <v>36735</v>
      </c>
      <c r="B3181">
        <v>9.3627000000000002</v>
      </c>
    </row>
    <row r="3182" spans="1:2">
      <c r="A3182" s="117">
        <v>36736</v>
      </c>
      <c r="B3182">
        <v>9.3610000000000007</v>
      </c>
    </row>
    <row r="3183" spans="1:2">
      <c r="A3183" s="117">
        <v>36737</v>
      </c>
      <c r="B3183">
        <v>9.3610000000000007</v>
      </c>
    </row>
    <row r="3184" spans="1:2">
      <c r="A3184" s="117">
        <v>36738</v>
      </c>
      <c r="B3184">
        <v>9.3610000000000007</v>
      </c>
    </row>
    <row r="3185" spans="1:2">
      <c r="A3185" s="117">
        <v>36739</v>
      </c>
      <c r="B3185">
        <v>9.3577999999999992</v>
      </c>
    </row>
    <row r="3186" spans="1:2">
      <c r="A3186" s="117">
        <v>36740</v>
      </c>
      <c r="B3186">
        <v>9.3666999999999998</v>
      </c>
    </row>
    <row r="3187" spans="1:2">
      <c r="A3187" s="117">
        <v>36741</v>
      </c>
      <c r="B3187">
        <v>9.3428000000000004</v>
      </c>
    </row>
    <row r="3188" spans="1:2">
      <c r="A3188" s="117">
        <v>36742</v>
      </c>
      <c r="B3188">
        <v>9.3461999999999996</v>
      </c>
    </row>
    <row r="3189" spans="1:2">
      <c r="A3189" s="117">
        <v>36743</v>
      </c>
      <c r="B3189">
        <v>9.3880999999999997</v>
      </c>
    </row>
    <row r="3190" spans="1:2">
      <c r="A3190" s="117">
        <v>36744</v>
      </c>
      <c r="B3190">
        <v>9.3880999999999997</v>
      </c>
    </row>
    <row r="3191" spans="1:2">
      <c r="A3191" s="117">
        <v>36745</v>
      </c>
      <c r="B3191">
        <v>9.3880999999999997</v>
      </c>
    </row>
    <row r="3192" spans="1:2">
      <c r="A3192" s="117">
        <v>36746</v>
      </c>
      <c r="B3192">
        <v>9.3574000000000002</v>
      </c>
    </row>
    <row r="3193" spans="1:2">
      <c r="A3193" s="117">
        <v>36747</v>
      </c>
      <c r="B3193">
        <v>9.3353000000000002</v>
      </c>
    </row>
    <row r="3194" spans="1:2">
      <c r="A3194" s="117">
        <v>36748</v>
      </c>
      <c r="B3194">
        <v>9.3353000000000002</v>
      </c>
    </row>
    <row r="3195" spans="1:2">
      <c r="A3195" s="117">
        <v>36749</v>
      </c>
      <c r="B3195">
        <v>9.3260000000000005</v>
      </c>
    </row>
    <row r="3196" spans="1:2">
      <c r="A3196" s="117">
        <v>36750</v>
      </c>
      <c r="B3196">
        <v>9.3198000000000008</v>
      </c>
    </row>
    <row r="3197" spans="1:2">
      <c r="A3197" s="117">
        <v>36751</v>
      </c>
      <c r="B3197">
        <v>9.3198000000000008</v>
      </c>
    </row>
    <row r="3198" spans="1:2">
      <c r="A3198" s="117">
        <v>36752</v>
      </c>
      <c r="B3198">
        <v>9.3198000000000008</v>
      </c>
    </row>
    <row r="3199" spans="1:2">
      <c r="A3199" s="117">
        <v>36753</v>
      </c>
      <c r="B3199">
        <v>9.2918000000000003</v>
      </c>
    </row>
    <row r="3200" spans="1:2">
      <c r="A3200" s="117">
        <v>36754</v>
      </c>
      <c r="B3200">
        <v>9.2515999999999998</v>
      </c>
    </row>
    <row r="3201" spans="1:2">
      <c r="A3201" s="117">
        <v>36755</v>
      </c>
      <c r="B3201">
        <v>9.2504000000000008</v>
      </c>
    </row>
    <row r="3202" spans="1:2">
      <c r="A3202" s="117">
        <v>36756</v>
      </c>
      <c r="B3202">
        <v>9.1922999999999995</v>
      </c>
    </row>
    <row r="3203" spans="1:2">
      <c r="A3203" s="117">
        <v>36757</v>
      </c>
      <c r="B3203">
        <v>9.1873000000000005</v>
      </c>
    </row>
    <row r="3204" spans="1:2">
      <c r="A3204" s="117">
        <v>36758</v>
      </c>
      <c r="B3204">
        <v>9.1873000000000005</v>
      </c>
    </row>
    <row r="3205" spans="1:2">
      <c r="A3205" s="117">
        <v>36759</v>
      </c>
      <c r="B3205">
        <v>9.1873000000000005</v>
      </c>
    </row>
    <row r="3206" spans="1:2">
      <c r="A3206" s="117">
        <v>36760</v>
      </c>
      <c r="B3206">
        <v>9.2293000000000003</v>
      </c>
    </row>
    <row r="3207" spans="1:2">
      <c r="A3207" s="117">
        <v>36761</v>
      </c>
      <c r="B3207">
        <v>9.2562999999999995</v>
      </c>
    </row>
    <row r="3208" spans="1:2">
      <c r="A3208" s="117">
        <v>36762</v>
      </c>
      <c r="B3208">
        <v>9.2322000000000006</v>
      </c>
    </row>
    <row r="3209" spans="1:2">
      <c r="A3209" s="117">
        <v>36763</v>
      </c>
      <c r="B3209">
        <v>9.2773000000000003</v>
      </c>
    </row>
    <row r="3210" spans="1:2">
      <c r="A3210" s="117">
        <v>36764</v>
      </c>
      <c r="B3210">
        <v>9.2268000000000008</v>
      </c>
    </row>
    <row r="3211" spans="1:2">
      <c r="A3211" s="117">
        <v>36765</v>
      </c>
      <c r="B3211">
        <v>9.2268000000000008</v>
      </c>
    </row>
    <row r="3212" spans="1:2">
      <c r="A3212" s="117">
        <v>36766</v>
      </c>
      <c r="B3212">
        <v>9.2268000000000008</v>
      </c>
    </row>
    <row r="3213" spans="1:2">
      <c r="A3213" s="117">
        <v>36767</v>
      </c>
      <c r="B3213">
        <v>9.2341999999999995</v>
      </c>
    </row>
    <row r="3214" spans="1:2">
      <c r="A3214" s="117">
        <v>36768</v>
      </c>
      <c r="B3214">
        <v>9.2093000000000007</v>
      </c>
    </row>
    <row r="3215" spans="1:2">
      <c r="A3215" s="117">
        <v>36769</v>
      </c>
      <c r="B3215">
        <v>9.2317</v>
      </c>
    </row>
    <row r="3216" spans="1:2">
      <c r="A3216" s="117">
        <v>36770</v>
      </c>
      <c r="B3216">
        <v>9.2108000000000008</v>
      </c>
    </row>
    <row r="3217" spans="1:2">
      <c r="A3217" s="117">
        <v>36771</v>
      </c>
      <c r="B3217">
        <v>9.1995000000000005</v>
      </c>
    </row>
    <row r="3218" spans="1:2">
      <c r="A3218" s="117">
        <v>36772</v>
      </c>
      <c r="B3218">
        <v>9.1995000000000005</v>
      </c>
    </row>
    <row r="3219" spans="1:2">
      <c r="A3219" s="117">
        <v>36773</v>
      </c>
      <c r="B3219">
        <v>9.1995000000000005</v>
      </c>
    </row>
    <row r="3220" spans="1:2">
      <c r="A3220" s="117">
        <v>36774</v>
      </c>
      <c r="B3220">
        <v>9.2013999999999996</v>
      </c>
    </row>
    <row r="3221" spans="1:2">
      <c r="A3221" s="117">
        <v>36775</v>
      </c>
      <c r="B3221">
        <v>9.2231000000000005</v>
      </c>
    </row>
    <row r="3222" spans="1:2">
      <c r="A3222" s="117">
        <v>36776</v>
      </c>
      <c r="B3222">
        <v>9.2612000000000005</v>
      </c>
    </row>
    <row r="3223" spans="1:2">
      <c r="A3223" s="117">
        <v>36777</v>
      </c>
      <c r="B3223">
        <v>9.3115000000000006</v>
      </c>
    </row>
    <row r="3224" spans="1:2">
      <c r="A3224" s="117">
        <v>36778</v>
      </c>
      <c r="B3224">
        <v>9.3140999999999998</v>
      </c>
    </row>
    <row r="3225" spans="1:2">
      <c r="A3225" s="117">
        <v>36779</v>
      </c>
      <c r="B3225">
        <v>9.3140999999999998</v>
      </c>
    </row>
    <row r="3226" spans="1:2">
      <c r="A3226" s="117">
        <v>36780</v>
      </c>
      <c r="B3226">
        <v>9.3140999999999998</v>
      </c>
    </row>
    <row r="3227" spans="1:2">
      <c r="A3227" s="117">
        <v>36781</v>
      </c>
      <c r="B3227">
        <v>9.3242999999999991</v>
      </c>
    </row>
    <row r="3228" spans="1:2">
      <c r="A3228" s="117">
        <v>36782</v>
      </c>
      <c r="B3228">
        <v>9.2813999999999997</v>
      </c>
    </row>
    <row r="3229" spans="1:2">
      <c r="A3229" s="117">
        <v>36783</v>
      </c>
      <c r="B3229">
        <v>9.2542000000000009</v>
      </c>
    </row>
    <row r="3230" spans="1:2">
      <c r="A3230" s="117">
        <v>36784</v>
      </c>
      <c r="B3230">
        <v>9.2859999999999996</v>
      </c>
    </row>
    <row r="3231" spans="1:2">
      <c r="A3231" s="117">
        <v>36785</v>
      </c>
      <c r="B3231">
        <v>9.3125</v>
      </c>
    </row>
    <row r="3232" spans="1:2">
      <c r="A3232" s="117">
        <v>36786</v>
      </c>
      <c r="B3232">
        <v>9.3125</v>
      </c>
    </row>
    <row r="3233" spans="1:2">
      <c r="A3233" s="117">
        <v>36787</v>
      </c>
      <c r="B3233">
        <v>9.3125</v>
      </c>
    </row>
    <row r="3234" spans="1:2">
      <c r="A3234" s="117">
        <v>36788</v>
      </c>
      <c r="B3234">
        <v>9.3516999999999992</v>
      </c>
    </row>
    <row r="3235" spans="1:2">
      <c r="A3235" s="117">
        <v>36789</v>
      </c>
      <c r="B3235">
        <v>9.4171999999999993</v>
      </c>
    </row>
    <row r="3236" spans="1:2">
      <c r="A3236" s="117">
        <v>36790</v>
      </c>
      <c r="B3236">
        <v>9.4250000000000007</v>
      </c>
    </row>
    <row r="3237" spans="1:2">
      <c r="A3237" s="117">
        <v>36791</v>
      </c>
      <c r="B3237">
        <v>9.4482999999999997</v>
      </c>
    </row>
    <row r="3238" spans="1:2">
      <c r="A3238" s="117">
        <v>36792</v>
      </c>
      <c r="B3238">
        <v>9.4346999999999994</v>
      </c>
    </row>
    <row r="3239" spans="1:2">
      <c r="A3239" s="117">
        <v>36793</v>
      </c>
      <c r="B3239">
        <v>9.4346999999999994</v>
      </c>
    </row>
    <row r="3240" spans="1:2">
      <c r="A3240" s="117">
        <v>36794</v>
      </c>
      <c r="B3240">
        <v>9.4346999999999994</v>
      </c>
    </row>
    <row r="3241" spans="1:2">
      <c r="A3241" s="117">
        <v>36795</v>
      </c>
      <c r="B3241">
        <v>9.4789999999999992</v>
      </c>
    </row>
    <row r="3242" spans="1:2">
      <c r="A3242" s="117">
        <v>36796</v>
      </c>
      <c r="B3242">
        <v>9.4217999999999993</v>
      </c>
    </row>
    <row r="3243" spans="1:2">
      <c r="A3243" s="117">
        <v>36797</v>
      </c>
      <c r="B3243">
        <v>9.4032</v>
      </c>
    </row>
    <row r="3244" spans="1:2">
      <c r="A3244" s="117">
        <v>36798</v>
      </c>
      <c r="B3244">
        <v>9.4087999999999994</v>
      </c>
    </row>
    <row r="3245" spans="1:2">
      <c r="A3245" s="117">
        <v>36799</v>
      </c>
      <c r="B3245">
        <v>9.4290000000000003</v>
      </c>
    </row>
    <row r="3246" spans="1:2">
      <c r="A3246" s="117">
        <v>36800</v>
      </c>
      <c r="B3246">
        <v>9.4290000000000003</v>
      </c>
    </row>
    <row r="3247" spans="1:2">
      <c r="A3247" s="117">
        <v>36801</v>
      </c>
      <c r="B3247">
        <v>9.4290000000000003</v>
      </c>
    </row>
    <row r="3248" spans="1:2">
      <c r="A3248" s="117">
        <v>36802</v>
      </c>
      <c r="B3248">
        <v>9.4459</v>
      </c>
    </row>
    <row r="3249" spans="1:2">
      <c r="A3249" s="117">
        <v>36803</v>
      </c>
      <c r="B3249">
        <v>9.4141999999999992</v>
      </c>
    </row>
    <row r="3250" spans="1:2">
      <c r="A3250" s="117">
        <v>36804</v>
      </c>
      <c r="B3250">
        <v>9.4014000000000006</v>
      </c>
    </row>
    <row r="3251" spans="1:2">
      <c r="A3251" s="117">
        <v>36805</v>
      </c>
      <c r="B3251">
        <v>9.4291999999999998</v>
      </c>
    </row>
    <row r="3252" spans="1:2">
      <c r="A3252" s="117">
        <v>36806</v>
      </c>
      <c r="B3252">
        <v>9.4514999999999993</v>
      </c>
    </row>
    <row r="3253" spans="1:2">
      <c r="A3253" s="117">
        <v>36807</v>
      </c>
      <c r="B3253">
        <v>9.4514999999999993</v>
      </c>
    </row>
    <row r="3254" spans="1:2">
      <c r="A3254" s="117">
        <v>36808</v>
      </c>
      <c r="B3254">
        <v>9.4514999999999993</v>
      </c>
    </row>
    <row r="3255" spans="1:2">
      <c r="A3255" s="117">
        <v>36809</v>
      </c>
      <c r="B3255">
        <v>9.4600000000000009</v>
      </c>
    </row>
    <row r="3256" spans="1:2">
      <c r="A3256" s="117">
        <v>36810</v>
      </c>
      <c r="B3256">
        <v>9.4753000000000007</v>
      </c>
    </row>
    <row r="3257" spans="1:2">
      <c r="A3257" s="117">
        <v>36811</v>
      </c>
      <c r="B3257">
        <v>9.4632000000000005</v>
      </c>
    </row>
    <row r="3258" spans="1:2">
      <c r="A3258" s="117">
        <v>36812</v>
      </c>
      <c r="B3258">
        <v>9.4789999999999992</v>
      </c>
    </row>
    <row r="3259" spans="1:2">
      <c r="A3259" s="117">
        <v>36813</v>
      </c>
      <c r="B3259">
        <v>9.5192999999999994</v>
      </c>
    </row>
    <row r="3260" spans="1:2">
      <c r="A3260" s="117">
        <v>36814</v>
      </c>
      <c r="B3260">
        <v>9.5192999999999994</v>
      </c>
    </row>
    <row r="3261" spans="1:2">
      <c r="A3261" s="117">
        <v>36815</v>
      </c>
      <c r="B3261">
        <v>9.5192999999999994</v>
      </c>
    </row>
    <row r="3262" spans="1:2">
      <c r="A3262" s="117">
        <v>36816</v>
      </c>
      <c r="B3262">
        <v>9.5878999999999994</v>
      </c>
    </row>
    <row r="3263" spans="1:2">
      <c r="A3263" s="117">
        <v>36817</v>
      </c>
      <c r="B3263">
        <v>9.5350999999999999</v>
      </c>
    </row>
    <row r="3264" spans="1:2">
      <c r="A3264" s="117">
        <v>36818</v>
      </c>
      <c r="B3264">
        <v>9.5442999999999998</v>
      </c>
    </row>
    <row r="3265" spans="1:2">
      <c r="A3265" s="117">
        <v>36819</v>
      </c>
      <c r="B3265">
        <v>9.5764999999999993</v>
      </c>
    </row>
    <row r="3266" spans="1:2">
      <c r="A3266" s="117">
        <v>36820</v>
      </c>
      <c r="B3266">
        <v>9.5333000000000006</v>
      </c>
    </row>
    <row r="3267" spans="1:2">
      <c r="A3267" s="117">
        <v>36821</v>
      </c>
      <c r="B3267">
        <v>9.5333000000000006</v>
      </c>
    </row>
    <row r="3268" spans="1:2">
      <c r="A3268" s="117">
        <v>36822</v>
      </c>
      <c r="B3268">
        <v>9.5333000000000006</v>
      </c>
    </row>
    <row r="3269" spans="1:2">
      <c r="A3269" s="117">
        <v>36823</v>
      </c>
      <c r="B3269">
        <v>9.5604999999999993</v>
      </c>
    </row>
    <row r="3270" spans="1:2">
      <c r="A3270" s="117">
        <v>36824</v>
      </c>
      <c r="B3270">
        <v>9.5736000000000008</v>
      </c>
    </row>
    <row r="3271" spans="1:2">
      <c r="A3271" s="117">
        <v>36825</v>
      </c>
      <c r="B3271">
        <v>9.5756999999999994</v>
      </c>
    </row>
    <row r="3272" spans="1:2">
      <c r="A3272" s="117">
        <v>36826</v>
      </c>
      <c r="B3272">
        <v>9.6242000000000001</v>
      </c>
    </row>
    <row r="3273" spans="1:2">
      <c r="A3273" s="117">
        <v>36827</v>
      </c>
      <c r="B3273">
        <v>9.6776999999999997</v>
      </c>
    </row>
    <row r="3274" spans="1:2">
      <c r="A3274" s="117">
        <v>36828</v>
      </c>
      <c r="B3274">
        <v>9.6776999999999997</v>
      </c>
    </row>
    <row r="3275" spans="1:2">
      <c r="A3275" s="117">
        <v>36829</v>
      </c>
      <c r="B3275">
        <v>9.6776999999999997</v>
      </c>
    </row>
    <row r="3276" spans="1:2">
      <c r="A3276" s="117">
        <v>36830</v>
      </c>
      <c r="B3276">
        <v>9.6442999999999994</v>
      </c>
    </row>
    <row r="3277" spans="1:2">
      <c r="A3277" s="117">
        <v>36831</v>
      </c>
      <c r="B3277">
        <v>9.5995000000000008</v>
      </c>
    </row>
    <row r="3278" spans="1:2">
      <c r="A3278" s="117">
        <v>36832</v>
      </c>
      <c r="B3278">
        <v>9.5641999999999996</v>
      </c>
    </row>
    <row r="3279" spans="1:2">
      <c r="A3279" s="117">
        <v>36833</v>
      </c>
      <c r="B3279">
        <v>9.5641999999999996</v>
      </c>
    </row>
    <row r="3280" spans="1:2">
      <c r="A3280" s="117">
        <v>36834</v>
      </c>
      <c r="B3280">
        <v>9.5823999999999998</v>
      </c>
    </row>
    <row r="3281" spans="1:2">
      <c r="A3281" s="117">
        <v>36835</v>
      </c>
      <c r="B3281">
        <v>9.5823999999999998</v>
      </c>
    </row>
    <row r="3282" spans="1:2">
      <c r="A3282" s="117">
        <v>36836</v>
      </c>
      <c r="B3282">
        <v>9.5823999999999998</v>
      </c>
    </row>
    <row r="3283" spans="1:2">
      <c r="A3283" s="117">
        <v>36837</v>
      </c>
      <c r="B3283">
        <v>9.5990000000000002</v>
      </c>
    </row>
    <row r="3284" spans="1:2">
      <c r="A3284" s="117">
        <v>36838</v>
      </c>
      <c r="B3284">
        <v>9.6438000000000006</v>
      </c>
    </row>
    <row r="3285" spans="1:2">
      <c r="A3285" s="117">
        <v>36839</v>
      </c>
      <c r="B3285">
        <v>9.6544000000000008</v>
      </c>
    </row>
    <row r="3286" spans="1:2">
      <c r="A3286" s="117">
        <v>36840</v>
      </c>
      <c r="B3286">
        <v>9.6166</v>
      </c>
    </row>
    <row r="3287" spans="1:2">
      <c r="A3287" s="117">
        <v>36841</v>
      </c>
      <c r="B3287">
        <v>9.6532999999999998</v>
      </c>
    </row>
    <row r="3288" spans="1:2">
      <c r="A3288" s="117">
        <v>36842</v>
      </c>
      <c r="B3288">
        <v>9.6532999999999998</v>
      </c>
    </row>
    <row r="3289" spans="1:2">
      <c r="A3289" s="117">
        <v>36843</v>
      </c>
      <c r="B3289">
        <v>9.6532999999999998</v>
      </c>
    </row>
    <row r="3290" spans="1:2">
      <c r="A3290" s="117">
        <v>36844</v>
      </c>
      <c r="B3290">
        <v>9.6007999999999996</v>
      </c>
    </row>
    <row r="3291" spans="1:2">
      <c r="A3291" s="117">
        <v>36845</v>
      </c>
      <c r="B3291">
        <v>9.5579999999999998</v>
      </c>
    </row>
    <row r="3292" spans="1:2">
      <c r="A3292" s="117">
        <v>36846</v>
      </c>
      <c r="B3292">
        <v>9.4962999999999997</v>
      </c>
    </row>
    <row r="3293" spans="1:2">
      <c r="A3293" s="117">
        <v>36847</v>
      </c>
      <c r="B3293">
        <v>9.4625000000000004</v>
      </c>
    </row>
    <row r="3294" spans="1:2">
      <c r="A3294" s="117">
        <v>36848</v>
      </c>
      <c r="B3294">
        <v>9.4827999999999992</v>
      </c>
    </row>
    <row r="3295" spans="1:2">
      <c r="A3295" s="117">
        <v>36849</v>
      </c>
      <c r="B3295">
        <v>9.4827999999999992</v>
      </c>
    </row>
    <row r="3296" spans="1:2">
      <c r="A3296" s="117">
        <v>36850</v>
      </c>
      <c r="B3296">
        <v>9.4827999999999992</v>
      </c>
    </row>
    <row r="3297" spans="1:2">
      <c r="A3297" s="117">
        <v>36851</v>
      </c>
      <c r="B3297">
        <v>9.4827999999999992</v>
      </c>
    </row>
    <row r="3298" spans="1:2">
      <c r="A3298" s="117">
        <v>36852</v>
      </c>
      <c r="B3298">
        <v>9.4827999999999992</v>
      </c>
    </row>
    <row r="3299" spans="1:2">
      <c r="A3299" s="117">
        <v>36853</v>
      </c>
      <c r="B3299">
        <v>9.4098000000000006</v>
      </c>
    </row>
    <row r="3300" spans="1:2">
      <c r="A3300" s="117">
        <v>36854</v>
      </c>
      <c r="B3300">
        <v>9.3789999999999996</v>
      </c>
    </row>
    <row r="3301" spans="1:2">
      <c r="A3301" s="117">
        <v>36855</v>
      </c>
      <c r="B3301">
        <v>9.4056999999999995</v>
      </c>
    </row>
    <row r="3302" spans="1:2">
      <c r="A3302" s="117">
        <v>36856</v>
      </c>
      <c r="B3302">
        <v>9.4056999999999995</v>
      </c>
    </row>
    <row r="3303" spans="1:2">
      <c r="A3303" s="117">
        <v>36857</v>
      </c>
      <c r="B3303">
        <v>9.4056999999999995</v>
      </c>
    </row>
    <row r="3304" spans="1:2">
      <c r="A3304" s="117">
        <v>36858</v>
      </c>
      <c r="B3304">
        <v>9.3930000000000007</v>
      </c>
    </row>
    <row r="3305" spans="1:2">
      <c r="A3305" s="117">
        <v>36859</v>
      </c>
      <c r="B3305">
        <v>9.3691999999999993</v>
      </c>
    </row>
    <row r="3306" spans="1:2">
      <c r="A3306" s="117">
        <v>36860</v>
      </c>
      <c r="B3306">
        <v>9.4057999999999993</v>
      </c>
    </row>
    <row r="3307" spans="1:2">
      <c r="A3307" s="117">
        <v>36861</v>
      </c>
      <c r="B3307">
        <v>9.3972999999999995</v>
      </c>
    </row>
    <row r="3308" spans="1:2">
      <c r="A3308" s="117">
        <v>36862</v>
      </c>
      <c r="B3308">
        <v>9.3972999999999995</v>
      </c>
    </row>
    <row r="3309" spans="1:2">
      <c r="A3309" s="117">
        <v>36863</v>
      </c>
      <c r="B3309">
        <v>9.3972999999999995</v>
      </c>
    </row>
    <row r="3310" spans="1:2">
      <c r="A3310" s="117">
        <v>36864</v>
      </c>
      <c r="B3310">
        <v>9.3972999999999995</v>
      </c>
    </row>
    <row r="3311" spans="1:2">
      <c r="A3311" s="117">
        <v>36865</v>
      </c>
      <c r="B3311">
        <v>9.4154999999999998</v>
      </c>
    </row>
    <row r="3312" spans="1:2">
      <c r="A3312" s="117">
        <v>36866</v>
      </c>
      <c r="B3312">
        <v>9.4131999999999998</v>
      </c>
    </row>
    <row r="3313" spans="1:2">
      <c r="A3313" s="117">
        <v>36867</v>
      </c>
      <c r="B3313">
        <v>9.3736999999999995</v>
      </c>
    </row>
    <row r="3314" spans="1:2">
      <c r="A3314" s="117">
        <v>36868</v>
      </c>
      <c r="B3314">
        <v>9.4019999999999992</v>
      </c>
    </row>
    <row r="3315" spans="1:2">
      <c r="A3315" s="117">
        <v>36869</v>
      </c>
      <c r="B3315">
        <v>9.4262999999999995</v>
      </c>
    </row>
    <row r="3316" spans="1:2">
      <c r="A3316" s="117">
        <v>36870</v>
      </c>
      <c r="B3316">
        <v>9.4262999999999995</v>
      </c>
    </row>
    <row r="3317" spans="1:2">
      <c r="A3317" s="117">
        <v>36871</v>
      </c>
      <c r="B3317">
        <v>9.4262999999999995</v>
      </c>
    </row>
    <row r="3318" spans="1:2">
      <c r="A3318" s="117">
        <v>36872</v>
      </c>
      <c r="B3318">
        <v>9.3984000000000005</v>
      </c>
    </row>
    <row r="3319" spans="1:2">
      <c r="A3319" s="117">
        <v>36873</v>
      </c>
      <c r="B3319">
        <v>9.3984000000000005</v>
      </c>
    </row>
    <row r="3320" spans="1:2">
      <c r="A3320" s="117">
        <v>36874</v>
      </c>
      <c r="B3320">
        <v>9.4418000000000006</v>
      </c>
    </row>
    <row r="3321" spans="1:2">
      <c r="A3321" s="117">
        <v>36875</v>
      </c>
      <c r="B3321">
        <v>9.4497</v>
      </c>
    </row>
    <row r="3322" spans="1:2">
      <c r="A3322" s="117">
        <v>36876</v>
      </c>
      <c r="B3322">
        <v>9.4126999999999992</v>
      </c>
    </row>
    <row r="3323" spans="1:2">
      <c r="A3323" s="117">
        <v>36877</v>
      </c>
      <c r="B3323">
        <v>9.4126999999999992</v>
      </c>
    </row>
    <row r="3324" spans="1:2">
      <c r="A3324" s="117">
        <v>36878</v>
      </c>
      <c r="B3324">
        <v>9.4126999999999992</v>
      </c>
    </row>
    <row r="3325" spans="1:2">
      <c r="A3325" s="117">
        <v>36879</v>
      </c>
      <c r="B3325">
        <v>9.4078999999999997</v>
      </c>
    </row>
    <row r="3326" spans="1:2">
      <c r="A3326" s="117">
        <v>36880</v>
      </c>
      <c r="B3326">
        <v>9.3788</v>
      </c>
    </row>
    <row r="3327" spans="1:2">
      <c r="A3327" s="117">
        <v>36881</v>
      </c>
      <c r="B3327">
        <v>9.3789999999999996</v>
      </c>
    </row>
    <row r="3328" spans="1:2">
      <c r="A3328" s="117">
        <v>36882</v>
      </c>
      <c r="B3328">
        <v>9.4347999999999992</v>
      </c>
    </row>
    <row r="3329" spans="1:2">
      <c r="A3329" s="117">
        <v>36883</v>
      </c>
      <c r="B3329">
        <v>9.5726999999999993</v>
      </c>
    </row>
    <row r="3330" spans="1:2">
      <c r="A3330" s="117">
        <v>36884</v>
      </c>
      <c r="B3330">
        <v>9.5726999999999993</v>
      </c>
    </row>
    <row r="3331" spans="1:2">
      <c r="A3331" s="117">
        <v>36885</v>
      </c>
      <c r="B3331">
        <v>9.5726999999999993</v>
      </c>
    </row>
    <row r="3332" spans="1:2">
      <c r="A3332" s="117">
        <v>36886</v>
      </c>
      <c r="B3332">
        <v>9.5726999999999993</v>
      </c>
    </row>
    <row r="3333" spans="1:2">
      <c r="A3333" s="117">
        <v>36887</v>
      </c>
      <c r="B3333">
        <v>9.5980000000000008</v>
      </c>
    </row>
    <row r="3334" spans="1:2">
      <c r="A3334" s="117">
        <v>36888</v>
      </c>
      <c r="B3334">
        <v>9.5200999999999993</v>
      </c>
    </row>
    <row r="3335" spans="1:2">
      <c r="A3335" s="117">
        <v>36889</v>
      </c>
      <c r="B3335">
        <v>9.5722000000000005</v>
      </c>
    </row>
    <row r="3336" spans="1:2">
      <c r="A3336" s="117">
        <v>36890</v>
      </c>
      <c r="B3336">
        <v>9.5997000000000003</v>
      </c>
    </row>
    <row r="3337" spans="1:2">
      <c r="A3337" s="117">
        <v>36891</v>
      </c>
      <c r="B3337">
        <v>9.5997000000000003</v>
      </c>
    </row>
    <row r="3338" spans="1:2">
      <c r="A3338" s="117">
        <v>36892</v>
      </c>
      <c r="B3338">
        <v>9.5997000000000003</v>
      </c>
    </row>
    <row r="3339" spans="1:2">
      <c r="A3339" s="117">
        <v>36893</v>
      </c>
      <c r="B3339">
        <v>9.5997000000000003</v>
      </c>
    </row>
    <row r="3340" spans="1:2">
      <c r="A3340" s="117">
        <v>36894</v>
      </c>
      <c r="B3340">
        <v>9.6097999999999999</v>
      </c>
    </row>
    <row r="3341" spans="1:2">
      <c r="A3341" s="117">
        <v>36895</v>
      </c>
      <c r="B3341">
        <v>9.7140000000000004</v>
      </c>
    </row>
    <row r="3342" spans="1:2">
      <c r="A3342" s="117">
        <v>36896</v>
      </c>
      <c r="B3342">
        <v>9.8339999999999996</v>
      </c>
    </row>
    <row r="3343" spans="1:2">
      <c r="A3343" s="117">
        <v>36897</v>
      </c>
      <c r="B3343">
        <v>9.7080000000000002</v>
      </c>
    </row>
    <row r="3344" spans="1:2">
      <c r="A3344" s="117">
        <v>36898</v>
      </c>
      <c r="B3344">
        <v>9.7080000000000002</v>
      </c>
    </row>
    <row r="3345" spans="1:2">
      <c r="A3345" s="117">
        <v>36899</v>
      </c>
      <c r="B3345">
        <v>9.7080000000000002</v>
      </c>
    </row>
    <row r="3346" spans="1:2">
      <c r="A3346" s="117">
        <v>36900</v>
      </c>
      <c r="B3346">
        <v>9.7545999999999999</v>
      </c>
    </row>
    <row r="3347" spans="1:2">
      <c r="A3347" s="117">
        <v>36901</v>
      </c>
      <c r="B3347">
        <v>9.69</v>
      </c>
    </row>
    <row r="3348" spans="1:2">
      <c r="A3348" s="117">
        <v>36902</v>
      </c>
      <c r="B3348">
        <v>9.7416999999999998</v>
      </c>
    </row>
    <row r="3349" spans="1:2">
      <c r="A3349" s="117">
        <v>36903</v>
      </c>
      <c r="B3349">
        <v>9.8167000000000009</v>
      </c>
    </row>
    <row r="3350" spans="1:2">
      <c r="A3350" s="117">
        <v>36904</v>
      </c>
      <c r="B3350">
        <v>9.8547999999999991</v>
      </c>
    </row>
    <row r="3351" spans="1:2">
      <c r="A3351" s="117">
        <v>36905</v>
      </c>
      <c r="B3351">
        <v>9.8547999999999991</v>
      </c>
    </row>
    <row r="3352" spans="1:2">
      <c r="A3352" s="117">
        <v>36906</v>
      </c>
      <c r="B3352">
        <v>9.8547999999999991</v>
      </c>
    </row>
    <row r="3353" spans="1:2">
      <c r="A3353" s="117">
        <v>36907</v>
      </c>
      <c r="B3353">
        <v>9.8797999999999995</v>
      </c>
    </row>
    <row r="3354" spans="1:2">
      <c r="A3354" s="117">
        <v>36908</v>
      </c>
      <c r="B3354">
        <v>9.9017999999999997</v>
      </c>
    </row>
    <row r="3355" spans="1:2">
      <c r="A3355" s="117">
        <v>36909</v>
      </c>
      <c r="B3355">
        <v>9.9778000000000002</v>
      </c>
    </row>
    <row r="3356" spans="1:2">
      <c r="A3356" s="117">
        <v>36910</v>
      </c>
      <c r="B3356">
        <v>9.8878000000000004</v>
      </c>
    </row>
    <row r="3357" spans="1:2">
      <c r="A3357" s="117">
        <v>36911</v>
      </c>
      <c r="B3357">
        <v>9.8870000000000005</v>
      </c>
    </row>
    <row r="3358" spans="1:2">
      <c r="A3358" s="117">
        <v>36912</v>
      </c>
      <c r="B3358">
        <v>9.8870000000000005</v>
      </c>
    </row>
    <row r="3359" spans="1:2">
      <c r="A3359" s="117">
        <v>36913</v>
      </c>
      <c r="B3359">
        <v>9.8870000000000005</v>
      </c>
    </row>
    <row r="3360" spans="1:2">
      <c r="A3360" s="117">
        <v>36914</v>
      </c>
      <c r="B3360">
        <v>9.7952999999999992</v>
      </c>
    </row>
    <row r="3361" spans="1:2">
      <c r="A3361" s="117">
        <v>36915</v>
      </c>
      <c r="B3361">
        <v>9.7863000000000007</v>
      </c>
    </row>
    <row r="3362" spans="1:2">
      <c r="A3362" s="117">
        <v>36916</v>
      </c>
      <c r="B3362">
        <v>9.7683</v>
      </c>
    </row>
    <row r="3363" spans="1:2">
      <c r="A3363" s="117">
        <v>36917</v>
      </c>
      <c r="B3363">
        <v>9.6922999999999995</v>
      </c>
    </row>
    <row r="3364" spans="1:2">
      <c r="A3364" s="117">
        <v>36918</v>
      </c>
      <c r="B3364">
        <v>9.6829999999999998</v>
      </c>
    </row>
    <row r="3365" spans="1:2">
      <c r="A3365" s="117">
        <v>36919</v>
      </c>
      <c r="B3365">
        <v>9.6829999999999998</v>
      </c>
    </row>
    <row r="3366" spans="1:2">
      <c r="A3366" s="117">
        <v>36920</v>
      </c>
      <c r="B3366">
        <v>9.6829999999999998</v>
      </c>
    </row>
    <row r="3367" spans="1:2">
      <c r="A3367" s="117">
        <v>36921</v>
      </c>
      <c r="B3367">
        <v>9.6908999999999992</v>
      </c>
    </row>
    <row r="3368" spans="1:2">
      <c r="A3368" s="117">
        <v>36922</v>
      </c>
      <c r="B3368">
        <v>9.6686999999999994</v>
      </c>
    </row>
    <row r="3369" spans="1:2">
      <c r="A3369" s="117">
        <v>36923</v>
      </c>
      <c r="B3369">
        <v>9.6692</v>
      </c>
    </row>
    <row r="3370" spans="1:2">
      <c r="A3370" s="117">
        <v>36924</v>
      </c>
      <c r="B3370">
        <v>9.6828000000000003</v>
      </c>
    </row>
    <row r="3371" spans="1:2">
      <c r="A3371" s="117">
        <v>36925</v>
      </c>
      <c r="B3371">
        <v>9.7327999999999992</v>
      </c>
    </row>
    <row r="3372" spans="1:2">
      <c r="A3372" s="117">
        <v>36926</v>
      </c>
      <c r="B3372">
        <v>9.7327999999999992</v>
      </c>
    </row>
    <row r="3373" spans="1:2">
      <c r="A3373" s="117">
        <v>36927</v>
      </c>
      <c r="B3373">
        <v>9.7327999999999992</v>
      </c>
    </row>
    <row r="3374" spans="1:2">
      <c r="A3374" s="117">
        <v>36928</v>
      </c>
      <c r="B3374">
        <v>9.7327999999999992</v>
      </c>
    </row>
    <row r="3375" spans="1:2">
      <c r="A3375" s="117">
        <v>36929</v>
      </c>
      <c r="B3375">
        <v>9.7560000000000002</v>
      </c>
    </row>
    <row r="3376" spans="1:2">
      <c r="A3376" s="117">
        <v>36930</v>
      </c>
      <c r="B3376">
        <v>9.6997999999999998</v>
      </c>
    </row>
    <row r="3377" spans="1:2">
      <c r="A3377" s="117">
        <v>36931</v>
      </c>
      <c r="B3377">
        <v>9.6944999999999997</v>
      </c>
    </row>
    <row r="3378" spans="1:2">
      <c r="A3378" s="117">
        <v>36932</v>
      </c>
      <c r="B3378">
        <v>9.6463999999999999</v>
      </c>
    </row>
    <row r="3379" spans="1:2">
      <c r="A3379" s="117">
        <v>36933</v>
      </c>
      <c r="B3379">
        <v>9.6463999999999999</v>
      </c>
    </row>
    <row r="3380" spans="1:2">
      <c r="A3380" s="117">
        <v>36934</v>
      </c>
      <c r="B3380">
        <v>9.6463999999999999</v>
      </c>
    </row>
    <row r="3381" spans="1:2">
      <c r="A3381" s="117">
        <v>36935</v>
      </c>
      <c r="B3381">
        <v>9.7238000000000007</v>
      </c>
    </row>
    <row r="3382" spans="1:2">
      <c r="A3382" s="117">
        <v>36936</v>
      </c>
      <c r="B3382">
        <v>9.7388999999999992</v>
      </c>
    </row>
    <row r="3383" spans="1:2">
      <c r="A3383" s="117">
        <v>36937</v>
      </c>
      <c r="B3383">
        <v>9.7065000000000001</v>
      </c>
    </row>
    <row r="3384" spans="1:2">
      <c r="A3384" s="117">
        <v>36938</v>
      </c>
      <c r="B3384">
        <v>9.7218999999999998</v>
      </c>
    </row>
    <row r="3385" spans="1:2">
      <c r="A3385" s="117">
        <v>36939</v>
      </c>
      <c r="B3385">
        <v>9.6762999999999995</v>
      </c>
    </row>
    <row r="3386" spans="1:2">
      <c r="A3386" s="117">
        <v>36940</v>
      </c>
      <c r="B3386">
        <v>9.6762999999999995</v>
      </c>
    </row>
    <row r="3387" spans="1:2">
      <c r="A3387" s="117">
        <v>36941</v>
      </c>
      <c r="B3387">
        <v>9.6762999999999995</v>
      </c>
    </row>
    <row r="3388" spans="1:2">
      <c r="A3388" s="117">
        <v>36942</v>
      </c>
      <c r="B3388">
        <v>9.7021999999999995</v>
      </c>
    </row>
    <row r="3389" spans="1:2">
      <c r="A3389" s="117">
        <v>36943</v>
      </c>
      <c r="B3389">
        <v>9.7043999999999997</v>
      </c>
    </row>
    <row r="3390" spans="1:2">
      <c r="A3390" s="117">
        <v>36944</v>
      </c>
      <c r="B3390">
        <v>9.6797000000000004</v>
      </c>
    </row>
    <row r="3391" spans="1:2">
      <c r="A3391" s="117">
        <v>36945</v>
      </c>
      <c r="B3391">
        <v>9.7089999999999996</v>
      </c>
    </row>
    <row r="3392" spans="1:2">
      <c r="A3392" s="117">
        <v>36946</v>
      </c>
      <c r="B3392">
        <v>9.7278000000000002</v>
      </c>
    </row>
    <row r="3393" spans="1:2">
      <c r="A3393" s="117">
        <v>36947</v>
      </c>
      <c r="B3393">
        <v>9.7278000000000002</v>
      </c>
    </row>
    <row r="3394" spans="1:2">
      <c r="A3394" s="117">
        <v>36948</v>
      </c>
      <c r="B3394">
        <v>9.7278000000000002</v>
      </c>
    </row>
    <row r="3395" spans="1:2">
      <c r="A3395" s="117">
        <v>36949</v>
      </c>
      <c r="B3395">
        <v>9.7182999999999993</v>
      </c>
    </row>
    <row r="3396" spans="1:2">
      <c r="A3396" s="117">
        <v>36950</v>
      </c>
      <c r="B3396">
        <v>9.6617999999999995</v>
      </c>
    </row>
    <row r="3397" spans="1:2">
      <c r="A3397" s="117">
        <v>36951</v>
      </c>
      <c r="B3397">
        <v>9.6827000000000005</v>
      </c>
    </row>
    <row r="3398" spans="1:2">
      <c r="A3398" s="117">
        <v>36952</v>
      </c>
      <c r="B3398">
        <v>9.7025000000000006</v>
      </c>
    </row>
    <row r="3399" spans="1:2">
      <c r="A3399" s="117">
        <v>36953</v>
      </c>
      <c r="B3399">
        <v>9.7051999999999996</v>
      </c>
    </row>
    <row r="3400" spans="1:2">
      <c r="A3400" s="117">
        <v>36954</v>
      </c>
      <c r="B3400">
        <v>9.7051999999999996</v>
      </c>
    </row>
    <row r="3401" spans="1:2">
      <c r="A3401" s="117">
        <v>36955</v>
      </c>
      <c r="B3401">
        <v>9.7051999999999996</v>
      </c>
    </row>
    <row r="3402" spans="1:2">
      <c r="A3402" s="117">
        <v>36956</v>
      </c>
      <c r="B3402">
        <v>9.6687999999999992</v>
      </c>
    </row>
    <row r="3403" spans="1:2">
      <c r="A3403" s="117">
        <v>36957</v>
      </c>
      <c r="B3403">
        <v>9.6370000000000005</v>
      </c>
    </row>
    <row r="3404" spans="1:2">
      <c r="A3404" s="117">
        <v>36958</v>
      </c>
      <c r="B3404">
        <v>9.6409000000000002</v>
      </c>
    </row>
    <row r="3405" spans="1:2">
      <c r="A3405" s="117">
        <v>36959</v>
      </c>
      <c r="B3405">
        <v>9.6541999999999994</v>
      </c>
    </row>
    <row r="3406" spans="1:2">
      <c r="A3406" s="117">
        <v>36960</v>
      </c>
      <c r="B3406">
        <v>9.6468000000000007</v>
      </c>
    </row>
    <row r="3407" spans="1:2">
      <c r="A3407" s="117">
        <v>36961</v>
      </c>
      <c r="B3407">
        <v>9.6468000000000007</v>
      </c>
    </row>
    <row r="3408" spans="1:2">
      <c r="A3408" s="117">
        <v>36962</v>
      </c>
      <c r="B3408">
        <v>9.6468000000000007</v>
      </c>
    </row>
    <row r="3409" spans="1:2">
      <c r="A3409" s="117">
        <v>36963</v>
      </c>
      <c r="B3409">
        <v>9.6702999999999992</v>
      </c>
    </row>
    <row r="3410" spans="1:2">
      <c r="A3410" s="117">
        <v>36964</v>
      </c>
      <c r="B3410">
        <v>9.6624999999999996</v>
      </c>
    </row>
    <row r="3411" spans="1:2">
      <c r="A3411" s="117">
        <v>36965</v>
      </c>
      <c r="B3411">
        <v>9.6319999999999997</v>
      </c>
    </row>
    <row r="3412" spans="1:2">
      <c r="A3412" s="117">
        <v>36966</v>
      </c>
      <c r="B3412">
        <v>9.5760000000000005</v>
      </c>
    </row>
    <row r="3413" spans="1:2">
      <c r="A3413" s="117">
        <v>36967</v>
      </c>
      <c r="B3413">
        <v>9.5843000000000007</v>
      </c>
    </row>
    <row r="3414" spans="1:2">
      <c r="A3414" s="117">
        <v>36968</v>
      </c>
      <c r="B3414">
        <v>9.5843000000000007</v>
      </c>
    </row>
    <row r="3415" spans="1:2">
      <c r="A3415" s="117">
        <v>36969</v>
      </c>
      <c r="B3415">
        <v>9.5843000000000007</v>
      </c>
    </row>
    <row r="3416" spans="1:2">
      <c r="A3416" s="117">
        <v>36970</v>
      </c>
      <c r="B3416">
        <v>9.6233000000000004</v>
      </c>
    </row>
    <row r="3417" spans="1:2">
      <c r="A3417" s="117">
        <v>36971</v>
      </c>
      <c r="B3417">
        <v>9.5683000000000007</v>
      </c>
    </row>
    <row r="3418" spans="1:2">
      <c r="A3418" s="117">
        <v>36972</v>
      </c>
      <c r="B3418">
        <v>9.5683000000000007</v>
      </c>
    </row>
    <row r="3419" spans="1:2">
      <c r="A3419" s="117">
        <v>36973</v>
      </c>
      <c r="B3419">
        <v>9.5188000000000006</v>
      </c>
    </row>
    <row r="3420" spans="1:2">
      <c r="A3420" s="117">
        <v>36974</v>
      </c>
      <c r="B3420">
        <v>9.5722000000000005</v>
      </c>
    </row>
    <row r="3421" spans="1:2">
      <c r="A3421" s="117">
        <v>36975</v>
      </c>
      <c r="B3421">
        <v>9.5722000000000005</v>
      </c>
    </row>
    <row r="3422" spans="1:2">
      <c r="A3422" s="117">
        <v>36976</v>
      </c>
      <c r="B3422">
        <v>9.5722000000000005</v>
      </c>
    </row>
    <row r="3423" spans="1:2">
      <c r="A3423" s="117">
        <v>36977</v>
      </c>
      <c r="B3423">
        <v>9.6539999999999999</v>
      </c>
    </row>
    <row r="3424" spans="1:2">
      <c r="A3424" s="117">
        <v>36978</v>
      </c>
      <c r="B3424">
        <v>9.5314999999999994</v>
      </c>
    </row>
    <row r="3425" spans="1:2">
      <c r="A3425" s="117">
        <v>36979</v>
      </c>
      <c r="B3425">
        <v>9.5138999999999996</v>
      </c>
    </row>
    <row r="3426" spans="1:2">
      <c r="A3426" s="117">
        <v>36980</v>
      </c>
      <c r="B3426">
        <v>9.5380000000000003</v>
      </c>
    </row>
    <row r="3427" spans="1:2">
      <c r="A3427" s="117">
        <v>36981</v>
      </c>
      <c r="B3427">
        <v>9.5203000000000007</v>
      </c>
    </row>
    <row r="3428" spans="1:2">
      <c r="A3428" s="117">
        <v>36982</v>
      </c>
      <c r="B3428">
        <v>9.5203000000000007</v>
      </c>
    </row>
    <row r="3429" spans="1:2">
      <c r="A3429" s="117">
        <v>36983</v>
      </c>
      <c r="B3429">
        <v>9.5203000000000007</v>
      </c>
    </row>
    <row r="3430" spans="1:2">
      <c r="A3430" s="117">
        <v>36984</v>
      </c>
      <c r="B3430">
        <v>9.4932999999999996</v>
      </c>
    </row>
    <row r="3431" spans="1:2">
      <c r="A3431" s="117">
        <v>36985</v>
      </c>
      <c r="B3431">
        <v>9.4152000000000005</v>
      </c>
    </row>
    <row r="3432" spans="1:2">
      <c r="A3432" s="117">
        <v>36986</v>
      </c>
      <c r="B3432">
        <v>9.3914000000000009</v>
      </c>
    </row>
    <row r="3433" spans="1:2">
      <c r="A3433" s="117">
        <v>36987</v>
      </c>
      <c r="B3433">
        <v>9.4200999999999997</v>
      </c>
    </row>
    <row r="3434" spans="1:2">
      <c r="A3434" s="117">
        <v>36988</v>
      </c>
      <c r="B3434">
        <v>9.4139999999999997</v>
      </c>
    </row>
    <row r="3435" spans="1:2">
      <c r="A3435" s="117">
        <v>36989</v>
      </c>
      <c r="B3435">
        <v>9.4139999999999997</v>
      </c>
    </row>
    <row r="3436" spans="1:2">
      <c r="A3436" s="117">
        <v>36990</v>
      </c>
      <c r="B3436">
        <v>9.4139999999999997</v>
      </c>
    </row>
    <row r="3437" spans="1:2">
      <c r="A3437" s="117">
        <v>36991</v>
      </c>
      <c r="B3437">
        <v>9.4059000000000008</v>
      </c>
    </row>
    <row r="3438" spans="1:2">
      <c r="A3438" s="117">
        <v>36992</v>
      </c>
      <c r="B3438">
        <v>9.3587000000000007</v>
      </c>
    </row>
    <row r="3439" spans="1:2">
      <c r="A3439" s="117">
        <v>36993</v>
      </c>
      <c r="B3439">
        <v>9.3093000000000004</v>
      </c>
    </row>
    <row r="3440" spans="1:2">
      <c r="A3440" s="117">
        <v>36994</v>
      </c>
      <c r="B3440">
        <v>9.3093000000000004</v>
      </c>
    </row>
    <row r="3441" spans="1:2">
      <c r="A3441" s="117">
        <v>36995</v>
      </c>
      <c r="B3441">
        <v>9.3093000000000004</v>
      </c>
    </row>
    <row r="3442" spans="1:2">
      <c r="A3442" s="117">
        <v>36996</v>
      </c>
      <c r="B3442">
        <v>9.3093000000000004</v>
      </c>
    </row>
    <row r="3443" spans="1:2">
      <c r="A3443" s="117">
        <v>36997</v>
      </c>
      <c r="B3443">
        <v>9.3093000000000004</v>
      </c>
    </row>
    <row r="3444" spans="1:2">
      <c r="A3444" s="117">
        <v>36998</v>
      </c>
      <c r="B3444">
        <v>9.2908000000000008</v>
      </c>
    </row>
    <row r="3445" spans="1:2">
      <c r="A3445" s="117">
        <v>36999</v>
      </c>
      <c r="B3445">
        <v>9.3230000000000004</v>
      </c>
    </row>
    <row r="3446" spans="1:2">
      <c r="A3446" s="117">
        <v>37000</v>
      </c>
      <c r="B3446">
        <v>9.2722999999999995</v>
      </c>
    </row>
    <row r="3447" spans="1:2">
      <c r="A3447" s="117">
        <v>37001</v>
      </c>
      <c r="B3447">
        <v>9.1966000000000001</v>
      </c>
    </row>
    <row r="3448" spans="1:2">
      <c r="A3448" s="117">
        <v>37002</v>
      </c>
      <c r="B3448">
        <v>9.2748000000000008</v>
      </c>
    </row>
    <row r="3449" spans="1:2">
      <c r="A3449" s="117">
        <v>37003</v>
      </c>
      <c r="B3449">
        <v>9.2748000000000008</v>
      </c>
    </row>
    <row r="3450" spans="1:2">
      <c r="A3450" s="117">
        <v>37004</v>
      </c>
      <c r="B3450">
        <v>9.2748000000000008</v>
      </c>
    </row>
    <row r="3451" spans="1:2">
      <c r="A3451" s="117">
        <v>37005</v>
      </c>
      <c r="B3451">
        <v>9.3524999999999991</v>
      </c>
    </row>
    <row r="3452" spans="1:2">
      <c r="A3452" s="117">
        <v>37006</v>
      </c>
      <c r="B3452">
        <v>9.3699999999999992</v>
      </c>
    </row>
    <row r="3453" spans="1:2">
      <c r="A3453" s="117">
        <v>37007</v>
      </c>
      <c r="B3453">
        <v>9.2767999999999997</v>
      </c>
    </row>
    <row r="3454" spans="1:2">
      <c r="A3454" s="117">
        <v>37008</v>
      </c>
      <c r="B3454">
        <v>9.3123000000000005</v>
      </c>
    </row>
    <row r="3455" spans="1:2">
      <c r="A3455" s="117">
        <v>37009</v>
      </c>
      <c r="B3455">
        <v>9.2670999999999992</v>
      </c>
    </row>
    <row r="3456" spans="1:2">
      <c r="A3456" s="117">
        <v>37010</v>
      </c>
      <c r="B3456">
        <v>9.2670999999999992</v>
      </c>
    </row>
    <row r="3457" spans="1:2">
      <c r="A3457" s="117">
        <v>37011</v>
      </c>
      <c r="B3457">
        <v>9.2670999999999992</v>
      </c>
    </row>
    <row r="3458" spans="1:2">
      <c r="A3458" s="117">
        <v>37012</v>
      </c>
      <c r="B3458">
        <v>9.3048999999999999</v>
      </c>
    </row>
    <row r="3459" spans="1:2">
      <c r="A3459" s="117">
        <v>37013</v>
      </c>
      <c r="B3459">
        <v>9.3048999999999999</v>
      </c>
    </row>
    <row r="3460" spans="1:2">
      <c r="A3460" s="117">
        <v>37014</v>
      </c>
      <c r="B3460">
        <v>9.2537000000000003</v>
      </c>
    </row>
    <row r="3461" spans="1:2">
      <c r="A3461" s="117">
        <v>37015</v>
      </c>
      <c r="B3461">
        <v>9.2829999999999995</v>
      </c>
    </row>
    <row r="3462" spans="1:2">
      <c r="A3462" s="117">
        <v>37016</v>
      </c>
      <c r="B3462">
        <v>9.2873000000000001</v>
      </c>
    </row>
    <row r="3463" spans="1:2">
      <c r="A3463" s="117">
        <v>37017</v>
      </c>
      <c r="B3463">
        <v>9.2873000000000001</v>
      </c>
    </row>
    <row r="3464" spans="1:2">
      <c r="A3464" s="117">
        <v>37018</v>
      </c>
      <c r="B3464">
        <v>9.2873000000000001</v>
      </c>
    </row>
    <row r="3465" spans="1:2">
      <c r="A3465" s="117">
        <v>37019</v>
      </c>
      <c r="B3465">
        <v>9.2578999999999994</v>
      </c>
    </row>
    <row r="3466" spans="1:2">
      <c r="A3466" s="117">
        <v>37020</v>
      </c>
      <c r="B3466">
        <v>9.2211999999999996</v>
      </c>
    </row>
    <row r="3467" spans="1:2">
      <c r="A3467" s="117">
        <v>37021</v>
      </c>
      <c r="B3467">
        <v>9.2048000000000005</v>
      </c>
    </row>
    <row r="3468" spans="1:2">
      <c r="A3468" s="117">
        <v>37022</v>
      </c>
      <c r="B3468">
        <v>9.2159999999999993</v>
      </c>
    </row>
    <row r="3469" spans="1:2">
      <c r="A3469" s="117">
        <v>37023</v>
      </c>
      <c r="B3469">
        <v>9.1966999999999999</v>
      </c>
    </row>
    <row r="3470" spans="1:2">
      <c r="A3470" s="117">
        <v>37024</v>
      </c>
      <c r="B3470">
        <v>9.1966999999999999</v>
      </c>
    </row>
    <row r="3471" spans="1:2">
      <c r="A3471" s="117">
        <v>37025</v>
      </c>
      <c r="B3471">
        <v>9.1966999999999999</v>
      </c>
    </row>
    <row r="3472" spans="1:2">
      <c r="A3472" s="117">
        <v>37026</v>
      </c>
      <c r="B3472">
        <v>9.2249999999999996</v>
      </c>
    </row>
    <row r="3473" spans="1:2">
      <c r="A3473" s="117">
        <v>37027</v>
      </c>
      <c r="B3473">
        <v>9.1921999999999997</v>
      </c>
    </row>
    <row r="3474" spans="1:2">
      <c r="A3474" s="117">
        <v>37028</v>
      </c>
      <c r="B3474">
        <v>9.1609999999999996</v>
      </c>
    </row>
    <row r="3475" spans="1:2">
      <c r="A3475" s="117">
        <v>37029</v>
      </c>
      <c r="B3475">
        <v>9.1645000000000003</v>
      </c>
    </row>
    <row r="3476" spans="1:2">
      <c r="A3476" s="117">
        <v>37030</v>
      </c>
      <c r="B3476">
        <v>8.9952000000000005</v>
      </c>
    </row>
    <row r="3477" spans="1:2">
      <c r="A3477" s="117">
        <v>37031</v>
      </c>
      <c r="B3477">
        <v>8.9952000000000005</v>
      </c>
    </row>
    <row r="3478" spans="1:2">
      <c r="A3478" s="117">
        <v>37032</v>
      </c>
      <c r="B3478">
        <v>8.9952000000000005</v>
      </c>
    </row>
    <row r="3479" spans="1:2">
      <c r="A3479" s="117">
        <v>37033</v>
      </c>
      <c r="B3479">
        <v>8.9773999999999994</v>
      </c>
    </row>
    <row r="3480" spans="1:2">
      <c r="A3480" s="117">
        <v>37034</v>
      </c>
      <c r="B3480">
        <v>8.9428000000000001</v>
      </c>
    </row>
    <row r="3481" spans="1:2">
      <c r="A3481" s="117">
        <v>37035</v>
      </c>
      <c r="B3481">
        <v>8.9659999999999993</v>
      </c>
    </row>
    <row r="3482" spans="1:2">
      <c r="A3482" s="117">
        <v>37036</v>
      </c>
      <c r="B3482">
        <v>9.0397999999999996</v>
      </c>
    </row>
    <row r="3483" spans="1:2">
      <c r="A3483" s="117">
        <v>37037</v>
      </c>
      <c r="B3483">
        <v>9.0805000000000007</v>
      </c>
    </row>
    <row r="3484" spans="1:2">
      <c r="A3484" s="117">
        <v>37038</v>
      </c>
      <c r="B3484">
        <v>9.0805000000000007</v>
      </c>
    </row>
    <row r="3485" spans="1:2">
      <c r="A3485" s="117">
        <v>37039</v>
      </c>
      <c r="B3485">
        <v>9.0805000000000007</v>
      </c>
    </row>
    <row r="3486" spans="1:2">
      <c r="A3486" s="117">
        <v>37040</v>
      </c>
      <c r="B3486">
        <v>9.0945</v>
      </c>
    </row>
    <row r="3487" spans="1:2">
      <c r="A3487" s="117">
        <v>37041</v>
      </c>
      <c r="B3487">
        <v>9.0780999999999992</v>
      </c>
    </row>
    <row r="3488" spans="1:2">
      <c r="A3488" s="117">
        <v>37042</v>
      </c>
      <c r="B3488">
        <v>9.0851000000000006</v>
      </c>
    </row>
    <row r="3489" spans="1:2">
      <c r="A3489" s="117">
        <v>37043</v>
      </c>
      <c r="B3489">
        <v>9.1653000000000002</v>
      </c>
    </row>
    <row r="3490" spans="1:2">
      <c r="A3490" s="117">
        <v>37044</v>
      </c>
      <c r="B3490">
        <v>9.1835000000000004</v>
      </c>
    </row>
    <row r="3491" spans="1:2">
      <c r="A3491" s="117">
        <v>37045</v>
      </c>
      <c r="B3491">
        <v>9.1835000000000004</v>
      </c>
    </row>
    <row r="3492" spans="1:2">
      <c r="A3492" s="117">
        <v>37046</v>
      </c>
      <c r="B3492">
        <v>9.1835000000000004</v>
      </c>
    </row>
    <row r="3493" spans="1:2">
      <c r="A3493" s="117">
        <v>37047</v>
      </c>
      <c r="B3493">
        <v>9.1735000000000007</v>
      </c>
    </row>
    <row r="3494" spans="1:2">
      <c r="A3494" s="117">
        <v>37048</v>
      </c>
      <c r="B3494">
        <v>9.1369000000000007</v>
      </c>
    </row>
    <row r="3495" spans="1:2">
      <c r="A3495" s="117">
        <v>37049</v>
      </c>
      <c r="B3495">
        <v>9.1722000000000001</v>
      </c>
    </row>
    <row r="3496" spans="1:2">
      <c r="A3496" s="117">
        <v>37050</v>
      </c>
      <c r="B3496">
        <v>9.1207999999999991</v>
      </c>
    </row>
    <row r="3497" spans="1:2">
      <c r="A3497" s="117">
        <v>37051</v>
      </c>
      <c r="B3497">
        <v>9.1234999999999999</v>
      </c>
    </row>
    <row r="3498" spans="1:2">
      <c r="A3498" s="117">
        <v>37052</v>
      </c>
      <c r="B3498">
        <v>9.1234999999999999</v>
      </c>
    </row>
    <row r="3499" spans="1:2">
      <c r="A3499" s="117">
        <v>37053</v>
      </c>
      <c r="B3499">
        <v>9.1234999999999999</v>
      </c>
    </row>
    <row r="3500" spans="1:2">
      <c r="A3500" s="117">
        <v>37054</v>
      </c>
      <c r="B3500">
        <v>9.0679999999999996</v>
      </c>
    </row>
    <row r="3501" spans="1:2">
      <c r="A3501" s="117">
        <v>37055</v>
      </c>
      <c r="B3501">
        <v>9.0289999999999999</v>
      </c>
    </row>
    <row r="3502" spans="1:2">
      <c r="A3502" s="117">
        <v>37056</v>
      </c>
      <c r="B3502">
        <v>9.0939999999999994</v>
      </c>
    </row>
    <row r="3503" spans="1:2">
      <c r="A3503" s="117">
        <v>37057</v>
      </c>
      <c r="B3503">
        <v>9.1180000000000003</v>
      </c>
    </row>
    <row r="3504" spans="1:2">
      <c r="A3504" s="117">
        <v>37058</v>
      </c>
      <c r="B3504">
        <v>9.0523000000000007</v>
      </c>
    </row>
    <row r="3505" spans="1:2">
      <c r="A3505" s="117">
        <v>37059</v>
      </c>
      <c r="B3505">
        <v>9.0523000000000007</v>
      </c>
    </row>
    <row r="3506" spans="1:2">
      <c r="A3506" s="117">
        <v>37060</v>
      </c>
      <c r="B3506">
        <v>9.0523000000000007</v>
      </c>
    </row>
    <row r="3507" spans="1:2">
      <c r="A3507" s="117">
        <v>37061</v>
      </c>
      <c r="B3507">
        <v>9.0521999999999991</v>
      </c>
    </row>
    <row r="3508" spans="1:2">
      <c r="A3508" s="117">
        <v>37062</v>
      </c>
      <c r="B3508">
        <v>9.0502000000000002</v>
      </c>
    </row>
    <row r="3509" spans="1:2">
      <c r="A3509" s="117">
        <v>37063</v>
      </c>
      <c r="B3509">
        <v>9.0792000000000002</v>
      </c>
    </row>
    <row r="3510" spans="1:2">
      <c r="A3510" s="117">
        <v>37064</v>
      </c>
      <c r="B3510">
        <v>9.0798000000000005</v>
      </c>
    </row>
    <row r="3511" spans="1:2">
      <c r="A3511" s="117">
        <v>37065</v>
      </c>
      <c r="B3511">
        <v>9.0570000000000004</v>
      </c>
    </row>
    <row r="3512" spans="1:2">
      <c r="A3512" s="117">
        <v>37066</v>
      </c>
      <c r="B3512">
        <v>9.0570000000000004</v>
      </c>
    </row>
    <row r="3513" spans="1:2">
      <c r="A3513" s="117">
        <v>37067</v>
      </c>
      <c r="B3513">
        <v>9.0570000000000004</v>
      </c>
    </row>
    <row r="3514" spans="1:2">
      <c r="A3514" s="117">
        <v>37068</v>
      </c>
      <c r="B3514">
        <v>9.0730000000000004</v>
      </c>
    </row>
    <row r="3515" spans="1:2">
      <c r="A3515" s="117">
        <v>37069</v>
      </c>
      <c r="B3515">
        <v>9.0594999999999999</v>
      </c>
    </row>
    <row r="3516" spans="1:2">
      <c r="A3516" s="117">
        <v>37070</v>
      </c>
      <c r="B3516">
        <v>9.0606000000000009</v>
      </c>
    </row>
    <row r="3517" spans="1:2">
      <c r="A3517" s="117">
        <v>37071</v>
      </c>
      <c r="B3517">
        <v>9.0608000000000004</v>
      </c>
    </row>
    <row r="3518" spans="1:2">
      <c r="A3518" s="117">
        <v>37072</v>
      </c>
      <c r="B3518">
        <v>9.09</v>
      </c>
    </row>
    <row r="3519" spans="1:2">
      <c r="A3519" s="117">
        <v>37073</v>
      </c>
      <c r="B3519">
        <v>9.09</v>
      </c>
    </row>
    <row r="3520" spans="1:2">
      <c r="A3520" s="117">
        <v>37074</v>
      </c>
      <c r="B3520">
        <v>9.09</v>
      </c>
    </row>
    <row r="3521" spans="1:2">
      <c r="A3521" s="117">
        <v>37075</v>
      </c>
      <c r="B3521">
        <v>9.0708000000000002</v>
      </c>
    </row>
    <row r="3522" spans="1:2">
      <c r="A3522" s="117">
        <v>37076</v>
      </c>
      <c r="B3522">
        <v>9.0221</v>
      </c>
    </row>
    <row r="3523" spans="1:2">
      <c r="A3523" s="117">
        <v>37077</v>
      </c>
      <c r="B3523">
        <v>9.0258000000000003</v>
      </c>
    </row>
    <row r="3524" spans="1:2">
      <c r="A3524" s="117">
        <v>37078</v>
      </c>
      <c r="B3524">
        <v>9.0707000000000004</v>
      </c>
    </row>
    <row r="3525" spans="1:2">
      <c r="A3525" s="117">
        <v>37079</v>
      </c>
      <c r="B3525">
        <v>9.0312000000000001</v>
      </c>
    </row>
    <row r="3526" spans="1:2">
      <c r="A3526" s="117">
        <v>37080</v>
      </c>
      <c r="B3526">
        <v>9.0312000000000001</v>
      </c>
    </row>
    <row r="3527" spans="1:2">
      <c r="A3527" s="117">
        <v>37081</v>
      </c>
      <c r="B3527">
        <v>9.0312000000000001</v>
      </c>
    </row>
    <row r="3528" spans="1:2">
      <c r="A3528" s="117">
        <v>37082</v>
      </c>
      <c r="B3528">
        <v>9.1502999999999997</v>
      </c>
    </row>
    <row r="3529" spans="1:2">
      <c r="A3529" s="117">
        <v>37083</v>
      </c>
      <c r="B3529">
        <v>9.1193000000000008</v>
      </c>
    </row>
    <row r="3530" spans="1:2">
      <c r="A3530" s="117">
        <v>37084</v>
      </c>
      <c r="B3530">
        <v>9.1476000000000006</v>
      </c>
    </row>
    <row r="3531" spans="1:2">
      <c r="A3531" s="117">
        <v>37085</v>
      </c>
      <c r="B3531">
        <v>9.2952999999999992</v>
      </c>
    </row>
    <row r="3532" spans="1:2">
      <c r="A3532" s="117">
        <v>37086</v>
      </c>
      <c r="B3532">
        <v>9.3420000000000005</v>
      </c>
    </row>
    <row r="3533" spans="1:2">
      <c r="A3533" s="117">
        <v>37087</v>
      </c>
      <c r="B3533">
        <v>9.3420000000000005</v>
      </c>
    </row>
    <row r="3534" spans="1:2">
      <c r="A3534" s="117">
        <v>37088</v>
      </c>
      <c r="B3534">
        <v>9.3420000000000005</v>
      </c>
    </row>
    <row r="3535" spans="1:2">
      <c r="A3535" s="117">
        <v>37089</v>
      </c>
      <c r="B3535">
        <v>9.3542000000000005</v>
      </c>
    </row>
    <row r="3536" spans="1:2">
      <c r="A3536" s="117">
        <v>37090</v>
      </c>
      <c r="B3536">
        <v>9.2918000000000003</v>
      </c>
    </row>
    <row r="3537" spans="1:2">
      <c r="A3537" s="117">
        <v>37091</v>
      </c>
      <c r="B3537">
        <v>9.1854999999999993</v>
      </c>
    </row>
    <row r="3538" spans="1:2">
      <c r="A3538" s="117">
        <v>37092</v>
      </c>
      <c r="B3538">
        <v>9.1282999999999994</v>
      </c>
    </row>
    <row r="3539" spans="1:2">
      <c r="A3539" s="117">
        <v>37093</v>
      </c>
      <c r="B3539">
        <v>9.1999999999999993</v>
      </c>
    </row>
    <row r="3540" spans="1:2">
      <c r="A3540" s="117">
        <v>37094</v>
      </c>
      <c r="B3540">
        <v>9.1999999999999993</v>
      </c>
    </row>
    <row r="3541" spans="1:2">
      <c r="A3541" s="117">
        <v>37095</v>
      </c>
      <c r="B3541">
        <v>9.1999999999999993</v>
      </c>
    </row>
    <row r="3542" spans="1:2">
      <c r="A3542" s="117">
        <v>37096</v>
      </c>
      <c r="B3542">
        <v>9.1796000000000006</v>
      </c>
    </row>
    <row r="3543" spans="1:2">
      <c r="A3543" s="117">
        <v>37097</v>
      </c>
      <c r="B3543">
        <v>9.1106999999999996</v>
      </c>
    </row>
    <row r="3544" spans="1:2">
      <c r="A3544" s="117">
        <v>37098</v>
      </c>
      <c r="B3544">
        <v>9.1087000000000007</v>
      </c>
    </row>
    <row r="3545" spans="1:2">
      <c r="A3545" s="117">
        <v>37099</v>
      </c>
      <c r="B3545">
        <v>9.1599000000000004</v>
      </c>
    </row>
    <row r="3546" spans="1:2">
      <c r="A3546" s="117">
        <v>37100</v>
      </c>
      <c r="B3546">
        <v>9.157</v>
      </c>
    </row>
    <row r="3547" spans="1:2">
      <c r="A3547" s="117">
        <v>37101</v>
      </c>
      <c r="B3547">
        <v>9.157</v>
      </c>
    </row>
    <row r="3548" spans="1:2">
      <c r="A3548" s="117">
        <v>37102</v>
      </c>
      <c r="B3548">
        <v>9.157</v>
      </c>
    </row>
    <row r="3549" spans="1:2">
      <c r="A3549" s="117">
        <v>37103</v>
      </c>
      <c r="B3549">
        <v>9.1920000000000002</v>
      </c>
    </row>
    <row r="3550" spans="1:2">
      <c r="A3550" s="117">
        <v>37104</v>
      </c>
      <c r="B3550">
        <v>9.1471999999999998</v>
      </c>
    </row>
    <row r="3551" spans="1:2">
      <c r="A3551" s="117">
        <v>37105</v>
      </c>
      <c r="B3551">
        <v>9.1408000000000005</v>
      </c>
    </row>
    <row r="3552" spans="1:2">
      <c r="A3552" s="117">
        <v>37106</v>
      </c>
      <c r="B3552">
        <v>9.2111000000000001</v>
      </c>
    </row>
    <row r="3553" spans="1:2">
      <c r="A3553" s="117">
        <v>37107</v>
      </c>
      <c r="B3553">
        <v>9.1698000000000004</v>
      </c>
    </row>
    <row r="3554" spans="1:2">
      <c r="A3554" s="117">
        <v>37108</v>
      </c>
      <c r="B3554">
        <v>9.1698000000000004</v>
      </c>
    </row>
    <row r="3555" spans="1:2">
      <c r="A3555" s="117">
        <v>37109</v>
      </c>
      <c r="B3555">
        <v>9.1698000000000004</v>
      </c>
    </row>
    <row r="3556" spans="1:2">
      <c r="A3556" s="117">
        <v>37110</v>
      </c>
      <c r="B3556">
        <v>9.1638000000000002</v>
      </c>
    </row>
    <row r="3557" spans="1:2">
      <c r="A3557" s="117">
        <v>37111</v>
      </c>
      <c r="B3557">
        <v>9.1292000000000009</v>
      </c>
    </row>
    <row r="3558" spans="1:2">
      <c r="A3558" s="117">
        <v>37112</v>
      </c>
      <c r="B3558">
        <v>9.1199999999999992</v>
      </c>
    </row>
    <row r="3559" spans="1:2">
      <c r="A3559" s="117">
        <v>37113</v>
      </c>
      <c r="B3559">
        <v>9.0958000000000006</v>
      </c>
    </row>
    <row r="3560" spans="1:2">
      <c r="A3560" s="117">
        <v>37114</v>
      </c>
      <c r="B3560">
        <v>9.0897000000000006</v>
      </c>
    </row>
    <row r="3561" spans="1:2">
      <c r="A3561" s="117">
        <v>37115</v>
      </c>
      <c r="B3561">
        <v>9.0897000000000006</v>
      </c>
    </row>
    <row r="3562" spans="1:2">
      <c r="A3562" s="117">
        <v>37116</v>
      </c>
      <c r="B3562">
        <v>9.0897000000000006</v>
      </c>
    </row>
    <row r="3563" spans="1:2">
      <c r="A3563" s="117">
        <v>37117</v>
      </c>
      <c r="B3563">
        <v>9.1247000000000007</v>
      </c>
    </row>
    <row r="3564" spans="1:2">
      <c r="A3564" s="117">
        <v>37118</v>
      </c>
      <c r="B3564">
        <v>9.0862999999999996</v>
      </c>
    </row>
    <row r="3565" spans="1:2">
      <c r="A3565" s="117">
        <v>37119</v>
      </c>
      <c r="B3565">
        <v>9.1205999999999996</v>
      </c>
    </row>
    <row r="3566" spans="1:2">
      <c r="A3566" s="117">
        <v>37120</v>
      </c>
      <c r="B3566">
        <v>9.0939999999999994</v>
      </c>
    </row>
    <row r="3567" spans="1:2">
      <c r="A3567" s="117">
        <v>37121</v>
      </c>
      <c r="B3567">
        <v>9.0832999999999995</v>
      </c>
    </row>
    <row r="3568" spans="1:2">
      <c r="A3568" s="117">
        <v>37122</v>
      </c>
      <c r="B3568">
        <v>9.0832999999999995</v>
      </c>
    </row>
    <row r="3569" spans="1:2">
      <c r="A3569" s="117">
        <v>37123</v>
      </c>
      <c r="B3569">
        <v>9.0832999999999995</v>
      </c>
    </row>
    <row r="3570" spans="1:2">
      <c r="A3570" s="117">
        <v>37124</v>
      </c>
      <c r="B3570">
        <v>9.1155000000000008</v>
      </c>
    </row>
    <row r="3571" spans="1:2">
      <c r="A3571" s="117">
        <v>37125</v>
      </c>
      <c r="B3571">
        <v>9.1382999999999992</v>
      </c>
    </row>
    <row r="3572" spans="1:2">
      <c r="A3572" s="117">
        <v>37126</v>
      </c>
      <c r="B3572">
        <v>9.1227</v>
      </c>
    </row>
    <row r="3573" spans="1:2">
      <c r="A3573" s="117">
        <v>37127</v>
      </c>
      <c r="B3573">
        <v>9.1158000000000001</v>
      </c>
    </row>
    <row r="3574" spans="1:2">
      <c r="A3574" s="117">
        <v>37128</v>
      </c>
      <c r="B3574">
        <v>9.1204999999999998</v>
      </c>
    </row>
    <row r="3575" spans="1:2">
      <c r="A3575" s="117">
        <v>37129</v>
      </c>
      <c r="B3575">
        <v>9.1204999999999998</v>
      </c>
    </row>
    <row r="3576" spans="1:2">
      <c r="A3576" s="117">
        <v>37130</v>
      </c>
      <c r="B3576">
        <v>9.1204999999999998</v>
      </c>
    </row>
    <row r="3577" spans="1:2">
      <c r="A3577" s="117">
        <v>37131</v>
      </c>
      <c r="B3577">
        <v>9.1443999999999992</v>
      </c>
    </row>
    <row r="3578" spans="1:2">
      <c r="A3578" s="117">
        <v>37132</v>
      </c>
      <c r="B3578">
        <v>9.1122999999999994</v>
      </c>
    </row>
    <row r="3579" spans="1:2">
      <c r="A3579" s="117">
        <v>37133</v>
      </c>
      <c r="B3579">
        <v>9.1364999999999998</v>
      </c>
    </row>
    <row r="3580" spans="1:2">
      <c r="A3580" s="117">
        <v>37134</v>
      </c>
      <c r="B3580">
        <v>9.1438000000000006</v>
      </c>
    </row>
    <row r="3581" spans="1:2">
      <c r="A3581" s="117">
        <v>37135</v>
      </c>
      <c r="B3581">
        <v>9.1692</v>
      </c>
    </row>
    <row r="3582" spans="1:2">
      <c r="A3582" s="117">
        <v>37136</v>
      </c>
      <c r="B3582">
        <v>9.1692</v>
      </c>
    </row>
    <row r="3583" spans="1:2">
      <c r="A3583" s="117">
        <v>37137</v>
      </c>
      <c r="B3583">
        <v>9.1692</v>
      </c>
    </row>
    <row r="3584" spans="1:2">
      <c r="A3584" s="117">
        <v>37138</v>
      </c>
      <c r="B3584">
        <v>9.1999999999999993</v>
      </c>
    </row>
    <row r="3585" spans="1:2">
      <c r="A3585" s="117">
        <v>37139</v>
      </c>
      <c r="B3585">
        <v>9.1936</v>
      </c>
    </row>
    <row r="3586" spans="1:2">
      <c r="A3586" s="117">
        <v>37140</v>
      </c>
      <c r="B3586">
        <v>9.1957000000000004</v>
      </c>
    </row>
    <row r="3587" spans="1:2">
      <c r="A3587" s="117">
        <v>37141</v>
      </c>
      <c r="B3587">
        <v>9.2586999999999993</v>
      </c>
    </row>
    <row r="3588" spans="1:2">
      <c r="A3588" s="117">
        <v>37142</v>
      </c>
      <c r="B3588">
        <v>9.2897999999999996</v>
      </c>
    </row>
    <row r="3589" spans="1:2">
      <c r="A3589" s="117">
        <v>37143</v>
      </c>
      <c r="B3589">
        <v>9.2897999999999996</v>
      </c>
    </row>
    <row r="3590" spans="1:2">
      <c r="A3590" s="117">
        <v>37144</v>
      </c>
      <c r="B3590">
        <v>9.2897999999999996</v>
      </c>
    </row>
    <row r="3591" spans="1:2">
      <c r="A3591" s="117">
        <v>37145</v>
      </c>
      <c r="B3591">
        <v>9.3241999999999994</v>
      </c>
    </row>
    <row r="3592" spans="1:2">
      <c r="A3592" s="117">
        <v>37146</v>
      </c>
      <c r="B3592">
        <v>9.3716000000000008</v>
      </c>
    </row>
    <row r="3593" spans="1:2">
      <c r="A3593" s="117">
        <v>37147</v>
      </c>
      <c r="B3593">
        <v>9.5474999999999994</v>
      </c>
    </row>
    <row r="3594" spans="1:2">
      <c r="A3594" s="117">
        <v>37148</v>
      </c>
      <c r="B3594">
        <v>9.4446999999999992</v>
      </c>
    </row>
    <row r="3595" spans="1:2">
      <c r="A3595" s="117">
        <v>37149</v>
      </c>
      <c r="B3595">
        <v>9.4748000000000001</v>
      </c>
    </row>
    <row r="3596" spans="1:2">
      <c r="A3596" s="117">
        <v>37150</v>
      </c>
      <c r="B3596">
        <v>9.4748000000000001</v>
      </c>
    </row>
    <row r="3597" spans="1:2">
      <c r="A3597" s="117">
        <v>37151</v>
      </c>
      <c r="B3597">
        <v>9.4748000000000001</v>
      </c>
    </row>
    <row r="3598" spans="1:2">
      <c r="A3598" s="117">
        <v>37152</v>
      </c>
      <c r="B3598">
        <v>9.4941999999999993</v>
      </c>
    </row>
    <row r="3599" spans="1:2">
      <c r="A3599" s="117">
        <v>37153</v>
      </c>
      <c r="B3599">
        <v>9.4478000000000009</v>
      </c>
    </row>
    <row r="3600" spans="1:2">
      <c r="A3600" s="117">
        <v>37154</v>
      </c>
      <c r="B3600">
        <v>9.4454999999999991</v>
      </c>
    </row>
    <row r="3601" spans="1:2">
      <c r="A3601" s="117">
        <v>37155</v>
      </c>
      <c r="B3601">
        <v>9.4184999999999999</v>
      </c>
    </row>
    <row r="3602" spans="1:2">
      <c r="A3602" s="117">
        <v>37156</v>
      </c>
      <c r="B3602">
        <v>9.4802</v>
      </c>
    </row>
    <row r="3603" spans="1:2">
      <c r="A3603" s="117">
        <v>37157</v>
      </c>
      <c r="B3603">
        <v>9.4802</v>
      </c>
    </row>
    <row r="3604" spans="1:2">
      <c r="A3604" s="117">
        <v>37158</v>
      </c>
      <c r="B3604">
        <v>9.4802</v>
      </c>
    </row>
    <row r="3605" spans="1:2">
      <c r="A3605" s="117">
        <v>37159</v>
      </c>
      <c r="B3605">
        <v>9.4847999999999999</v>
      </c>
    </row>
    <row r="3606" spans="1:2">
      <c r="A3606" s="117">
        <v>37160</v>
      </c>
      <c r="B3606">
        <v>9.4314999999999998</v>
      </c>
    </row>
    <row r="3607" spans="1:2">
      <c r="A3607" s="117">
        <v>37161</v>
      </c>
      <c r="B3607">
        <v>9.4841999999999995</v>
      </c>
    </row>
    <row r="3608" spans="1:2">
      <c r="A3608" s="117">
        <v>37162</v>
      </c>
      <c r="B3608">
        <v>9.5258000000000003</v>
      </c>
    </row>
    <row r="3609" spans="1:2">
      <c r="A3609" s="117">
        <v>37163</v>
      </c>
      <c r="B3609">
        <v>9.5541999999999998</v>
      </c>
    </row>
    <row r="3610" spans="1:2">
      <c r="A3610" s="117">
        <v>37164</v>
      </c>
      <c r="B3610">
        <v>9.5541999999999998</v>
      </c>
    </row>
    <row r="3611" spans="1:2">
      <c r="A3611" s="117">
        <v>37165</v>
      </c>
      <c r="B3611">
        <v>9.5541999999999998</v>
      </c>
    </row>
    <row r="3612" spans="1:2">
      <c r="A3612" s="117">
        <v>37166</v>
      </c>
      <c r="B3612">
        <v>9.5098000000000003</v>
      </c>
    </row>
    <row r="3613" spans="1:2">
      <c r="A3613" s="117">
        <v>37167</v>
      </c>
      <c r="B3613">
        <v>9.5037000000000003</v>
      </c>
    </row>
    <row r="3614" spans="1:2">
      <c r="A3614" s="117">
        <v>37168</v>
      </c>
      <c r="B3614">
        <v>9.5216999999999992</v>
      </c>
    </row>
    <row r="3615" spans="1:2">
      <c r="A3615" s="117">
        <v>37169</v>
      </c>
      <c r="B3615">
        <v>9.5273000000000003</v>
      </c>
    </row>
    <row r="3616" spans="1:2">
      <c r="A3616" s="117">
        <v>37170</v>
      </c>
      <c r="B3616">
        <v>9.5243000000000002</v>
      </c>
    </row>
    <row r="3617" spans="1:2">
      <c r="A3617" s="117">
        <v>37171</v>
      </c>
      <c r="B3617">
        <v>9.5243000000000002</v>
      </c>
    </row>
    <row r="3618" spans="1:2">
      <c r="A3618" s="117">
        <v>37172</v>
      </c>
      <c r="B3618">
        <v>9.5243000000000002</v>
      </c>
    </row>
    <row r="3619" spans="1:2">
      <c r="A3619" s="117">
        <v>37173</v>
      </c>
      <c r="B3619">
        <v>9.5808</v>
      </c>
    </row>
    <row r="3620" spans="1:2">
      <c r="A3620" s="117">
        <v>37174</v>
      </c>
      <c r="B3620">
        <v>9.5665999999999993</v>
      </c>
    </row>
    <row r="3621" spans="1:2">
      <c r="A3621" s="117">
        <v>37175</v>
      </c>
      <c r="B3621">
        <v>9.5162999999999993</v>
      </c>
    </row>
    <row r="3622" spans="1:2">
      <c r="A3622" s="117">
        <v>37176</v>
      </c>
      <c r="B3622">
        <v>9.4053000000000004</v>
      </c>
    </row>
    <row r="3623" spans="1:2">
      <c r="A3623" s="117">
        <v>37177</v>
      </c>
      <c r="B3623">
        <v>9.3397000000000006</v>
      </c>
    </row>
    <row r="3624" spans="1:2">
      <c r="A3624" s="117">
        <v>37178</v>
      </c>
      <c r="B3624">
        <v>9.3397000000000006</v>
      </c>
    </row>
    <row r="3625" spans="1:2">
      <c r="A3625" s="117">
        <v>37179</v>
      </c>
      <c r="B3625">
        <v>9.3397000000000006</v>
      </c>
    </row>
    <row r="3626" spans="1:2">
      <c r="A3626" s="117">
        <v>37180</v>
      </c>
      <c r="B3626">
        <v>9.3537999999999997</v>
      </c>
    </row>
    <row r="3627" spans="1:2">
      <c r="A3627" s="117">
        <v>37181</v>
      </c>
      <c r="B3627">
        <v>9.2752999999999997</v>
      </c>
    </row>
    <row r="3628" spans="1:2">
      <c r="A3628" s="117">
        <v>37182</v>
      </c>
      <c r="B3628">
        <v>9.2349999999999994</v>
      </c>
    </row>
    <row r="3629" spans="1:2">
      <c r="A3629" s="117">
        <v>37183</v>
      </c>
      <c r="B3629">
        <v>9.234</v>
      </c>
    </row>
    <row r="3630" spans="1:2">
      <c r="A3630" s="117">
        <v>37184</v>
      </c>
      <c r="B3630">
        <v>9.2309999999999999</v>
      </c>
    </row>
    <row r="3631" spans="1:2">
      <c r="A3631" s="117">
        <v>37185</v>
      </c>
      <c r="B3631">
        <v>9.2309999999999999</v>
      </c>
    </row>
    <row r="3632" spans="1:2">
      <c r="A3632" s="117">
        <v>37186</v>
      </c>
      <c r="B3632">
        <v>9.2309999999999999</v>
      </c>
    </row>
    <row r="3633" spans="1:2">
      <c r="A3633" s="117">
        <v>37187</v>
      </c>
      <c r="B3633">
        <v>9.1971000000000007</v>
      </c>
    </row>
    <row r="3634" spans="1:2">
      <c r="A3634" s="117">
        <v>37188</v>
      </c>
      <c r="B3634">
        <v>9.1976999999999993</v>
      </c>
    </row>
    <row r="3635" spans="1:2">
      <c r="A3635" s="117">
        <v>37189</v>
      </c>
      <c r="B3635">
        <v>9.2242999999999995</v>
      </c>
    </row>
    <row r="3636" spans="1:2">
      <c r="A3636" s="117">
        <v>37190</v>
      </c>
      <c r="B3636">
        <v>9.2172999999999998</v>
      </c>
    </row>
    <row r="3637" spans="1:2">
      <c r="A3637" s="117">
        <v>37191</v>
      </c>
      <c r="B3637">
        <v>9.2469000000000001</v>
      </c>
    </row>
    <row r="3638" spans="1:2">
      <c r="A3638" s="117">
        <v>37192</v>
      </c>
      <c r="B3638">
        <v>9.2469000000000001</v>
      </c>
    </row>
    <row r="3639" spans="1:2">
      <c r="A3639" s="117">
        <v>37193</v>
      </c>
      <c r="B3639">
        <v>9.2469000000000001</v>
      </c>
    </row>
    <row r="3640" spans="1:2">
      <c r="A3640" s="117">
        <v>37194</v>
      </c>
      <c r="B3640">
        <v>9.2721999999999998</v>
      </c>
    </row>
    <row r="3641" spans="1:2">
      <c r="A3641" s="117">
        <v>37195</v>
      </c>
      <c r="B3641">
        <v>9.2421000000000006</v>
      </c>
    </row>
    <row r="3642" spans="1:2">
      <c r="A3642" s="117">
        <v>37196</v>
      </c>
      <c r="B3642">
        <v>9.2682000000000002</v>
      </c>
    </row>
    <row r="3643" spans="1:2">
      <c r="A3643" s="117">
        <v>37197</v>
      </c>
      <c r="B3643">
        <v>9.2542000000000009</v>
      </c>
    </row>
    <row r="3644" spans="1:2">
      <c r="A3644" s="117">
        <v>37198</v>
      </c>
      <c r="B3644">
        <v>9.2891999999999992</v>
      </c>
    </row>
    <row r="3645" spans="1:2">
      <c r="A3645" s="117">
        <v>37199</v>
      </c>
      <c r="B3645">
        <v>9.2891999999999992</v>
      </c>
    </row>
    <row r="3646" spans="1:2">
      <c r="A3646" s="117">
        <v>37200</v>
      </c>
      <c r="B3646">
        <v>9.2891999999999992</v>
      </c>
    </row>
    <row r="3647" spans="1:2">
      <c r="A3647" s="117">
        <v>37201</v>
      </c>
      <c r="B3647">
        <v>9.2782999999999998</v>
      </c>
    </row>
    <row r="3648" spans="1:2">
      <c r="A3648" s="117">
        <v>37202</v>
      </c>
      <c r="B3648">
        <v>9.2220999999999993</v>
      </c>
    </row>
    <row r="3649" spans="1:2">
      <c r="A3649" s="117">
        <v>37203</v>
      </c>
      <c r="B3649">
        <v>9.2132000000000005</v>
      </c>
    </row>
    <row r="3650" spans="1:2">
      <c r="A3650" s="117">
        <v>37204</v>
      </c>
      <c r="B3650">
        <v>9.2088000000000001</v>
      </c>
    </row>
    <row r="3651" spans="1:2">
      <c r="A3651" s="117">
        <v>37205</v>
      </c>
      <c r="B3651">
        <v>9.2114999999999991</v>
      </c>
    </row>
    <row r="3652" spans="1:2">
      <c r="A3652" s="117">
        <v>37206</v>
      </c>
      <c r="B3652">
        <v>9.2114999999999991</v>
      </c>
    </row>
    <row r="3653" spans="1:2">
      <c r="A3653" s="117">
        <v>37207</v>
      </c>
      <c r="B3653">
        <v>9.2114999999999991</v>
      </c>
    </row>
    <row r="3654" spans="1:2">
      <c r="A3654" s="117">
        <v>37208</v>
      </c>
      <c r="B3654">
        <v>9.2317999999999998</v>
      </c>
    </row>
    <row r="3655" spans="1:2">
      <c r="A3655" s="117">
        <v>37209</v>
      </c>
      <c r="B3655">
        <v>9.2707999999999995</v>
      </c>
    </row>
    <row r="3656" spans="1:2">
      <c r="A3656" s="117">
        <v>37210</v>
      </c>
      <c r="B3656">
        <v>9.2518999999999991</v>
      </c>
    </row>
    <row r="3657" spans="1:2">
      <c r="A3657" s="117">
        <v>37211</v>
      </c>
      <c r="B3657">
        <v>9.2362000000000002</v>
      </c>
    </row>
    <row r="3658" spans="1:2">
      <c r="A3658" s="117">
        <v>37212</v>
      </c>
      <c r="B3658">
        <v>9.2027999999999999</v>
      </c>
    </row>
    <row r="3659" spans="1:2">
      <c r="A3659" s="117">
        <v>37213</v>
      </c>
      <c r="B3659">
        <v>9.2027999999999999</v>
      </c>
    </row>
    <row r="3660" spans="1:2">
      <c r="A3660" s="117">
        <v>37214</v>
      </c>
      <c r="B3660">
        <v>9.2027999999999999</v>
      </c>
    </row>
    <row r="3661" spans="1:2">
      <c r="A3661" s="117">
        <v>37215</v>
      </c>
      <c r="B3661">
        <v>9.2120999999999995</v>
      </c>
    </row>
    <row r="3662" spans="1:2">
      <c r="A3662" s="117">
        <v>37216</v>
      </c>
      <c r="B3662">
        <v>9.2120999999999995</v>
      </c>
    </row>
    <row r="3663" spans="1:2">
      <c r="A3663" s="117">
        <v>37217</v>
      </c>
      <c r="B3663">
        <v>9.1967999999999996</v>
      </c>
    </row>
    <row r="3664" spans="1:2">
      <c r="A3664" s="117">
        <v>37218</v>
      </c>
      <c r="B3664">
        <v>9.1409000000000002</v>
      </c>
    </row>
    <row r="3665" spans="1:2">
      <c r="A3665" s="117">
        <v>37219</v>
      </c>
      <c r="B3665">
        <v>9.1547000000000001</v>
      </c>
    </row>
    <row r="3666" spans="1:2">
      <c r="A3666" s="117">
        <v>37220</v>
      </c>
      <c r="B3666">
        <v>9.1547000000000001</v>
      </c>
    </row>
    <row r="3667" spans="1:2">
      <c r="A3667" s="117">
        <v>37221</v>
      </c>
      <c r="B3667">
        <v>9.1547000000000001</v>
      </c>
    </row>
    <row r="3668" spans="1:2">
      <c r="A3668" s="117">
        <v>37222</v>
      </c>
      <c r="B3668">
        <v>9.1476000000000006</v>
      </c>
    </row>
    <row r="3669" spans="1:2">
      <c r="A3669" s="117">
        <v>37223</v>
      </c>
      <c r="B3669">
        <v>9.1646999999999998</v>
      </c>
    </row>
    <row r="3670" spans="1:2">
      <c r="A3670" s="117">
        <v>37224</v>
      </c>
      <c r="B3670">
        <v>9.2371999999999996</v>
      </c>
    </row>
    <row r="3671" spans="1:2">
      <c r="A3671" s="117">
        <v>37225</v>
      </c>
      <c r="B3671">
        <v>9.2761999999999993</v>
      </c>
    </row>
    <row r="3672" spans="1:2">
      <c r="A3672" s="117">
        <v>37226</v>
      </c>
      <c r="B3672">
        <v>9.2814999999999994</v>
      </c>
    </row>
    <row r="3673" spans="1:2">
      <c r="A3673" s="117">
        <v>37227</v>
      </c>
      <c r="B3673">
        <v>9.2814999999999994</v>
      </c>
    </row>
    <row r="3674" spans="1:2">
      <c r="A3674" s="117">
        <v>37228</v>
      </c>
      <c r="B3674">
        <v>9.2814999999999994</v>
      </c>
    </row>
    <row r="3675" spans="1:2">
      <c r="A3675" s="117">
        <v>37229</v>
      </c>
      <c r="B3675">
        <v>9.2681000000000004</v>
      </c>
    </row>
    <row r="3676" spans="1:2">
      <c r="A3676" s="117">
        <v>37230</v>
      </c>
      <c r="B3676">
        <v>9.2050000000000001</v>
      </c>
    </row>
    <row r="3677" spans="1:2">
      <c r="A3677" s="117">
        <v>37231</v>
      </c>
      <c r="B3677">
        <v>9.2196999999999996</v>
      </c>
    </row>
    <row r="3678" spans="1:2">
      <c r="A3678" s="117">
        <v>37232</v>
      </c>
      <c r="B3678">
        <v>9.2164999999999999</v>
      </c>
    </row>
    <row r="3679" spans="1:2">
      <c r="A3679" s="117">
        <v>37233</v>
      </c>
      <c r="B3679">
        <v>9.2401</v>
      </c>
    </row>
    <row r="3680" spans="1:2">
      <c r="A3680" s="117">
        <v>37234</v>
      </c>
      <c r="B3680">
        <v>9.2401</v>
      </c>
    </row>
    <row r="3681" spans="1:2">
      <c r="A3681" s="117">
        <v>37235</v>
      </c>
      <c r="B3681">
        <v>9.2401</v>
      </c>
    </row>
    <row r="3682" spans="1:2">
      <c r="A3682" s="117">
        <v>37236</v>
      </c>
      <c r="B3682">
        <v>9.2124000000000006</v>
      </c>
    </row>
    <row r="3683" spans="1:2">
      <c r="A3683" s="117">
        <v>37237</v>
      </c>
      <c r="B3683">
        <v>9.1865000000000006</v>
      </c>
    </row>
    <row r="3684" spans="1:2">
      <c r="A3684" s="117">
        <v>37238</v>
      </c>
      <c r="B3684">
        <v>9.1865000000000006</v>
      </c>
    </row>
    <row r="3685" spans="1:2">
      <c r="A3685" s="117">
        <v>37239</v>
      </c>
      <c r="B3685">
        <v>9.1819000000000006</v>
      </c>
    </row>
    <row r="3686" spans="1:2">
      <c r="A3686" s="117">
        <v>37240</v>
      </c>
      <c r="B3686">
        <v>9.1204000000000001</v>
      </c>
    </row>
    <row r="3687" spans="1:2">
      <c r="A3687" s="117">
        <v>37241</v>
      </c>
      <c r="B3687">
        <v>9.1204000000000001</v>
      </c>
    </row>
    <row r="3688" spans="1:2">
      <c r="A3688" s="117">
        <v>37242</v>
      </c>
      <c r="B3688">
        <v>9.1204000000000001</v>
      </c>
    </row>
    <row r="3689" spans="1:2">
      <c r="A3689" s="117">
        <v>37243</v>
      </c>
      <c r="B3689">
        <v>9.0798000000000005</v>
      </c>
    </row>
    <row r="3690" spans="1:2">
      <c r="A3690" s="117">
        <v>37244</v>
      </c>
      <c r="B3690">
        <v>9.1197999999999997</v>
      </c>
    </row>
    <row r="3691" spans="1:2">
      <c r="A3691" s="117">
        <v>37245</v>
      </c>
      <c r="B3691">
        <v>9.1052</v>
      </c>
    </row>
    <row r="3692" spans="1:2">
      <c r="A3692" s="117">
        <v>37246</v>
      </c>
      <c r="B3692">
        <v>9.1174999999999997</v>
      </c>
    </row>
    <row r="3693" spans="1:2">
      <c r="A3693" s="117">
        <v>37247</v>
      </c>
      <c r="B3693">
        <v>9.1682000000000006</v>
      </c>
    </row>
    <row r="3694" spans="1:2">
      <c r="A3694" s="117">
        <v>37248</v>
      </c>
      <c r="B3694">
        <v>9.1682000000000006</v>
      </c>
    </row>
    <row r="3695" spans="1:2">
      <c r="A3695" s="117">
        <v>37249</v>
      </c>
      <c r="B3695">
        <v>9.1682000000000006</v>
      </c>
    </row>
    <row r="3696" spans="1:2">
      <c r="A3696" s="117">
        <v>37250</v>
      </c>
      <c r="B3696">
        <v>9.1234999999999999</v>
      </c>
    </row>
    <row r="3697" spans="1:2">
      <c r="A3697" s="117">
        <v>37251</v>
      </c>
      <c r="B3697">
        <v>9.1234999999999999</v>
      </c>
    </row>
    <row r="3698" spans="1:2">
      <c r="A3698" s="117">
        <v>37252</v>
      </c>
      <c r="B3698">
        <v>9.0922999999999998</v>
      </c>
    </row>
    <row r="3699" spans="1:2">
      <c r="A3699" s="117">
        <v>37253</v>
      </c>
      <c r="B3699">
        <v>9.0957000000000008</v>
      </c>
    </row>
    <row r="3700" spans="1:2">
      <c r="A3700" s="117">
        <v>37254</v>
      </c>
      <c r="B3700">
        <v>9.1423000000000005</v>
      </c>
    </row>
    <row r="3701" spans="1:2">
      <c r="A3701" s="117">
        <v>37255</v>
      </c>
      <c r="B3701">
        <v>9.1423000000000005</v>
      </c>
    </row>
    <row r="3702" spans="1:2">
      <c r="A3702" s="117">
        <v>37256</v>
      </c>
      <c r="B3702">
        <v>9.1423000000000005</v>
      </c>
    </row>
    <row r="3703" spans="1:2">
      <c r="A3703" s="117">
        <v>37257</v>
      </c>
      <c r="B3703">
        <v>9.1692</v>
      </c>
    </row>
    <row r="3704" spans="1:2">
      <c r="A3704" s="117">
        <v>37258</v>
      </c>
      <c r="B3704">
        <v>9.1692</v>
      </c>
    </row>
    <row r="3705" spans="1:2">
      <c r="A3705" s="117">
        <v>37259</v>
      </c>
      <c r="B3705">
        <v>9.1694999999999993</v>
      </c>
    </row>
    <row r="3706" spans="1:2">
      <c r="A3706" s="117">
        <v>37260</v>
      </c>
      <c r="B3706">
        <v>9.1036999999999999</v>
      </c>
    </row>
    <row r="3707" spans="1:2">
      <c r="A3707" s="117">
        <v>37261</v>
      </c>
      <c r="B3707">
        <v>9.1142000000000003</v>
      </c>
    </row>
    <row r="3708" spans="1:2">
      <c r="A3708" s="117">
        <v>37262</v>
      </c>
      <c r="B3708">
        <v>9.1142000000000003</v>
      </c>
    </row>
    <row r="3709" spans="1:2">
      <c r="A3709" s="117">
        <v>37263</v>
      </c>
      <c r="B3709">
        <v>9.1142000000000003</v>
      </c>
    </row>
    <row r="3710" spans="1:2">
      <c r="A3710" s="117">
        <v>37264</v>
      </c>
      <c r="B3710">
        <v>9.1367999999999991</v>
      </c>
    </row>
    <row r="3711" spans="1:2">
      <c r="A3711" s="117">
        <v>37265</v>
      </c>
      <c r="B3711">
        <v>9.1554000000000002</v>
      </c>
    </row>
    <row r="3712" spans="1:2">
      <c r="A3712" s="117">
        <v>37266</v>
      </c>
      <c r="B3712">
        <v>9.1677999999999997</v>
      </c>
    </row>
    <row r="3713" spans="1:2">
      <c r="A3713" s="117">
        <v>37267</v>
      </c>
      <c r="B3713">
        <v>9.2043999999999997</v>
      </c>
    </row>
    <row r="3714" spans="1:2">
      <c r="A3714" s="117">
        <v>37268</v>
      </c>
      <c r="B3714">
        <v>9.2444000000000006</v>
      </c>
    </row>
    <row r="3715" spans="1:2">
      <c r="A3715" s="117">
        <v>37269</v>
      </c>
      <c r="B3715">
        <v>9.2444000000000006</v>
      </c>
    </row>
    <row r="3716" spans="1:2">
      <c r="A3716" s="117">
        <v>37270</v>
      </c>
      <c r="B3716">
        <v>9.2444000000000006</v>
      </c>
    </row>
    <row r="3717" spans="1:2">
      <c r="A3717" s="117">
        <v>37271</v>
      </c>
      <c r="B3717">
        <v>9.2734000000000005</v>
      </c>
    </row>
    <row r="3718" spans="1:2">
      <c r="A3718" s="117">
        <v>37272</v>
      </c>
      <c r="B3718">
        <v>9.1922999999999995</v>
      </c>
    </row>
    <row r="3719" spans="1:2">
      <c r="A3719" s="117">
        <v>37273</v>
      </c>
      <c r="B3719">
        <v>9.1710999999999991</v>
      </c>
    </row>
    <row r="3720" spans="1:2">
      <c r="A3720" s="117">
        <v>37274</v>
      </c>
      <c r="B3720">
        <v>9.1992999999999991</v>
      </c>
    </row>
    <row r="3721" spans="1:2">
      <c r="A3721" s="117">
        <v>37275</v>
      </c>
      <c r="B3721">
        <v>9.1255000000000006</v>
      </c>
    </row>
    <row r="3722" spans="1:2">
      <c r="A3722" s="117">
        <v>37276</v>
      </c>
      <c r="B3722">
        <v>9.1255000000000006</v>
      </c>
    </row>
    <row r="3723" spans="1:2">
      <c r="A3723" s="117">
        <v>37277</v>
      </c>
      <c r="B3723">
        <v>9.1255000000000006</v>
      </c>
    </row>
    <row r="3724" spans="1:2">
      <c r="A3724" s="117">
        <v>37278</v>
      </c>
      <c r="B3724">
        <v>9.1189999999999998</v>
      </c>
    </row>
    <row r="3725" spans="1:2">
      <c r="A3725" s="117">
        <v>37279</v>
      </c>
      <c r="B3725">
        <v>9.1219000000000001</v>
      </c>
    </row>
    <row r="3726" spans="1:2">
      <c r="A3726" s="117">
        <v>37280</v>
      </c>
      <c r="B3726">
        <v>9.1521000000000008</v>
      </c>
    </row>
    <row r="3727" spans="1:2">
      <c r="A3727" s="117">
        <v>37281</v>
      </c>
      <c r="B3727">
        <v>9.1479999999999997</v>
      </c>
    </row>
    <row r="3728" spans="1:2">
      <c r="A3728" s="117">
        <v>37282</v>
      </c>
      <c r="B3728">
        <v>9.1227</v>
      </c>
    </row>
    <row r="3729" spans="1:2">
      <c r="A3729" s="117">
        <v>37283</v>
      </c>
      <c r="B3729">
        <v>9.1227</v>
      </c>
    </row>
    <row r="3730" spans="1:2">
      <c r="A3730" s="117">
        <v>37284</v>
      </c>
      <c r="B3730">
        <v>9.1227</v>
      </c>
    </row>
    <row r="3731" spans="1:2">
      <c r="A3731" s="117">
        <v>37285</v>
      </c>
      <c r="B3731">
        <v>9.1295000000000002</v>
      </c>
    </row>
    <row r="3732" spans="1:2">
      <c r="A3732" s="117">
        <v>37286</v>
      </c>
      <c r="B3732">
        <v>9.1585000000000001</v>
      </c>
    </row>
    <row r="3733" spans="1:2">
      <c r="A3733" s="117">
        <v>37287</v>
      </c>
      <c r="B3733">
        <v>9.1714000000000002</v>
      </c>
    </row>
    <row r="3734" spans="1:2">
      <c r="A3734" s="117">
        <v>37288</v>
      </c>
      <c r="B3734">
        <v>9.1974</v>
      </c>
    </row>
    <row r="3735" spans="1:2">
      <c r="A3735" s="117">
        <v>37289</v>
      </c>
      <c r="B3735">
        <v>9.1463000000000001</v>
      </c>
    </row>
    <row r="3736" spans="1:2">
      <c r="A3736" s="117">
        <v>37290</v>
      </c>
      <c r="B3736">
        <v>9.1463000000000001</v>
      </c>
    </row>
    <row r="3737" spans="1:2">
      <c r="A3737" s="117">
        <v>37291</v>
      </c>
      <c r="B3737">
        <v>9.1463000000000001</v>
      </c>
    </row>
    <row r="3738" spans="1:2">
      <c r="A3738" s="117">
        <v>37292</v>
      </c>
      <c r="B3738">
        <v>9.1544000000000008</v>
      </c>
    </row>
    <row r="3739" spans="1:2">
      <c r="A3739" s="117">
        <v>37293</v>
      </c>
      <c r="B3739">
        <v>9.1544000000000008</v>
      </c>
    </row>
    <row r="3740" spans="1:2">
      <c r="A3740" s="117">
        <v>37294</v>
      </c>
      <c r="B3740">
        <v>9.1626999999999992</v>
      </c>
    </row>
    <row r="3741" spans="1:2">
      <c r="A3741" s="117">
        <v>37295</v>
      </c>
      <c r="B3741">
        <v>9.1294000000000004</v>
      </c>
    </row>
    <row r="3742" spans="1:2">
      <c r="A3742" s="117">
        <v>37296</v>
      </c>
      <c r="B3742">
        <v>9.1380999999999997</v>
      </c>
    </row>
    <row r="3743" spans="1:2">
      <c r="A3743" s="117">
        <v>37297</v>
      </c>
      <c r="B3743">
        <v>9.1380999999999997</v>
      </c>
    </row>
    <row r="3744" spans="1:2">
      <c r="A3744" s="117">
        <v>37298</v>
      </c>
      <c r="B3744">
        <v>9.1380999999999997</v>
      </c>
    </row>
    <row r="3745" spans="1:2">
      <c r="A3745" s="117">
        <v>37299</v>
      </c>
      <c r="B3745">
        <v>9.1464999999999996</v>
      </c>
    </row>
    <row r="3746" spans="1:2">
      <c r="A3746" s="117">
        <v>37300</v>
      </c>
      <c r="B3746">
        <v>9.0786999999999995</v>
      </c>
    </row>
    <row r="3747" spans="1:2">
      <c r="A3747" s="117">
        <v>37301</v>
      </c>
      <c r="B3747">
        <v>9.0896000000000008</v>
      </c>
    </row>
    <row r="3748" spans="1:2">
      <c r="A3748" s="117">
        <v>37302</v>
      </c>
      <c r="B3748">
        <v>9.0607000000000006</v>
      </c>
    </row>
    <row r="3749" spans="1:2">
      <c r="A3749" s="117">
        <v>37303</v>
      </c>
      <c r="B3749">
        <v>9.0838000000000001</v>
      </c>
    </row>
    <row r="3750" spans="1:2">
      <c r="A3750" s="117">
        <v>37304</v>
      </c>
      <c r="B3750">
        <v>9.0838000000000001</v>
      </c>
    </row>
    <row r="3751" spans="1:2">
      <c r="A3751" s="117">
        <v>37305</v>
      </c>
      <c r="B3751">
        <v>9.0838000000000001</v>
      </c>
    </row>
    <row r="3752" spans="1:2">
      <c r="A3752" s="117">
        <v>37306</v>
      </c>
      <c r="B3752">
        <v>9.0652000000000008</v>
      </c>
    </row>
    <row r="3753" spans="1:2">
      <c r="A3753" s="117">
        <v>37307</v>
      </c>
      <c r="B3753">
        <v>9.0638000000000005</v>
      </c>
    </row>
    <row r="3754" spans="1:2">
      <c r="A3754" s="117">
        <v>37308</v>
      </c>
      <c r="B3754">
        <v>9.0690000000000008</v>
      </c>
    </row>
    <row r="3755" spans="1:2">
      <c r="A3755" s="117">
        <v>37309</v>
      </c>
      <c r="B3755">
        <v>9.0858000000000008</v>
      </c>
    </row>
    <row r="3756" spans="1:2">
      <c r="A3756" s="117">
        <v>37310</v>
      </c>
      <c r="B3756">
        <v>9.0756999999999994</v>
      </c>
    </row>
    <row r="3757" spans="1:2">
      <c r="A3757" s="117">
        <v>37311</v>
      </c>
      <c r="B3757">
        <v>9.0756999999999994</v>
      </c>
    </row>
    <row r="3758" spans="1:2">
      <c r="A3758" s="117">
        <v>37312</v>
      </c>
      <c r="B3758">
        <v>9.0756999999999994</v>
      </c>
    </row>
    <row r="3759" spans="1:2">
      <c r="A3759" s="117">
        <v>37313</v>
      </c>
      <c r="B3759">
        <v>9.1060999999999996</v>
      </c>
    </row>
    <row r="3760" spans="1:2">
      <c r="A3760" s="117">
        <v>37314</v>
      </c>
      <c r="B3760">
        <v>9.0831</v>
      </c>
    </row>
    <row r="3761" spans="1:2">
      <c r="A3761" s="117">
        <v>37315</v>
      </c>
      <c r="B3761">
        <v>9.0815000000000001</v>
      </c>
    </row>
    <row r="3762" spans="1:2">
      <c r="A3762" s="117">
        <v>37316</v>
      </c>
      <c r="B3762">
        <v>9.0919000000000008</v>
      </c>
    </row>
    <row r="3763" spans="1:2">
      <c r="A3763" s="117">
        <v>37317</v>
      </c>
      <c r="B3763">
        <v>9.1303000000000001</v>
      </c>
    </row>
    <row r="3764" spans="1:2">
      <c r="A3764" s="117">
        <v>37318</v>
      </c>
      <c r="B3764">
        <v>9.1303000000000001</v>
      </c>
    </row>
    <row r="3765" spans="1:2">
      <c r="A3765" s="117">
        <v>37319</v>
      </c>
      <c r="B3765">
        <v>9.1303000000000001</v>
      </c>
    </row>
    <row r="3766" spans="1:2">
      <c r="A3766" s="117">
        <v>37320</v>
      </c>
      <c r="B3766">
        <v>9.0957000000000008</v>
      </c>
    </row>
    <row r="3767" spans="1:2">
      <c r="A3767" s="117">
        <v>37321</v>
      </c>
      <c r="B3767">
        <v>9.0723000000000003</v>
      </c>
    </row>
    <row r="3768" spans="1:2">
      <c r="A3768" s="117">
        <v>37322</v>
      </c>
      <c r="B3768">
        <v>9.077</v>
      </c>
    </row>
    <row r="3769" spans="1:2">
      <c r="A3769" s="117">
        <v>37323</v>
      </c>
      <c r="B3769">
        <v>9.0797000000000008</v>
      </c>
    </row>
    <row r="3770" spans="1:2">
      <c r="A3770" s="117">
        <v>37324</v>
      </c>
      <c r="B3770">
        <v>9.0753000000000004</v>
      </c>
    </row>
    <row r="3771" spans="1:2">
      <c r="A3771" s="117">
        <v>37325</v>
      </c>
      <c r="B3771">
        <v>9.0753000000000004</v>
      </c>
    </row>
    <row r="3772" spans="1:2">
      <c r="A3772" s="117">
        <v>37326</v>
      </c>
      <c r="B3772">
        <v>9.0753000000000004</v>
      </c>
    </row>
    <row r="3773" spans="1:2">
      <c r="A3773" s="117">
        <v>37327</v>
      </c>
      <c r="B3773">
        <v>9.0728000000000009</v>
      </c>
    </row>
    <row r="3774" spans="1:2">
      <c r="A3774" s="117">
        <v>37328</v>
      </c>
      <c r="B3774">
        <v>9.0702999999999996</v>
      </c>
    </row>
    <row r="3775" spans="1:2">
      <c r="A3775" s="117">
        <v>37329</v>
      </c>
      <c r="B3775">
        <v>9.0753000000000004</v>
      </c>
    </row>
    <row r="3776" spans="1:2">
      <c r="A3776" s="117">
        <v>37330</v>
      </c>
      <c r="B3776">
        <v>9.1152999999999995</v>
      </c>
    </row>
    <row r="3777" spans="1:2">
      <c r="A3777" s="117">
        <v>37331</v>
      </c>
      <c r="B3777">
        <v>9.1181999999999999</v>
      </c>
    </row>
    <row r="3778" spans="1:2">
      <c r="A3778" s="117">
        <v>37332</v>
      </c>
      <c r="B3778">
        <v>9.1181999999999999</v>
      </c>
    </row>
    <row r="3779" spans="1:2">
      <c r="A3779" s="117">
        <v>37333</v>
      </c>
      <c r="B3779">
        <v>9.1181999999999999</v>
      </c>
    </row>
    <row r="3780" spans="1:2">
      <c r="A3780" s="117">
        <v>37334</v>
      </c>
      <c r="B3780">
        <v>9.0929000000000002</v>
      </c>
    </row>
    <row r="3781" spans="1:2">
      <c r="A3781" s="117">
        <v>37335</v>
      </c>
      <c r="B3781">
        <v>9.0732999999999997</v>
      </c>
    </row>
    <row r="3782" spans="1:2">
      <c r="A3782" s="117">
        <v>37336</v>
      </c>
      <c r="B3782">
        <v>9.0741999999999994</v>
      </c>
    </row>
    <row r="3783" spans="1:2">
      <c r="A3783" s="117">
        <v>37337</v>
      </c>
      <c r="B3783">
        <v>9.0741999999999994</v>
      </c>
    </row>
    <row r="3784" spans="1:2">
      <c r="A3784" s="117">
        <v>37338</v>
      </c>
      <c r="B3784">
        <v>9.0707000000000004</v>
      </c>
    </row>
    <row r="3785" spans="1:2">
      <c r="A3785" s="117">
        <v>37339</v>
      </c>
      <c r="B3785">
        <v>9.0707000000000004</v>
      </c>
    </row>
    <row r="3786" spans="1:2">
      <c r="A3786" s="117">
        <v>37340</v>
      </c>
      <c r="B3786">
        <v>9.0707000000000004</v>
      </c>
    </row>
    <row r="3787" spans="1:2">
      <c r="A3787" s="117">
        <v>37341</v>
      </c>
      <c r="B3787">
        <v>9.0403000000000002</v>
      </c>
    </row>
    <row r="3788" spans="1:2">
      <c r="A3788" s="117">
        <v>37342</v>
      </c>
      <c r="B3788">
        <v>9.0297999999999998</v>
      </c>
    </row>
    <row r="3789" spans="1:2">
      <c r="A3789" s="117">
        <v>37343</v>
      </c>
      <c r="B3789">
        <v>9.0243000000000002</v>
      </c>
    </row>
    <row r="3790" spans="1:2">
      <c r="A3790" s="117">
        <v>37344</v>
      </c>
      <c r="B3790">
        <v>9.0243000000000002</v>
      </c>
    </row>
    <row r="3791" spans="1:2">
      <c r="A3791" s="117">
        <v>37345</v>
      </c>
      <c r="B3791">
        <v>9.0243000000000002</v>
      </c>
    </row>
    <row r="3792" spans="1:2">
      <c r="A3792" s="117">
        <v>37346</v>
      </c>
      <c r="B3792">
        <v>9.0243000000000002</v>
      </c>
    </row>
    <row r="3793" spans="1:2">
      <c r="A3793" s="117">
        <v>37347</v>
      </c>
      <c r="B3793">
        <v>9.0243000000000002</v>
      </c>
    </row>
    <row r="3794" spans="1:2">
      <c r="A3794" s="117">
        <v>37348</v>
      </c>
      <c r="B3794">
        <v>9.016</v>
      </c>
    </row>
    <row r="3795" spans="1:2">
      <c r="A3795" s="117">
        <v>37349</v>
      </c>
      <c r="B3795">
        <v>9.0048999999999992</v>
      </c>
    </row>
    <row r="3796" spans="1:2">
      <c r="A3796" s="117">
        <v>37350</v>
      </c>
      <c r="B3796">
        <v>8.9979999999999993</v>
      </c>
    </row>
    <row r="3797" spans="1:2">
      <c r="A3797" s="117">
        <v>37351</v>
      </c>
      <c r="B3797">
        <v>9.0397999999999996</v>
      </c>
    </row>
    <row r="3798" spans="1:2">
      <c r="A3798" s="117">
        <v>37352</v>
      </c>
      <c r="B3798">
        <v>9.0467999999999993</v>
      </c>
    </row>
    <row r="3799" spans="1:2">
      <c r="A3799" s="117">
        <v>37353</v>
      </c>
      <c r="B3799">
        <v>9.0467999999999993</v>
      </c>
    </row>
    <row r="3800" spans="1:2">
      <c r="A3800" s="117">
        <v>37354</v>
      </c>
      <c r="B3800">
        <v>9.0467999999999993</v>
      </c>
    </row>
    <row r="3801" spans="1:2">
      <c r="A3801" s="117">
        <v>37355</v>
      </c>
      <c r="B3801">
        <v>9.0266000000000002</v>
      </c>
    </row>
    <row r="3802" spans="1:2">
      <c r="A3802" s="117">
        <v>37356</v>
      </c>
      <c r="B3802">
        <v>9.0216999999999992</v>
      </c>
    </row>
    <row r="3803" spans="1:2">
      <c r="A3803" s="117">
        <v>37357</v>
      </c>
      <c r="B3803">
        <v>9.0421999999999993</v>
      </c>
    </row>
    <row r="3804" spans="1:2">
      <c r="A3804" s="117">
        <v>37358</v>
      </c>
      <c r="B3804">
        <v>9.0446000000000009</v>
      </c>
    </row>
    <row r="3805" spans="1:2">
      <c r="A3805" s="117">
        <v>37359</v>
      </c>
      <c r="B3805">
        <v>9.0770999999999997</v>
      </c>
    </row>
    <row r="3806" spans="1:2">
      <c r="A3806" s="117">
        <v>37360</v>
      </c>
      <c r="B3806">
        <v>9.0770999999999997</v>
      </c>
    </row>
    <row r="3807" spans="1:2">
      <c r="A3807" s="117">
        <v>37361</v>
      </c>
      <c r="B3807">
        <v>9.0770999999999997</v>
      </c>
    </row>
    <row r="3808" spans="1:2">
      <c r="A3808" s="117">
        <v>37362</v>
      </c>
      <c r="B3808">
        <v>9.0748999999999995</v>
      </c>
    </row>
    <row r="3809" spans="1:2">
      <c r="A3809" s="117">
        <v>37363</v>
      </c>
      <c r="B3809">
        <v>9.1714000000000002</v>
      </c>
    </row>
    <row r="3810" spans="1:2">
      <c r="A3810" s="117">
        <v>37364</v>
      </c>
      <c r="B3810">
        <v>9.1597000000000008</v>
      </c>
    </row>
    <row r="3811" spans="1:2">
      <c r="A3811" s="117">
        <v>37365</v>
      </c>
      <c r="B3811">
        <v>9.1904000000000003</v>
      </c>
    </row>
    <row r="3812" spans="1:2">
      <c r="A3812" s="117">
        <v>37366</v>
      </c>
      <c r="B3812">
        <v>9.2345000000000006</v>
      </c>
    </row>
    <row r="3813" spans="1:2">
      <c r="A3813" s="117">
        <v>37367</v>
      </c>
      <c r="B3813">
        <v>9.2345000000000006</v>
      </c>
    </row>
    <row r="3814" spans="1:2">
      <c r="A3814" s="117">
        <v>37368</v>
      </c>
      <c r="B3814">
        <v>9.2345000000000006</v>
      </c>
    </row>
    <row r="3815" spans="1:2">
      <c r="A3815" s="117">
        <v>37369</v>
      </c>
      <c r="B3815">
        <v>9.2247000000000003</v>
      </c>
    </row>
    <row r="3816" spans="1:2">
      <c r="A3816" s="117">
        <v>37370</v>
      </c>
      <c r="B3816">
        <v>9.2662999999999993</v>
      </c>
    </row>
    <row r="3817" spans="1:2">
      <c r="A3817" s="117">
        <v>37371</v>
      </c>
      <c r="B3817">
        <v>9.2698</v>
      </c>
    </row>
    <row r="3818" spans="1:2">
      <c r="A3818" s="117">
        <v>37372</v>
      </c>
      <c r="B3818">
        <v>9.2908000000000008</v>
      </c>
    </row>
    <row r="3819" spans="1:2">
      <c r="A3819" s="117">
        <v>37373</v>
      </c>
      <c r="B3819">
        <v>9.3528000000000002</v>
      </c>
    </row>
    <row r="3820" spans="1:2">
      <c r="A3820" s="117">
        <v>37374</v>
      </c>
      <c r="B3820">
        <v>9.3528000000000002</v>
      </c>
    </row>
    <row r="3821" spans="1:2">
      <c r="A3821" s="117">
        <v>37375</v>
      </c>
      <c r="B3821">
        <v>9.3528000000000002</v>
      </c>
    </row>
    <row r="3822" spans="1:2">
      <c r="A3822" s="117">
        <v>37376</v>
      </c>
      <c r="B3822">
        <v>9.3195999999999994</v>
      </c>
    </row>
    <row r="3823" spans="1:2">
      <c r="A3823" s="117">
        <v>37377</v>
      </c>
      <c r="B3823">
        <v>9.3542000000000005</v>
      </c>
    </row>
    <row r="3824" spans="1:2">
      <c r="A3824" s="117">
        <v>37378</v>
      </c>
      <c r="B3824">
        <v>9.3542000000000005</v>
      </c>
    </row>
    <row r="3825" spans="1:2">
      <c r="A3825" s="117">
        <v>37379</v>
      </c>
      <c r="B3825">
        <v>9.3719999999999999</v>
      </c>
    </row>
    <row r="3826" spans="1:2">
      <c r="A3826" s="117">
        <v>37380</v>
      </c>
      <c r="B3826">
        <v>9.4169999999999998</v>
      </c>
    </row>
    <row r="3827" spans="1:2">
      <c r="A3827" s="117">
        <v>37381</v>
      </c>
      <c r="B3827">
        <v>9.4169999999999998</v>
      </c>
    </row>
    <row r="3828" spans="1:2">
      <c r="A3828" s="117">
        <v>37382</v>
      </c>
      <c r="B3828">
        <v>9.4169999999999998</v>
      </c>
    </row>
    <row r="3829" spans="1:2">
      <c r="A3829" s="117">
        <v>37383</v>
      </c>
      <c r="B3829">
        <v>9.4977999999999998</v>
      </c>
    </row>
    <row r="3830" spans="1:2">
      <c r="A3830" s="117">
        <v>37384</v>
      </c>
      <c r="B3830">
        <v>9.4913000000000007</v>
      </c>
    </row>
    <row r="3831" spans="1:2">
      <c r="A3831" s="117">
        <v>37385</v>
      </c>
      <c r="B3831">
        <v>9.4827999999999992</v>
      </c>
    </row>
    <row r="3832" spans="1:2">
      <c r="A3832" s="117">
        <v>37386</v>
      </c>
      <c r="B3832">
        <v>9.4169999999999998</v>
      </c>
    </row>
    <row r="3833" spans="1:2">
      <c r="A3833" s="117">
        <v>37387</v>
      </c>
      <c r="B3833">
        <v>9.4463000000000008</v>
      </c>
    </row>
    <row r="3834" spans="1:2">
      <c r="A3834" s="117">
        <v>37388</v>
      </c>
      <c r="B3834">
        <v>9.4463000000000008</v>
      </c>
    </row>
    <row r="3835" spans="1:2">
      <c r="A3835" s="117">
        <v>37389</v>
      </c>
      <c r="B3835">
        <v>9.4463000000000008</v>
      </c>
    </row>
    <row r="3836" spans="1:2">
      <c r="A3836" s="117">
        <v>37390</v>
      </c>
      <c r="B3836">
        <v>9.5101999999999993</v>
      </c>
    </row>
    <row r="3837" spans="1:2">
      <c r="A3837" s="117">
        <v>37391</v>
      </c>
      <c r="B3837">
        <v>9.4932999999999996</v>
      </c>
    </row>
    <row r="3838" spans="1:2">
      <c r="A3838" s="117">
        <v>37392</v>
      </c>
      <c r="B3838">
        <v>9.5204000000000004</v>
      </c>
    </row>
    <row r="3839" spans="1:2">
      <c r="A3839" s="117">
        <v>37393</v>
      </c>
      <c r="B3839">
        <v>9.4717000000000002</v>
      </c>
    </row>
    <row r="3840" spans="1:2">
      <c r="A3840" s="117">
        <v>37394</v>
      </c>
      <c r="B3840">
        <v>9.4863</v>
      </c>
    </row>
    <row r="3841" spans="1:2">
      <c r="A3841" s="117">
        <v>37395</v>
      </c>
      <c r="B3841">
        <v>9.4863</v>
      </c>
    </row>
    <row r="3842" spans="1:2">
      <c r="A3842" s="117">
        <v>37396</v>
      </c>
      <c r="B3842">
        <v>9.4863</v>
      </c>
    </row>
    <row r="3843" spans="1:2">
      <c r="A3843" s="117">
        <v>37397</v>
      </c>
      <c r="B3843">
        <v>9.4710000000000001</v>
      </c>
    </row>
    <row r="3844" spans="1:2">
      <c r="A3844" s="117">
        <v>37398</v>
      </c>
      <c r="B3844">
        <v>9.4909999999999997</v>
      </c>
    </row>
    <row r="3845" spans="1:2">
      <c r="A3845" s="117">
        <v>37399</v>
      </c>
      <c r="B3845">
        <v>9.5132999999999992</v>
      </c>
    </row>
    <row r="3846" spans="1:2">
      <c r="A3846" s="117">
        <v>37400</v>
      </c>
      <c r="B3846">
        <v>9.5244999999999997</v>
      </c>
    </row>
    <row r="3847" spans="1:2">
      <c r="A3847" s="117">
        <v>37401</v>
      </c>
      <c r="B3847">
        <v>9.5165000000000006</v>
      </c>
    </row>
    <row r="3848" spans="1:2">
      <c r="A3848" s="117">
        <v>37402</v>
      </c>
      <c r="B3848">
        <v>9.5165000000000006</v>
      </c>
    </row>
    <row r="3849" spans="1:2">
      <c r="A3849" s="117">
        <v>37403</v>
      </c>
      <c r="B3849">
        <v>9.5165000000000006</v>
      </c>
    </row>
    <row r="3850" spans="1:2">
      <c r="A3850" s="117">
        <v>37404</v>
      </c>
      <c r="B3850">
        <v>9.5585000000000004</v>
      </c>
    </row>
    <row r="3851" spans="1:2">
      <c r="A3851" s="117">
        <v>37405</v>
      </c>
      <c r="B3851">
        <v>9.57</v>
      </c>
    </row>
    <row r="3852" spans="1:2">
      <c r="A3852" s="117">
        <v>37406</v>
      </c>
      <c r="B3852">
        <v>9.5586000000000002</v>
      </c>
    </row>
    <row r="3853" spans="1:2">
      <c r="A3853" s="117">
        <v>37407</v>
      </c>
      <c r="B3853">
        <v>9.6134000000000004</v>
      </c>
    </row>
    <row r="3854" spans="1:2">
      <c r="A3854" s="117">
        <v>37408</v>
      </c>
      <c r="B3854">
        <v>9.7148000000000003</v>
      </c>
    </row>
    <row r="3855" spans="1:2">
      <c r="A3855" s="117">
        <v>37409</v>
      </c>
      <c r="B3855">
        <v>9.7148000000000003</v>
      </c>
    </row>
    <row r="3856" spans="1:2">
      <c r="A3856" s="117">
        <v>37410</v>
      </c>
      <c r="B3856">
        <v>9.7148000000000003</v>
      </c>
    </row>
    <row r="3857" spans="1:2">
      <c r="A3857" s="117">
        <v>37411</v>
      </c>
      <c r="B3857">
        <v>9.6562000000000001</v>
      </c>
    </row>
    <row r="3858" spans="1:2">
      <c r="A3858" s="117">
        <v>37412</v>
      </c>
      <c r="B3858">
        <v>9.6397999999999993</v>
      </c>
    </row>
    <row r="3859" spans="1:2">
      <c r="A3859" s="117">
        <v>37413</v>
      </c>
      <c r="B3859">
        <v>9.7059999999999995</v>
      </c>
    </row>
    <row r="3860" spans="1:2">
      <c r="A3860" s="117">
        <v>37414</v>
      </c>
      <c r="B3860">
        <v>9.7345000000000006</v>
      </c>
    </row>
    <row r="3861" spans="1:2">
      <c r="A3861" s="117">
        <v>37415</v>
      </c>
      <c r="B3861">
        <v>9.7759999999999998</v>
      </c>
    </row>
    <row r="3862" spans="1:2">
      <c r="A3862" s="117">
        <v>37416</v>
      </c>
      <c r="B3862">
        <v>9.7759999999999998</v>
      </c>
    </row>
    <row r="3863" spans="1:2">
      <c r="A3863" s="117">
        <v>37417</v>
      </c>
      <c r="B3863">
        <v>9.7759999999999998</v>
      </c>
    </row>
    <row r="3864" spans="1:2">
      <c r="A3864" s="117">
        <v>37418</v>
      </c>
      <c r="B3864">
        <v>9.7411999999999992</v>
      </c>
    </row>
    <row r="3865" spans="1:2">
      <c r="A3865" s="117">
        <v>37419</v>
      </c>
      <c r="B3865">
        <v>9.6992999999999991</v>
      </c>
    </row>
    <row r="3866" spans="1:2">
      <c r="A3866" s="117">
        <v>37420</v>
      </c>
      <c r="B3866">
        <v>9.6607000000000003</v>
      </c>
    </row>
    <row r="3867" spans="1:2">
      <c r="A3867" s="117">
        <v>37421</v>
      </c>
      <c r="B3867">
        <v>9.7035</v>
      </c>
    </row>
    <row r="3868" spans="1:2">
      <c r="A3868" s="117">
        <v>37422</v>
      </c>
      <c r="B3868">
        <v>9.6532</v>
      </c>
    </row>
    <row r="3869" spans="1:2">
      <c r="A3869" s="117">
        <v>37423</v>
      </c>
      <c r="B3869">
        <v>9.6532</v>
      </c>
    </row>
    <row r="3870" spans="1:2">
      <c r="A3870" s="117">
        <v>37424</v>
      </c>
      <c r="B3870">
        <v>9.6532</v>
      </c>
    </row>
    <row r="3871" spans="1:2">
      <c r="A3871" s="117">
        <v>37425</v>
      </c>
      <c r="B3871">
        <v>9.6684000000000001</v>
      </c>
    </row>
    <row r="3872" spans="1:2">
      <c r="A3872" s="117">
        <v>37426</v>
      </c>
      <c r="B3872">
        <v>9.6077999999999992</v>
      </c>
    </row>
    <row r="3873" spans="1:2">
      <c r="A3873" s="117">
        <v>37427</v>
      </c>
      <c r="B3873">
        <v>9.6257999999999999</v>
      </c>
    </row>
    <row r="3874" spans="1:2">
      <c r="A3874" s="117">
        <v>37428</v>
      </c>
      <c r="B3874">
        <v>9.6982999999999997</v>
      </c>
    </row>
    <row r="3875" spans="1:2">
      <c r="A3875" s="117">
        <v>37429</v>
      </c>
      <c r="B3875">
        <v>9.7675999999999998</v>
      </c>
    </row>
    <row r="3876" spans="1:2">
      <c r="A3876" s="117">
        <v>37430</v>
      </c>
      <c r="B3876">
        <v>9.7675999999999998</v>
      </c>
    </row>
    <row r="3877" spans="1:2">
      <c r="A3877" s="117">
        <v>37431</v>
      </c>
      <c r="B3877">
        <v>9.7675999999999998</v>
      </c>
    </row>
    <row r="3878" spans="1:2">
      <c r="A3878" s="117">
        <v>37432</v>
      </c>
      <c r="B3878">
        <v>9.9473000000000003</v>
      </c>
    </row>
    <row r="3879" spans="1:2">
      <c r="A3879" s="117">
        <v>37433</v>
      </c>
      <c r="B3879">
        <v>9.9359999999999999</v>
      </c>
    </row>
    <row r="3880" spans="1:2">
      <c r="A3880" s="117">
        <v>37434</v>
      </c>
      <c r="B3880">
        <v>9.8202999999999996</v>
      </c>
    </row>
    <row r="3881" spans="1:2">
      <c r="A3881" s="117">
        <v>37435</v>
      </c>
      <c r="B3881">
        <v>9.9998000000000005</v>
      </c>
    </row>
    <row r="3882" spans="1:2">
      <c r="A3882" s="117">
        <v>37436</v>
      </c>
      <c r="B3882">
        <v>9.9614999999999991</v>
      </c>
    </row>
    <row r="3883" spans="1:2">
      <c r="A3883" s="117">
        <v>37437</v>
      </c>
      <c r="B3883">
        <v>9.9614999999999991</v>
      </c>
    </row>
    <row r="3884" spans="1:2">
      <c r="A3884" s="117">
        <v>37438</v>
      </c>
      <c r="B3884">
        <v>9.9614999999999991</v>
      </c>
    </row>
    <row r="3885" spans="1:2">
      <c r="A3885" s="117">
        <v>37439</v>
      </c>
      <c r="B3885">
        <v>9.9567999999999994</v>
      </c>
    </row>
    <row r="3886" spans="1:2">
      <c r="A3886" s="117">
        <v>37440</v>
      </c>
      <c r="B3886">
        <v>9.9283000000000001</v>
      </c>
    </row>
    <row r="3887" spans="1:2">
      <c r="A3887" s="117">
        <v>37441</v>
      </c>
      <c r="B3887">
        <v>9.9611999999999998</v>
      </c>
    </row>
    <row r="3888" spans="1:2">
      <c r="A3888" s="117">
        <v>37442</v>
      </c>
      <c r="B3888">
        <v>9.9670000000000005</v>
      </c>
    </row>
    <row r="3889" spans="1:2">
      <c r="A3889" s="117">
        <v>37443</v>
      </c>
      <c r="B3889">
        <v>9.9502000000000006</v>
      </c>
    </row>
    <row r="3890" spans="1:2">
      <c r="A3890" s="117">
        <v>37444</v>
      </c>
      <c r="B3890">
        <v>9.9502000000000006</v>
      </c>
    </row>
    <row r="3891" spans="1:2">
      <c r="A3891" s="117">
        <v>37445</v>
      </c>
      <c r="B3891">
        <v>9.9502000000000006</v>
      </c>
    </row>
    <row r="3892" spans="1:2">
      <c r="A3892" s="117">
        <v>37446</v>
      </c>
      <c r="B3892">
        <v>9.9033999999999995</v>
      </c>
    </row>
    <row r="3893" spans="1:2">
      <c r="A3893" s="117">
        <v>37447</v>
      </c>
      <c r="B3893">
        <v>9.9222999999999999</v>
      </c>
    </row>
    <row r="3894" spans="1:2">
      <c r="A3894" s="117">
        <v>37448</v>
      </c>
      <c r="B3894">
        <v>9.8552</v>
      </c>
    </row>
    <row r="3895" spans="1:2">
      <c r="A3895" s="117">
        <v>37449</v>
      </c>
      <c r="B3895">
        <v>9.8338000000000001</v>
      </c>
    </row>
    <row r="3896" spans="1:2">
      <c r="A3896" s="117">
        <v>37450</v>
      </c>
      <c r="B3896">
        <v>9.7979000000000003</v>
      </c>
    </row>
    <row r="3897" spans="1:2">
      <c r="A3897" s="117">
        <v>37451</v>
      </c>
      <c r="B3897">
        <v>9.7979000000000003</v>
      </c>
    </row>
    <row r="3898" spans="1:2">
      <c r="A3898" s="117">
        <v>37452</v>
      </c>
      <c r="B3898">
        <v>9.7979000000000003</v>
      </c>
    </row>
    <row r="3899" spans="1:2">
      <c r="A3899" s="117">
        <v>37453</v>
      </c>
      <c r="B3899">
        <v>9.7072000000000003</v>
      </c>
    </row>
    <row r="3900" spans="1:2">
      <c r="A3900" s="117">
        <v>37454</v>
      </c>
      <c r="B3900">
        <v>9.7522000000000002</v>
      </c>
    </row>
    <row r="3901" spans="1:2">
      <c r="A3901" s="117">
        <v>37455</v>
      </c>
      <c r="B3901">
        <v>9.7345000000000006</v>
      </c>
    </row>
    <row r="3902" spans="1:2">
      <c r="A3902" s="117">
        <v>37456</v>
      </c>
      <c r="B3902">
        <v>9.6468000000000007</v>
      </c>
    </row>
    <row r="3903" spans="1:2">
      <c r="A3903" s="117">
        <v>37457</v>
      </c>
      <c r="B3903">
        <v>9.6462000000000003</v>
      </c>
    </row>
    <row r="3904" spans="1:2">
      <c r="A3904" s="117">
        <v>37458</v>
      </c>
      <c r="B3904">
        <v>9.6462000000000003</v>
      </c>
    </row>
    <row r="3905" spans="1:2">
      <c r="A3905" s="117">
        <v>37459</v>
      </c>
      <c r="B3905">
        <v>9.6462000000000003</v>
      </c>
    </row>
    <row r="3906" spans="1:2">
      <c r="A3906" s="117">
        <v>37460</v>
      </c>
      <c r="B3906">
        <v>9.7052999999999994</v>
      </c>
    </row>
    <row r="3907" spans="1:2">
      <c r="A3907" s="117">
        <v>37461</v>
      </c>
      <c r="B3907">
        <v>9.6285000000000007</v>
      </c>
    </row>
    <row r="3908" spans="1:2">
      <c r="A3908" s="117">
        <v>37462</v>
      </c>
      <c r="B3908">
        <v>9.6129999999999995</v>
      </c>
    </row>
    <row r="3909" spans="1:2">
      <c r="A3909" s="117">
        <v>37463</v>
      </c>
      <c r="B3909">
        <v>9.7018000000000004</v>
      </c>
    </row>
    <row r="3910" spans="1:2">
      <c r="A3910" s="117">
        <v>37464</v>
      </c>
      <c r="B3910">
        <v>9.7157999999999998</v>
      </c>
    </row>
    <row r="3911" spans="1:2">
      <c r="A3911" s="117">
        <v>37465</v>
      </c>
      <c r="B3911">
        <v>9.7157999999999998</v>
      </c>
    </row>
    <row r="3912" spans="1:2">
      <c r="A3912" s="117">
        <v>37466</v>
      </c>
      <c r="B3912">
        <v>9.7157999999999998</v>
      </c>
    </row>
    <row r="3913" spans="1:2">
      <c r="A3913" s="117">
        <v>37467</v>
      </c>
      <c r="B3913">
        <v>9.7652000000000001</v>
      </c>
    </row>
    <row r="3914" spans="1:2">
      <c r="A3914" s="117">
        <v>37468</v>
      </c>
      <c r="B3914">
        <v>9.6943999999999999</v>
      </c>
    </row>
    <row r="3915" spans="1:2">
      <c r="A3915" s="117">
        <v>37469</v>
      </c>
      <c r="B3915">
        <v>9.7409999999999997</v>
      </c>
    </row>
    <row r="3916" spans="1:2">
      <c r="A3916" s="117">
        <v>37470</v>
      </c>
      <c r="B3916">
        <v>9.7860999999999994</v>
      </c>
    </row>
    <row r="3917" spans="1:2">
      <c r="A3917" s="117">
        <v>37471</v>
      </c>
      <c r="B3917">
        <v>9.8768999999999991</v>
      </c>
    </row>
    <row r="3918" spans="1:2">
      <c r="A3918" s="117">
        <v>37472</v>
      </c>
      <c r="B3918">
        <v>9.8768999999999991</v>
      </c>
    </row>
    <row r="3919" spans="1:2">
      <c r="A3919" s="117">
        <v>37473</v>
      </c>
      <c r="B3919">
        <v>9.8768999999999991</v>
      </c>
    </row>
    <row r="3920" spans="1:2">
      <c r="A3920" s="117">
        <v>37474</v>
      </c>
      <c r="B3920">
        <v>9.8412000000000006</v>
      </c>
    </row>
    <row r="3921" spans="1:2">
      <c r="A3921" s="117">
        <v>37475</v>
      </c>
      <c r="B3921">
        <v>9.7927999999999997</v>
      </c>
    </row>
    <row r="3922" spans="1:2">
      <c r="A3922" s="117">
        <v>37476</v>
      </c>
      <c r="B3922">
        <v>9.7472999999999992</v>
      </c>
    </row>
    <row r="3923" spans="1:2">
      <c r="A3923" s="117">
        <v>37477</v>
      </c>
      <c r="B3923">
        <v>9.7347999999999999</v>
      </c>
    </row>
    <row r="3924" spans="1:2">
      <c r="A3924" s="117">
        <v>37478</v>
      </c>
      <c r="B3924">
        <v>9.7334999999999994</v>
      </c>
    </row>
    <row r="3925" spans="1:2">
      <c r="A3925" s="117">
        <v>37479</v>
      </c>
      <c r="B3925">
        <v>9.7334999999999994</v>
      </c>
    </row>
    <row r="3926" spans="1:2">
      <c r="A3926" s="117">
        <v>37480</v>
      </c>
      <c r="B3926">
        <v>9.7334999999999994</v>
      </c>
    </row>
    <row r="3927" spans="1:2">
      <c r="A3927" s="117">
        <v>37481</v>
      </c>
      <c r="B3927">
        <v>9.7639999999999993</v>
      </c>
    </row>
    <row r="3928" spans="1:2">
      <c r="A3928" s="117">
        <v>37482</v>
      </c>
      <c r="B3928">
        <v>9.8401999999999994</v>
      </c>
    </row>
    <row r="3929" spans="1:2">
      <c r="A3929" s="117">
        <v>37483</v>
      </c>
      <c r="B3929">
        <v>9.9512</v>
      </c>
    </row>
    <row r="3930" spans="1:2">
      <c r="A3930" s="117">
        <v>37484</v>
      </c>
      <c r="B3930">
        <v>9.9667999999999992</v>
      </c>
    </row>
    <row r="3931" spans="1:2">
      <c r="A3931" s="117">
        <v>37485</v>
      </c>
      <c r="B3931">
        <v>9.9291999999999998</v>
      </c>
    </row>
    <row r="3932" spans="1:2">
      <c r="A3932" s="117">
        <v>37486</v>
      </c>
      <c r="B3932">
        <v>9.9291999999999998</v>
      </c>
    </row>
    <row r="3933" spans="1:2">
      <c r="A3933" s="117">
        <v>37487</v>
      </c>
      <c r="B3933">
        <v>9.9291999999999998</v>
      </c>
    </row>
    <row r="3934" spans="1:2">
      <c r="A3934" s="117">
        <v>37488</v>
      </c>
      <c r="B3934">
        <v>9.8643000000000001</v>
      </c>
    </row>
    <row r="3935" spans="1:2">
      <c r="A3935" s="117">
        <v>37489</v>
      </c>
      <c r="B3935">
        <v>9.7746999999999993</v>
      </c>
    </row>
    <row r="3936" spans="1:2">
      <c r="A3936" s="117">
        <v>37490</v>
      </c>
      <c r="B3936">
        <v>9.7713000000000001</v>
      </c>
    </row>
    <row r="3937" spans="1:2">
      <c r="A3937" s="117">
        <v>37491</v>
      </c>
      <c r="B3937">
        <v>9.7853999999999992</v>
      </c>
    </row>
    <row r="3938" spans="1:2">
      <c r="A3938" s="117">
        <v>37492</v>
      </c>
      <c r="B3938">
        <v>9.8388000000000009</v>
      </c>
    </row>
    <row r="3939" spans="1:2">
      <c r="A3939" s="117">
        <v>37493</v>
      </c>
      <c r="B3939">
        <v>9.8388000000000009</v>
      </c>
    </row>
    <row r="3940" spans="1:2">
      <c r="A3940" s="117">
        <v>37494</v>
      </c>
      <c r="B3940">
        <v>9.8388000000000009</v>
      </c>
    </row>
    <row r="3941" spans="1:2">
      <c r="A3941" s="117">
        <v>37495</v>
      </c>
      <c r="B3941">
        <v>9.8488000000000007</v>
      </c>
    </row>
    <row r="3942" spans="1:2">
      <c r="A3942" s="117">
        <v>37496</v>
      </c>
      <c r="B3942">
        <v>9.8267000000000007</v>
      </c>
    </row>
    <row r="3943" spans="1:2">
      <c r="A3943" s="117">
        <v>37497</v>
      </c>
      <c r="B3943">
        <v>9.8543000000000003</v>
      </c>
    </row>
    <row r="3944" spans="1:2">
      <c r="A3944" s="117">
        <v>37498</v>
      </c>
      <c r="B3944">
        <v>9.8989999999999991</v>
      </c>
    </row>
    <row r="3945" spans="1:2">
      <c r="A3945" s="117">
        <v>37499</v>
      </c>
      <c r="B3945">
        <v>9.9192999999999998</v>
      </c>
    </row>
    <row r="3946" spans="1:2">
      <c r="A3946" s="117">
        <v>37500</v>
      </c>
      <c r="B3946">
        <v>9.9192999999999998</v>
      </c>
    </row>
    <row r="3947" spans="1:2">
      <c r="A3947" s="117">
        <v>37501</v>
      </c>
      <c r="B3947">
        <v>9.9192999999999998</v>
      </c>
    </row>
    <row r="3948" spans="1:2">
      <c r="A3948" s="117">
        <v>37502</v>
      </c>
      <c r="B3948">
        <v>9.9108999999999998</v>
      </c>
    </row>
    <row r="3949" spans="1:2">
      <c r="A3949" s="117">
        <v>37503</v>
      </c>
      <c r="B3949">
        <v>9.9186999999999994</v>
      </c>
    </row>
    <row r="3950" spans="1:2">
      <c r="A3950" s="117">
        <v>37504</v>
      </c>
      <c r="B3950">
        <v>9.9788999999999994</v>
      </c>
    </row>
    <row r="3951" spans="1:2">
      <c r="A3951" s="117">
        <v>37505</v>
      </c>
      <c r="B3951">
        <v>10.0154</v>
      </c>
    </row>
    <row r="3952" spans="1:2">
      <c r="A3952" s="117">
        <v>37506</v>
      </c>
      <c r="B3952">
        <v>10.008599999999999</v>
      </c>
    </row>
    <row r="3953" spans="1:2">
      <c r="A3953" s="117">
        <v>37507</v>
      </c>
      <c r="B3953">
        <v>10.008599999999999</v>
      </c>
    </row>
    <row r="3954" spans="1:2">
      <c r="A3954" s="117">
        <v>37508</v>
      </c>
      <c r="B3954">
        <v>10.008599999999999</v>
      </c>
    </row>
    <row r="3955" spans="1:2">
      <c r="A3955" s="117">
        <v>37509</v>
      </c>
      <c r="B3955">
        <v>9.9620999999999995</v>
      </c>
    </row>
    <row r="3956" spans="1:2">
      <c r="A3956" s="117">
        <v>37510</v>
      </c>
      <c r="B3956">
        <v>9.9604999999999997</v>
      </c>
    </row>
    <row r="3957" spans="1:2">
      <c r="A3957" s="117">
        <v>37511</v>
      </c>
      <c r="B3957">
        <v>9.9511000000000003</v>
      </c>
    </row>
    <row r="3958" spans="1:2">
      <c r="A3958" s="117">
        <v>37512</v>
      </c>
      <c r="B3958">
        <v>9.9654000000000007</v>
      </c>
    </row>
    <row r="3959" spans="1:2">
      <c r="A3959" s="117">
        <v>37513</v>
      </c>
      <c r="B3959">
        <v>10.0023</v>
      </c>
    </row>
    <row r="3960" spans="1:2">
      <c r="A3960" s="117">
        <v>37514</v>
      </c>
      <c r="B3960">
        <v>10.0023</v>
      </c>
    </row>
    <row r="3961" spans="1:2">
      <c r="A3961" s="117">
        <v>37515</v>
      </c>
      <c r="B3961">
        <v>10.0023</v>
      </c>
    </row>
    <row r="3962" spans="1:2">
      <c r="A3962" s="117">
        <v>37516</v>
      </c>
      <c r="B3962">
        <v>10.0023</v>
      </c>
    </row>
    <row r="3963" spans="1:2">
      <c r="A3963" s="117">
        <v>37517</v>
      </c>
      <c r="B3963">
        <v>9.9673999999999996</v>
      </c>
    </row>
    <row r="3964" spans="1:2">
      <c r="A3964" s="117">
        <v>37518</v>
      </c>
      <c r="B3964">
        <v>9.9657999999999998</v>
      </c>
    </row>
    <row r="3965" spans="1:2">
      <c r="A3965" s="117">
        <v>37519</v>
      </c>
      <c r="B3965">
        <v>10.0116</v>
      </c>
    </row>
    <row r="3966" spans="1:2">
      <c r="A3966" s="117">
        <v>37520</v>
      </c>
      <c r="B3966">
        <v>10.062799999999999</v>
      </c>
    </row>
    <row r="3967" spans="1:2">
      <c r="A3967" s="117">
        <v>37521</v>
      </c>
      <c r="B3967">
        <v>10.062799999999999</v>
      </c>
    </row>
    <row r="3968" spans="1:2">
      <c r="A3968" s="117">
        <v>37522</v>
      </c>
      <c r="B3968">
        <v>10.062799999999999</v>
      </c>
    </row>
    <row r="3969" spans="1:2">
      <c r="A3969" s="117">
        <v>37523</v>
      </c>
      <c r="B3969">
        <v>10.2265</v>
      </c>
    </row>
    <row r="3970" spans="1:2">
      <c r="A3970" s="117">
        <v>37524</v>
      </c>
      <c r="B3970">
        <v>10.357799999999999</v>
      </c>
    </row>
    <row r="3971" spans="1:2">
      <c r="A3971" s="117">
        <v>37525</v>
      </c>
      <c r="B3971">
        <v>10.2425</v>
      </c>
    </row>
    <row r="3972" spans="1:2">
      <c r="A3972" s="117">
        <v>37526</v>
      </c>
      <c r="B3972">
        <v>10.256500000000001</v>
      </c>
    </row>
    <row r="3973" spans="1:2">
      <c r="A3973" s="117">
        <v>37527</v>
      </c>
      <c r="B3973">
        <v>10.166700000000001</v>
      </c>
    </row>
    <row r="3974" spans="1:2">
      <c r="A3974" s="117">
        <v>37528</v>
      </c>
      <c r="B3974">
        <v>10.166700000000001</v>
      </c>
    </row>
    <row r="3975" spans="1:2">
      <c r="A3975" s="117">
        <v>37529</v>
      </c>
      <c r="B3975">
        <v>10.166700000000001</v>
      </c>
    </row>
    <row r="3976" spans="1:2">
      <c r="A3976" s="117">
        <v>37530</v>
      </c>
      <c r="B3976">
        <v>10.1767</v>
      </c>
    </row>
    <row r="3977" spans="1:2">
      <c r="A3977" s="117">
        <v>37531</v>
      </c>
      <c r="B3977">
        <v>10.229900000000001</v>
      </c>
    </row>
    <row r="3978" spans="1:2">
      <c r="A3978" s="117">
        <v>37532</v>
      </c>
      <c r="B3978">
        <v>10.157299999999999</v>
      </c>
    </row>
    <row r="3979" spans="1:2">
      <c r="A3979" s="117">
        <v>37533</v>
      </c>
      <c r="B3979">
        <v>10.1248</v>
      </c>
    </row>
    <row r="3980" spans="1:2">
      <c r="A3980" s="117">
        <v>37534</v>
      </c>
      <c r="B3980">
        <v>10.139799999999999</v>
      </c>
    </row>
    <row r="3981" spans="1:2">
      <c r="A3981" s="117">
        <v>37535</v>
      </c>
      <c r="B3981">
        <v>10.139799999999999</v>
      </c>
    </row>
    <row r="3982" spans="1:2">
      <c r="A3982" s="117">
        <v>37536</v>
      </c>
      <c r="B3982">
        <v>10.139799999999999</v>
      </c>
    </row>
    <row r="3983" spans="1:2">
      <c r="A3983" s="117">
        <v>37537</v>
      </c>
      <c r="B3983">
        <v>10.183999999999999</v>
      </c>
    </row>
    <row r="3984" spans="1:2">
      <c r="A3984" s="117">
        <v>37538</v>
      </c>
      <c r="B3984">
        <v>10.215400000000001</v>
      </c>
    </row>
    <row r="3985" spans="1:2">
      <c r="A3985" s="117">
        <v>37539</v>
      </c>
      <c r="B3985">
        <v>10.157500000000001</v>
      </c>
    </row>
    <row r="3986" spans="1:2">
      <c r="A3986" s="117">
        <v>37540</v>
      </c>
      <c r="B3986">
        <v>10.204800000000001</v>
      </c>
    </row>
    <row r="3987" spans="1:2">
      <c r="A3987" s="117">
        <v>37541</v>
      </c>
      <c r="B3987">
        <v>10.2195</v>
      </c>
    </row>
    <row r="3988" spans="1:2">
      <c r="A3988" s="117">
        <v>37542</v>
      </c>
      <c r="B3988">
        <v>10.2195</v>
      </c>
    </row>
    <row r="3989" spans="1:2">
      <c r="A3989" s="117">
        <v>37543</v>
      </c>
      <c r="B3989">
        <v>10.2195</v>
      </c>
    </row>
    <row r="3990" spans="1:2">
      <c r="A3990" s="117">
        <v>37544</v>
      </c>
      <c r="B3990">
        <v>10.1592</v>
      </c>
    </row>
    <row r="3991" spans="1:2">
      <c r="A3991" s="117">
        <v>37545</v>
      </c>
      <c r="B3991">
        <v>10.1084</v>
      </c>
    </row>
    <row r="3992" spans="1:2">
      <c r="A3992" s="117">
        <v>37546</v>
      </c>
      <c r="B3992">
        <v>10.068300000000001</v>
      </c>
    </row>
    <row r="3993" spans="1:2">
      <c r="A3993" s="117">
        <v>37547</v>
      </c>
      <c r="B3993">
        <v>10.075699999999999</v>
      </c>
    </row>
    <row r="3994" spans="1:2">
      <c r="A3994" s="117">
        <v>37548</v>
      </c>
      <c r="B3994">
        <v>9.9987999999999992</v>
      </c>
    </row>
    <row r="3995" spans="1:2">
      <c r="A3995" s="117">
        <v>37549</v>
      </c>
      <c r="B3995">
        <v>9.9987999999999992</v>
      </c>
    </row>
    <row r="3996" spans="1:2">
      <c r="A3996" s="117">
        <v>37550</v>
      </c>
      <c r="B3996">
        <v>9.9987999999999992</v>
      </c>
    </row>
    <row r="3997" spans="1:2">
      <c r="A3997" s="117">
        <v>37551</v>
      </c>
      <c r="B3997">
        <v>9.9841999999999995</v>
      </c>
    </row>
    <row r="3998" spans="1:2">
      <c r="A3998" s="117">
        <v>37552</v>
      </c>
      <c r="B3998">
        <v>9.9382999999999999</v>
      </c>
    </row>
    <row r="3999" spans="1:2">
      <c r="A3999" s="117">
        <v>37553</v>
      </c>
      <c r="B3999">
        <v>9.9723000000000006</v>
      </c>
    </row>
    <row r="4000" spans="1:2">
      <c r="A4000" s="117">
        <v>37554</v>
      </c>
      <c r="B4000">
        <v>10.007899999999999</v>
      </c>
    </row>
    <row r="4001" spans="1:2">
      <c r="A4001" s="117">
        <v>37555</v>
      </c>
      <c r="B4001">
        <v>9.9467999999999996</v>
      </c>
    </row>
    <row r="4002" spans="1:2">
      <c r="A4002" s="117">
        <v>37556</v>
      </c>
      <c r="B4002">
        <v>9.9467999999999996</v>
      </c>
    </row>
    <row r="4003" spans="1:2">
      <c r="A4003" s="117">
        <v>37557</v>
      </c>
      <c r="B4003">
        <v>9.9467999999999996</v>
      </c>
    </row>
    <row r="4004" spans="1:2">
      <c r="A4004" s="117">
        <v>37558</v>
      </c>
      <c r="B4004">
        <v>9.9816000000000003</v>
      </c>
    </row>
    <row r="4005" spans="1:2">
      <c r="A4005" s="117">
        <v>37559</v>
      </c>
      <c r="B4005">
        <v>10.000299999999999</v>
      </c>
    </row>
    <row r="4006" spans="1:2">
      <c r="A4006" s="117">
        <v>37560</v>
      </c>
      <c r="B4006">
        <v>10.1593</v>
      </c>
    </row>
    <row r="4007" spans="1:2">
      <c r="A4007" s="117">
        <v>37561</v>
      </c>
      <c r="B4007">
        <v>10.2263</v>
      </c>
    </row>
    <row r="4008" spans="1:2">
      <c r="A4008" s="117">
        <v>37562</v>
      </c>
      <c r="B4008">
        <v>10.155200000000001</v>
      </c>
    </row>
    <row r="4009" spans="1:2">
      <c r="A4009" s="117">
        <v>37563</v>
      </c>
      <c r="B4009">
        <v>10.155200000000001</v>
      </c>
    </row>
    <row r="4010" spans="1:2">
      <c r="A4010" s="117">
        <v>37564</v>
      </c>
      <c r="B4010">
        <v>10.155200000000001</v>
      </c>
    </row>
    <row r="4011" spans="1:2">
      <c r="A4011" s="117">
        <v>37565</v>
      </c>
      <c r="B4011">
        <v>10.199199999999999</v>
      </c>
    </row>
    <row r="4012" spans="1:2">
      <c r="A4012" s="117">
        <v>37566</v>
      </c>
      <c r="B4012">
        <v>10.182</v>
      </c>
    </row>
    <row r="4013" spans="1:2">
      <c r="A4013" s="117">
        <v>37567</v>
      </c>
      <c r="B4013">
        <v>10.209899999999999</v>
      </c>
    </row>
    <row r="4014" spans="1:2">
      <c r="A4014" s="117">
        <v>37568</v>
      </c>
      <c r="B4014">
        <v>10.1698</v>
      </c>
    </row>
    <row r="4015" spans="1:2">
      <c r="A4015" s="117">
        <v>37569</v>
      </c>
      <c r="B4015">
        <v>10.242800000000001</v>
      </c>
    </row>
    <row r="4016" spans="1:2">
      <c r="A4016" s="117">
        <v>37570</v>
      </c>
      <c r="B4016">
        <v>10.242800000000001</v>
      </c>
    </row>
    <row r="4017" spans="1:2">
      <c r="A4017" s="117">
        <v>37571</v>
      </c>
      <c r="B4017">
        <v>10.242800000000001</v>
      </c>
    </row>
    <row r="4018" spans="1:2">
      <c r="A4018" s="117">
        <v>37572</v>
      </c>
      <c r="B4018">
        <v>10.295299999999999</v>
      </c>
    </row>
    <row r="4019" spans="1:2">
      <c r="A4019" s="117">
        <v>37573</v>
      </c>
      <c r="B4019">
        <v>10.333399999999999</v>
      </c>
    </row>
    <row r="4020" spans="1:2">
      <c r="A4020" s="117">
        <v>37574</v>
      </c>
      <c r="B4020">
        <v>10.3447</v>
      </c>
    </row>
    <row r="4021" spans="1:2">
      <c r="A4021" s="117">
        <v>37575</v>
      </c>
      <c r="B4021">
        <v>10.278700000000001</v>
      </c>
    </row>
    <row r="4022" spans="1:2">
      <c r="A4022" s="117">
        <v>37576</v>
      </c>
      <c r="B4022">
        <v>10.209199999999999</v>
      </c>
    </row>
    <row r="4023" spans="1:2">
      <c r="A4023" s="117">
        <v>37577</v>
      </c>
      <c r="B4023">
        <v>10.209199999999999</v>
      </c>
    </row>
    <row r="4024" spans="1:2">
      <c r="A4024" s="117">
        <v>37578</v>
      </c>
      <c r="B4024">
        <v>10.209199999999999</v>
      </c>
    </row>
    <row r="4025" spans="1:2">
      <c r="A4025" s="117">
        <v>37579</v>
      </c>
      <c r="B4025">
        <v>10.2484</v>
      </c>
    </row>
    <row r="4026" spans="1:2">
      <c r="A4026" s="117">
        <v>37580</v>
      </c>
      <c r="B4026">
        <v>10.176</v>
      </c>
    </row>
    <row r="4027" spans="1:2">
      <c r="A4027" s="117">
        <v>37581</v>
      </c>
      <c r="B4027">
        <v>10.176</v>
      </c>
    </row>
    <row r="4028" spans="1:2">
      <c r="A4028" s="117">
        <v>37582</v>
      </c>
      <c r="B4028">
        <v>10.163500000000001</v>
      </c>
    </row>
    <row r="4029" spans="1:2">
      <c r="A4029" s="117">
        <v>37583</v>
      </c>
      <c r="B4029">
        <v>10.087400000000001</v>
      </c>
    </row>
    <row r="4030" spans="1:2">
      <c r="A4030" s="117">
        <v>37584</v>
      </c>
      <c r="B4030">
        <v>10.087400000000001</v>
      </c>
    </row>
    <row r="4031" spans="1:2">
      <c r="A4031" s="117">
        <v>37585</v>
      </c>
      <c r="B4031">
        <v>10.087400000000001</v>
      </c>
    </row>
    <row r="4032" spans="1:2">
      <c r="A4032" s="117">
        <v>37586</v>
      </c>
      <c r="B4032">
        <v>10.1333</v>
      </c>
    </row>
    <row r="4033" spans="1:2">
      <c r="A4033" s="117">
        <v>37587</v>
      </c>
      <c r="B4033">
        <v>10.1065</v>
      </c>
    </row>
    <row r="4034" spans="1:2">
      <c r="A4034" s="117">
        <v>37588</v>
      </c>
      <c r="B4034">
        <v>10.153499999999999</v>
      </c>
    </row>
    <row r="4035" spans="1:2">
      <c r="A4035" s="117">
        <v>37589</v>
      </c>
      <c r="B4035">
        <v>10.1496</v>
      </c>
    </row>
    <row r="4036" spans="1:2">
      <c r="A4036" s="117">
        <v>37590</v>
      </c>
      <c r="B4036">
        <v>10.119300000000001</v>
      </c>
    </row>
    <row r="4037" spans="1:2">
      <c r="A4037" s="117">
        <v>37591</v>
      </c>
      <c r="B4037">
        <v>10.119300000000001</v>
      </c>
    </row>
    <row r="4038" spans="1:2">
      <c r="A4038" s="117">
        <v>37592</v>
      </c>
      <c r="B4038">
        <v>10.119300000000001</v>
      </c>
    </row>
    <row r="4039" spans="1:2">
      <c r="A4039" s="117">
        <v>37593</v>
      </c>
      <c r="B4039">
        <v>10.1465</v>
      </c>
    </row>
    <row r="4040" spans="1:2">
      <c r="A4040" s="117">
        <v>37594</v>
      </c>
      <c r="B4040">
        <v>10.1036</v>
      </c>
    </row>
    <row r="4041" spans="1:2">
      <c r="A4041" s="117">
        <v>37595</v>
      </c>
      <c r="B4041">
        <v>10.142099999999999</v>
      </c>
    </row>
    <row r="4042" spans="1:2">
      <c r="A4042" s="117">
        <v>37596</v>
      </c>
      <c r="B4042">
        <v>10.2287</v>
      </c>
    </row>
    <row r="4043" spans="1:2">
      <c r="A4043" s="117">
        <v>37597</v>
      </c>
      <c r="B4043">
        <v>10.245200000000001</v>
      </c>
    </row>
    <row r="4044" spans="1:2">
      <c r="A4044" s="117">
        <v>37598</v>
      </c>
      <c r="B4044">
        <v>10.245200000000001</v>
      </c>
    </row>
    <row r="4045" spans="1:2">
      <c r="A4045" s="117">
        <v>37599</v>
      </c>
      <c r="B4045">
        <v>10.245200000000001</v>
      </c>
    </row>
    <row r="4046" spans="1:2">
      <c r="A4046" s="117">
        <v>37600</v>
      </c>
      <c r="B4046">
        <v>10.272399999999999</v>
      </c>
    </row>
    <row r="4047" spans="1:2">
      <c r="A4047" s="117">
        <v>37601</v>
      </c>
      <c r="B4047">
        <v>10.1852</v>
      </c>
    </row>
    <row r="4048" spans="1:2">
      <c r="A4048" s="117">
        <v>37602</v>
      </c>
      <c r="B4048">
        <v>10.1744</v>
      </c>
    </row>
    <row r="4049" spans="1:2">
      <c r="A4049" s="117">
        <v>37603</v>
      </c>
      <c r="B4049">
        <v>10.1744</v>
      </c>
    </row>
    <row r="4050" spans="1:2">
      <c r="A4050" s="117">
        <v>37604</v>
      </c>
      <c r="B4050">
        <v>10.1785</v>
      </c>
    </row>
    <row r="4051" spans="1:2">
      <c r="A4051" s="117">
        <v>37605</v>
      </c>
      <c r="B4051">
        <v>10.1785</v>
      </c>
    </row>
    <row r="4052" spans="1:2">
      <c r="A4052" s="117">
        <v>37606</v>
      </c>
      <c r="B4052">
        <v>10.1785</v>
      </c>
    </row>
    <row r="4053" spans="1:2">
      <c r="A4053" s="117">
        <v>37607</v>
      </c>
      <c r="B4053">
        <v>10.185</v>
      </c>
    </row>
    <row r="4054" spans="1:2">
      <c r="A4054" s="117">
        <v>37608</v>
      </c>
      <c r="B4054">
        <v>10.1966</v>
      </c>
    </row>
    <row r="4055" spans="1:2">
      <c r="A4055" s="117">
        <v>37609</v>
      </c>
      <c r="B4055">
        <v>10.205299999999999</v>
      </c>
    </row>
    <row r="4056" spans="1:2">
      <c r="A4056" s="117">
        <v>37610</v>
      </c>
      <c r="B4056">
        <v>10.252599999999999</v>
      </c>
    </row>
    <row r="4057" spans="1:2">
      <c r="A4057" s="117">
        <v>37611</v>
      </c>
      <c r="B4057">
        <v>10.192</v>
      </c>
    </row>
    <row r="4058" spans="1:2">
      <c r="A4058" s="117">
        <v>37612</v>
      </c>
      <c r="B4058">
        <v>10.192</v>
      </c>
    </row>
    <row r="4059" spans="1:2">
      <c r="A4059" s="117">
        <v>37613</v>
      </c>
      <c r="B4059">
        <v>10.192</v>
      </c>
    </row>
    <row r="4060" spans="1:2">
      <c r="A4060" s="117">
        <v>37614</v>
      </c>
      <c r="B4060">
        <v>10.1836</v>
      </c>
    </row>
    <row r="4061" spans="1:2">
      <c r="A4061" s="117">
        <v>37615</v>
      </c>
      <c r="B4061">
        <v>10.1907</v>
      </c>
    </row>
    <row r="4062" spans="1:2">
      <c r="A4062" s="117">
        <v>37616</v>
      </c>
      <c r="B4062">
        <v>10.1907</v>
      </c>
    </row>
    <row r="4063" spans="1:2">
      <c r="A4063" s="117">
        <v>37617</v>
      </c>
      <c r="B4063">
        <v>10.2014</v>
      </c>
    </row>
    <row r="4064" spans="1:2">
      <c r="A4064" s="117">
        <v>37618</v>
      </c>
      <c r="B4064">
        <v>10.2479</v>
      </c>
    </row>
    <row r="4065" spans="1:2">
      <c r="A4065" s="117">
        <v>37619</v>
      </c>
      <c r="B4065">
        <v>10.2479</v>
      </c>
    </row>
    <row r="4066" spans="1:2">
      <c r="A4066" s="117">
        <v>37620</v>
      </c>
      <c r="B4066">
        <v>10.2479</v>
      </c>
    </row>
    <row r="4067" spans="1:2">
      <c r="A4067" s="117">
        <v>37621</v>
      </c>
      <c r="B4067">
        <v>10.3125</v>
      </c>
    </row>
    <row r="4068" spans="1:2">
      <c r="A4068" s="117">
        <v>37622</v>
      </c>
      <c r="B4068">
        <v>10.3613</v>
      </c>
    </row>
    <row r="4069" spans="1:2">
      <c r="A4069" s="117">
        <v>37623</v>
      </c>
      <c r="B4069">
        <v>10.3613</v>
      </c>
    </row>
    <row r="4070" spans="1:2">
      <c r="A4070" s="117">
        <v>37624</v>
      </c>
      <c r="B4070">
        <v>10.439299999999999</v>
      </c>
    </row>
    <row r="4071" spans="1:2">
      <c r="A4071" s="117">
        <v>37625</v>
      </c>
      <c r="B4071">
        <v>10.3626</v>
      </c>
    </row>
    <row r="4072" spans="1:2">
      <c r="A4072" s="117">
        <v>37626</v>
      </c>
      <c r="B4072">
        <v>10.3626</v>
      </c>
    </row>
    <row r="4073" spans="1:2">
      <c r="A4073" s="117">
        <v>37627</v>
      </c>
      <c r="B4073">
        <v>10.3626</v>
      </c>
    </row>
    <row r="4074" spans="1:2">
      <c r="A4074" s="117">
        <v>37628</v>
      </c>
      <c r="B4074">
        <v>10.3856</v>
      </c>
    </row>
    <row r="4075" spans="1:2">
      <c r="A4075" s="117">
        <v>37629</v>
      </c>
      <c r="B4075">
        <v>10.419499999999999</v>
      </c>
    </row>
    <row r="4076" spans="1:2">
      <c r="A4076" s="117">
        <v>37630</v>
      </c>
      <c r="B4076">
        <v>10.327999999999999</v>
      </c>
    </row>
    <row r="4077" spans="1:2">
      <c r="A4077" s="117">
        <v>37631</v>
      </c>
      <c r="B4077">
        <v>10.361700000000001</v>
      </c>
    </row>
    <row r="4078" spans="1:2">
      <c r="A4078" s="117">
        <v>37632</v>
      </c>
      <c r="B4078">
        <v>10.411199999999999</v>
      </c>
    </row>
    <row r="4079" spans="1:2">
      <c r="A4079" s="117">
        <v>37633</v>
      </c>
      <c r="B4079">
        <v>10.411199999999999</v>
      </c>
    </row>
    <row r="4080" spans="1:2">
      <c r="A4080" s="117">
        <v>37634</v>
      </c>
      <c r="B4080">
        <v>10.411199999999999</v>
      </c>
    </row>
    <row r="4081" spans="1:2">
      <c r="A4081" s="117">
        <v>37635</v>
      </c>
      <c r="B4081">
        <v>10.4672</v>
      </c>
    </row>
    <row r="4082" spans="1:2">
      <c r="A4082" s="117">
        <v>37636</v>
      </c>
      <c r="B4082">
        <v>10.536799999999999</v>
      </c>
    </row>
    <row r="4083" spans="1:2">
      <c r="A4083" s="117">
        <v>37637</v>
      </c>
      <c r="B4083">
        <v>10.5274</v>
      </c>
    </row>
    <row r="4084" spans="1:2">
      <c r="A4084" s="117">
        <v>37638</v>
      </c>
      <c r="B4084">
        <v>10.487500000000001</v>
      </c>
    </row>
    <row r="4085" spans="1:2">
      <c r="A4085" s="117">
        <v>37639</v>
      </c>
      <c r="B4085">
        <v>10.5083</v>
      </c>
    </row>
    <row r="4086" spans="1:2">
      <c r="A4086" s="117">
        <v>37640</v>
      </c>
      <c r="B4086">
        <v>10.5083</v>
      </c>
    </row>
    <row r="4087" spans="1:2">
      <c r="A4087" s="117">
        <v>37641</v>
      </c>
      <c r="B4087">
        <v>10.5083</v>
      </c>
    </row>
    <row r="4088" spans="1:2">
      <c r="A4088" s="117">
        <v>37642</v>
      </c>
      <c r="B4088">
        <v>10.59</v>
      </c>
    </row>
    <row r="4089" spans="1:2">
      <c r="A4089" s="117">
        <v>37643</v>
      </c>
      <c r="B4089">
        <v>10.622199999999999</v>
      </c>
    </row>
    <row r="4090" spans="1:2">
      <c r="A4090" s="117">
        <v>37644</v>
      </c>
      <c r="B4090">
        <v>10.6866</v>
      </c>
    </row>
    <row r="4091" spans="1:2">
      <c r="A4091" s="117">
        <v>37645</v>
      </c>
      <c r="B4091">
        <v>10.8263</v>
      </c>
    </row>
    <row r="4092" spans="1:2">
      <c r="A4092" s="117">
        <v>37646</v>
      </c>
      <c r="B4092">
        <v>10.770799999999999</v>
      </c>
    </row>
    <row r="4093" spans="1:2">
      <c r="A4093" s="117">
        <v>37647</v>
      </c>
      <c r="B4093">
        <v>10.770799999999999</v>
      </c>
    </row>
    <row r="4094" spans="1:2">
      <c r="A4094" s="117">
        <v>37648</v>
      </c>
      <c r="B4094">
        <v>10.770799999999999</v>
      </c>
    </row>
    <row r="4095" spans="1:2">
      <c r="A4095" s="117">
        <v>37649</v>
      </c>
      <c r="B4095">
        <v>10.826700000000001</v>
      </c>
    </row>
    <row r="4096" spans="1:2">
      <c r="A4096" s="117">
        <v>37650</v>
      </c>
      <c r="B4096">
        <v>10.887499999999999</v>
      </c>
    </row>
    <row r="4097" spans="1:2">
      <c r="A4097" s="117">
        <v>37651</v>
      </c>
      <c r="B4097">
        <v>10.8842</v>
      </c>
    </row>
    <row r="4098" spans="1:2">
      <c r="A4098" s="117">
        <v>37652</v>
      </c>
      <c r="B4098">
        <v>10.9863</v>
      </c>
    </row>
    <row r="4099" spans="1:2">
      <c r="A4099" s="117">
        <v>37653</v>
      </c>
      <c r="B4099">
        <v>10.8636</v>
      </c>
    </row>
    <row r="4100" spans="1:2">
      <c r="A4100" s="117">
        <v>37654</v>
      </c>
      <c r="B4100">
        <v>10.8636</v>
      </c>
    </row>
    <row r="4101" spans="1:2">
      <c r="A4101" s="117">
        <v>37655</v>
      </c>
      <c r="B4101">
        <v>10.8636</v>
      </c>
    </row>
    <row r="4102" spans="1:2">
      <c r="A4102" s="117">
        <v>37656</v>
      </c>
      <c r="B4102">
        <v>10.9069</v>
      </c>
    </row>
    <row r="4103" spans="1:2">
      <c r="A4103" s="117">
        <v>37657</v>
      </c>
      <c r="B4103">
        <v>10.8833</v>
      </c>
    </row>
    <row r="4104" spans="1:2">
      <c r="A4104" s="117">
        <v>37658</v>
      </c>
      <c r="B4104">
        <v>10.8833</v>
      </c>
    </row>
    <row r="4105" spans="1:2">
      <c r="A4105" s="117">
        <v>37659</v>
      </c>
      <c r="B4105">
        <v>10.982200000000001</v>
      </c>
    </row>
    <row r="4106" spans="1:2">
      <c r="A4106" s="117">
        <v>37660</v>
      </c>
      <c r="B4106">
        <v>10.873100000000001</v>
      </c>
    </row>
    <row r="4107" spans="1:2">
      <c r="A4107" s="117">
        <v>37661</v>
      </c>
      <c r="B4107">
        <v>10.873100000000001</v>
      </c>
    </row>
    <row r="4108" spans="1:2">
      <c r="A4108" s="117">
        <v>37662</v>
      </c>
      <c r="B4108">
        <v>10.873100000000001</v>
      </c>
    </row>
    <row r="4109" spans="1:2">
      <c r="A4109" s="117">
        <v>37663</v>
      </c>
      <c r="B4109">
        <v>10.8979</v>
      </c>
    </row>
    <row r="4110" spans="1:2">
      <c r="A4110" s="117">
        <v>37664</v>
      </c>
      <c r="B4110">
        <v>10.9948</v>
      </c>
    </row>
    <row r="4111" spans="1:2">
      <c r="A4111" s="117">
        <v>37665</v>
      </c>
      <c r="B4111">
        <v>10.94</v>
      </c>
    </row>
    <row r="4112" spans="1:2">
      <c r="A4112" s="117">
        <v>37666</v>
      </c>
      <c r="B4112">
        <v>10.9832</v>
      </c>
    </row>
    <row r="4113" spans="1:2">
      <c r="A4113" s="117">
        <v>37667</v>
      </c>
      <c r="B4113">
        <v>10.972300000000001</v>
      </c>
    </row>
    <row r="4114" spans="1:2">
      <c r="A4114" s="117">
        <v>37668</v>
      </c>
      <c r="B4114">
        <v>10.972300000000001</v>
      </c>
    </row>
    <row r="4115" spans="1:2">
      <c r="A4115" s="117">
        <v>37669</v>
      </c>
      <c r="B4115">
        <v>10.972300000000001</v>
      </c>
    </row>
    <row r="4116" spans="1:2">
      <c r="A4116" s="117">
        <v>37670</v>
      </c>
      <c r="B4116">
        <v>10.882300000000001</v>
      </c>
    </row>
    <row r="4117" spans="1:2">
      <c r="A4117" s="117">
        <v>37671</v>
      </c>
      <c r="B4117">
        <v>10.7667</v>
      </c>
    </row>
    <row r="4118" spans="1:2">
      <c r="A4118" s="117">
        <v>37672</v>
      </c>
      <c r="B4118">
        <v>10.7722</v>
      </c>
    </row>
    <row r="4119" spans="1:2">
      <c r="A4119" s="117">
        <v>37673</v>
      </c>
      <c r="B4119">
        <v>10.84</v>
      </c>
    </row>
    <row r="4120" spans="1:2">
      <c r="A4120" s="117">
        <v>37674</v>
      </c>
      <c r="B4120">
        <v>10.899800000000001</v>
      </c>
    </row>
    <row r="4121" spans="1:2">
      <c r="A4121" s="117">
        <v>37675</v>
      </c>
      <c r="B4121">
        <v>10.899800000000001</v>
      </c>
    </row>
    <row r="4122" spans="1:2">
      <c r="A4122" s="117">
        <v>37676</v>
      </c>
      <c r="B4122">
        <v>10.899800000000001</v>
      </c>
    </row>
    <row r="4123" spans="1:2">
      <c r="A4123" s="117">
        <v>37677</v>
      </c>
      <c r="B4123">
        <v>10.979799999999999</v>
      </c>
    </row>
    <row r="4124" spans="1:2">
      <c r="A4124" s="117">
        <v>37678</v>
      </c>
      <c r="B4124">
        <v>10.9815</v>
      </c>
    </row>
    <row r="4125" spans="1:2">
      <c r="A4125" s="117">
        <v>37679</v>
      </c>
      <c r="B4125">
        <v>11.058400000000001</v>
      </c>
    </row>
    <row r="4126" spans="1:2">
      <c r="A4126" s="117">
        <v>37680</v>
      </c>
      <c r="B4126">
        <v>11.0329</v>
      </c>
    </row>
    <row r="4127" spans="1:2">
      <c r="A4127" s="117">
        <v>37681</v>
      </c>
      <c r="B4127">
        <v>11.033300000000001</v>
      </c>
    </row>
    <row r="4128" spans="1:2">
      <c r="A4128" s="117">
        <v>37682</v>
      </c>
      <c r="B4128">
        <v>11.033300000000001</v>
      </c>
    </row>
    <row r="4129" spans="1:2">
      <c r="A4129" s="117">
        <v>37683</v>
      </c>
      <c r="B4129">
        <v>11.033300000000001</v>
      </c>
    </row>
    <row r="4130" spans="1:2">
      <c r="A4130" s="117">
        <v>37684</v>
      </c>
      <c r="B4130">
        <v>11.032400000000001</v>
      </c>
    </row>
    <row r="4131" spans="1:2">
      <c r="A4131" s="117">
        <v>37685</v>
      </c>
      <c r="B4131">
        <v>10.9902</v>
      </c>
    </row>
    <row r="4132" spans="1:2">
      <c r="A4132" s="117">
        <v>37686</v>
      </c>
      <c r="B4132">
        <v>11.136699999999999</v>
      </c>
    </row>
    <row r="4133" spans="1:2">
      <c r="A4133" s="117">
        <v>37687</v>
      </c>
      <c r="B4133">
        <v>11.1927</v>
      </c>
    </row>
    <row r="4134" spans="1:2">
      <c r="A4134" s="117">
        <v>37688</v>
      </c>
      <c r="B4134">
        <v>11.225</v>
      </c>
    </row>
    <row r="4135" spans="1:2">
      <c r="A4135" s="117">
        <v>37689</v>
      </c>
      <c r="B4135">
        <v>11.225</v>
      </c>
    </row>
    <row r="4136" spans="1:2">
      <c r="A4136" s="117">
        <v>37690</v>
      </c>
      <c r="B4136">
        <v>11.225</v>
      </c>
    </row>
    <row r="4137" spans="1:2">
      <c r="A4137" s="117">
        <v>37691</v>
      </c>
      <c r="B4137">
        <v>11.106400000000001</v>
      </c>
    </row>
    <row r="4138" spans="1:2">
      <c r="A4138" s="117">
        <v>37692</v>
      </c>
      <c r="B4138">
        <v>11.0998</v>
      </c>
    </row>
    <row r="4139" spans="1:2">
      <c r="A4139" s="117">
        <v>37693</v>
      </c>
      <c r="B4139">
        <v>11.0052</v>
      </c>
    </row>
    <row r="4140" spans="1:2">
      <c r="A4140" s="117">
        <v>37694</v>
      </c>
      <c r="B4140">
        <v>10.907299999999999</v>
      </c>
    </row>
    <row r="4141" spans="1:2">
      <c r="A4141" s="117">
        <v>37695</v>
      </c>
      <c r="B4141">
        <v>10.817299999999999</v>
      </c>
    </row>
    <row r="4142" spans="1:2">
      <c r="A4142" s="117">
        <v>37696</v>
      </c>
      <c r="B4142">
        <v>10.817299999999999</v>
      </c>
    </row>
    <row r="4143" spans="1:2">
      <c r="A4143" s="117">
        <v>37697</v>
      </c>
      <c r="B4143">
        <v>10.817299999999999</v>
      </c>
    </row>
    <row r="4144" spans="1:2">
      <c r="A4144" s="117">
        <v>37698</v>
      </c>
      <c r="B4144">
        <v>10.848100000000001</v>
      </c>
    </row>
    <row r="4145" spans="1:2">
      <c r="A4145" s="117">
        <v>37699</v>
      </c>
      <c r="B4145">
        <v>10.8713</v>
      </c>
    </row>
    <row r="4146" spans="1:2">
      <c r="A4146" s="117">
        <v>37700</v>
      </c>
      <c r="B4146">
        <v>10.8147</v>
      </c>
    </row>
    <row r="4147" spans="1:2">
      <c r="A4147" s="117">
        <v>37701</v>
      </c>
      <c r="B4147">
        <v>10.863300000000001</v>
      </c>
    </row>
    <row r="4148" spans="1:2">
      <c r="A4148" s="117">
        <v>37702</v>
      </c>
      <c r="B4148">
        <v>10.863300000000001</v>
      </c>
    </row>
    <row r="4149" spans="1:2">
      <c r="A4149" s="117">
        <v>37703</v>
      </c>
      <c r="B4149">
        <v>10.863300000000001</v>
      </c>
    </row>
    <row r="4150" spans="1:2">
      <c r="A4150" s="117">
        <v>37704</v>
      </c>
      <c r="B4150">
        <v>10.863300000000001</v>
      </c>
    </row>
    <row r="4151" spans="1:2">
      <c r="A4151" s="117">
        <v>37705</v>
      </c>
      <c r="B4151">
        <v>10.8734</v>
      </c>
    </row>
    <row r="4152" spans="1:2">
      <c r="A4152" s="117">
        <v>37706</v>
      </c>
      <c r="B4152">
        <v>10.800800000000001</v>
      </c>
    </row>
    <row r="4153" spans="1:2">
      <c r="A4153" s="117">
        <v>37707</v>
      </c>
      <c r="B4153">
        <v>10.72</v>
      </c>
    </row>
    <row r="4154" spans="1:2">
      <c r="A4154" s="117">
        <v>37708</v>
      </c>
      <c r="B4154">
        <v>10.7498</v>
      </c>
    </row>
    <row r="4155" spans="1:2">
      <c r="A4155" s="117">
        <v>37709</v>
      </c>
      <c r="B4155">
        <v>10.767099999999999</v>
      </c>
    </row>
    <row r="4156" spans="1:2">
      <c r="A4156" s="117">
        <v>37710</v>
      </c>
      <c r="B4156">
        <v>10.767099999999999</v>
      </c>
    </row>
    <row r="4157" spans="1:2">
      <c r="A4157" s="117">
        <v>37711</v>
      </c>
      <c r="B4157">
        <v>10.767099999999999</v>
      </c>
    </row>
    <row r="4158" spans="1:2">
      <c r="A4158" s="117">
        <v>37712</v>
      </c>
      <c r="B4158">
        <v>10.6698</v>
      </c>
    </row>
    <row r="4159" spans="1:2">
      <c r="A4159" s="117">
        <v>37713</v>
      </c>
      <c r="B4159">
        <v>10.7889</v>
      </c>
    </row>
    <row r="4160" spans="1:2">
      <c r="A4160" s="117">
        <v>37714</v>
      </c>
      <c r="B4160">
        <v>10.7362</v>
      </c>
    </row>
    <row r="4161" spans="1:2">
      <c r="A4161" s="117">
        <v>37715</v>
      </c>
      <c r="B4161">
        <v>10.6676</v>
      </c>
    </row>
    <row r="4162" spans="1:2">
      <c r="A4162" s="117">
        <v>37716</v>
      </c>
      <c r="B4162">
        <v>10.661899999999999</v>
      </c>
    </row>
    <row r="4163" spans="1:2">
      <c r="A4163" s="117">
        <v>37717</v>
      </c>
      <c r="B4163">
        <v>10.661899999999999</v>
      </c>
    </row>
    <row r="4164" spans="1:2">
      <c r="A4164" s="117">
        <v>37718</v>
      </c>
      <c r="B4164">
        <v>10.661899999999999</v>
      </c>
    </row>
    <row r="4165" spans="1:2">
      <c r="A4165" s="117">
        <v>37719</v>
      </c>
      <c r="B4165">
        <v>10.6823</v>
      </c>
    </row>
    <row r="4166" spans="1:2">
      <c r="A4166" s="117">
        <v>37720</v>
      </c>
      <c r="B4166">
        <v>10.6896</v>
      </c>
    </row>
    <row r="4167" spans="1:2">
      <c r="A4167" s="117">
        <v>37721</v>
      </c>
      <c r="B4167">
        <v>10.739800000000001</v>
      </c>
    </row>
    <row r="4168" spans="1:2">
      <c r="A4168" s="117">
        <v>37722</v>
      </c>
      <c r="B4168">
        <v>10.754099999999999</v>
      </c>
    </row>
    <row r="4169" spans="1:2">
      <c r="A4169" s="117">
        <v>37723</v>
      </c>
      <c r="B4169">
        <v>10.7651</v>
      </c>
    </row>
    <row r="4170" spans="1:2">
      <c r="A4170" s="117">
        <v>37724</v>
      </c>
      <c r="B4170">
        <v>10.7651</v>
      </c>
    </row>
    <row r="4171" spans="1:2">
      <c r="A4171" s="117">
        <v>37725</v>
      </c>
      <c r="B4171">
        <v>10.7651</v>
      </c>
    </row>
    <row r="4172" spans="1:2">
      <c r="A4172" s="117">
        <v>37726</v>
      </c>
      <c r="B4172">
        <v>10.702</v>
      </c>
    </row>
    <row r="4173" spans="1:2">
      <c r="A4173" s="117">
        <v>37727</v>
      </c>
      <c r="B4173">
        <v>10.610200000000001</v>
      </c>
    </row>
    <row r="4174" spans="1:2">
      <c r="A4174" s="117">
        <v>37728</v>
      </c>
      <c r="B4174">
        <v>10.639799999999999</v>
      </c>
    </row>
    <row r="4175" spans="1:2">
      <c r="A4175" s="117">
        <v>37729</v>
      </c>
      <c r="B4175">
        <v>10.639799999999999</v>
      </c>
    </row>
    <row r="4176" spans="1:2">
      <c r="A4176" s="117">
        <v>37730</v>
      </c>
      <c r="B4176">
        <v>10.639799999999999</v>
      </c>
    </row>
    <row r="4177" spans="1:2">
      <c r="A4177" s="117">
        <v>37731</v>
      </c>
      <c r="B4177">
        <v>10.639799999999999</v>
      </c>
    </row>
    <row r="4178" spans="1:2">
      <c r="A4178" s="117">
        <v>37732</v>
      </c>
      <c r="B4178">
        <v>10.639799999999999</v>
      </c>
    </row>
    <row r="4179" spans="1:2">
      <c r="A4179" s="117">
        <v>37733</v>
      </c>
      <c r="B4179">
        <v>10.6225</v>
      </c>
    </row>
    <row r="4180" spans="1:2">
      <c r="A4180" s="117">
        <v>37734</v>
      </c>
      <c r="B4180">
        <v>10.554500000000001</v>
      </c>
    </row>
    <row r="4181" spans="1:2">
      <c r="A4181" s="117">
        <v>37735</v>
      </c>
      <c r="B4181">
        <v>10.5525</v>
      </c>
    </row>
    <row r="4182" spans="1:2">
      <c r="A4182" s="117">
        <v>37736</v>
      </c>
      <c r="B4182">
        <v>10.514699999999999</v>
      </c>
    </row>
    <row r="4183" spans="1:2">
      <c r="A4183" s="117">
        <v>37737</v>
      </c>
      <c r="B4183">
        <v>10.434799999999999</v>
      </c>
    </row>
    <row r="4184" spans="1:2">
      <c r="A4184" s="117">
        <v>37738</v>
      </c>
      <c r="B4184">
        <v>10.434799999999999</v>
      </c>
    </row>
    <row r="4185" spans="1:2">
      <c r="A4185" s="117">
        <v>37739</v>
      </c>
      <c r="B4185">
        <v>10.434799999999999</v>
      </c>
    </row>
    <row r="4186" spans="1:2">
      <c r="A4186" s="117">
        <v>37740</v>
      </c>
      <c r="B4186">
        <v>10.431800000000001</v>
      </c>
    </row>
    <row r="4187" spans="1:2">
      <c r="A4187" s="117">
        <v>37741</v>
      </c>
      <c r="B4187">
        <v>10.430400000000001</v>
      </c>
    </row>
    <row r="4188" spans="1:2">
      <c r="A4188" s="117">
        <v>37742</v>
      </c>
      <c r="B4188">
        <v>10.345000000000001</v>
      </c>
    </row>
    <row r="4189" spans="1:2">
      <c r="A4189" s="117">
        <v>37743</v>
      </c>
      <c r="B4189">
        <v>10.345000000000001</v>
      </c>
    </row>
    <row r="4190" spans="1:2">
      <c r="A4190" s="117">
        <v>37744</v>
      </c>
      <c r="B4190">
        <v>10.3</v>
      </c>
    </row>
    <row r="4191" spans="1:2">
      <c r="A4191" s="117">
        <v>37745</v>
      </c>
      <c r="B4191">
        <v>10.3</v>
      </c>
    </row>
    <row r="4192" spans="1:2">
      <c r="A4192" s="117">
        <v>37746</v>
      </c>
      <c r="B4192">
        <v>10.3</v>
      </c>
    </row>
    <row r="4193" spans="1:2">
      <c r="A4193" s="117">
        <v>37747</v>
      </c>
      <c r="B4193">
        <v>10.2003</v>
      </c>
    </row>
    <row r="4194" spans="1:2">
      <c r="A4194" s="117">
        <v>37748</v>
      </c>
      <c r="B4194">
        <v>10.181699999999999</v>
      </c>
    </row>
    <row r="4195" spans="1:2">
      <c r="A4195" s="117">
        <v>37749</v>
      </c>
      <c r="B4195">
        <v>10.267799999999999</v>
      </c>
    </row>
    <row r="4196" spans="1:2">
      <c r="A4196" s="117">
        <v>37750</v>
      </c>
      <c r="B4196">
        <v>10.211499999999999</v>
      </c>
    </row>
    <row r="4197" spans="1:2">
      <c r="A4197" s="117">
        <v>37751</v>
      </c>
      <c r="B4197">
        <v>10.17</v>
      </c>
    </row>
    <row r="4198" spans="1:2">
      <c r="A4198" s="117">
        <v>37752</v>
      </c>
      <c r="B4198">
        <v>10.17</v>
      </c>
    </row>
    <row r="4199" spans="1:2">
      <c r="A4199" s="117">
        <v>37753</v>
      </c>
      <c r="B4199">
        <v>10.17</v>
      </c>
    </row>
    <row r="4200" spans="1:2">
      <c r="A4200" s="117">
        <v>37754</v>
      </c>
      <c r="B4200">
        <v>10.1068</v>
      </c>
    </row>
    <row r="4201" spans="1:2">
      <c r="A4201" s="117">
        <v>37755</v>
      </c>
      <c r="B4201">
        <v>10.177300000000001</v>
      </c>
    </row>
    <row r="4202" spans="1:2">
      <c r="A4202" s="117">
        <v>37756</v>
      </c>
      <c r="B4202">
        <v>10.160500000000001</v>
      </c>
    </row>
    <row r="4203" spans="1:2">
      <c r="A4203" s="117">
        <v>37757</v>
      </c>
      <c r="B4203">
        <v>10.142799999999999</v>
      </c>
    </row>
    <row r="4204" spans="1:2">
      <c r="A4204" s="117">
        <v>37758</v>
      </c>
      <c r="B4204">
        <v>10.2927</v>
      </c>
    </row>
    <row r="4205" spans="1:2">
      <c r="A4205" s="117">
        <v>37759</v>
      </c>
      <c r="B4205">
        <v>10.2927</v>
      </c>
    </row>
    <row r="4206" spans="1:2">
      <c r="A4206" s="117">
        <v>37760</v>
      </c>
      <c r="B4206">
        <v>10.2927</v>
      </c>
    </row>
    <row r="4207" spans="1:2">
      <c r="A4207" s="117">
        <v>37761</v>
      </c>
      <c r="B4207">
        <v>10.375999999999999</v>
      </c>
    </row>
    <row r="4208" spans="1:2">
      <c r="A4208" s="117">
        <v>37762</v>
      </c>
      <c r="B4208">
        <v>10.3498</v>
      </c>
    </row>
    <row r="4209" spans="1:2">
      <c r="A4209" s="117">
        <v>37763</v>
      </c>
      <c r="B4209">
        <v>10.266299999999999</v>
      </c>
    </row>
    <row r="4210" spans="1:2">
      <c r="A4210" s="117">
        <v>37764</v>
      </c>
      <c r="B4210">
        <v>10.253</v>
      </c>
    </row>
    <row r="4211" spans="1:2">
      <c r="A4211" s="117">
        <v>37765</v>
      </c>
      <c r="B4211">
        <v>10.238300000000001</v>
      </c>
    </row>
    <row r="4212" spans="1:2">
      <c r="A4212" s="117">
        <v>37766</v>
      </c>
      <c r="B4212">
        <v>10.238300000000001</v>
      </c>
    </row>
    <row r="4213" spans="1:2">
      <c r="A4213" s="117">
        <v>37767</v>
      </c>
      <c r="B4213">
        <v>10.238300000000001</v>
      </c>
    </row>
    <row r="4214" spans="1:2">
      <c r="A4214" s="117">
        <v>37768</v>
      </c>
      <c r="B4214">
        <v>10.247299999999999</v>
      </c>
    </row>
    <row r="4215" spans="1:2">
      <c r="A4215" s="117">
        <v>37769</v>
      </c>
      <c r="B4215">
        <v>10.251899999999999</v>
      </c>
    </row>
    <row r="4216" spans="1:2">
      <c r="A4216" s="117">
        <v>37770</v>
      </c>
      <c r="B4216">
        <v>10.316599999999999</v>
      </c>
    </row>
    <row r="4217" spans="1:2">
      <c r="A4217" s="117">
        <v>37771</v>
      </c>
      <c r="B4217">
        <v>10.4063</v>
      </c>
    </row>
    <row r="4218" spans="1:2">
      <c r="A4218" s="117">
        <v>37772</v>
      </c>
      <c r="B4218">
        <v>10.320499999999999</v>
      </c>
    </row>
    <row r="4219" spans="1:2">
      <c r="A4219" s="117">
        <v>37773</v>
      </c>
      <c r="B4219">
        <v>10.320499999999999</v>
      </c>
    </row>
    <row r="4220" spans="1:2">
      <c r="A4220" s="117">
        <v>37774</v>
      </c>
      <c r="B4220">
        <v>10.320499999999999</v>
      </c>
    </row>
    <row r="4221" spans="1:2">
      <c r="A4221" s="117">
        <v>37775</v>
      </c>
      <c r="B4221">
        <v>10.3377</v>
      </c>
    </row>
    <row r="4222" spans="1:2">
      <c r="A4222" s="117">
        <v>37776</v>
      </c>
      <c r="B4222">
        <v>10.2402</v>
      </c>
    </row>
    <row r="4223" spans="1:2">
      <c r="A4223" s="117">
        <v>37777</v>
      </c>
      <c r="B4223">
        <v>10.2598</v>
      </c>
    </row>
    <row r="4224" spans="1:2">
      <c r="A4224" s="117">
        <v>37778</v>
      </c>
      <c r="B4224">
        <v>10.388199999999999</v>
      </c>
    </row>
    <row r="4225" spans="1:2">
      <c r="A4225" s="117">
        <v>37779</v>
      </c>
      <c r="B4225">
        <v>10.559799999999999</v>
      </c>
    </row>
    <row r="4226" spans="1:2">
      <c r="A4226" s="117">
        <v>37780</v>
      </c>
      <c r="B4226">
        <v>10.559799999999999</v>
      </c>
    </row>
    <row r="4227" spans="1:2">
      <c r="A4227" s="117">
        <v>37781</v>
      </c>
      <c r="B4227">
        <v>10.559799999999999</v>
      </c>
    </row>
    <row r="4228" spans="1:2">
      <c r="A4228" s="117">
        <v>37782</v>
      </c>
      <c r="B4228">
        <v>10.5608</v>
      </c>
    </row>
    <row r="4229" spans="1:2">
      <c r="A4229" s="117">
        <v>37783</v>
      </c>
      <c r="B4229">
        <v>10.7431</v>
      </c>
    </row>
    <row r="4230" spans="1:2">
      <c r="A4230" s="117">
        <v>37784</v>
      </c>
      <c r="B4230">
        <v>10.714499999999999</v>
      </c>
    </row>
    <row r="4231" spans="1:2">
      <c r="A4231" s="117">
        <v>37785</v>
      </c>
      <c r="B4231">
        <v>10.6119</v>
      </c>
    </row>
    <row r="4232" spans="1:2">
      <c r="A4232" s="117">
        <v>37786</v>
      </c>
      <c r="B4232">
        <v>10.577500000000001</v>
      </c>
    </row>
    <row r="4233" spans="1:2">
      <c r="A4233" s="117">
        <v>37787</v>
      </c>
      <c r="B4233">
        <v>10.577500000000001</v>
      </c>
    </row>
    <row r="4234" spans="1:2">
      <c r="A4234" s="117">
        <v>37788</v>
      </c>
      <c r="B4234">
        <v>10.577500000000001</v>
      </c>
    </row>
    <row r="4235" spans="1:2">
      <c r="A4235" s="117">
        <v>37789</v>
      </c>
      <c r="B4235">
        <v>10.5946</v>
      </c>
    </row>
    <row r="4236" spans="1:2">
      <c r="A4236" s="117">
        <v>37790</v>
      </c>
      <c r="B4236">
        <v>10.4983</v>
      </c>
    </row>
    <row r="4237" spans="1:2">
      <c r="A4237" s="117">
        <v>37791</v>
      </c>
      <c r="B4237">
        <v>10.5014</v>
      </c>
    </row>
    <row r="4238" spans="1:2">
      <c r="A4238" s="117">
        <v>37792</v>
      </c>
      <c r="B4238">
        <v>10.5883</v>
      </c>
    </row>
    <row r="4239" spans="1:2">
      <c r="A4239" s="117">
        <v>37793</v>
      </c>
      <c r="B4239">
        <v>10.485799999999999</v>
      </c>
    </row>
    <row r="4240" spans="1:2">
      <c r="A4240" s="117">
        <v>37794</v>
      </c>
      <c r="B4240">
        <v>10.485799999999999</v>
      </c>
    </row>
    <row r="4241" spans="1:2">
      <c r="A4241" s="117">
        <v>37795</v>
      </c>
      <c r="B4241">
        <v>10.485799999999999</v>
      </c>
    </row>
    <row r="4242" spans="1:2">
      <c r="A4242" s="117">
        <v>37796</v>
      </c>
      <c r="B4242">
        <v>10.466900000000001</v>
      </c>
    </row>
    <row r="4243" spans="1:2">
      <c r="A4243" s="117">
        <v>37797</v>
      </c>
      <c r="B4243">
        <v>10.4796</v>
      </c>
    </row>
    <row r="4244" spans="1:2">
      <c r="A4244" s="117">
        <v>37798</v>
      </c>
      <c r="B4244">
        <v>10.518800000000001</v>
      </c>
    </row>
    <row r="4245" spans="1:2">
      <c r="A4245" s="117">
        <v>37799</v>
      </c>
      <c r="B4245">
        <v>10.4734</v>
      </c>
    </row>
    <row r="4246" spans="1:2">
      <c r="A4246" s="117">
        <v>37800</v>
      </c>
      <c r="B4246">
        <v>10.4808</v>
      </c>
    </row>
    <row r="4247" spans="1:2">
      <c r="A4247" s="117">
        <v>37801</v>
      </c>
      <c r="B4247">
        <v>10.4808</v>
      </c>
    </row>
    <row r="4248" spans="1:2">
      <c r="A4248" s="117">
        <v>37802</v>
      </c>
      <c r="B4248">
        <v>10.4808</v>
      </c>
    </row>
    <row r="4249" spans="1:2">
      <c r="A4249" s="117">
        <v>37803</v>
      </c>
      <c r="B4249">
        <v>10.4176</v>
      </c>
    </row>
    <row r="4250" spans="1:2">
      <c r="A4250" s="117">
        <v>37804</v>
      </c>
      <c r="B4250">
        <v>10.436999999999999</v>
      </c>
    </row>
    <row r="4251" spans="1:2">
      <c r="A4251" s="117">
        <v>37805</v>
      </c>
      <c r="B4251">
        <v>10.4495</v>
      </c>
    </row>
    <row r="4252" spans="1:2">
      <c r="A4252" s="117">
        <v>37806</v>
      </c>
      <c r="B4252">
        <v>10.4779</v>
      </c>
    </row>
    <row r="4253" spans="1:2">
      <c r="A4253" s="117">
        <v>37807</v>
      </c>
      <c r="B4253">
        <v>10.446999999999999</v>
      </c>
    </row>
    <row r="4254" spans="1:2">
      <c r="A4254" s="117">
        <v>37808</v>
      </c>
      <c r="B4254">
        <v>10.446999999999999</v>
      </c>
    </row>
    <row r="4255" spans="1:2">
      <c r="A4255" s="117">
        <v>37809</v>
      </c>
      <c r="B4255">
        <v>10.446999999999999</v>
      </c>
    </row>
    <row r="4256" spans="1:2">
      <c r="A4256" s="117">
        <v>37810</v>
      </c>
      <c r="B4256">
        <v>10.4087</v>
      </c>
    </row>
    <row r="4257" spans="1:2">
      <c r="A4257" s="117">
        <v>37811</v>
      </c>
      <c r="B4257">
        <v>10.394600000000001</v>
      </c>
    </row>
    <row r="4258" spans="1:2">
      <c r="A4258" s="117">
        <v>37812</v>
      </c>
      <c r="B4258">
        <v>10.542999999999999</v>
      </c>
    </row>
    <row r="4259" spans="1:2">
      <c r="A4259" s="117">
        <v>37813</v>
      </c>
      <c r="B4259">
        <v>10.4795</v>
      </c>
    </row>
    <row r="4260" spans="1:2">
      <c r="A4260" s="117">
        <v>37814</v>
      </c>
      <c r="B4260">
        <v>10.4482</v>
      </c>
    </row>
    <row r="4261" spans="1:2">
      <c r="A4261" s="117">
        <v>37815</v>
      </c>
      <c r="B4261">
        <v>10.4482</v>
      </c>
    </row>
    <row r="4262" spans="1:2">
      <c r="A4262" s="117">
        <v>37816</v>
      </c>
      <c r="B4262">
        <v>10.4482</v>
      </c>
    </row>
    <row r="4263" spans="1:2">
      <c r="A4263" s="117">
        <v>37817</v>
      </c>
      <c r="B4263">
        <v>10.4213</v>
      </c>
    </row>
    <row r="4264" spans="1:2">
      <c r="A4264" s="117">
        <v>37818</v>
      </c>
      <c r="B4264">
        <v>10.382099999999999</v>
      </c>
    </row>
    <row r="4265" spans="1:2">
      <c r="A4265" s="117">
        <v>37819</v>
      </c>
      <c r="B4265">
        <v>10.4308</v>
      </c>
    </row>
    <row r="4266" spans="1:2">
      <c r="A4266" s="117">
        <v>37820</v>
      </c>
      <c r="B4266">
        <v>10.4079</v>
      </c>
    </row>
    <row r="4267" spans="1:2">
      <c r="A4267" s="117">
        <v>37821</v>
      </c>
      <c r="B4267">
        <v>10.349</v>
      </c>
    </row>
    <row r="4268" spans="1:2">
      <c r="A4268" s="117">
        <v>37822</v>
      </c>
      <c r="B4268">
        <v>10.349</v>
      </c>
    </row>
    <row r="4269" spans="1:2">
      <c r="A4269" s="117">
        <v>37823</v>
      </c>
      <c r="B4269">
        <v>10.349</v>
      </c>
    </row>
    <row r="4270" spans="1:2">
      <c r="A4270" s="117">
        <v>37824</v>
      </c>
      <c r="B4270">
        <v>10.36</v>
      </c>
    </row>
    <row r="4271" spans="1:2">
      <c r="A4271" s="117">
        <v>37825</v>
      </c>
      <c r="B4271">
        <v>10.410500000000001</v>
      </c>
    </row>
    <row r="4272" spans="1:2">
      <c r="A4272" s="117">
        <v>37826</v>
      </c>
      <c r="B4272">
        <v>10.436199999999999</v>
      </c>
    </row>
    <row r="4273" spans="1:2">
      <c r="A4273" s="117">
        <v>37827</v>
      </c>
      <c r="B4273">
        <v>10.516</v>
      </c>
    </row>
    <row r="4274" spans="1:2">
      <c r="A4274" s="117">
        <v>37828</v>
      </c>
      <c r="B4274">
        <v>10.520300000000001</v>
      </c>
    </row>
    <row r="4275" spans="1:2">
      <c r="A4275" s="117">
        <v>37829</v>
      </c>
      <c r="B4275">
        <v>10.520300000000001</v>
      </c>
    </row>
    <row r="4276" spans="1:2">
      <c r="A4276" s="117">
        <v>37830</v>
      </c>
      <c r="B4276">
        <v>10.520300000000001</v>
      </c>
    </row>
    <row r="4277" spans="1:2">
      <c r="A4277" s="117">
        <v>37831</v>
      </c>
      <c r="B4277">
        <v>10.509499999999999</v>
      </c>
    </row>
    <row r="4278" spans="1:2">
      <c r="A4278" s="117">
        <v>37832</v>
      </c>
      <c r="B4278">
        <v>10.464499999999999</v>
      </c>
    </row>
    <row r="4279" spans="1:2">
      <c r="A4279" s="117">
        <v>37833</v>
      </c>
      <c r="B4279">
        <v>10.4878</v>
      </c>
    </row>
    <row r="4280" spans="1:2">
      <c r="A4280" s="117">
        <v>37834</v>
      </c>
      <c r="B4280">
        <v>10.487</v>
      </c>
    </row>
    <row r="4281" spans="1:2">
      <c r="A4281" s="117">
        <v>37835</v>
      </c>
      <c r="B4281">
        <v>10.5243</v>
      </c>
    </row>
    <row r="4282" spans="1:2">
      <c r="A4282" s="117">
        <v>37836</v>
      </c>
      <c r="B4282">
        <v>10.5243</v>
      </c>
    </row>
    <row r="4283" spans="1:2">
      <c r="A4283" s="117">
        <v>37837</v>
      </c>
      <c r="B4283">
        <v>10.5243</v>
      </c>
    </row>
    <row r="4284" spans="1:2">
      <c r="A4284" s="117">
        <v>37838</v>
      </c>
      <c r="B4284">
        <v>10.5997</v>
      </c>
    </row>
    <row r="4285" spans="1:2">
      <c r="A4285" s="117">
        <v>37839</v>
      </c>
      <c r="B4285">
        <v>10.586399999999999</v>
      </c>
    </row>
    <row r="4286" spans="1:2">
      <c r="A4286" s="117">
        <v>37840</v>
      </c>
      <c r="B4286">
        <v>10.7117</v>
      </c>
    </row>
    <row r="4287" spans="1:2">
      <c r="A4287" s="117">
        <v>37841</v>
      </c>
      <c r="B4287">
        <v>10.7058</v>
      </c>
    </row>
    <row r="4288" spans="1:2">
      <c r="A4288" s="117">
        <v>37842</v>
      </c>
      <c r="B4288">
        <v>10.700100000000001</v>
      </c>
    </row>
    <row r="4289" spans="1:2">
      <c r="A4289" s="117">
        <v>37843</v>
      </c>
      <c r="B4289">
        <v>10.700100000000001</v>
      </c>
    </row>
    <row r="4290" spans="1:2">
      <c r="A4290" s="117">
        <v>37844</v>
      </c>
      <c r="B4290">
        <v>10.700100000000001</v>
      </c>
    </row>
    <row r="4291" spans="1:2">
      <c r="A4291" s="117">
        <v>37845</v>
      </c>
      <c r="B4291">
        <v>10.6623</v>
      </c>
    </row>
    <row r="4292" spans="1:2">
      <c r="A4292" s="117">
        <v>37846</v>
      </c>
      <c r="B4292">
        <v>10.690899999999999</v>
      </c>
    </row>
    <row r="4293" spans="1:2">
      <c r="A4293" s="117">
        <v>37847</v>
      </c>
      <c r="B4293">
        <v>10.7448</v>
      </c>
    </row>
    <row r="4294" spans="1:2">
      <c r="A4294" s="117">
        <v>37848</v>
      </c>
      <c r="B4294">
        <v>10.7562</v>
      </c>
    </row>
    <row r="4295" spans="1:2">
      <c r="A4295" s="117">
        <v>37849</v>
      </c>
      <c r="B4295">
        <v>10.696099999999999</v>
      </c>
    </row>
    <row r="4296" spans="1:2">
      <c r="A4296" s="117">
        <v>37850</v>
      </c>
      <c r="B4296">
        <v>10.696099999999999</v>
      </c>
    </row>
    <row r="4297" spans="1:2">
      <c r="A4297" s="117">
        <v>37851</v>
      </c>
      <c r="B4297">
        <v>10.696099999999999</v>
      </c>
    </row>
    <row r="4298" spans="1:2">
      <c r="A4298" s="117">
        <v>37852</v>
      </c>
      <c r="B4298">
        <v>10.7273</v>
      </c>
    </row>
    <row r="4299" spans="1:2">
      <c r="A4299" s="117">
        <v>37853</v>
      </c>
      <c r="B4299">
        <v>10.723000000000001</v>
      </c>
    </row>
    <row r="4300" spans="1:2">
      <c r="A4300" s="117">
        <v>37854</v>
      </c>
      <c r="B4300">
        <v>10.800700000000001</v>
      </c>
    </row>
    <row r="4301" spans="1:2">
      <c r="A4301" s="117">
        <v>37855</v>
      </c>
      <c r="B4301">
        <v>10.837899999999999</v>
      </c>
    </row>
    <row r="4302" spans="1:2">
      <c r="A4302" s="117">
        <v>37856</v>
      </c>
      <c r="B4302">
        <v>10.8507</v>
      </c>
    </row>
    <row r="4303" spans="1:2">
      <c r="A4303" s="117">
        <v>37857</v>
      </c>
      <c r="B4303">
        <v>10.8507</v>
      </c>
    </row>
    <row r="4304" spans="1:2">
      <c r="A4304" s="117">
        <v>37858</v>
      </c>
      <c r="B4304">
        <v>10.8507</v>
      </c>
    </row>
    <row r="4305" spans="1:2">
      <c r="A4305" s="117">
        <v>37859</v>
      </c>
      <c r="B4305">
        <v>10.861499999999999</v>
      </c>
    </row>
    <row r="4306" spans="1:2">
      <c r="A4306" s="117">
        <v>37860</v>
      </c>
      <c r="B4306">
        <v>10.875299999999999</v>
      </c>
    </row>
    <row r="4307" spans="1:2">
      <c r="A4307" s="117">
        <v>37861</v>
      </c>
      <c r="B4307">
        <v>10.911799999999999</v>
      </c>
    </row>
    <row r="4308" spans="1:2">
      <c r="A4308" s="117">
        <v>37862</v>
      </c>
      <c r="B4308">
        <v>10.9337</v>
      </c>
    </row>
    <row r="4309" spans="1:2">
      <c r="A4309" s="117">
        <v>37863</v>
      </c>
      <c r="B4309">
        <v>10.980600000000001</v>
      </c>
    </row>
    <row r="4310" spans="1:2">
      <c r="A4310" s="117">
        <v>37864</v>
      </c>
      <c r="B4310">
        <v>10.980600000000001</v>
      </c>
    </row>
    <row r="4311" spans="1:2">
      <c r="A4311" s="117">
        <v>37865</v>
      </c>
      <c r="B4311">
        <v>10.980600000000001</v>
      </c>
    </row>
    <row r="4312" spans="1:2">
      <c r="A4312" s="117">
        <v>37866</v>
      </c>
      <c r="B4312">
        <v>11.047499999999999</v>
      </c>
    </row>
    <row r="4313" spans="1:2">
      <c r="A4313" s="117">
        <v>37867</v>
      </c>
      <c r="B4313">
        <v>11.045999999999999</v>
      </c>
    </row>
    <row r="4314" spans="1:2">
      <c r="A4314" s="117">
        <v>37868</v>
      </c>
      <c r="B4314">
        <v>11.0313</v>
      </c>
    </row>
    <row r="4315" spans="1:2">
      <c r="A4315" s="117">
        <v>37869</v>
      </c>
      <c r="B4315">
        <v>10.938599999999999</v>
      </c>
    </row>
    <row r="4316" spans="1:2">
      <c r="A4316" s="117">
        <v>37870</v>
      </c>
      <c r="B4316">
        <v>10.8575</v>
      </c>
    </row>
    <row r="4317" spans="1:2">
      <c r="A4317" s="117">
        <v>37871</v>
      </c>
      <c r="B4317">
        <v>10.8575</v>
      </c>
    </row>
    <row r="4318" spans="1:2">
      <c r="A4318" s="117">
        <v>37872</v>
      </c>
      <c r="B4318">
        <v>10.8575</v>
      </c>
    </row>
    <row r="4319" spans="1:2">
      <c r="A4319" s="117">
        <v>37873</v>
      </c>
      <c r="B4319">
        <v>10.862</v>
      </c>
    </row>
    <row r="4320" spans="1:2">
      <c r="A4320" s="117">
        <v>37874</v>
      </c>
      <c r="B4320">
        <v>10.9185</v>
      </c>
    </row>
    <row r="4321" spans="1:2">
      <c r="A4321" s="117">
        <v>37875</v>
      </c>
      <c r="B4321">
        <v>11.023300000000001</v>
      </c>
    </row>
    <row r="4322" spans="1:2">
      <c r="A4322" s="117">
        <v>37876</v>
      </c>
      <c r="B4322">
        <v>10.950200000000001</v>
      </c>
    </row>
    <row r="4323" spans="1:2">
      <c r="A4323" s="117">
        <v>37877</v>
      </c>
      <c r="B4323">
        <v>10.973699999999999</v>
      </c>
    </row>
    <row r="4324" spans="1:2">
      <c r="A4324" s="117">
        <v>37878</v>
      </c>
      <c r="B4324">
        <v>10.973699999999999</v>
      </c>
    </row>
    <row r="4325" spans="1:2">
      <c r="A4325" s="117">
        <v>37879</v>
      </c>
      <c r="B4325">
        <v>10.973699999999999</v>
      </c>
    </row>
    <row r="4326" spans="1:2">
      <c r="A4326" s="117">
        <v>37880</v>
      </c>
      <c r="B4326">
        <v>10.9793</v>
      </c>
    </row>
    <row r="4327" spans="1:2">
      <c r="A4327" s="117">
        <v>37881</v>
      </c>
      <c r="B4327">
        <v>10.9793</v>
      </c>
    </row>
    <row r="4328" spans="1:2">
      <c r="A4328" s="117">
        <v>37882</v>
      </c>
      <c r="B4328">
        <v>10.971299999999999</v>
      </c>
    </row>
    <row r="4329" spans="1:2">
      <c r="A4329" s="117">
        <v>37883</v>
      </c>
      <c r="B4329">
        <v>10.9054</v>
      </c>
    </row>
    <row r="4330" spans="1:2">
      <c r="A4330" s="117">
        <v>37884</v>
      </c>
      <c r="B4330">
        <v>10.9163</v>
      </c>
    </row>
    <row r="4331" spans="1:2">
      <c r="A4331" s="117">
        <v>37885</v>
      </c>
      <c r="B4331">
        <v>10.9163</v>
      </c>
    </row>
    <row r="4332" spans="1:2">
      <c r="A4332" s="117">
        <v>37886</v>
      </c>
      <c r="B4332">
        <v>10.9163</v>
      </c>
    </row>
    <row r="4333" spans="1:2">
      <c r="A4333" s="117">
        <v>37887</v>
      </c>
      <c r="B4333">
        <v>10.8955</v>
      </c>
    </row>
    <row r="4334" spans="1:2">
      <c r="A4334" s="117">
        <v>37888</v>
      </c>
      <c r="B4334">
        <v>10.827500000000001</v>
      </c>
    </row>
    <row r="4335" spans="1:2">
      <c r="A4335" s="117">
        <v>37889</v>
      </c>
      <c r="B4335">
        <v>10.774100000000001</v>
      </c>
    </row>
    <row r="4336" spans="1:2">
      <c r="A4336" s="117">
        <v>37890</v>
      </c>
      <c r="B4336">
        <v>10.797499999999999</v>
      </c>
    </row>
    <row r="4337" spans="1:2">
      <c r="A4337" s="117">
        <v>37891</v>
      </c>
      <c r="B4337">
        <v>10.811500000000001</v>
      </c>
    </row>
    <row r="4338" spans="1:2">
      <c r="A4338" s="117">
        <v>37892</v>
      </c>
      <c r="B4338">
        <v>10.811500000000001</v>
      </c>
    </row>
    <row r="4339" spans="1:2">
      <c r="A4339" s="117">
        <v>37893</v>
      </c>
      <c r="B4339">
        <v>10.811500000000001</v>
      </c>
    </row>
    <row r="4340" spans="1:2">
      <c r="A4340" s="117">
        <v>37894</v>
      </c>
      <c r="B4340">
        <v>10.927199999999999</v>
      </c>
    </row>
    <row r="4341" spans="1:2">
      <c r="A4341" s="117">
        <v>37895</v>
      </c>
      <c r="B4341">
        <v>11.044600000000001</v>
      </c>
    </row>
    <row r="4342" spans="1:2">
      <c r="A4342" s="117">
        <v>37896</v>
      </c>
      <c r="B4342">
        <v>11.013299999999999</v>
      </c>
    </row>
    <row r="4343" spans="1:2">
      <c r="A4343" s="117">
        <v>37897</v>
      </c>
      <c r="B4343">
        <v>10.961399999999999</v>
      </c>
    </row>
    <row r="4344" spans="1:2">
      <c r="A4344" s="117">
        <v>37898</v>
      </c>
      <c r="B4344">
        <v>11.160299999999999</v>
      </c>
    </row>
    <row r="4345" spans="1:2">
      <c r="A4345" s="117">
        <v>37899</v>
      </c>
      <c r="B4345">
        <v>11.160299999999999</v>
      </c>
    </row>
    <row r="4346" spans="1:2">
      <c r="A4346" s="117">
        <v>37900</v>
      </c>
      <c r="B4346">
        <v>11.160299999999999</v>
      </c>
    </row>
    <row r="4347" spans="1:2">
      <c r="A4347" s="117">
        <v>37901</v>
      </c>
      <c r="B4347">
        <v>11.247299999999999</v>
      </c>
    </row>
    <row r="4348" spans="1:2">
      <c r="A4348" s="117">
        <v>37902</v>
      </c>
      <c r="B4348">
        <v>11.2193</v>
      </c>
    </row>
    <row r="4349" spans="1:2">
      <c r="A4349" s="117">
        <v>37903</v>
      </c>
      <c r="B4349">
        <v>11.292299999999999</v>
      </c>
    </row>
    <row r="4350" spans="1:2">
      <c r="A4350" s="117">
        <v>37904</v>
      </c>
      <c r="B4350">
        <v>11.249000000000001</v>
      </c>
    </row>
    <row r="4351" spans="1:2">
      <c r="A4351" s="117">
        <v>37905</v>
      </c>
      <c r="B4351">
        <v>11.2356</v>
      </c>
    </row>
    <row r="4352" spans="1:2">
      <c r="A4352" s="117">
        <v>37906</v>
      </c>
      <c r="B4352">
        <v>11.2356</v>
      </c>
    </row>
    <row r="4353" spans="1:2">
      <c r="A4353" s="117">
        <v>37907</v>
      </c>
      <c r="B4353">
        <v>11.2356</v>
      </c>
    </row>
    <row r="4354" spans="1:2">
      <c r="A4354" s="117">
        <v>37908</v>
      </c>
      <c r="B4354">
        <v>11.194599999999999</v>
      </c>
    </row>
    <row r="4355" spans="1:2">
      <c r="A4355" s="117">
        <v>37909</v>
      </c>
      <c r="B4355">
        <v>11.1853</v>
      </c>
    </row>
    <row r="4356" spans="1:2">
      <c r="A4356" s="117">
        <v>37910</v>
      </c>
      <c r="B4356">
        <v>11.2347</v>
      </c>
    </row>
    <row r="4357" spans="1:2">
      <c r="A4357" s="117">
        <v>37911</v>
      </c>
      <c r="B4357">
        <v>11.1785</v>
      </c>
    </row>
    <row r="4358" spans="1:2">
      <c r="A4358" s="117">
        <v>37912</v>
      </c>
      <c r="B4358">
        <v>11.247199999999999</v>
      </c>
    </row>
    <row r="4359" spans="1:2">
      <c r="A4359" s="117">
        <v>37913</v>
      </c>
      <c r="B4359">
        <v>11.247199999999999</v>
      </c>
    </row>
    <row r="4360" spans="1:2">
      <c r="A4360" s="117">
        <v>37914</v>
      </c>
      <c r="B4360">
        <v>11.247199999999999</v>
      </c>
    </row>
    <row r="4361" spans="1:2">
      <c r="A4361" s="117">
        <v>37915</v>
      </c>
      <c r="B4361">
        <v>11.280200000000001</v>
      </c>
    </row>
    <row r="4362" spans="1:2">
      <c r="A4362" s="117">
        <v>37916</v>
      </c>
      <c r="B4362">
        <v>11.174799999999999</v>
      </c>
    </row>
    <row r="4363" spans="1:2">
      <c r="A4363" s="117">
        <v>37917</v>
      </c>
      <c r="B4363">
        <v>11.139699999999999</v>
      </c>
    </row>
    <row r="4364" spans="1:2">
      <c r="A4364" s="117">
        <v>37918</v>
      </c>
      <c r="B4364">
        <v>11.2178</v>
      </c>
    </row>
    <row r="4365" spans="1:2">
      <c r="A4365" s="117">
        <v>37919</v>
      </c>
      <c r="B4365">
        <v>11.180999999999999</v>
      </c>
    </row>
    <row r="4366" spans="1:2">
      <c r="A4366" s="117">
        <v>37920</v>
      </c>
      <c r="B4366">
        <v>11.180999999999999</v>
      </c>
    </row>
    <row r="4367" spans="1:2">
      <c r="A4367" s="117">
        <v>37921</v>
      </c>
      <c r="B4367">
        <v>11.180999999999999</v>
      </c>
    </row>
    <row r="4368" spans="1:2">
      <c r="A4368" s="117">
        <v>37922</v>
      </c>
      <c r="B4368">
        <v>11.1784</v>
      </c>
    </row>
    <row r="4369" spans="1:2">
      <c r="A4369" s="117">
        <v>37923</v>
      </c>
      <c r="B4369">
        <v>11.1068</v>
      </c>
    </row>
    <row r="4370" spans="1:2">
      <c r="A4370" s="117">
        <v>37924</v>
      </c>
      <c r="B4370">
        <v>11.0693</v>
      </c>
    </row>
    <row r="4371" spans="1:2">
      <c r="A4371" s="117">
        <v>37925</v>
      </c>
      <c r="B4371">
        <v>11.107799999999999</v>
      </c>
    </row>
    <row r="4372" spans="1:2">
      <c r="A4372" s="117">
        <v>37926</v>
      </c>
      <c r="B4372">
        <v>11.1058</v>
      </c>
    </row>
    <row r="4373" spans="1:2">
      <c r="A4373" s="117">
        <v>37927</v>
      </c>
      <c r="B4373">
        <v>11.1058</v>
      </c>
    </row>
    <row r="4374" spans="1:2">
      <c r="A4374" s="117">
        <v>37928</v>
      </c>
      <c r="B4374">
        <v>11.1058</v>
      </c>
    </row>
    <row r="4375" spans="1:2">
      <c r="A4375" s="117">
        <v>37929</v>
      </c>
      <c r="B4375">
        <v>11.0525</v>
      </c>
    </row>
    <row r="4376" spans="1:2">
      <c r="A4376" s="117">
        <v>37930</v>
      </c>
      <c r="B4376">
        <v>10.988099999999999</v>
      </c>
    </row>
    <row r="4377" spans="1:2">
      <c r="A4377" s="117">
        <v>37931</v>
      </c>
      <c r="B4377">
        <v>10.9998</v>
      </c>
    </row>
    <row r="4378" spans="1:2">
      <c r="A4378" s="117">
        <v>37932</v>
      </c>
      <c r="B4378">
        <v>10.982900000000001</v>
      </c>
    </row>
    <row r="4379" spans="1:2">
      <c r="A4379" s="117">
        <v>37933</v>
      </c>
      <c r="B4379">
        <v>10.9903</v>
      </c>
    </row>
    <row r="4380" spans="1:2">
      <c r="A4380" s="117">
        <v>37934</v>
      </c>
      <c r="B4380">
        <v>10.9903</v>
      </c>
    </row>
    <row r="4381" spans="1:2">
      <c r="A4381" s="117">
        <v>37935</v>
      </c>
      <c r="B4381">
        <v>10.9903</v>
      </c>
    </row>
    <row r="4382" spans="1:2">
      <c r="A4382" s="117">
        <v>37936</v>
      </c>
      <c r="B4382">
        <v>10.9688</v>
      </c>
    </row>
    <row r="4383" spans="1:2">
      <c r="A4383" s="117">
        <v>37937</v>
      </c>
      <c r="B4383">
        <v>11.0097</v>
      </c>
    </row>
    <row r="4384" spans="1:2">
      <c r="A4384" s="117">
        <v>37938</v>
      </c>
      <c r="B4384">
        <v>10.9582</v>
      </c>
    </row>
    <row r="4385" spans="1:2">
      <c r="A4385" s="117">
        <v>37939</v>
      </c>
      <c r="B4385">
        <v>11.058199999999999</v>
      </c>
    </row>
    <row r="4386" spans="1:2">
      <c r="A4386" s="117">
        <v>37940</v>
      </c>
      <c r="B4386">
        <v>11.175700000000001</v>
      </c>
    </row>
    <row r="4387" spans="1:2">
      <c r="A4387" s="117">
        <v>37941</v>
      </c>
      <c r="B4387">
        <v>11.175700000000001</v>
      </c>
    </row>
    <row r="4388" spans="1:2">
      <c r="A4388" s="117">
        <v>37942</v>
      </c>
      <c r="B4388">
        <v>11.175700000000001</v>
      </c>
    </row>
    <row r="4389" spans="1:2">
      <c r="A4389" s="117">
        <v>37943</v>
      </c>
      <c r="B4389">
        <v>11.1442</v>
      </c>
    </row>
    <row r="4390" spans="1:2">
      <c r="A4390" s="117">
        <v>37944</v>
      </c>
      <c r="B4390">
        <v>11.1823</v>
      </c>
    </row>
    <row r="4391" spans="1:2">
      <c r="A4391" s="117">
        <v>37945</v>
      </c>
      <c r="B4391">
        <v>11.164300000000001</v>
      </c>
    </row>
    <row r="4392" spans="1:2">
      <c r="A4392" s="117">
        <v>37946</v>
      </c>
      <c r="B4392">
        <v>11.164300000000001</v>
      </c>
    </row>
    <row r="4393" spans="1:2">
      <c r="A4393" s="117">
        <v>37947</v>
      </c>
      <c r="B4393">
        <v>11.2094</v>
      </c>
    </row>
    <row r="4394" spans="1:2">
      <c r="A4394" s="117">
        <v>37948</v>
      </c>
      <c r="B4394">
        <v>11.2094</v>
      </c>
    </row>
    <row r="4395" spans="1:2">
      <c r="A4395" s="117">
        <v>37949</v>
      </c>
      <c r="B4395">
        <v>11.2094</v>
      </c>
    </row>
    <row r="4396" spans="1:2">
      <c r="A4396" s="117">
        <v>37950</v>
      </c>
      <c r="B4396">
        <v>11.2058</v>
      </c>
    </row>
    <row r="4397" spans="1:2">
      <c r="A4397" s="117">
        <v>37951</v>
      </c>
      <c r="B4397">
        <v>11.2879</v>
      </c>
    </row>
    <row r="4398" spans="1:2">
      <c r="A4398" s="117">
        <v>37952</v>
      </c>
      <c r="B4398">
        <v>11.3398</v>
      </c>
    </row>
    <row r="4399" spans="1:2">
      <c r="A4399" s="117">
        <v>37953</v>
      </c>
      <c r="B4399">
        <v>11.3522</v>
      </c>
    </row>
    <row r="4400" spans="1:2">
      <c r="A4400" s="117">
        <v>37954</v>
      </c>
      <c r="B4400">
        <v>11.3385</v>
      </c>
    </row>
    <row r="4401" spans="1:2">
      <c r="A4401" s="117">
        <v>37955</v>
      </c>
      <c r="B4401">
        <v>11.3385</v>
      </c>
    </row>
    <row r="4402" spans="1:2">
      <c r="A4402" s="117">
        <v>37956</v>
      </c>
      <c r="B4402">
        <v>11.3385</v>
      </c>
    </row>
    <row r="4403" spans="1:2">
      <c r="A4403" s="117">
        <v>37957</v>
      </c>
      <c r="B4403">
        <v>11.3985</v>
      </c>
    </row>
    <row r="4404" spans="1:2">
      <c r="A4404" s="117">
        <v>37958</v>
      </c>
      <c r="B4404">
        <v>11.378299999999999</v>
      </c>
    </row>
    <row r="4405" spans="1:2">
      <c r="A4405" s="117">
        <v>37959</v>
      </c>
      <c r="B4405">
        <v>11.3535</v>
      </c>
    </row>
    <row r="4406" spans="1:2">
      <c r="A4406" s="117">
        <v>37960</v>
      </c>
      <c r="B4406">
        <v>11.249599999999999</v>
      </c>
    </row>
    <row r="4407" spans="1:2">
      <c r="A4407" s="117">
        <v>37961</v>
      </c>
      <c r="B4407">
        <v>11.2224</v>
      </c>
    </row>
    <row r="4408" spans="1:2">
      <c r="A4408" s="117">
        <v>37962</v>
      </c>
      <c r="B4408">
        <v>11.2224</v>
      </c>
    </row>
    <row r="4409" spans="1:2">
      <c r="A4409" s="117">
        <v>37963</v>
      </c>
      <c r="B4409">
        <v>11.2224</v>
      </c>
    </row>
    <row r="4410" spans="1:2">
      <c r="A4410" s="117">
        <v>37964</v>
      </c>
      <c r="B4410">
        <v>11.1959</v>
      </c>
    </row>
    <row r="4411" spans="1:2">
      <c r="A4411" s="117">
        <v>37965</v>
      </c>
      <c r="B4411">
        <v>11.239100000000001</v>
      </c>
    </row>
    <row r="4412" spans="1:2">
      <c r="A4412" s="117">
        <v>37966</v>
      </c>
      <c r="B4412">
        <v>11.163500000000001</v>
      </c>
    </row>
    <row r="4413" spans="1:2">
      <c r="A4413" s="117">
        <v>37967</v>
      </c>
      <c r="B4413">
        <v>11.214499999999999</v>
      </c>
    </row>
    <row r="4414" spans="1:2">
      <c r="A4414" s="117">
        <v>37968</v>
      </c>
      <c r="B4414">
        <v>11.214499999999999</v>
      </c>
    </row>
    <row r="4415" spans="1:2">
      <c r="A4415" s="117">
        <v>37969</v>
      </c>
      <c r="B4415">
        <v>11.214499999999999</v>
      </c>
    </row>
    <row r="4416" spans="1:2">
      <c r="A4416" s="117">
        <v>37970</v>
      </c>
      <c r="B4416">
        <v>11.214499999999999</v>
      </c>
    </row>
    <row r="4417" spans="1:2">
      <c r="A4417" s="117">
        <v>37971</v>
      </c>
      <c r="B4417">
        <v>11.1877</v>
      </c>
    </row>
    <row r="4418" spans="1:2">
      <c r="A4418" s="117">
        <v>37972</v>
      </c>
      <c r="B4418">
        <v>11.2728</v>
      </c>
    </row>
    <row r="4419" spans="1:2">
      <c r="A4419" s="117">
        <v>37973</v>
      </c>
      <c r="B4419">
        <v>11.306100000000001</v>
      </c>
    </row>
    <row r="4420" spans="1:2">
      <c r="A4420" s="117">
        <v>37974</v>
      </c>
      <c r="B4420">
        <v>11.2676</v>
      </c>
    </row>
    <row r="4421" spans="1:2">
      <c r="A4421" s="117">
        <v>37975</v>
      </c>
      <c r="B4421">
        <v>11.2193</v>
      </c>
    </row>
    <row r="4422" spans="1:2">
      <c r="A4422" s="117">
        <v>37976</v>
      </c>
      <c r="B4422">
        <v>11.2193</v>
      </c>
    </row>
    <row r="4423" spans="1:2">
      <c r="A4423" s="117">
        <v>37977</v>
      </c>
      <c r="B4423">
        <v>11.2193</v>
      </c>
    </row>
    <row r="4424" spans="1:2">
      <c r="A4424" s="117">
        <v>37978</v>
      </c>
      <c r="B4424">
        <v>11.2295</v>
      </c>
    </row>
    <row r="4425" spans="1:2">
      <c r="A4425" s="117">
        <v>37979</v>
      </c>
      <c r="B4425">
        <v>11.285500000000001</v>
      </c>
    </row>
    <row r="4426" spans="1:2">
      <c r="A4426" s="117">
        <v>37980</v>
      </c>
      <c r="B4426">
        <v>11.269600000000001</v>
      </c>
    </row>
    <row r="4427" spans="1:2">
      <c r="A4427" s="117">
        <v>37981</v>
      </c>
      <c r="B4427">
        <v>11.269600000000001</v>
      </c>
    </row>
    <row r="4428" spans="1:2">
      <c r="A4428" s="117">
        <v>37982</v>
      </c>
      <c r="B4428">
        <v>11.2744</v>
      </c>
    </row>
    <row r="4429" spans="1:2">
      <c r="A4429" s="117">
        <v>37983</v>
      </c>
      <c r="B4429">
        <v>11.2744</v>
      </c>
    </row>
    <row r="4430" spans="1:2">
      <c r="A4430" s="117">
        <v>37984</v>
      </c>
      <c r="B4430">
        <v>11.2744</v>
      </c>
    </row>
    <row r="4431" spans="1:2">
      <c r="A4431" s="117">
        <v>37985</v>
      </c>
      <c r="B4431">
        <v>11.218</v>
      </c>
    </row>
    <row r="4432" spans="1:2">
      <c r="A4432" s="117">
        <v>37986</v>
      </c>
      <c r="B4432">
        <v>11.236000000000001</v>
      </c>
    </row>
    <row r="4433" spans="1:2">
      <c r="A4433" s="117">
        <v>37987</v>
      </c>
      <c r="B4433">
        <v>11.1998</v>
      </c>
    </row>
    <row r="4434" spans="1:2">
      <c r="A4434" s="117">
        <v>37988</v>
      </c>
      <c r="B4434">
        <v>11.1998</v>
      </c>
    </row>
    <row r="4435" spans="1:2">
      <c r="A4435" s="117">
        <v>37989</v>
      </c>
      <c r="B4435">
        <v>11.2372</v>
      </c>
    </row>
    <row r="4436" spans="1:2">
      <c r="A4436" s="117">
        <v>37990</v>
      </c>
      <c r="B4436">
        <v>11.2372</v>
      </c>
    </row>
    <row r="4437" spans="1:2">
      <c r="A4437" s="117">
        <v>37991</v>
      </c>
      <c r="B4437">
        <v>11.2372</v>
      </c>
    </row>
    <row r="4438" spans="1:2">
      <c r="A4438" s="117">
        <v>37992</v>
      </c>
      <c r="B4438">
        <v>11.0885</v>
      </c>
    </row>
    <row r="4439" spans="1:2">
      <c r="A4439" s="117">
        <v>37993</v>
      </c>
      <c r="B4439">
        <v>10.980499999999999</v>
      </c>
    </row>
    <row r="4440" spans="1:2">
      <c r="A4440" s="117">
        <v>37994</v>
      </c>
      <c r="B4440">
        <v>10.9686</v>
      </c>
    </row>
    <row r="4441" spans="1:2">
      <c r="A4441" s="117">
        <v>37995</v>
      </c>
      <c r="B4441">
        <v>10.904400000000001</v>
      </c>
    </row>
    <row r="4442" spans="1:2">
      <c r="A4442" s="117">
        <v>37996</v>
      </c>
      <c r="B4442">
        <v>10.8847</v>
      </c>
    </row>
    <row r="4443" spans="1:2">
      <c r="A4443" s="117">
        <v>37997</v>
      </c>
      <c r="B4443">
        <v>10.8847</v>
      </c>
    </row>
    <row r="4444" spans="1:2">
      <c r="A4444" s="117">
        <v>37998</v>
      </c>
      <c r="B4444">
        <v>10.8847</v>
      </c>
    </row>
    <row r="4445" spans="1:2">
      <c r="A4445" s="117">
        <v>37999</v>
      </c>
      <c r="B4445">
        <v>10.8376</v>
      </c>
    </row>
    <row r="4446" spans="1:2">
      <c r="A4446" s="117">
        <v>38000</v>
      </c>
      <c r="B4446">
        <v>10.818</v>
      </c>
    </row>
    <row r="4447" spans="1:2">
      <c r="A4447" s="117">
        <v>38001</v>
      </c>
      <c r="B4447">
        <v>10.8369</v>
      </c>
    </row>
    <row r="4448" spans="1:2">
      <c r="A4448" s="117">
        <v>38002</v>
      </c>
      <c r="B4448">
        <v>10.8231</v>
      </c>
    </row>
    <row r="4449" spans="1:2">
      <c r="A4449" s="117">
        <v>38003</v>
      </c>
      <c r="B4449">
        <v>10.8514</v>
      </c>
    </row>
    <row r="4450" spans="1:2">
      <c r="A4450" s="117">
        <v>38004</v>
      </c>
      <c r="B4450">
        <v>10.8514</v>
      </c>
    </row>
    <row r="4451" spans="1:2">
      <c r="A4451" s="117">
        <v>38005</v>
      </c>
      <c r="B4451">
        <v>10.8514</v>
      </c>
    </row>
    <row r="4452" spans="1:2">
      <c r="A4452" s="117">
        <v>38006</v>
      </c>
      <c r="B4452">
        <v>10.8172</v>
      </c>
    </row>
    <row r="4453" spans="1:2">
      <c r="A4453" s="117">
        <v>38007</v>
      </c>
      <c r="B4453">
        <v>10.8264</v>
      </c>
    </row>
    <row r="4454" spans="1:2">
      <c r="A4454" s="117">
        <v>38008</v>
      </c>
      <c r="B4454">
        <v>10.847</v>
      </c>
    </row>
    <row r="4455" spans="1:2">
      <c r="A4455" s="117">
        <v>38009</v>
      </c>
      <c r="B4455">
        <v>10.9521</v>
      </c>
    </row>
    <row r="4456" spans="1:2">
      <c r="A4456" s="117">
        <v>38010</v>
      </c>
      <c r="B4456">
        <v>11.001200000000001</v>
      </c>
    </row>
    <row r="4457" spans="1:2">
      <c r="A4457" s="117">
        <v>38011</v>
      </c>
      <c r="B4457">
        <v>11.001200000000001</v>
      </c>
    </row>
    <row r="4458" spans="1:2">
      <c r="A4458" s="117">
        <v>38012</v>
      </c>
      <c r="B4458">
        <v>11.001200000000001</v>
      </c>
    </row>
    <row r="4459" spans="1:2">
      <c r="A4459" s="117">
        <v>38013</v>
      </c>
      <c r="B4459">
        <v>10.962</v>
      </c>
    </row>
    <row r="4460" spans="1:2">
      <c r="A4460" s="117">
        <v>38014</v>
      </c>
      <c r="B4460">
        <v>10.9178</v>
      </c>
    </row>
    <row r="4461" spans="1:2">
      <c r="A4461" s="117">
        <v>38015</v>
      </c>
      <c r="B4461">
        <v>10.8789</v>
      </c>
    </row>
    <row r="4462" spans="1:2">
      <c r="A4462" s="117">
        <v>38016</v>
      </c>
      <c r="B4462">
        <v>10.9145</v>
      </c>
    </row>
    <row r="4463" spans="1:2">
      <c r="A4463" s="117">
        <v>38017</v>
      </c>
      <c r="B4463">
        <v>11.084300000000001</v>
      </c>
    </row>
    <row r="4464" spans="1:2">
      <c r="A4464" s="117">
        <v>38018</v>
      </c>
      <c r="B4464">
        <v>11.084300000000001</v>
      </c>
    </row>
    <row r="4465" spans="1:2">
      <c r="A4465" s="117">
        <v>38019</v>
      </c>
      <c r="B4465">
        <v>11.084300000000001</v>
      </c>
    </row>
    <row r="4466" spans="1:2">
      <c r="A4466" s="117">
        <v>38020</v>
      </c>
      <c r="B4466">
        <v>11.0214</v>
      </c>
    </row>
    <row r="4467" spans="1:2">
      <c r="A4467" s="117">
        <v>38021</v>
      </c>
      <c r="B4467">
        <v>10.954499999999999</v>
      </c>
    </row>
    <row r="4468" spans="1:2">
      <c r="A4468" s="117">
        <v>38022</v>
      </c>
      <c r="B4468">
        <v>11.082000000000001</v>
      </c>
    </row>
    <row r="4469" spans="1:2">
      <c r="A4469" s="117">
        <v>38023</v>
      </c>
      <c r="B4469">
        <v>11.082000000000001</v>
      </c>
    </row>
    <row r="4470" spans="1:2">
      <c r="A4470" s="117">
        <v>38024</v>
      </c>
      <c r="B4470">
        <v>11.0608</v>
      </c>
    </row>
    <row r="4471" spans="1:2">
      <c r="A4471" s="117">
        <v>38025</v>
      </c>
      <c r="B4471">
        <v>11.0608</v>
      </c>
    </row>
    <row r="4472" spans="1:2">
      <c r="A4472" s="117">
        <v>38026</v>
      </c>
      <c r="B4472">
        <v>11.0608</v>
      </c>
    </row>
    <row r="4473" spans="1:2">
      <c r="A4473" s="117">
        <v>38027</v>
      </c>
      <c r="B4473">
        <v>11.1305</v>
      </c>
    </row>
    <row r="4474" spans="1:2">
      <c r="A4474" s="117">
        <v>38028</v>
      </c>
      <c r="B4474">
        <v>11.103899999999999</v>
      </c>
    </row>
    <row r="4475" spans="1:2">
      <c r="A4475" s="117">
        <v>38029</v>
      </c>
      <c r="B4475">
        <v>11.1069</v>
      </c>
    </row>
    <row r="4476" spans="1:2">
      <c r="A4476" s="117">
        <v>38030</v>
      </c>
      <c r="B4476">
        <v>10.986599999999999</v>
      </c>
    </row>
    <row r="4477" spans="1:2">
      <c r="A4477" s="117">
        <v>38031</v>
      </c>
      <c r="B4477">
        <v>10.9626</v>
      </c>
    </row>
    <row r="4478" spans="1:2">
      <c r="A4478" s="117">
        <v>38032</v>
      </c>
      <c r="B4478">
        <v>10.9626</v>
      </c>
    </row>
    <row r="4479" spans="1:2">
      <c r="A4479" s="117">
        <v>38033</v>
      </c>
      <c r="B4479">
        <v>10.9626</v>
      </c>
    </row>
    <row r="4480" spans="1:2">
      <c r="A4480" s="117">
        <v>38034</v>
      </c>
      <c r="B4480">
        <v>10.9627</v>
      </c>
    </row>
    <row r="4481" spans="1:2">
      <c r="A4481" s="117">
        <v>38035</v>
      </c>
      <c r="B4481">
        <v>10.9434</v>
      </c>
    </row>
    <row r="4482" spans="1:2">
      <c r="A4482" s="117">
        <v>38036</v>
      </c>
      <c r="B4482">
        <v>10.9337</v>
      </c>
    </row>
    <row r="4483" spans="1:2">
      <c r="A4483" s="117">
        <v>38037</v>
      </c>
      <c r="B4483">
        <v>10.905799999999999</v>
      </c>
    </row>
    <row r="4484" spans="1:2">
      <c r="A4484" s="117">
        <v>38038</v>
      </c>
      <c r="B4484">
        <v>10.9688</v>
      </c>
    </row>
    <row r="4485" spans="1:2">
      <c r="A4485" s="117">
        <v>38039</v>
      </c>
      <c r="B4485">
        <v>10.9688</v>
      </c>
    </row>
    <row r="4486" spans="1:2">
      <c r="A4486" s="117">
        <v>38040</v>
      </c>
      <c r="B4486">
        <v>10.9688</v>
      </c>
    </row>
    <row r="4487" spans="1:2">
      <c r="A4487" s="117">
        <v>38041</v>
      </c>
      <c r="B4487">
        <v>10.942299999999999</v>
      </c>
    </row>
    <row r="4488" spans="1:2">
      <c r="A4488" s="117">
        <v>38042</v>
      </c>
      <c r="B4488">
        <v>10.9437</v>
      </c>
    </row>
    <row r="4489" spans="1:2">
      <c r="A4489" s="117">
        <v>38043</v>
      </c>
      <c r="B4489">
        <v>11.0558</v>
      </c>
    </row>
    <row r="4490" spans="1:2">
      <c r="A4490" s="117">
        <v>38044</v>
      </c>
      <c r="B4490">
        <v>11.0932</v>
      </c>
    </row>
    <row r="4491" spans="1:2">
      <c r="A4491" s="117">
        <v>38045</v>
      </c>
      <c r="B4491">
        <v>11.0715</v>
      </c>
    </row>
    <row r="4492" spans="1:2">
      <c r="A4492" s="117">
        <v>38046</v>
      </c>
      <c r="B4492">
        <v>11.0715</v>
      </c>
    </row>
    <row r="4493" spans="1:2">
      <c r="A4493" s="117">
        <v>38047</v>
      </c>
      <c r="B4493">
        <v>11.0715</v>
      </c>
    </row>
    <row r="4494" spans="1:2">
      <c r="A4494" s="117">
        <v>38048</v>
      </c>
      <c r="B4494">
        <v>11.060600000000001</v>
      </c>
    </row>
    <row r="4495" spans="1:2">
      <c r="A4495" s="117">
        <v>38049</v>
      </c>
      <c r="B4495">
        <v>10.9794</v>
      </c>
    </row>
    <row r="4496" spans="1:2">
      <c r="A4496" s="117">
        <v>38050</v>
      </c>
      <c r="B4496">
        <v>10.962300000000001</v>
      </c>
    </row>
    <row r="4497" spans="1:2">
      <c r="A4497" s="117">
        <v>38051</v>
      </c>
      <c r="B4497">
        <v>11.030099999999999</v>
      </c>
    </row>
    <row r="4498" spans="1:2">
      <c r="A4498" s="117">
        <v>38052</v>
      </c>
      <c r="B4498">
        <v>10.9955</v>
      </c>
    </row>
    <row r="4499" spans="1:2">
      <c r="A4499" s="117">
        <v>38053</v>
      </c>
      <c r="B4499">
        <v>10.9955</v>
      </c>
    </row>
    <row r="4500" spans="1:2">
      <c r="A4500" s="117">
        <v>38054</v>
      </c>
      <c r="B4500">
        <v>10.9955</v>
      </c>
    </row>
    <row r="4501" spans="1:2">
      <c r="A4501" s="117">
        <v>38055</v>
      </c>
      <c r="B4501">
        <v>10.939299999999999</v>
      </c>
    </row>
    <row r="4502" spans="1:2">
      <c r="A4502" s="117">
        <v>38056</v>
      </c>
      <c r="B4502">
        <v>10.9329</v>
      </c>
    </row>
    <row r="4503" spans="1:2">
      <c r="A4503" s="117">
        <v>38057</v>
      </c>
      <c r="B4503">
        <v>10.9695</v>
      </c>
    </row>
    <row r="4504" spans="1:2">
      <c r="A4504" s="117">
        <v>38058</v>
      </c>
      <c r="B4504">
        <v>10.9368</v>
      </c>
    </row>
    <row r="4505" spans="1:2">
      <c r="A4505" s="117">
        <v>38059</v>
      </c>
      <c r="B4505">
        <v>10.9633</v>
      </c>
    </row>
    <row r="4506" spans="1:2">
      <c r="A4506" s="117">
        <v>38060</v>
      </c>
      <c r="B4506">
        <v>10.9633</v>
      </c>
    </row>
    <row r="4507" spans="1:2">
      <c r="A4507" s="117">
        <v>38061</v>
      </c>
      <c r="B4507">
        <v>10.9633</v>
      </c>
    </row>
    <row r="4508" spans="1:2">
      <c r="A4508" s="117">
        <v>38062</v>
      </c>
      <c r="B4508">
        <v>10.963800000000001</v>
      </c>
    </row>
    <row r="4509" spans="1:2">
      <c r="A4509" s="117">
        <v>38063</v>
      </c>
      <c r="B4509">
        <v>10.9621</v>
      </c>
    </row>
    <row r="4510" spans="1:2">
      <c r="A4510" s="117">
        <v>38064</v>
      </c>
      <c r="B4510">
        <v>11.039</v>
      </c>
    </row>
    <row r="4511" spans="1:2">
      <c r="A4511" s="117">
        <v>38065</v>
      </c>
      <c r="B4511">
        <v>10.998799999999999</v>
      </c>
    </row>
    <row r="4512" spans="1:2">
      <c r="A4512" s="117">
        <v>38066</v>
      </c>
      <c r="B4512">
        <v>11.0128</v>
      </c>
    </row>
    <row r="4513" spans="1:2">
      <c r="A4513" s="117">
        <v>38067</v>
      </c>
      <c r="B4513">
        <v>11.0128</v>
      </c>
    </row>
    <row r="4514" spans="1:2">
      <c r="A4514" s="117">
        <v>38068</v>
      </c>
      <c r="B4514">
        <v>11.0128</v>
      </c>
    </row>
    <row r="4515" spans="1:2">
      <c r="A4515" s="117">
        <v>38069</v>
      </c>
      <c r="B4515">
        <v>10.9863</v>
      </c>
    </row>
    <row r="4516" spans="1:2">
      <c r="A4516" s="117">
        <v>38070</v>
      </c>
      <c r="B4516">
        <v>10.973699999999999</v>
      </c>
    </row>
    <row r="4517" spans="1:2">
      <c r="A4517" s="117">
        <v>38071</v>
      </c>
      <c r="B4517">
        <v>10.9695</v>
      </c>
    </row>
    <row r="4518" spans="1:2">
      <c r="A4518" s="117">
        <v>38072</v>
      </c>
      <c r="B4518">
        <v>10.9915</v>
      </c>
    </row>
    <row r="4519" spans="1:2">
      <c r="A4519" s="117">
        <v>38073</v>
      </c>
      <c r="B4519">
        <v>11.013</v>
      </c>
    </row>
    <row r="4520" spans="1:2">
      <c r="A4520" s="117">
        <v>38074</v>
      </c>
      <c r="B4520">
        <v>11.013</v>
      </c>
    </row>
    <row r="4521" spans="1:2">
      <c r="A4521" s="117">
        <v>38075</v>
      </c>
      <c r="B4521">
        <v>11.013</v>
      </c>
    </row>
    <row r="4522" spans="1:2">
      <c r="A4522" s="117">
        <v>38076</v>
      </c>
      <c r="B4522">
        <v>11.0578</v>
      </c>
    </row>
    <row r="4523" spans="1:2">
      <c r="A4523" s="117">
        <v>38077</v>
      </c>
      <c r="B4523">
        <v>11.154</v>
      </c>
    </row>
    <row r="4524" spans="1:2">
      <c r="A4524" s="117">
        <v>38078</v>
      </c>
      <c r="B4524">
        <v>11.2103</v>
      </c>
    </row>
    <row r="4525" spans="1:2">
      <c r="A4525" s="117">
        <v>38079</v>
      </c>
      <c r="B4525">
        <v>11.174799999999999</v>
      </c>
    </row>
    <row r="4526" spans="1:2">
      <c r="A4526" s="117">
        <v>38080</v>
      </c>
      <c r="B4526">
        <v>11.1828</v>
      </c>
    </row>
    <row r="4527" spans="1:2">
      <c r="A4527" s="117">
        <v>38081</v>
      </c>
      <c r="B4527">
        <v>11.1828</v>
      </c>
    </row>
    <row r="4528" spans="1:2">
      <c r="A4528" s="117">
        <v>38082</v>
      </c>
      <c r="B4528">
        <v>11.1828</v>
      </c>
    </row>
    <row r="4529" spans="1:2">
      <c r="A4529" s="117">
        <v>38083</v>
      </c>
      <c r="B4529">
        <v>11.1815</v>
      </c>
    </row>
    <row r="4530" spans="1:2">
      <c r="A4530" s="117">
        <v>38084</v>
      </c>
      <c r="B4530">
        <v>11.159800000000001</v>
      </c>
    </row>
    <row r="4531" spans="1:2">
      <c r="A4531" s="117">
        <v>38085</v>
      </c>
      <c r="B4531">
        <v>11.1631</v>
      </c>
    </row>
    <row r="4532" spans="1:2">
      <c r="A4532" s="117">
        <v>38086</v>
      </c>
      <c r="B4532">
        <v>11.1631</v>
      </c>
    </row>
    <row r="4533" spans="1:2">
      <c r="A4533" s="117">
        <v>38087</v>
      </c>
      <c r="B4533">
        <v>11.1631</v>
      </c>
    </row>
    <row r="4534" spans="1:2">
      <c r="A4534" s="117">
        <v>38088</v>
      </c>
      <c r="B4534">
        <v>11.1631</v>
      </c>
    </row>
    <row r="4535" spans="1:2">
      <c r="A4535" s="117">
        <v>38089</v>
      </c>
      <c r="B4535">
        <v>11.1631</v>
      </c>
    </row>
    <row r="4536" spans="1:2">
      <c r="A4536" s="117">
        <v>38090</v>
      </c>
      <c r="B4536">
        <v>11.2233</v>
      </c>
    </row>
    <row r="4537" spans="1:2">
      <c r="A4537" s="117">
        <v>38091</v>
      </c>
      <c r="B4537">
        <v>11.2211</v>
      </c>
    </row>
    <row r="4538" spans="1:2">
      <c r="A4538" s="117">
        <v>38092</v>
      </c>
      <c r="B4538">
        <v>11.270200000000001</v>
      </c>
    </row>
    <row r="4539" spans="1:2">
      <c r="A4539" s="117">
        <v>38093</v>
      </c>
      <c r="B4539">
        <v>11.284800000000001</v>
      </c>
    </row>
    <row r="4540" spans="1:2">
      <c r="A4540" s="117">
        <v>38094</v>
      </c>
      <c r="B4540">
        <v>11.27</v>
      </c>
    </row>
    <row r="4541" spans="1:2">
      <c r="A4541" s="117">
        <v>38095</v>
      </c>
      <c r="B4541">
        <v>11.27</v>
      </c>
    </row>
    <row r="4542" spans="1:2">
      <c r="A4542" s="117">
        <v>38096</v>
      </c>
      <c r="B4542">
        <v>11.27</v>
      </c>
    </row>
    <row r="4543" spans="1:2">
      <c r="A4543" s="117">
        <v>38097</v>
      </c>
      <c r="B4543">
        <v>11.2525</v>
      </c>
    </row>
    <row r="4544" spans="1:2">
      <c r="A4544" s="117">
        <v>38098</v>
      </c>
      <c r="B4544">
        <v>11.250999999999999</v>
      </c>
    </row>
    <row r="4545" spans="1:2">
      <c r="A4545" s="117">
        <v>38099</v>
      </c>
      <c r="B4545">
        <v>11.3065</v>
      </c>
    </row>
    <row r="4546" spans="1:2">
      <c r="A4546" s="117">
        <v>38100</v>
      </c>
      <c r="B4546">
        <v>11.3119</v>
      </c>
    </row>
    <row r="4547" spans="1:2">
      <c r="A4547" s="117">
        <v>38101</v>
      </c>
      <c r="B4547">
        <v>11.3256</v>
      </c>
    </row>
    <row r="4548" spans="1:2">
      <c r="A4548" s="117">
        <v>38102</v>
      </c>
      <c r="B4548">
        <v>11.3256</v>
      </c>
    </row>
    <row r="4549" spans="1:2">
      <c r="A4549" s="117">
        <v>38103</v>
      </c>
      <c r="B4549">
        <v>11.3256</v>
      </c>
    </row>
    <row r="4550" spans="1:2">
      <c r="A4550" s="117">
        <v>38104</v>
      </c>
      <c r="B4550">
        <v>11.343299999999999</v>
      </c>
    </row>
    <row r="4551" spans="1:2">
      <c r="A4551" s="117">
        <v>38105</v>
      </c>
      <c r="B4551">
        <v>11.2881</v>
      </c>
    </row>
    <row r="4552" spans="1:2">
      <c r="A4552" s="117">
        <v>38106</v>
      </c>
      <c r="B4552">
        <v>11.3109</v>
      </c>
    </row>
    <row r="4553" spans="1:2">
      <c r="A4553" s="117">
        <v>38107</v>
      </c>
      <c r="B4553">
        <v>11.338699999999999</v>
      </c>
    </row>
    <row r="4554" spans="1:2">
      <c r="A4554" s="117">
        <v>38108</v>
      </c>
      <c r="B4554">
        <v>11.4068</v>
      </c>
    </row>
    <row r="4555" spans="1:2">
      <c r="A4555" s="117">
        <v>38109</v>
      </c>
      <c r="B4555">
        <v>11.4068</v>
      </c>
    </row>
    <row r="4556" spans="1:2">
      <c r="A4556" s="117">
        <v>38110</v>
      </c>
      <c r="B4556">
        <v>11.4068</v>
      </c>
    </row>
    <row r="4557" spans="1:2">
      <c r="A4557" s="117">
        <v>38111</v>
      </c>
      <c r="B4557">
        <v>11.4093</v>
      </c>
    </row>
    <row r="4558" spans="1:2">
      <c r="A4558" s="117">
        <v>38112</v>
      </c>
      <c r="B4558">
        <v>11.430999999999999</v>
      </c>
    </row>
    <row r="4559" spans="1:2">
      <c r="A4559" s="117">
        <v>38113</v>
      </c>
      <c r="B4559">
        <v>11.410500000000001</v>
      </c>
    </row>
    <row r="4560" spans="1:2">
      <c r="A4560" s="117">
        <v>38114</v>
      </c>
      <c r="B4560">
        <v>11.3887</v>
      </c>
    </row>
    <row r="4561" spans="1:2">
      <c r="A4561" s="117">
        <v>38115</v>
      </c>
      <c r="B4561">
        <v>11.4358</v>
      </c>
    </row>
    <row r="4562" spans="1:2">
      <c r="A4562" s="117">
        <v>38116</v>
      </c>
      <c r="B4562">
        <v>11.4358</v>
      </c>
    </row>
    <row r="4563" spans="1:2">
      <c r="A4563" s="117">
        <v>38117</v>
      </c>
      <c r="B4563">
        <v>11.4358</v>
      </c>
    </row>
    <row r="4564" spans="1:2">
      <c r="A4564" s="117">
        <v>38118</v>
      </c>
      <c r="B4564">
        <v>11.527200000000001</v>
      </c>
    </row>
    <row r="4565" spans="1:2">
      <c r="A4565" s="117">
        <v>38119</v>
      </c>
      <c r="B4565">
        <v>11.6328</v>
      </c>
    </row>
    <row r="4566" spans="1:2">
      <c r="A4566" s="117">
        <v>38120</v>
      </c>
      <c r="B4566">
        <v>11.6325</v>
      </c>
    </row>
    <row r="4567" spans="1:2">
      <c r="A4567" s="117">
        <v>38121</v>
      </c>
      <c r="B4567">
        <v>11.624599999999999</v>
      </c>
    </row>
    <row r="4568" spans="1:2">
      <c r="A4568" s="117">
        <v>38122</v>
      </c>
      <c r="B4568">
        <v>11.6281</v>
      </c>
    </row>
    <row r="4569" spans="1:2">
      <c r="A4569" s="117">
        <v>38123</v>
      </c>
      <c r="B4569">
        <v>11.6281</v>
      </c>
    </row>
    <row r="4570" spans="1:2">
      <c r="A4570" s="117">
        <v>38124</v>
      </c>
      <c r="B4570">
        <v>11.6281</v>
      </c>
    </row>
    <row r="4571" spans="1:2">
      <c r="A4571" s="117">
        <v>38125</v>
      </c>
      <c r="B4571">
        <v>11.571300000000001</v>
      </c>
    </row>
    <row r="4572" spans="1:2">
      <c r="A4572" s="117">
        <v>38126</v>
      </c>
      <c r="B4572">
        <v>11.5282</v>
      </c>
    </row>
    <row r="4573" spans="1:2">
      <c r="A4573" s="117">
        <v>38127</v>
      </c>
      <c r="B4573">
        <v>11.4933</v>
      </c>
    </row>
    <row r="4574" spans="1:2">
      <c r="A4574" s="117">
        <v>38128</v>
      </c>
      <c r="B4574">
        <v>11.5448</v>
      </c>
    </row>
    <row r="4575" spans="1:2">
      <c r="A4575" s="117">
        <v>38129</v>
      </c>
      <c r="B4575">
        <v>11.573499999999999</v>
      </c>
    </row>
    <row r="4576" spans="1:2">
      <c r="A4576" s="117">
        <v>38130</v>
      </c>
      <c r="B4576">
        <v>11.573499999999999</v>
      </c>
    </row>
    <row r="4577" spans="1:2">
      <c r="A4577" s="117">
        <v>38131</v>
      </c>
      <c r="B4577">
        <v>11.573499999999999</v>
      </c>
    </row>
    <row r="4578" spans="1:2">
      <c r="A4578" s="117">
        <v>38132</v>
      </c>
      <c r="B4578">
        <v>11.567299999999999</v>
      </c>
    </row>
    <row r="4579" spans="1:2">
      <c r="A4579" s="117">
        <v>38133</v>
      </c>
      <c r="B4579">
        <v>11.5608</v>
      </c>
    </row>
    <row r="4580" spans="1:2">
      <c r="A4580" s="117">
        <v>38134</v>
      </c>
      <c r="B4580">
        <v>11.476000000000001</v>
      </c>
    </row>
    <row r="4581" spans="1:2">
      <c r="A4581" s="117">
        <v>38135</v>
      </c>
      <c r="B4581">
        <v>11.4556</v>
      </c>
    </row>
    <row r="4582" spans="1:2">
      <c r="A4582" s="117">
        <v>38136</v>
      </c>
      <c r="B4582">
        <v>11.451499999999999</v>
      </c>
    </row>
    <row r="4583" spans="1:2">
      <c r="A4583" s="117">
        <v>38137</v>
      </c>
      <c r="B4583">
        <v>11.451499999999999</v>
      </c>
    </row>
    <row r="4584" spans="1:2">
      <c r="A4584" s="117">
        <v>38138</v>
      </c>
      <c r="B4584">
        <v>11.451499999999999</v>
      </c>
    </row>
    <row r="4585" spans="1:2">
      <c r="A4585" s="117">
        <v>38139</v>
      </c>
      <c r="B4585">
        <v>11.412800000000001</v>
      </c>
    </row>
    <row r="4586" spans="1:2">
      <c r="A4586" s="117">
        <v>38140</v>
      </c>
      <c r="B4586">
        <v>11.4147</v>
      </c>
    </row>
    <row r="4587" spans="1:2">
      <c r="A4587" s="117">
        <v>38141</v>
      </c>
      <c r="B4587">
        <v>11.484500000000001</v>
      </c>
    </row>
    <row r="4588" spans="1:2">
      <c r="A4588" s="117">
        <v>38142</v>
      </c>
      <c r="B4588">
        <v>11.426500000000001</v>
      </c>
    </row>
    <row r="4589" spans="1:2">
      <c r="A4589" s="117">
        <v>38143</v>
      </c>
      <c r="B4589">
        <v>11.4373</v>
      </c>
    </row>
    <row r="4590" spans="1:2">
      <c r="A4590" s="117">
        <v>38144</v>
      </c>
      <c r="B4590">
        <v>11.4373</v>
      </c>
    </row>
    <row r="4591" spans="1:2">
      <c r="A4591" s="117">
        <v>38145</v>
      </c>
      <c r="B4591">
        <v>11.4373</v>
      </c>
    </row>
    <row r="4592" spans="1:2">
      <c r="A4592" s="117">
        <v>38146</v>
      </c>
      <c r="B4592">
        <v>11.4224</v>
      </c>
    </row>
    <row r="4593" spans="1:2">
      <c r="A4593" s="117">
        <v>38147</v>
      </c>
      <c r="B4593">
        <v>11.3498</v>
      </c>
    </row>
    <row r="4594" spans="1:2">
      <c r="A4594" s="117">
        <v>38148</v>
      </c>
      <c r="B4594">
        <v>11.339700000000001</v>
      </c>
    </row>
    <row r="4595" spans="1:2">
      <c r="A4595" s="117">
        <v>38149</v>
      </c>
      <c r="B4595">
        <v>11.380800000000001</v>
      </c>
    </row>
    <row r="4596" spans="1:2">
      <c r="A4596" s="117">
        <v>38150</v>
      </c>
      <c r="B4596">
        <v>11.366</v>
      </c>
    </row>
    <row r="4597" spans="1:2">
      <c r="A4597" s="117">
        <v>38151</v>
      </c>
      <c r="B4597">
        <v>11.366</v>
      </c>
    </row>
    <row r="4598" spans="1:2">
      <c r="A4598" s="117">
        <v>38152</v>
      </c>
      <c r="B4598">
        <v>11.366</v>
      </c>
    </row>
    <row r="4599" spans="1:2">
      <c r="A4599" s="117">
        <v>38153</v>
      </c>
      <c r="B4599">
        <v>11.3689</v>
      </c>
    </row>
    <row r="4600" spans="1:2">
      <c r="A4600" s="117">
        <v>38154</v>
      </c>
      <c r="B4600">
        <v>11.432700000000001</v>
      </c>
    </row>
    <row r="4601" spans="1:2">
      <c r="A4601" s="117">
        <v>38155</v>
      </c>
      <c r="B4601">
        <v>11.4259</v>
      </c>
    </row>
    <row r="4602" spans="1:2">
      <c r="A4602" s="117">
        <v>38156</v>
      </c>
      <c r="B4602">
        <v>11.399100000000001</v>
      </c>
    </row>
    <row r="4603" spans="1:2">
      <c r="A4603" s="117">
        <v>38157</v>
      </c>
      <c r="B4603">
        <v>11.3523</v>
      </c>
    </row>
    <row r="4604" spans="1:2">
      <c r="A4604" s="117">
        <v>38158</v>
      </c>
      <c r="B4604">
        <v>11.3523</v>
      </c>
    </row>
    <row r="4605" spans="1:2">
      <c r="A4605" s="117">
        <v>38159</v>
      </c>
      <c r="B4605">
        <v>11.3523</v>
      </c>
    </row>
    <row r="4606" spans="1:2">
      <c r="A4606" s="117">
        <v>38160</v>
      </c>
      <c r="B4606">
        <v>11.331200000000001</v>
      </c>
    </row>
    <row r="4607" spans="1:2">
      <c r="A4607" s="117">
        <v>38161</v>
      </c>
      <c r="B4607">
        <v>11.314299999999999</v>
      </c>
    </row>
    <row r="4608" spans="1:2">
      <c r="A4608" s="117">
        <v>38162</v>
      </c>
      <c r="B4608">
        <v>11.307700000000001</v>
      </c>
    </row>
    <row r="4609" spans="1:2">
      <c r="A4609" s="117">
        <v>38163</v>
      </c>
      <c r="B4609">
        <v>11.342499999999999</v>
      </c>
    </row>
    <row r="4610" spans="1:2">
      <c r="A4610" s="117">
        <v>38164</v>
      </c>
      <c r="B4610">
        <v>11.3004</v>
      </c>
    </row>
    <row r="4611" spans="1:2">
      <c r="A4611" s="117">
        <v>38165</v>
      </c>
      <c r="B4611">
        <v>11.3004</v>
      </c>
    </row>
    <row r="4612" spans="1:2">
      <c r="A4612" s="117">
        <v>38166</v>
      </c>
      <c r="B4612">
        <v>11.3004</v>
      </c>
    </row>
    <row r="4613" spans="1:2">
      <c r="A4613" s="117">
        <v>38167</v>
      </c>
      <c r="B4613">
        <v>11.317500000000001</v>
      </c>
    </row>
    <row r="4614" spans="1:2">
      <c r="A4614" s="117">
        <v>38168</v>
      </c>
      <c r="B4614">
        <v>11.4116</v>
      </c>
    </row>
    <row r="4615" spans="1:2">
      <c r="A4615" s="117">
        <v>38169</v>
      </c>
      <c r="B4615">
        <v>11.5297</v>
      </c>
    </row>
    <row r="4616" spans="1:2">
      <c r="A4616" s="117">
        <v>38170</v>
      </c>
      <c r="B4616">
        <v>11.5258</v>
      </c>
    </row>
    <row r="4617" spans="1:2">
      <c r="A4617" s="117">
        <v>38171</v>
      </c>
      <c r="B4617">
        <v>11.4922</v>
      </c>
    </row>
    <row r="4618" spans="1:2">
      <c r="A4618" s="117">
        <v>38172</v>
      </c>
      <c r="B4618">
        <v>11.4922</v>
      </c>
    </row>
    <row r="4619" spans="1:2">
      <c r="A4619" s="117">
        <v>38173</v>
      </c>
      <c r="B4619">
        <v>11.4922</v>
      </c>
    </row>
    <row r="4620" spans="1:2">
      <c r="A4620" s="117">
        <v>38174</v>
      </c>
      <c r="B4620">
        <v>11.4763</v>
      </c>
    </row>
    <row r="4621" spans="1:2">
      <c r="A4621" s="117">
        <v>38175</v>
      </c>
      <c r="B4621">
        <v>11.443199999999999</v>
      </c>
    </row>
    <row r="4622" spans="1:2">
      <c r="A4622" s="117">
        <v>38176</v>
      </c>
      <c r="B4622">
        <v>11.4948</v>
      </c>
    </row>
    <row r="4623" spans="1:2">
      <c r="A4623" s="117">
        <v>38177</v>
      </c>
      <c r="B4623">
        <v>11.467000000000001</v>
      </c>
    </row>
    <row r="4624" spans="1:2">
      <c r="A4624" s="117">
        <v>38178</v>
      </c>
      <c r="B4624">
        <v>11.531499999999999</v>
      </c>
    </row>
    <row r="4625" spans="1:2">
      <c r="A4625" s="117">
        <v>38179</v>
      </c>
      <c r="B4625">
        <v>11.531499999999999</v>
      </c>
    </row>
    <row r="4626" spans="1:2">
      <c r="A4626" s="117">
        <v>38180</v>
      </c>
      <c r="B4626">
        <v>11.531499999999999</v>
      </c>
    </row>
    <row r="4627" spans="1:2">
      <c r="A4627" s="117">
        <v>38181</v>
      </c>
      <c r="B4627">
        <v>11.5152</v>
      </c>
    </row>
    <row r="4628" spans="1:2">
      <c r="A4628" s="117">
        <v>38182</v>
      </c>
      <c r="B4628">
        <v>11.5009</v>
      </c>
    </row>
    <row r="4629" spans="1:2">
      <c r="A4629" s="117">
        <v>38183</v>
      </c>
      <c r="B4629">
        <v>11.494899999999999</v>
      </c>
    </row>
    <row r="4630" spans="1:2">
      <c r="A4630" s="117">
        <v>38184</v>
      </c>
      <c r="B4630">
        <v>11.4552</v>
      </c>
    </row>
    <row r="4631" spans="1:2">
      <c r="A4631" s="117">
        <v>38185</v>
      </c>
      <c r="B4631">
        <v>11.4909</v>
      </c>
    </row>
    <row r="4632" spans="1:2">
      <c r="A4632" s="117">
        <v>38186</v>
      </c>
      <c r="B4632">
        <v>11.4909</v>
      </c>
    </row>
    <row r="4633" spans="1:2">
      <c r="A4633" s="117">
        <v>38187</v>
      </c>
      <c r="B4633">
        <v>11.4909</v>
      </c>
    </row>
    <row r="4634" spans="1:2">
      <c r="A4634" s="117">
        <v>38188</v>
      </c>
      <c r="B4634">
        <v>11.4352</v>
      </c>
    </row>
    <row r="4635" spans="1:2">
      <c r="A4635" s="117">
        <v>38189</v>
      </c>
      <c r="B4635">
        <v>11.378500000000001</v>
      </c>
    </row>
    <row r="4636" spans="1:2">
      <c r="A4636" s="117">
        <v>38190</v>
      </c>
      <c r="B4636">
        <v>11.3954</v>
      </c>
    </row>
    <row r="4637" spans="1:2">
      <c r="A4637" s="117">
        <v>38191</v>
      </c>
      <c r="B4637">
        <v>11.46</v>
      </c>
    </row>
    <row r="4638" spans="1:2">
      <c r="A4638" s="117">
        <v>38192</v>
      </c>
      <c r="B4638">
        <v>11.446300000000001</v>
      </c>
    </row>
    <row r="4639" spans="1:2">
      <c r="A4639" s="117">
        <v>38193</v>
      </c>
      <c r="B4639">
        <v>11.446300000000001</v>
      </c>
    </row>
    <row r="4640" spans="1:2">
      <c r="A4640" s="117">
        <v>38194</v>
      </c>
      <c r="B4640">
        <v>11.446300000000001</v>
      </c>
    </row>
    <row r="4641" spans="1:2">
      <c r="A4641" s="117">
        <v>38195</v>
      </c>
      <c r="B4641">
        <v>11.433999999999999</v>
      </c>
    </row>
    <row r="4642" spans="1:2">
      <c r="A4642" s="117">
        <v>38196</v>
      </c>
      <c r="B4642">
        <v>11.4582</v>
      </c>
    </row>
    <row r="4643" spans="1:2">
      <c r="A4643" s="117">
        <v>38197</v>
      </c>
      <c r="B4643">
        <v>11.511100000000001</v>
      </c>
    </row>
    <row r="4644" spans="1:2">
      <c r="A4644" s="117">
        <v>38198</v>
      </c>
      <c r="B4644">
        <v>11.4801</v>
      </c>
    </row>
    <row r="4645" spans="1:2">
      <c r="A4645" s="117">
        <v>38199</v>
      </c>
      <c r="B4645">
        <v>11.430199999999999</v>
      </c>
    </row>
    <row r="4646" spans="1:2">
      <c r="A4646" s="117">
        <v>38200</v>
      </c>
      <c r="B4646">
        <v>11.430199999999999</v>
      </c>
    </row>
    <row r="4647" spans="1:2">
      <c r="A4647" s="117">
        <v>38201</v>
      </c>
      <c r="B4647">
        <v>11.430199999999999</v>
      </c>
    </row>
    <row r="4648" spans="1:2">
      <c r="A4648" s="117">
        <v>38202</v>
      </c>
      <c r="B4648">
        <v>11.4079</v>
      </c>
    </row>
    <row r="4649" spans="1:2">
      <c r="A4649" s="117">
        <v>38203</v>
      </c>
      <c r="B4649">
        <v>11.4253</v>
      </c>
    </row>
    <row r="4650" spans="1:2">
      <c r="A4650" s="117">
        <v>38204</v>
      </c>
      <c r="B4650">
        <v>11.405200000000001</v>
      </c>
    </row>
    <row r="4651" spans="1:2">
      <c r="A4651" s="117">
        <v>38205</v>
      </c>
      <c r="B4651">
        <v>11.4527</v>
      </c>
    </row>
    <row r="4652" spans="1:2">
      <c r="A4652" s="117">
        <v>38206</v>
      </c>
      <c r="B4652">
        <v>11.457000000000001</v>
      </c>
    </row>
    <row r="4653" spans="1:2">
      <c r="A4653" s="117">
        <v>38207</v>
      </c>
      <c r="B4653">
        <v>11.457000000000001</v>
      </c>
    </row>
    <row r="4654" spans="1:2">
      <c r="A4654" s="117">
        <v>38208</v>
      </c>
      <c r="B4654">
        <v>11.457000000000001</v>
      </c>
    </row>
    <row r="4655" spans="1:2">
      <c r="A4655" s="117">
        <v>38209</v>
      </c>
      <c r="B4655">
        <v>11.4124</v>
      </c>
    </row>
    <row r="4656" spans="1:2">
      <c r="A4656" s="117">
        <v>38210</v>
      </c>
      <c r="B4656">
        <v>11.377599999999999</v>
      </c>
    </row>
    <row r="4657" spans="1:2">
      <c r="A4657" s="117">
        <v>38211</v>
      </c>
      <c r="B4657">
        <v>11.394299999999999</v>
      </c>
    </row>
    <row r="4658" spans="1:2">
      <c r="A4658" s="117">
        <v>38212</v>
      </c>
      <c r="B4658">
        <v>11.4436</v>
      </c>
    </row>
    <row r="4659" spans="1:2">
      <c r="A4659" s="117">
        <v>38213</v>
      </c>
      <c r="B4659">
        <v>11.4414</v>
      </c>
    </row>
    <row r="4660" spans="1:2">
      <c r="A4660" s="117">
        <v>38214</v>
      </c>
      <c r="B4660">
        <v>11.4414</v>
      </c>
    </row>
    <row r="4661" spans="1:2">
      <c r="A4661" s="117">
        <v>38215</v>
      </c>
      <c r="B4661">
        <v>11.4414</v>
      </c>
    </row>
    <row r="4662" spans="1:2">
      <c r="A4662" s="117">
        <v>38216</v>
      </c>
      <c r="B4662">
        <v>11.4048</v>
      </c>
    </row>
    <row r="4663" spans="1:2">
      <c r="A4663" s="117">
        <v>38217</v>
      </c>
      <c r="B4663">
        <v>11.3848</v>
      </c>
    </row>
    <row r="4664" spans="1:2">
      <c r="A4664" s="117">
        <v>38218</v>
      </c>
      <c r="B4664">
        <v>11.348100000000001</v>
      </c>
    </row>
    <row r="4665" spans="1:2">
      <c r="A4665" s="117">
        <v>38219</v>
      </c>
      <c r="B4665">
        <v>11.347200000000001</v>
      </c>
    </row>
    <row r="4666" spans="1:2">
      <c r="A4666" s="117">
        <v>38220</v>
      </c>
      <c r="B4666">
        <v>11.355</v>
      </c>
    </row>
    <row r="4667" spans="1:2">
      <c r="A4667" s="117">
        <v>38221</v>
      </c>
      <c r="B4667">
        <v>11.355</v>
      </c>
    </row>
    <row r="4668" spans="1:2">
      <c r="A4668" s="117">
        <v>38222</v>
      </c>
      <c r="B4668">
        <v>11.355</v>
      </c>
    </row>
    <row r="4669" spans="1:2">
      <c r="A4669" s="117">
        <v>38223</v>
      </c>
      <c r="B4669">
        <v>11.3453</v>
      </c>
    </row>
    <row r="4670" spans="1:2">
      <c r="A4670" s="117">
        <v>38224</v>
      </c>
      <c r="B4670">
        <v>11.3764</v>
      </c>
    </row>
    <row r="4671" spans="1:2">
      <c r="A4671" s="117">
        <v>38225</v>
      </c>
      <c r="B4671">
        <v>11.385899999999999</v>
      </c>
    </row>
    <row r="4672" spans="1:2">
      <c r="A4672" s="117">
        <v>38226</v>
      </c>
      <c r="B4672">
        <v>11.3712</v>
      </c>
    </row>
    <row r="4673" spans="1:2">
      <c r="A4673" s="117">
        <v>38227</v>
      </c>
      <c r="B4673">
        <v>11.366</v>
      </c>
    </row>
    <row r="4674" spans="1:2">
      <c r="A4674" s="117">
        <v>38228</v>
      </c>
      <c r="B4674">
        <v>11.366</v>
      </c>
    </row>
    <row r="4675" spans="1:2">
      <c r="A4675" s="117">
        <v>38229</v>
      </c>
      <c r="B4675">
        <v>11.366</v>
      </c>
    </row>
    <row r="4676" spans="1:2">
      <c r="A4676" s="117">
        <v>38230</v>
      </c>
      <c r="B4676">
        <v>11.373900000000001</v>
      </c>
    </row>
    <row r="4677" spans="1:2">
      <c r="A4677" s="117">
        <v>38231</v>
      </c>
      <c r="B4677">
        <v>11.4231</v>
      </c>
    </row>
    <row r="4678" spans="1:2">
      <c r="A4678" s="117">
        <v>38232</v>
      </c>
      <c r="B4678">
        <v>11.380699999999999</v>
      </c>
    </row>
    <row r="4679" spans="1:2">
      <c r="A4679" s="117">
        <v>38233</v>
      </c>
      <c r="B4679">
        <v>11.4145</v>
      </c>
    </row>
    <row r="4680" spans="1:2">
      <c r="A4680" s="117">
        <v>38234</v>
      </c>
      <c r="B4680">
        <v>11.4725</v>
      </c>
    </row>
    <row r="4681" spans="1:2">
      <c r="A4681" s="117">
        <v>38235</v>
      </c>
      <c r="B4681">
        <v>11.4725</v>
      </c>
    </row>
    <row r="4682" spans="1:2">
      <c r="A4682" s="117">
        <v>38236</v>
      </c>
      <c r="B4682">
        <v>11.4725</v>
      </c>
    </row>
    <row r="4683" spans="1:2">
      <c r="A4683" s="117">
        <v>38237</v>
      </c>
      <c r="B4683">
        <v>11.527900000000001</v>
      </c>
    </row>
    <row r="4684" spans="1:2">
      <c r="A4684" s="117">
        <v>38238</v>
      </c>
      <c r="B4684">
        <v>11.519299999999999</v>
      </c>
    </row>
    <row r="4685" spans="1:2">
      <c r="A4685" s="117">
        <v>38239</v>
      </c>
      <c r="B4685">
        <v>11.568899999999999</v>
      </c>
    </row>
    <row r="4686" spans="1:2">
      <c r="A4686" s="117">
        <v>38240</v>
      </c>
      <c r="B4686">
        <v>11.589499999999999</v>
      </c>
    </row>
    <row r="4687" spans="1:2">
      <c r="A4687" s="117">
        <v>38241</v>
      </c>
      <c r="B4687">
        <v>11.5717</v>
      </c>
    </row>
    <row r="4688" spans="1:2">
      <c r="A4688" s="117">
        <v>38242</v>
      </c>
      <c r="B4688">
        <v>11.5717</v>
      </c>
    </row>
    <row r="4689" spans="1:2">
      <c r="A4689" s="117">
        <v>38243</v>
      </c>
      <c r="B4689">
        <v>11.5717</v>
      </c>
    </row>
    <row r="4690" spans="1:2">
      <c r="A4690" s="117">
        <v>38244</v>
      </c>
      <c r="B4690">
        <v>11.6005</v>
      </c>
    </row>
    <row r="4691" spans="1:2">
      <c r="A4691" s="117">
        <v>38245</v>
      </c>
      <c r="B4691">
        <v>11.576000000000001</v>
      </c>
    </row>
    <row r="4692" spans="1:2">
      <c r="A4692" s="117">
        <v>38246</v>
      </c>
      <c r="B4692">
        <v>11.585100000000001</v>
      </c>
    </row>
    <row r="4693" spans="1:2">
      <c r="A4693" s="117">
        <v>38247</v>
      </c>
      <c r="B4693">
        <v>11.585100000000001</v>
      </c>
    </row>
    <row r="4694" spans="1:2">
      <c r="A4694" s="117">
        <v>38248</v>
      </c>
      <c r="B4694">
        <v>11.533300000000001</v>
      </c>
    </row>
    <row r="4695" spans="1:2">
      <c r="A4695" s="117">
        <v>38249</v>
      </c>
      <c r="B4695">
        <v>11.533300000000001</v>
      </c>
    </row>
    <row r="4696" spans="1:2">
      <c r="A4696" s="117">
        <v>38250</v>
      </c>
      <c r="B4696">
        <v>11.533300000000001</v>
      </c>
    </row>
    <row r="4697" spans="1:2">
      <c r="A4697" s="117">
        <v>38251</v>
      </c>
      <c r="B4697">
        <v>11.477399999999999</v>
      </c>
    </row>
    <row r="4698" spans="1:2">
      <c r="A4698" s="117">
        <v>38252</v>
      </c>
      <c r="B4698">
        <v>11.4557</v>
      </c>
    </row>
    <row r="4699" spans="1:2">
      <c r="A4699" s="117">
        <v>38253</v>
      </c>
      <c r="B4699">
        <v>11.429399999999999</v>
      </c>
    </row>
    <row r="4700" spans="1:2">
      <c r="A4700" s="117">
        <v>38254</v>
      </c>
      <c r="B4700">
        <v>11.401199999999999</v>
      </c>
    </row>
    <row r="4701" spans="1:2">
      <c r="A4701" s="117">
        <v>38255</v>
      </c>
      <c r="B4701">
        <v>11.417999999999999</v>
      </c>
    </row>
    <row r="4702" spans="1:2">
      <c r="A4702" s="117">
        <v>38256</v>
      </c>
      <c r="B4702">
        <v>11.417999999999999</v>
      </c>
    </row>
    <row r="4703" spans="1:2">
      <c r="A4703" s="117">
        <v>38257</v>
      </c>
      <c r="B4703">
        <v>11.417999999999999</v>
      </c>
    </row>
    <row r="4704" spans="1:2">
      <c r="A4704" s="117">
        <v>38258</v>
      </c>
      <c r="B4704">
        <v>11.4107</v>
      </c>
    </row>
    <row r="4705" spans="1:2">
      <c r="A4705" s="117">
        <v>38259</v>
      </c>
      <c r="B4705">
        <v>11.434799999999999</v>
      </c>
    </row>
    <row r="4706" spans="1:2">
      <c r="A4706" s="117">
        <v>38260</v>
      </c>
      <c r="B4706">
        <v>11.410600000000001</v>
      </c>
    </row>
    <row r="4707" spans="1:2">
      <c r="A4707" s="117">
        <v>38261</v>
      </c>
      <c r="B4707">
        <v>11.428800000000001</v>
      </c>
    </row>
    <row r="4708" spans="1:2">
      <c r="A4708" s="117">
        <v>38262</v>
      </c>
      <c r="B4708">
        <v>11.388400000000001</v>
      </c>
    </row>
    <row r="4709" spans="1:2">
      <c r="A4709" s="117">
        <v>38263</v>
      </c>
      <c r="B4709">
        <v>11.388400000000001</v>
      </c>
    </row>
    <row r="4710" spans="1:2">
      <c r="A4710" s="117">
        <v>38264</v>
      </c>
      <c r="B4710">
        <v>11.388400000000001</v>
      </c>
    </row>
    <row r="4711" spans="1:2">
      <c r="A4711" s="117">
        <v>38265</v>
      </c>
      <c r="B4711">
        <v>11.350300000000001</v>
      </c>
    </row>
    <row r="4712" spans="1:2">
      <c r="A4712" s="117">
        <v>38266</v>
      </c>
      <c r="B4712">
        <v>11.350199999999999</v>
      </c>
    </row>
    <row r="4713" spans="1:2">
      <c r="A4713" s="117">
        <v>38267</v>
      </c>
      <c r="B4713">
        <v>11.3149</v>
      </c>
    </row>
    <row r="4714" spans="1:2">
      <c r="A4714" s="117">
        <v>38268</v>
      </c>
      <c r="B4714">
        <v>11.2745</v>
      </c>
    </row>
    <row r="4715" spans="1:2">
      <c r="A4715" s="117">
        <v>38269</v>
      </c>
      <c r="B4715">
        <v>11.2874</v>
      </c>
    </row>
    <row r="4716" spans="1:2">
      <c r="A4716" s="117">
        <v>38270</v>
      </c>
      <c r="B4716">
        <v>11.2874</v>
      </c>
    </row>
    <row r="4717" spans="1:2">
      <c r="A4717" s="117">
        <v>38271</v>
      </c>
      <c r="B4717">
        <v>11.2874</v>
      </c>
    </row>
    <row r="4718" spans="1:2">
      <c r="A4718" s="117">
        <v>38272</v>
      </c>
      <c r="B4718">
        <v>11.240600000000001</v>
      </c>
    </row>
    <row r="4719" spans="1:2">
      <c r="A4719" s="117">
        <v>38273</v>
      </c>
      <c r="B4719">
        <v>11.244899999999999</v>
      </c>
    </row>
    <row r="4720" spans="1:2">
      <c r="A4720" s="117">
        <v>38274</v>
      </c>
      <c r="B4720">
        <v>11.2865</v>
      </c>
    </row>
    <row r="4721" spans="1:2">
      <c r="A4721" s="117">
        <v>38275</v>
      </c>
      <c r="B4721">
        <v>11.302099999999999</v>
      </c>
    </row>
    <row r="4722" spans="1:2">
      <c r="A4722" s="117">
        <v>38276</v>
      </c>
      <c r="B4722">
        <v>11.3195</v>
      </c>
    </row>
    <row r="4723" spans="1:2">
      <c r="A4723" s="117">
        <v>38277</v>
      </c>
      <c r="B4723">
        <v>11.3195</v>
      </c>
    </row>
    <row r="4724" spans="1:2">
      <c r="A4724" s="117">
        <v>38278</v>
      </c>
      <c r="B4724">
        <v>11.3195</v>
      </c>
    </row>
    <row r="4725" spans="1:2">
      <c r="A4725" s="117">
        <v>38279</v>
      </c>
      <c r="B4725">
        <v>11.454000000000001</v>
      </c>
    </row>
    <row r="4726" spans="1:2">
      <c r="A4726" s="117">
        <v>38280</v>
      </c>
      <c r="B4726">
        <v>11.5068</v>
      </c>
    </row>
    <row r="4727" spans="1:2">
      <c r="A4727" s="117">
        <v>38281</v>
      </c>
      <c r="B4727">
        <v>11.450699999999999</v>
      </c>
    </row>
    <row r="4728" spans="1:2">
      <c r="A4728" s="117">
        <v>38282</v>
      </c>
      <c r="B4728">
        <v>11.454800000000001</v>
      </c>
    </row>
    <row r="4729" spans="1:2">
      <c r="A4729" s="117">
        <v>38283</v>
      </c>
      <c r="B4729">
        <v>11.472200000000001</v>
      </c>
    </row>
    <row r="4730" spans="1:2">
      <c r="A4730" s="117">
        <v>38284</v>
      </c>
      <c r="B4730">
        <v>11.472200000000001</v>
      </c>
    </row>
    <row r="4731" spans="1:2">
      <c r="A4731" s="117">
        <v>38285</v>
      </c>
      <c r="B4731">
        <v>11.472200000000001</v>
      </c>
    </row>
    <row r="4732" spans="1:2">
      <c r="A4732" s="117">
        <v>38286</v>
      </c>
      <c r="B4732">
        <v>11.442399999999999</v>
      </c>
    </row>
    <row r="4733" spans="1:2">
      <c r="A4733" s="117">
        <v>38287</v>
      </c>
      <c r="B4733">
        <v>11.515000000000001</v>
      </c>
    </row>
    <row r="4734" spans="1:2">
      <c r="A4734" s="117">
        <v>38288</v>
      </c>
      <c r="B4734">
        <v>11.517799999999999</v>
      </c>
    </row>
    <row r="4735" spans="1:2">
      <c r="A4735" s="117">
        <v>38289</v>
      </c>
      <c r="B4735">
        <v>11.511799999999999</v>
      </c>
    </row>
    <row r="4736" spans="1:2">
      <c r="A4736" s="117">
        <v>38290</v>
      </c>
      <c r="B4736">
        <v>11.529299999999999</v>
      </c>
    </row>
    <row r="4737" spans="1:2">
      <c r="A4737" s="117">
        <v>38291</v>
      </c>
      <c r="B4737">
        <v>11.529299999999999</v>
      </c>
    </row>
    <row r="4738" spans="1:2">
      <c r="A4738" s="117">
        <v>38292</v>
      </c>
      <c r="B4738">
        <v>11.529299999999999</v>
      </c>
    </row>
    <row r="4739" spans="1:2">
      <c r="A4739" s="117">
        <v>38293</v>
      </c>
      <c r="B4739">
        <v>11.539</v>
      </c>
    </row>
    <row r="4740" spans="1:2">
      <c r="A4740" s="117">
        <v>38294</v>
      </c>
      <c r="B4740">
        <v>11.533099999999999</v>
      </c>
    </row>
    <row r="4741" spans="1:2">
      <c r="A4741" s="117">
        <v>38295</v>
      </c>
      <c r="B4741">
        <v>11.499700000000001</v>
      </c>
    </row>
    <row r="4742" spans="1:2">
      <c r="A4742" s="117">
        <v>38296</v>
      </c>
      <c r="B4742">
        <v>11.424799999999999</v>
      </c>
    </row>
    <row r="4743" spans="1:2">
      <c r="A4743" s="117">
        <v>38297</v>
      </c>
      <c r="B4743">
        <v>11.411799999999999</v>
      </c>
    </row>
    <row r="4744" spans="1:2">
      <c r="A4744" s="117">
        <v>38298</v>
      </c>
      <c r="B4744">
        <v>11.411799999999999</v>
      </c>
    </row>
    <row r="4745" spans="1:2">
      <c r="A4745" s="117">
        <v>38299</v>
      </c>
      <c r="B4745">
        <v>11.411799999999999</v>
      </c>
    </row>
    <row r="4746" spans="1:2">
      <c r="A4746" s="117">
        <v>38300</v>
      </c>
      <c r="B4746">
        <v>11.4031</v>
      </c>
    </row>
    <row r="4747" spans="1:2">
      <c r="A4747" s="117">
        <v>38301</v>
      </c>
      <c r="B4747">
        <v>11.395300000000001</v>
      </c>
    </row>
    <row r="4748" spans="1:2">
      <c r="A4748" s="117">
        <v>38302</v>
      </c>
      <c r="B4748">
        <v>11.4465</v>
      </c>
    </row>
    <row r="4749" spans="1:2">
      <c r="A4749" s="117">
        <v>38303</v>
      </c>
      <c r="B4749">
        <v>11.4299</v>
      </c>
    </row>
    <row r="4750" spans="1:2">
      <c r="A4750" s="117">
        <v>38304</v>
      </c>
      <c r="B4750">
        <v>11.399699999999999</v>
      </c>
    </row>
    <row r="4751" spans="1:2">
      <c r="A4751" s="117">
        <v>38305</v>
      </c>
      <c r="B4751">
        <v>11.399699999999999</v>
      </c>
    </row>
    <row r="4752" spans="1:2">
      <c r="A4752" s="117">
        <v>38306</v>
      </c>
      <c r="B4752">
        <v>11.399699999999999</v>
      </c>
    </row>
    <row r="4753" spans="1:2">
      <c r="A4753" s="117">
        <v>38307</v>
      </c>
      <c r="B4753">
        <v>11.381</v>
      </c>
    </row>
    <row r="4754" spans="1:2">
      <c r="A4754" s="117">
        <v>38308</v>
      </c>
      <c r="B4754">
        <v>11.3583</v>
      </c>
    </row>
    <row r="4755" spans="1:2">
      <c r="A4755" s="117">
        <v>38309</v>
      </c>
      <c r="B4755">
        <v>11.3508</v>
      </c>
    </row>
    <row r="4756" spans="1:2">
      <c r="A4756" s="117">
        <v>38310</v>
      </c>
      <c r="B4756">
        <v>11.3271</v>
      </c>
    </row>
    <row r="4757" spans="1:2">
      <c r="A4757" s="117">
        <v>38311</v>
      </c>
      <c r="B4757">
        <v>11.333500000000001</v>
      </c>
    </row>
    <row r="4758" spans="1:2">
      <c r="A4758" s="117">
        <v>38312</v>
      </c>
      <c r="B4758">
        <v>11.333500000000001</v>
      </c>
    </row>
    <row r="4759" spans="1:2">
      <c r="A4759" s="117">
        <v>38313</v>
      </c>
      <c r="B4759">
        <v>11.333500000000001</v>
      </c>
    </row>
    <row r="4760" spans="1:2">
      <c r="A4760" s="117">
        <v>38314</v>
      </c>
      <c r="B4760">
        <v>11.3637</v>
      </c>
    </row>
    <row r="4761" spans="1:2">
      <c r="A4761" s="117">
        <v>38315</v>
      </c>
      <c r="B4761">
        <v>11.3949</v>
      </c>
    </row>
    <row r="4762" spans="1:2">
      <c r="A4762" s="117">
        <v>38316</v>
      </c>
      <c r="B4762">
        <v>11.3447</v>
      </c>
    </row>
    <row r="4763" spans="1:2">
      <c r="A4763" s="117">
        <v>38317</v>
      </c>
      <c r="B4763">
        <v>11.2797</v>
      </c>
    </row>
    <row r="4764" spans="1:2">
      <c r="A4764" s="117">
        <v>38318</v>
      </c>
      <c r="B4764">
        <v>11.2713</v>
      </c>
    </row>
    <row r="4765" spans="1:2">
      <c r="A4765" s="117">
        <v>38319</v>
      </c>
      <c r="B4765">
        <v>11.2713</v>
      </c>
    </row>
    <row r="4766" spans="1:2">
      <c r="A4766" s="117">
        <v>38320</v>
      </c>
      <c r="B4766">
        <v>11.2713</v>
      </c>
    </row>
    <row r="4767" spans="1:2">
      <c r="A4767" s="117">
        <v>38321</v>
      </c>
      <c r="B4767">
        <v>11.247</v>
      </c>
    </row>
    <row r="4768" spans="1:2">
      <c r="A4768" s="117">
        <v>38322</v>
      </c>
      <c r="B4768">
        <v>11.266</v>
      </c>
    </row>
    <row r="4769" spans="1:2">
      <c r="A4769" s="117">
        <v>38323</v>
      </c>
      <c r="B4769">
        <v>11.237299999999999</v>
      </c>
    </row>
    <row r="4770" spans="1:2">
      <c r="A4770" s="117">
        <v>38324</v>
      </c>
      <c r="B4770">
        <v>11.1713</v>
      </c>
    </row>
    <row r="4771" spans="1:2">
      <c r="A4771" s="117">
        <v>38325</v>
      </c>
      <c r="B4771">
        <v>11.145300000000001</v>
      </c>
    </row>
    <row r="4772" spans="1:2">
      <c r="A4772" s="117">
        <v>38326</v>
      </c>
      <c r="B4772">
        <v>11.145300000000001</v>
      </c>
    </row>
    <row r="4773" spans="1:2">
      <c r="A4773" s="117">
        <v>38327</v>
      </c>
      <c r="B4773">
        <v>11.145300000000001</v>
      </c>
    </row>
    <row r="4774" spans="1:2">
      <c r="A4774" s="117">
        <v>38328</v>
      </c>
      <c r="B4774">
        <v>11.1213</v>
      </c>
    </row>
    <row r="4775" spans="1:2">
      <c r="A4775" s="117">
        <v>38329</v>
      </c>
      <c r="B4775">
        <v>11.1355</v>
      </c>
    </row>
    <row r="4776" spans="1:2">
      <c r="A4776" s="117">
        <v>38330</v>
      </c>
      <c r="B4776">
        <v>11.170400000000001</v>
      </c>
    </row>
    <row r="4777" spans="1:2">
      <c r="A4777" s="117">
        <v>38331</v>
      </c>
      <c r="B4777">
        <v>11.2738</v>
      </c>
    </row>
    <row r="4778" spans="1:2">
      <c r="A4778" s="117">
        <v>38332</v>
      </c>
      <c r="B4778">
        <v>11.291</v>
      </c>
    </row>
    <row r="4779" spans="1:2">
      <c r="A4779" s="117">
        <v>38333</v>
      </c>
      <c r="B4779">
        <v>11.291</v>
      </c>
    </row>
    <row r="4780" spans="1:2">
      <c r="A4780" s="117">
        <v>38334</v>
      </c>
      <c r="B4780">
        <v>11.291</v>
      </c>
    </row>
    <row r="4781" spans="1:2">
      <c r="A4781" s="117">
        <v>38335</v>
      </c>
      <c r="B4781">
        <v>11.334300000000001</v>
      </c>
    </row>
    <row r="4782" spans="1:2">
      <c r="A4782" s="117">
        <v>38336</v>
      </c>
      <c r="B4782">
        <v>11.304500000000001</v>
      </c>
    </row>
    <row r="4783" spans="1:2">
      <c r="A4783" s="117">
        <v>38337</v>
      </c>
      <c r="B4783">
        <v>11.2903</v>
      </c>
    </row>
    <row r="4784" spans="1:2">
      <c r="A4784" s="117">
        <v>38338</v>
      </c>
      <c r="B4784">
        <v>11.2028</v>
      </c>
    </row>
    <row r="4785" spans="1:2">
      <c r="A4785" s="117">
        <v>38339</v>
      </c>
      <c r="B4785">
        <v>11.2316</v>
      </c>
    </row>
    <row r="4786" spans="1:2">
      <c r="A4786" s="117">
        <v>38340</v>
      </c>
      <c r="B4786">
        <v>11.2316</v>
      </c>
    </row>
    <row r="4787" spans="1:2">
      <c r="A4787" s="117">
        <v>38341</v>
      </c>
      <c r="B4787">
        <v>11.2316</v>
      </c>
    </row>
    <row r="4788" spans="1:2">
      <c r="A4788" s="117">
        <v>38342</v>
      </c>
      <c r="B4788">
        <v>11.2403</v>
      </c>
    </row>
    <row r="4789" spans="1:2">
      <c r="A4789" s="117">
        <v>38343</v>
      </c>
      <c r="B4789">
        <v>11.1555</v>
      </c>
    </row>
    <row r="4790" spans="1:2">
      <c r="A4790" s="117">
        <v>38344</v>
      </c>
      <c r="B4790">
        <v>11.1873</v>
      </c>
    </row>
    <row r="4791" spans="1:2">
      <c r="A4791" s="117">
        <v>38345</v>
      </c>
      <c r="B4791">
        <v>11.1814</v>
      </c>
    </row>
    <row r="4792" spans="1:2">
      <c r="A4792" s="117">
        <v>38346</v>
      </c>
      <c r="B4792">
        <v>11.1363</v>
      </c>
    </row>
    <row r="4793" spans="1:2">
      <c r="A4793" s="117">
        <v>38347</v>
      </c>
      <c r="B4793">
        <v>11.1363</v>
      </c>
    </row>
    <row r="4794" spans="1:2">
      <c r="A4794" s="117">
        <v>38348</v>
      </c>
      <c r="B4794">
        <v>11.1363</v>
      </c>
    </row>
    <row r="4795" spans="1:2">
      <c r="A4795" s="117">
        <v>38349</v>
      </c>
      <c r="B4795">
        <v>11.15</v>
      </c>
    </row>
    <row r="4796" spans="1:2">
      <c r="A4796" s="117">
        <v>38350</v>
      </c>
      <c r="B4796">
        <v>11.1348</v>
      </c>
    </row>
    <row r="4797" spans="1:2">
      <c r="A4797" s="117">
        <v>38351</v>
      </c>
      <c r="B4797">
        <v>11.2042</v>
      </c>
    </row>
    <row r="4798" spans="1:2">
      <c r="A4798" s="117">
        <v>38352</v>
      </c>
      <c r="B4798">
        <v>11.264799999999999</v>
      </c>
    </row>
    <row r="4799" spans="1:2">
      <c r="A4799" s="117">
        <v>38353</v>
      </c>
      <c r="B4799">
        <v>11.218299999999999</v>
      </c>
    </row>
    <row r="4800" spans="1:2">
      <c r="A4800" s="117">
        <v>38354</v>
      </c>
      <c r="B4800">
        <v>11.218299999999999</v>
      </c>
    </row>
    <row r="4801" spans="1:2">
      <c r="A4801" s="117">
        <v>38355</v>
      </c>
      <c r="B4801">
        <v>11.218299999999999</v>
      </c>
    </row>
    <row r="4802" spans="1:2">
      <c r="A4802" s="117">
        <v>38356</v>
      </c>
      <c r="B4802">
        <v>11.1495</v>
      </c>
    </row>
    <row r="4803" spans="1:2">
      <c r="A4803" s="117">
        <v>38357</v>
      </c>
      <c r="B4803">
        <v>11.200699999999999</v>
      </c>
    </row>
    <row r="4804" spans="1:2">
      <c r="A4804" s="117">
        <v>38358</v>
      </c>
      <c r="B4804">
        <v>11.3087</v>
      </c>
    </row>
    <row r="4805" spans="1:2">
      <c r="A4805" s="117">
        <v>38359</v>
      </c>
      <c r="B4805">
        <v>11.341799999999999</v>
      </c>
    </row>
    <row r="4806" spans="1:2">
      <c r="A4806" s="117">
        <v>38360</v>
      </c>
      <c r="B4806">
        <v>11.4018</v>
      </c>
    </row>
    <row r="4807" spans="1:2">
      <c r="A4807" s="117">
        <v>38361</v>
      </c>
      <c r="B4807">
        <v>11.4018</v>
      </c>
    </row>
    <row r="4808" spans="1:2">
      <c r="A4808" s="117">
        <v>38362</v>
      </c>
      <c r="B4808">
        <v>11.4018</v>
      </c>
    </row>
    <row r="4809" spans="1:2">
      <c r="A4809" s="117">
        <v>38363</v>
      </c>
      <c r="B4809">
        <v>11.3643</v>
      </c>
    </row>
    <row r="4810" spans="1:2">
      <c r="A4810" s="117">
        <v>38364</v>
      </c>
      <c r="B4810">
        <v>11.2667</v>
      </c>
    </row>
    <row r="4811" spans="1:2">
      <c r="A4811" s="117">
        <v>38365</v>
      </c>
      <c r="B4811">
        <v>11.2209</v>
      </c>
    </row>
    <row r="4812" spans="1:2">
      <c r="A4812" s="117">
        <v>38366</v>
      </c>
      <c r="B4812">
        <v>11.1761</v>
      </c>
    </row>
    <row r="4813" spans="1:2">
      <c r="A4813" s="117">
        <v>38367</v>
      </c>
      <c r="B4813">
        <v>11.1858</v>
      </c>
    </row>
    <row r="4814" spans="1:2">
      <c r="A4814" s="117">
        <v>38368</v>
      </c>
      <c r="B4814">
        <v>11.1858</v>
      </c>
    </row>
    <row r="4815" spans="1:2">
      <c r="A4815" s="117">
        <v>38369</v>
      </c>
      <c r="B4815">
        <v>11.1858</v>
      </c>
    </row>
    <row r="4816" spans="1:2">
      <c r="A4816" s="117">
        <v>38370</v>
      </c>
      <c r="B4816">
        <v>11.2339</v>
      </c>
    </row>
    <row r="4817" spans="1:2">
      <c r="A4817" s="117">
        <v>38371</v>
      </c>
      <c r="B4817">
        <v>11.2285</v>
      </c>
    </row>
    <row r="4818" spans="1:2">
      <c r="A4818" s="117">
        <v>38372</v>
      </c>
      <c r="B4818">
        <v>11.249499999999999</v>
      </c>
    </row>
    <row r="4819" spans="1:2">
      <c r="A4819" s="117">
        <v>38373</v>
      </c>
      <c r="B4819">
        <v>11.232799999999999</v>
      </c>
    </row>
    <row r="4820" spans="1:2">
      <c r="A4820" s="117">
        <v>38374</v>
      </c>
      <c r="B4820">
        <v>11.2515</v>
      </c>
    </row>
    <row r="4821" spans="1:2">
      <c r="A4821" s="117">
        <v>38375</v>
      </c>
      <c r="B4821">
        <v>11.2515</v>
      </c>
    </row>
    <row r="4822" spans="1:2">
      <c r="A4822" s="117">
        <v>38376</v>
      </c>
      <c r="B4822">
        <v>11.2515</v>
      </c>
    </row>
    <row r="4823" spans="1:2">
      <c r="A4823" s="117">
        <v>38377</v>
      </c>
      <c r="B4823">
        <v>11.250500000000001</v>
      </c>
    </row>
    <row r="4824" spans="1:2">
      <c r="A4824" s="117">
        <v>38378</v>
      </c>
      <c r="B4824">
        <v>11.235300000000001</v>
      </c>
    </row>
    <row r="4825" spans="1:2">
      <c r="A4825" s="117">
        <v>38379</v>
      </c>
      <c r="B4825">
        <v>11.289</v>
      </c>
    </row>
    <row r="4826" spans="1:2">
      <c r="A4826" s="117">
        <v>38380</v>
      </c>
      <c r="B4826">
        <v>11.263199999999999</v>
      </c>
    </row>
    <row r="4827" spans="1:2">
      <c r="A4827" s="117">
        <v>38381</v>
      </c>
      <c r="B4827">
        <v>11.299099999999999</v>
      </c>
    </row>
    <row r="4828" spans="1:2">
      <c r="A4828" s="117">
        <v>38382</v>
      </c>
      <c r="B4828">
        <v>11.299099999999999</v>
      </c>
    </row>
    <row r="4829" spans="1:2">
      <c r="A4829" s="117">
        <v>38383</v>
      </c>
      <c r="B4829">
        <v>11.299099999999999</v>
      </c>
    </row>
    <row r="4830" spans="1:2">
      <c r="A4830" s="117">
        <v>38384</v>
      </c>
      <c r="B4830">
        <v>11.2613</v>
      </c>
    </row>
    <row r="4831" spans="1:2">
      <c r="A4831" s="117">
        <v>38385</v>
      </c>
      <c r="B4831">
        <v>11.2141</v>
      </c>
    </row>
    <row r="4832" spans="1:2">
      <c r="A4832" s="117">
        <v>38386</v>
      </c>
      <c r="B4832">
        <v>11.1714</v>
      </c>
    </row>
    <row r="4833" spans="1:2">
      <c r="A4833" s="117">
        <v>38387</v>
      </c>
      <c r="B4833">
        <v>11.167</v>
      </c>
    </row>
    <row r="4834" spans="1:2">
      <c r="A4834" s="117">
        <v>38388</v>
      </c>
      <c r="B4834">
        <v>11.1683</v>
      </c>
    </row>
    <row r="4835" spans="1:2">
      <c r="A4835" s="117">
        <v>38389</v>
      </c>
      <c r="B4835">
        <v>11.1683</v>
      </c>
    </row>
    <row r="4836" spans="1:2">
      <c r="A4836" s="117">
        <v>38390</v>
      </c>
      <c r="B4836">
        <v>11.1683</v>
      </c>
    </row>
    <row r="4837" spans="1:2">
      <c r="A4837" s="117">
        <v>38391</v>
      </c>
      <c r="B4837">
        <v>11.141400000000001</v>
      </c>
    </row>
    <row r="4838" spans="1:2">
      <c r="A4838" s="117">
        <v>38392</v>
      </c>
      <c r="B4838">
        <v>11.190899999999999</v>
      </c>
    </row>
    <row r="4839" spans="1:2">
      <c r="A4839" s="117">
        <v>38393</v>
      </c>
      <c r="B4839">
        <v>11.215199999999999</v>
      </c>
    </row>
    <row r="4840" spans="1:2">
      <c r="A4840" s="117">
        <v>38394</v>
      </c>
      <c r="B4840">
        <v>11.1919</v>
      </c>
    </row>
    <row r="4841" spans="1:2">
      <c r="A4841" s="117">
        <v>38395</v>
      </c>
      <c r="B4841">
        <v>11.1533</v>
      </c>
    </row>
    <row r="4842" spans="1:2">
      <c r="A4842" s="117">
        <v>38396</v>
      </c>
      <c r="B4842">
        <v>11.1533</v>
      </c>
    </row>
    <row r="4843" spans="1:2">
      <c r="A4843" s="117">
        <v>38397</v>
      </c>
      <c r="B4843">
        <v>11.1533</v>
      </c>
    </row>
    <row r="4844" spans="1:2">
      <c r="A4844" s="117">
        <v>38398</v>
      </c>
      <c r="B4844">
        <v>11.1532</v>
      </c>
    </row>
    <row r="4845" spans="1:2">
      <c r="A4845" s="117">
        <v>38399</v>
      </c>
      <c r="B4845">
        <v>11.155799999999999</v>
      </c>
    </row>
    <row r="4846" spans="1:2">
      <c r="A4846" s="117">
        <v>38400</v>
      </c>
      <c r="B4846">
        <v>11.153499999999999</v>
      </c>
    </row>
    <row r="4847" spans="1:2">
      <c r="A4847" s="117">
        <v>38401</v>
      </c>
      <c r="B4847">
        <v>11.1625</v>
      </c>
    </row>
    <row r="4848" spans="1:2">
      <c r="A4848" s="117">
        <v>38402</v>
      </c>
      <c r="B4848">
        <v>11.1389</v>
      </c>
    </row>
    <row r="4849" spans="1:2">
      <c r="A4849" s="117">
        <v>38403</v>
      </c>
      <c r="B4849">
        <v>11.1389</v>
      </c>
    </row>
    <row r="4850" spans="1:2">
      <c r="A4850" s="117">
        <v>38404</v>
      </c>
      <c r="B4850">
        <v>11.1389</v>
      </c>
    </row>
    <row r="4851" spans="1:2">
      <c r="A4851" s="117">
        <v>38405</v>
      </c>
      <c r="B4851">
        <v>11.0732</v>
      </c>
    </row>
    <row r="4852" spans="1:2">
      <c r="A4852" s="117">
        <v>38406</v>
      </c>
      <c r="B4852">
        <v>11.068</v>
      </c>
    </row>
    <row r="4853" spans="1:2">
      <c r="A4853" s="117">
        <v>38407</v>
      </c>
      <c r="B4853">
        <v>11.0487</v>
      </c>
    </row>
    <row r="4854" spans="1:2">
      <c r="A4854" s="117">
        <v>38408</v>
      </c>
      <c r="B4854">
        <v>11.0807</v>
      </c>
    </row>
    <row r="4855" spans="1:2">
      <c r="A4855" s="117">
        <v>38409</v>
      </c>
      <c r="B4855">
        <v>11.095499999999999</v>
      </c>
    </row>
    <row r="4856" spans="1:2">
      <c r="A4856" s="117">
        <v>38410</v>
      </c>
      <c r="B4856">
        <v>11.095499999999999</v>
      </c>
    </row>
    <row r="4857" spans="1:2">
      <c r="A4857" s="117">
        <v>38411</v>
      </c>
      <c r="B4857">
        <v>11.095499999999999</v>
      </c>
    </row>
    <row r="4858" spans="1:2">
      <c r="A4858" s="117">
        <v>38412</v>
      </c>
      <c r="B4858">
        <v>11.108599999999999</v>
      </c>
    </row>
    <row r="4859" spans="1:2">
      <c r="A4859" s="117">
        <v>38413</v>
      </c>
      <c r="B4859">
        <v>11.096500000000001</v>
      </c>
    </row>
    <row r="4860" spans="1:2">
      <c r="A4860" s="117">
        <v>38414</v>
      </c>
      <c r="B4860">
        <v>11.103999999999999</v>
      </c>
    </row>
    <row r="4861" spans="1:2">
      <c r="A4861" s="117">
        <v>38415</v>
      </c>
      <c r="B4861">
        <v>11.1073</v>
      </c>
    </row>
    <row r="4862" spans="1:2">
      <c r="A4862" s="117">
        <v>38416</v>
      </c>
      <c r="B4862">
        <v>11.0837</v>
      </c>
    </row>
    <row r="4863" spans="1:2">
      <c r="A4863" s="117">
        <v>38417</v>
      </c>
      <c r="B4863">
        <v>11.0837</v>
      </c>
    </row>
    <row r="4864" spans="1:2">
      <c r="A4864" s="117">
        <v>38418</v>
      </c>
      <c r="B4864">
        <v>11.0837</v>
      </c>
    </row>
    <row r="4865" spans="1:2">
      <c r="A4865" s="117">
        <v>38419</v>
      </c>
      <c r="B4865">
        <v>11.0458</v>
      </c>
    </row>
    <row r="4866" spans="1:2">
      <c r="A4866" s="117">
        <v>38420</v>
      </c>
      <c r="B4866">
        <v>11.0349</v>
      </c>
    </row>
    <row r="4867" spans="1:2">
      <c r="A4867" s="117">
        <v>38421</v>
      </c>
      <c r="B4867">
        <v>10.978999999999999</v>
      </c>
    </row>
    <row r="4868" spans="1:2">
      <c r="A4868" s="117">
        <v>38422</v>
      </c>
      <c r="B4868">
        <v>11.0181</v>
      </c>
    </row>
    <row r="4869" spans="1:2">
      <c r="A4869" s="117">
        <v>38423</v>
      </c>
      <c r="B4869">
        <v>11.032400000000001</v>
      </c>
    </row>
    <row r="4870" spans="1:2">
      <c r="A4870" s="117">
        <v>38424</v>
      </c>
      <c r="B4870">
        <v>11.032400000000001</v>
      </c>
    </row>
    <row r="4871" spans="1:2">
      <c r="A4871" s="117">
        <v>38425</v>
      </c>
      <c r="B4871">
        <v>11.032400000000001</v>
      </c>
    </row>
    <row r="4872" spans="1:2">
      <c r="A4872" s="117">
        <v>38426</v>
      </c>
      <c r="B4872">
        <v>11.0223</v>
      </c>
    </row>
    <row r="4873" spans="1:2">
      <c r="A4873" s="117">
        <v>38427</v>
      </c>
      <c r="B4873">
        <v>11.135</v>
      </c>
    </row>
    <row r="4874" spans="1:2">
      <c r="A4874" s="117">
        <v>38428</v>
      </c>
      <c r="B4874">
        <v>11.203799999999999</v>
      </c>
    </row>
    <row r="4875" spans="1:2">
      <c r="A4875" s="117">
        <v>38429</v>
      </c>
      <c r="B4875">
        <v>11.227600000000001</v>
      </c>
    </row>
    <row r="4876" spans="1:2">
      <c r="A4876" s="117">
        <v>38430</v>
      </c>
      <c r="B4876">
        <v>11.2193</v>
      </c>
    </row>
    <row r="4877" spans="1:2">
      <c r="A4877" s="117">
        <v>38431</v>
      </c>
      <c r="B4877">
        <v>11.2193</v>
      </c>
    </row>
    <row r="4878" spans="1:2">
      <c r="A4878" s="117">
        <v>38432</v>
      </c>
      <c r="B4878">
        <v>11.2193</v>
      </c>
    </row>
    <row r="4879" spans="1:2">
      <c r="A4879" s="117">
        <v>38433</v>
      </c>
      <c r="B4879">
        <v>11.2193</v>
      </c>
    </row>
    <row r="4880" spans="1:2">
      <c r="A4880" s="117">
        <v>38434</v>
      </c>
      <c r="B4880">
        <v>11.1759</v>
      </c>
    </row>
    <row r="4881" spans="1:2">
      <c r="A4881" s="117">
        <v>38435</v>
      </c>
      <c r="B4881">
        <v>11.1898</v>
      </c>
    </row>
    <row r="4882" spans="1:2">
      <c r="A4882" s="117">
        <v>38436</v>
      </c>
      <c r="B4882">
        <v>11.1898</v>
      </c>
    </row>
    <row r="4883" spans="1:2">
      <c r="A4883" s="117">
        <v>38437</v>
      </c>
      <c r="B4883">
        <v>11.1898</v>
      </c>
    </row>
    <row r="4884" spans="1:2">
      <c r="A4884" s="117">
        <v>38438</v>
      </c>
      <c r="B4884">
        <v>11.1898</v>
      </c>
    </row>
    <row r="4885" spans="1:2">
      <c r="A4885" s="117">
        <v>38439</v>
      </c>
      <c r="B4885">
        <v>11.1898</v>
      </c>
    </row>
    <row r="4886" spans="1:2">
      <c r="A4886" s="117">
        <v>38440</v>
      </c>
      <c r="B4886">
        <v>11.250500000000001</v>
      </c>
    </row>
    <row r="4887" spans="1:2">
      <c r="A4887" s="117">
        <v>38441</v>
      </c>
      <c r="B4887">
        <v>11.322800000000001</v>
      </c>
    </row>
    <row r="4888" spans="1:2">
      <c r="A4888" s="117">
        <v>38442</v>
      </c>
      <c r="B4888">
        <v>11.2942</v>
      </c>
    </row>
    <row r="4889" spans="1:2">
      <c r="A4889" s="117">
        <v>38443</v>
      </c>
      <c r="B4889">
        <v>11.2293</v>
      </c>
    </row>
    <row r="4890" spans="1:2">
      <c r="A4890" s="117">
        <v>38444</v>
      </c>
      <c r="B4890">
        <v>11.1783</v>
      </c>
    </row>
    <row r="4891" spans="1:2">
      <c r="A4891" s="117">
        <v>38445</v>
      </c>
      <c r="B4891">
        <v>11.1783</v>
      </c>
    </row>
    <row r="4892" spans="1:2">
      <c r="A4892" s="117">
        <v>38446</v>
      </c>
      <c r="B4892">
        <v>11.1783</v>
      </c>
    </row>
    <row r="4893" spans="1:2">
      <c r="A4893" s="117">
        <v>38447</v>
      </c>
      <c r="B4893">
        <v>11.189299999999999</v>
      </c>
    </row>
    <row r="4894" spans="1:2">
      <c r="A4894" s="117">
        <v>38448</v>
      </c>
      <c r="B4894">
        <v>11.217499999999999</v>
      </c>
    </row>
    <row r="4895" spans="1:2">
      <c r="A4895" s="117">
        <v>38449</v>
      </c>
      <c r="B4895">
        <v>11.217599999999999</v>
      </c>
    </row>
    <row r="4896" spans="1:2">
      <c r="A4896" s="117">
        <v>38450</v>
      </c>
      <c r="B4896">
        <v>11.230700000000001</v>
      </c>
    </row>
    <row r="4897" spans="1:2">
      <c r="A4897" s="117">
        <v>38451</v>
      </c>
      <c r="B4897">
        <v>11.1945</v>
      </c>
    </row>
    <row r="4898" spans="1:2">
      <c r="A4898" s="117">
        <v>38452</v>
      </c>
      <c r="B4898">
        <v>11.1945</v>
      </c>
    </row>
    <row r="4899" spans="1:2">
      <c r="A4899" s="117">
        <v>38453</v>
      </c>
      <c r="B4899">
        <v>11.1945</v>
      </c>
    </row>
    <row r="4900" spans="1:2">
      <c r="A4900" s="117">
        <v>38454</v>
      </c>
      <c r="B4900">
        <v>11.158300000000001</v>
      </c>
    </row>
    <row r="4901" spans="1:2">
      <c r="A4901" s="117">
        <v>38455</v>
      </c>
      <c r="B4901">
        <v>11.087899999999999</v>
      </c>
    </row>
    <row r="4902" spans="1:2">
      <c r="A4902" s="117">
        <v>38456</v>
      </c>
      <c r="B4902">
        <v>11.115500000000001</v>
      </c>
    </row>
    <row r="4903" spans="1:2">
      <c r="A4903" s="117">
        <v>38457</v>
      </c>
      <c r="B4903">
        <v>11.061500000000001</v>
      </c>
    </row>
    <row r="4904" spans="1:2">
      <c r="A4904" s="117">
        <v>38458</v>
      </c>
      <c r="B4904">
        <v>11.103199999999999</v>
      </c>
    </row>
    <row r="4905" spans="1:2">
      <c r="A4905" s="117">
        <v>38459</v>
      </c>
      <c r="B4905">
        <v>11.103199999999999</v>
      </c>
    </row>
    <row r="4906" spans="1:2">
      <c r="A4906" s="117">
        <v>38460</v>
      </c>
      <c r="B4906">
        <v>11.103199999999999</v>
      </c>
    </row>
    <row r="4907" spans="1:2">
      <c r="A4907" s="117">
        <v>38461</v>
      </c>
      <c r="B4907">
        <v>11.1021</v>
      </c>
    </row>
    <row r="4908" spans="1:2">
      <c r="A4908" s="117">
        <v>38462</v>
      </c>
      <c r="B4908">
        <v>11.129</v>
      </c>
    </row>
    <row r="4909" spans="1:2">
      <c r="A4909" s="117">
        <v>38463</v>
      </c>
      <c r="B4909">
        <v>11.0776</v>
      </c>
    </row>
    <row r="4910" spans="1:2">
      <c r="A4910" s="117">
        <v>38464</v>
      </c>
      <c r="B4910">
        <v>11.061400000000001</v>
      </c>
    </row>
    <row r="4911" spans="1:2">
      <c r="A4911" s="117">
        <v>38465</v>
      </c>
      <c r="B4911">
        <v>11.041</v>
      </c>
    </row>
    <row r="4912" spans="1:2">
      <c r="A4912" s="117">
        <v>38466</v>
      </c>
      <c r="B4912">
        <v>11.041</v>
      </c>
    </row>
    <row r="4913" spans="1:2">
      <c r="A4913" s="117">
        <v>38467</v>
      </c>
      <c r="B4913">
        <v>11.041</v>
      </c>
    </row>
    <row r="4914" spans="1:2">
      <c r="A4914" s="117">
        <v>38468</v>
      </c>
      <c r="B4914">
        <v>11.036099999999999</v>
      </c>
    </row>
    <row r="4915" spans="1:2">
      <c r="A4915" s="117">
        <v>38469</v>
      </c>
      <c r="B4915">
        <v>11.0571</v>
      </c>
    </row>
    <row r="4916" spans="1:2">
      <c r="A4916" s="117">
        <v>38470</v>
      </c>
      <c r="B4916">
        <v>11.0595</v>
      </c>
    </row>
    <row r="4917" spans="1:2">
      <c r="A4917" s="117">
        <v>38471</v>
      </c>
      <c r="B4917">
        <v>11.103300000000001</v>
      </c>
    </row>
    <row r="4918" spans="1:2">
      <c r="A4918" s="117">
        <v>38472</v>
      </c>
      <c r="B4918">
        <v>11.1159</v>
      </c>
    </row>
    <row r="4919" spans="1:2">
      <c r="A4919" s="117">
        <v>38473</v>
      </c>
      <c r="B4919">
        <v>11.1159</v>
      </c>
    </row>
    <row r="4920" spans="1:2">
      <c r="A4920" s="117">
        <v>38474</v>
      </c>
      <c r="B4920">
        <v>11.1159</v>
      </c>
    </row>
    <row r="4921" spans="1:2">
      <c r="A4921" s="117">
        <v>38475</v>
      </c>
      <c r="B4921">
        <v>11.0832</v>
      </c>
    </row>
    <row r="4922" spans="1:2">
      <c r="A4922" s="117">
        <v>38476</v>
      </c>
      <c r="B4922">
        <v>11.027100000000001</v>
      </c>
    </row>
    <row r="4923" spans="1:2">
      <c r="A4923" s="117">
        <v>38477</v>
      </c>
      <c r="B4923">
        <v>11.0284</v>
      </c>
    </row>
    <row r="4924" spans="1:2">
      <c r="A4924" s="117">
        <v>38478</v>
      </c>
      <c r="B4924">
        <v>10.981999999999999</v>
      </c>
    </row>
    <row r="4925" spans="1:2">
      <c r="A4925" s="117">
        <v>38479</v>
      </c>
      <c r="B4925">
        <v>10.948700000000001</v>
      </c>
    </row>
    <row r="4926" spans="1:2">
      <c r="A4926" s="117">
        <v>38480</v>
      </c>
      <c r="B4926">
        <v>10.948700000000001</v>
      </c>
    </row>
    <row r="4927" spans="1:2">
      <c r="A4927" s="117">
        <v>38481</v>
      </c>
      <c r="B4927">
        <v>10.948700000000001</v>
      </c>
    </row>
    <row r="4928" spans="1:2">
      <c r="A4928" s="117">
        <v>38482</v>
      </c>
      <c r="B4928">
        <v>10.943300000000001</v>
      </c>
    </row>
    <row r="4929" spans="1:2">
      <c r="A4929" s="117">
        <v>38483</v>
      </c>
      <c r="B4929">
        <v>10.9693</v>
      </c>
    </row>
    <row r="4930" spans="1:2">
      <c r="A4930" s="117">
        <v>38484</v>
      </c>
      <c r="B4930">
        <v>11.0082</v>
      </c>
    </row>
    <row r="4931" spans="1:2">
      <c r="A4931" s="117">
        <v>38485</v>
      </c>
      <c r="B4931">
        <v>11.032299999999999</v>
      </c>
    </row>
    <row r="4932" spans="1:2">
      <c r="A4932" s="117">
        <v>38486</v>
      </c>
      <c r="B4932">
        <v>11.0189</v>
      </c>
    </row>
    <row r="4933" spans="1:2">
      <c r="A4933" s="117">
        <v>38487</v>
      </c>
      <c r="B4933">
        <v>11.0189</v>
      </c>
    </row>
    <row r="4934" spans="1:2">
      <c r="A4934" s="117">
        <v>38488</v>
      </c>
      <c r="B4934">
        <v>11.0189</v>
      </c>
    </row>
    <row r="4935" spans="1:2">
      <c r="A4935" s="117">
        <v>38489</v>
      </c>
      <c r="B4935">
        <v>11.029</v>
      </c>
    </row>
    <row r="4936" spans="1:2">
      <c r="A4936" s="117">
        <v>38490</v>
      </c>
      <c r="B4936">
        <v>11.037599999999999</v>
      </c>
    </row>
    <row r="4937" spans="1:2">
      <c r="A4937" s="117">
        <v>38491</v>
      </c>
      <c r="B4937">
        <v>10.9963</v>
      </c>
    </row>
    <row r="4938" spans="1:2">
      <c r="A4938" s="117">
        <v>38492</v>
      </c>
      <c r="B4938">
        <v>10.966799999999999</v>
      </c>
    </row>
    <row r="4939" spans="1:2">
      <c r="A4939" s="117">
        <v>38493</v>
      </c>
      <c r="B4939">
        <v>10.9283</v>
      </c>
    </row>
    <row r="4940" spans="1:2">
      <c r="A4940" s="117">
        <v>38494</v>
      </c>
      <c r="B4940">
        <v>10.9283</v>
      </c>
    </row>
    <row r="4941" spans="1:2">
      <c r="A4941" s="117">
        <v>38495</v>
      </c>
      <c r="B4941">
        <v>10.9283</v>
      </c>
    </row>
    <row r="4942" spans="1:2">
      <c r="A4942" s="117">
        <v>38496</v>
      </c>
      <c r="B4942">
        <v>10.971500000000001</v>
      </c>
    </row>
    <row r="4943" spans="1:2">
      <c r="A4943" s="117">
        <v>38497</v>
      </c>
      <c r="B4943">
        <v>10.9533</v>
      </c>
    </row>
    <row r="4944" spans="1:2">
      <c r="A4944" s="117">
        <v>38498</v>
      </c>
      <c r="B4944">
        <v>10.9801</v>
      </c>
    </row>
    <row r="4945" spans="1:2">
      <c r="A4945" s="117">
        <v>38499</v>
      </c>
      <c r="B4945">
        <v>10.937200000000001</v>
      </c>
    </row>
    <row r="4946" spans="1:2">
      <c r="A4946" s="117">
        <v>38500</v>
      </c>
      <c r="B4946">
        <v>10.964499999999999</v>
      </c>
    </row>
    <row r="4947" spans="1:2">
      <c r="A4947" s="117">
        <v>38501</v>
      </c>
      <c r="B4947">
        <v>10.964499999999999</v>
      </c>
    </row>
    <row r="4948" spans="1:2">
      <c r="A4948" s="117">
        <v>38502</v>
      </c>
      <c r="B4948">
        <v>10.964499999999999</v>
      </c>
    </row>
    <row r="4949" spans="1:2">
      <c r="A4949" s="117">
        <v>38503</v>
      </c>
      <c r="B4949">
        <v>10.903</v>
      </c>
    </row>
    <row r="4950" spans="1:2">
      <c r="A4950" s="117">
        <v>38504</v>
      </c>
      <c r="B4950">
        <v>10.869899999999999</v>
      </c>
    </row>
    <row r="4951" spans="1:2">
      <c r="A4951" s="117">
        <v>38505</v>
      </c>
      <c r="B4951">
        <v>10.916</v>
      </c>
    </row>
    <row r="4952" spans="1:2">
      <c r="A4952" s="117">
        <v>38506</v>
      </c>
      <c r="B4952">
        <v>10.844200000000001</v>
      </c>
    </row>
    <row r="4953" spans="1:2">
      <c r="A4953" s="117">
        <v>38507</v>
      </c>
      <c r="B4953">
        <v>10.814399999999999</v>
      </c>
    </row>
    <row r="4954" spans="1:2">
      <c r="A4954" s="117">
        <v>38508</v>
      </c>
      <c r="B4954">
        <v>10.814399999999999</v>
      </c>
    </row>
    <row r="4955" spans="1:2">
      <c r="A4955" s="117">
        <v>38509</v>
      </c>
      <c r="B4955">
        <v>10.814399999999999</v>
      </c>
    </row>
    <row r="4956" spans="1:2">
      <c r="A4956" s="117">
        <v>38510</v>
      </c>
      <c r="B4956">
        <v>10.8179</v>
      </c>
    </row>
    <row r="4957" spans="1:2">
      <c r="A4957" s="117">
        <v>38511</v>
      </c>
      <c r="B4957">
        <v>10.879200000000001</v>
      </c>
    </row>
    <row r="4958" spans="1:2">
      <c r="A4958" s="117">
        <v>38512</v>
      </c>
      <c r="B4958">
        <v>10.8695</v>
      </c>
    </row>
    <row r="4959" spans="1:2">
      <c r="A4959" s="117">
        <v>38513</v>
      </c>
      <c r="B4959">
        <v>10.849399999999999</v>
      </c>
    </row>
    <row r="4960" spans="1:2">
      <c r="A4960" s="117">
        <v>38514</v>
      </c>
      <c r="B4960">
        <v>10.886799999999999</v>
      </c>
    </row>
    <row r="4961" spans="1:2">
      <c r="A4961" s="117">
        <v>38515</v>
      </c>
      <c r="B4961">
        <v>10.886799999999999</v>
      </c>
    </row>
    <row r="4962" spans="1:2">
      <c r="A4962" s="117">
        <v>38516</v>
      </c>
      <c r="B4962">
        <v>10.886799999999999</v>
      </c>
    </row>
    <row r="4963" spans="1:2">
      <c r="A4963" s="117">
        <v>38517</v>
      </c>
      <c r="B4963">
        <v>10.864800000000001</v>
      </c>
    </row>
    <row r="4964" spans="1:2">
      <c r="A4964" s="117">
        <v>38518</v>
      </c>
      <c r="B4964">
        <v>10.868</v>
      </c>
    </row>
    <row r="4965" spans="1:2">
      <c r="A4965" s="117">
        <v>38519</v>
      </c>
      <c r="B4965">
        <v>10.8392</v>
      </c>
    </row>
    <row r="4966" spans="1:2">
      <c r="A4966" s="117">
        <v>38520</v>
      </c>
      <c r="B4966">
        <v>10.8332</v>
      </c>
    </row>
    <row r="4967" spans="1:2">
      <c r="A4967" s="117">
        <v>38521</v>
      </c>
      <c r="B4967">
        <v>10.800700000000001</v>
      </c>
    </row>
    <row r="4968" spans="1:2">
      <c r="A4968" s="117">
        <v>38522</v>
      </c>
      <c r="B4968">
        <v>10.800700000000001</v>
      </c>
    </row>
    <row r="4969" spans="1:2">
      <c r="A4969" s="117">
        <v>38523</v>
      </c>
      <c r="B4969">
        <v>10.800700000000001</v>
      </c>
    </row>
    <row r="4970" spans="1:2">
      <c r="A4970" s="117">
        <v>38524</v>
      </c>
      <c r="B4970">
        <v>10.7913</v>
      </c>
    </row>
    <row r="4971" spans="1:2">
      <c r="A4971" s="117">
        <v>38525</v>
      </c>
      <c r="B4971">
        <v>10.834199999999999</v>
      </c>
    </row>
    <row r="4972" spans="1:2">
      <c r="A4972" s="117">
        <v>38526</v>
      </c>
      <c r="B4972">
        <v>10.7982</v>
      </c>
    </row>
    <row r="4973" spans="1:2">
      <c r="A4973" s="117">
        <v>38527</v>
      </c>
      <c r="B4973">
        <v>10.760999999999999</v>
      </c>
    </row>
    <row r="4974" spans="1:2">
      <c r="A4974" s="117">
        <v>38528</v>
      </c>
      <c r="B4974">
        <v>10.7897</v>
      </c>
    </row>
    <row r="4975" spans="1:2">
      <c r="A4975" s="117">
        <v>38529</v>
      </c>
      <c r="B4975">
        <v>10.7897</v>
      </c>
    </row>
    <row r="4976" spans="1:2">
      <c r="A4976" s="117">
        <v>38530</v>
      </c>
      <c r="B4976">
        <v>10.7897</v>
      </c>
    </row>
    <row r="4977" spans="1:2">
      <c r="A4977" s="117">
        <v>38531</v>
      </c>
      <c r="B4977">
        <v>10.764200000000001</v>
      </c>
    </row>
    <row r="4978" spans="1:2">
      <c r="A4978" s="117">
        <v>38532</v>
      </c>
      <c r="B4978">
        <v>10.8127</v>
      </c>
    </row>
    <row r="4979" spans="1:2">
      <c r="A4979" s="117">
        <v>38533</v>
      </c>
      <c r="B4979">
        <v>10.8428</v>
      </c>
    </row>
    <row r="4980" spans="1:2">
      <c r="A4980" s="117">
        <v>38534</v>
      </c>
      <c r="B4980">
        <v>10.7645</v>
      </c>
    </row>
    <row r="4981" spans="1:2">
      <c r="A4981" s="117">
        <v>38535</v>
      </c>
      <c r="B4981">
        <v>10.7752</v>
      </c>
    </row>
    <row r="4982" spans="1:2">
      <c r="A4982" s="117">
        <v>38536</v>
      </c>
      <c r="B4982">
        <v>10.7752</v>
      </c>
    </row>
    <row r="4983" spans="1:2">
      <c r="A4983" s="117">
        <v>38537</v>
      </c>
      <c r="B4983">
        <v>10.7752</v>
      </c>
    </row>
    <row r="4984" spans="1:2">
      <c r="A4984" s="117">
        <v>38538</v>
      </c>
      <c r="B4984">
        <v>10.732699999999999</v>
      </c>
    </row>
    <row r="4985" spans="1:2">
      <c r="A4985" s="117">
        <v>38539</v>
      </c>
      <c r="B4985">
        <v>10.7438</v>
      </c>
    </row>
    <row r="4986" spans="1:2">
      <c r="A4986" s="117">
        <v>38540</v>
      </c>
      <c r="B4986">
        <v>10.7555</v>
      </c>
    </row>
    <row r="4987" spans="1:2">
      <c r="A4987" s="117">
        <v>38541</v>
      </c>
      <c r="B4987">
        <v>10.7689</v>
      </c>
    </row>
    <row r="4988" spans="1:2">
      <c r="A4988" s="117">
        <v>38542</v>
      </c>
      <c r="B4988">
        <v>10.7997</v>
      </c>
    </row>
    <row r="4989" spans="1:2">
      <c r="A4989" s="117">
        <v>38543</v>
      </c>
      <c r="B4989">
        <v>10.7997</v>
      </c>
    </row>
    <row r="4990" spans="1:2">
      <c r="A4990" s="117">
        <v>38544</v>
      </c>
      <c r="B4990">
        <v>10.7997</v>
      </c>
    </row>
    <row r="4991" spans="1:2">
      <c r="A4991" s="117">
        <v>38545</v>
      </c>
      <c r="B4991">
        <v>10.742800000000001</v>
      </c>
    </row>
    <row r="4992" spans="1:2">
      <c r="A4992" s="117">
        <v>38546</v>
      </c>
      <c r="B4992">
        <v>10.704499999999999</v>
      </c>
    </row>
    <row r="4993" spans="1:2">
      <c r="A4993" s="117">
        <v>38547</v>
      </c>
      <c r="B4993">
        <v>10.6881</v>
      </c>
    </row>
    <row r="4994" spans="1:2">
      <c r="A4994" s="117">
        <v>38548</v>
      </c>
      <c r="B4994">
        <v>10.6898</v>
      </c>
    </row>
    <row r="4995" spans="1:2">
      <c r="A4995" s="117">
        <v>38549</v>
      </c>
      <c r="B4995">
        <v>10.6372</v>
      </c>
    </row>
    <row r="4996" spans="1:2">
      <c r="A4996" s="117">
        <v>38550</v>
      </c>
      <c r="B4996">
        <v>10.6372</v>
      </c>
    </row>
    <row r="4997" spans="1:2">
      <c r="A4997" s="117">
        <v>38551</v>
      </c>
      <c r="B4997">
        <v>10.6372</v>
      </c>
    </row>
    <row r="4998" spans="1:2">
      <c r="A4998" s="117">
        <v>38552</v>
      </c>
      <c r="B4998">
        <v>10.6312</v>
      </c>
    </row>
    <row r="4999" spans="1:2">
      <c r="A4999" s="117">
        <v>38553</v>
      </c>
      <c r="B4999">
        <v>10.595800000000001</v>
      </c>
    </row>
    <row r="5000" spans="1:2">
      <c r="A5000" s="117">
        <v>38554</v>
      </c>
      <c r="B5000">
        <v>10.6227</v>
      </c>
    </row>
    <row r="5001" spans="1:2">
      <c r="A5001" s="117">
        <v>38555</v>
      </c>
      <c r="B5001">
        <v>10.649800000000001</v>
      </c>
    </row>
    <row r="5002" spans="1:2">
      <c r="A5002" s="117">
        <v>38556</v>
      </c>
      <c r="B5002">
        <v>10.594200000000001</v>
      </c>
    </row>
    <row r="5003" spans="1:2">
      <c r="A5003" s="117">
        <v>38557</v>
      </c>
      <c r="B5003">
        <v>10.594200000000001</v>
      </c>
    </row>
    <row r="5004" spans="1:2">
      <c r="A5004" s="117">
        <v>38558</v>
      </c>
      <c r="B5004">
        <v>10.594200000000001</v>
      </c>
    </row>
    <row r="5005" spans="1:2">
      <c r="A5005" s="117">
        <v>38559</v>
      </c>
      <c r="B5005">
        <v>10.630699999999999</v>
      </c>
    </row>
    <row r="5006" spans="1:2">
      <c r="A5006" s="117">
        <v>38560</v>
      </c>
      <c r="B5006">
        <v>10.6683</v>
      </c>
    </row>
    <row r="5007" spans="1:2">
      <c r="A5007" s="117">
        <v>38561</v>
      </c>
      <c r="B5007">
        <v>10.7165</v>
      </c>
    </row>
    <row r="5008" spans="1:2">
      <c r="A5008" s="117">
        <v>38562</v>
      </c>
      <c r="B5008">
        <v>10.643000000000001</v>
      </c>
    </row>
    <row r="5009" spans="1:2">
      <c r="A5009" s="117">
        <v>38563</v>
      </c>
      <c r="B5009">
        <v>10.620100000000001</v>
      </c>
    </row>
    <row r="5010" spans="1:2">
      <c r="A5010" s="117">
        <v>38564</v>
      </c>
      <c r="B5010">
        <v>10.620100000000001</v>
      </c>
    </row>
    <row r="5011" spans="1:2">
      <c r="A5011" s="117">
        <v>38565</v>
      </c>
      <c r="B5011">
        <v>10.620100000000001</v>
      </c>
    </row>
    <row r="5012" spans="1:2">
      <c r="A5012" s="117">
        <v>38566</v>
      </c>
      <c r="B5012">
        <v>10.605700000000001</v>
      </c>
    </row>
    <row r="5013" spans="1:2">
      <c r="A5013" s="117">
        <v>38567</v>
      </c>
      <c r="B5013">
        <v>10.599399999999999</v>
      </c>
    </row>
    <row r="5014" spans="1:2">
      <c r="A5014" s="117">
        <v>38568</v>
      </c>
      <c r="B5014">
        <v>10.5968</v>
      </c>
    </row>
    <row r="5015" spans="1:2">
      <c r="A5015" s="117">
        <v>38569</v>
      </c>
      <c r="B5015">
        <v>10.613799999999999</v>
      </c>
    </row>
    <row r="5016" spans="1:2">
      <c r="A5016" s="117">
        <v>38570</v>
      </c>
      <c r="B5016">
        <v>10.5831</v>
      </c>
    </row>
    <row r="5017" spans="1:2">
      <c r="A5017" s="117">
        <v>38571</v>
      </c>
      <c r="B5017">
        <v>10.5831</v>
      </c>
    </row>
    <row r="5018" spans="1:2">
      <c r="A5018" s="117">
        <v>38572</v>
      </c>
      <c r="B5018">
        <v>10.5831</v>
      </c>
    </row>
    <row r="5019" spans="1:2">
      <c r="A5019" s="117">
        <v>38573</v>
      </c>
      <c r="B5019">
        <v>10.5921</v>
      </c>
    </row>
    <row r="5020" spans="1:2">
      <c r="A5020" s="117">
        <v>38574</v>
      </c>
      <c r="B5020">
        <v>10.601800000000001</v>
      </c>
    </row>
    <row r="5021" spans="1:2">
      <c r="A5021" s="117">
        <v>38575</v>
      </c>
      <c r="B5021">
        <v>10.638299999999999</v>
      </c>
    </row>
    <row r="5022" spans="1:2">
      <c r="A5022" s="117">
        <v>38576</v>
      </c>
      <c r="B5022">
        <v>10.587400000000001</v>
      </c>
    </row>
    <row r="5023" spans="1:2">
      <c r="A5023" s="117">
        <v>38577</v>
      </c>
      <c r="B5023">
        <v>10.5815</v>
      </c>
    </row>
    <row r="5024" spans="1:2">
      <c r="A5024" s="117">
        <v>38578</v>
      </c>
      <c r="B5024">
        <v>10.5815</v>
      </c>
    </row>
    <row r="5025" spans="1:2">
      <c r="A5025" s="117">
        <v>38579</v>
      </c>
      <c r="B5025">
        <v>10.5815</v>
      </c>
    </row>
    <row r="5026" spans="1:2">
      <c r="A5026" s="117">
        <v>38580</v>
      </c>
      <c r="B5026">
        <v>10.6343</v>
      </c>
    </row>
    <row r="5027" spans="1:2">
      <c r="A5027" s="117">
        <v>38581</v>
      </c>
      <c r="B5027">
        <v>10.603999999999999</v>
      </c>
    </row>
    <row r="5028" spans="1:2">
      <c r="A5028" s="117">
        <v>38582</v>
      </c>
      <c r="B5028">
        <v>10.5809</v>
      </c>
    </row>
    <row r="5029" spans="1:2">
      <c r="A5029" s="117">
        <v>38583</v>
      </c>
      <c r="B5029">
        <v>10.6088</v>
      </c>
    </row>
    <row r="5030" spans="1:2">
      <c r="A5030" s="117">
        <v>38584</v>
      </c>
      <c r="B5030">
        <v>10.6601</v>
      </c>
    </row>
    <row r="5031" spans="1:2">
      <c r="A5031" s="117">
        <v>38585</v>
      </c>
      <c r="B5031">
        <v>10.6601</v>
      </c>
    </row>
    <row r="5032" spans="1:2">
      <c r="A5032" s="117">
        <v>38586</v>
      </c>
      <c r="B5032">
        <v>10.6601</v>
      </c>
    </row>
    <row r="5033" spans="1:2">
      <c r="A5033" s="117">
        <v>38587</v>
      </c>
      <c r="B5033">
        <v>10.7753</v>
      </c>
    </row>
    <row r="5034" spans="1:2">
      <c r="A5034" s="117">
        <v>38588</v>
      </c>
      <c r="B5034">
        <v>10.7356</v>
      </c>
    </row>
    <row r="5035" spans="1:2">
      <c r="A5035" s="117">
        <v>38589</v>
      </c>
      <c r="B5035">
        <v>10.7742</v>
      </c>
    </row>
    <row r="5036" spans="1:2">
      <c r="A5036" s="117">
        <v>38590</v>
      </c>
      <c r="B5036">
        <v>10.882199999999999</v>
      </c>
    </row>
    <row r="5037" spans="1:2">
      <c r="A5037" s="117">
        <v>38591</v>
      </c>
      <c r="B5037">
        <v>10.815300000000001</v>
      </c>
    </row>
    <row r="5038" spans="1:2">
      <c r="A5038" s="117">
        <v>38592</v>
      </c>
      <c r="B5038">
        <v>10.815300000000001</v>
      </c>
    </row>
    <row r="5039" spans="1:2">
      <c r="A5039" s="117">
        <v>38593</v>
      </c>
      <c r="B5039">
        <v>10.815300000000001</v>
      </c>
    </row>
    <row r="5040" spans="1:2">
      <c r="A5040" s="117">
        <v>38594</v>
      </c>
      <c r="B5040">
        <v>10.833299999999999</v>
      </c>
    </row>
    <row r="5041" spans="1:2">
      <c r="A5041" s="117">
        <v>38595</v>
      </c>
      <c r="B5041">
        <v>10.893599999999999</v>
      </c>
    </row>
    <row r="5042" spans="1:2">
      <c r="A5042" s="117">
        <v>38596</v>
      </c>
      <c r="B5042">
        <v>10.8377</v>
      </c>
    </row>
    <row r="5043" spans="1:2">
      <c r="A5043" s="117">
        <v>38597</v>
      </c>
      <c r="B5043">
        <v>10.7995</v>
      </c>
    </row>
    <row r="5044" spans="1:2">
      <c r="A5044" s="117">
        <v>38598</v>
      </c>
      <c r="B5044">
        <v>10.7234</v>
      </c>
    </row>
    <row r="5045" spans="1:2">
      <c r="A5045" s="117">
        <v>38599</v>
      </c>
      <c r="B5045">
        <v>10.7234</v>
      </c>
    </row>
    <row r="5046" spans="1:2">
      <c r="A5046" s="117">
        <v>38600</v>
      </c>
      <c r="B5046">
        <v>10.7234</v>
      </c>
    </row>
    <row r="5047" spans="1:2">
      <c r="A5047" s="117">
        <v>38601</v>
      </c>
      <c r="B5047">
        <v>10.683999999999999</v>
      </c>
    </row>
    <row r="5048" spans="1:2">
      <c r="A5048" s="117">
        <v>38602</v>
      </c>
      <c r="B5048">
        <v>10.668900000000001</v>
      </c>
    </row>
    <row r="5049" spans="1:2">
      <c r="A5049" s="117">
        <v>38603</v>
      </c>
      <c r="B5049">
        <v>10.6868</v>
      </c>
    </row>
    <row r="5050" spans="1:2">
      <c r="A5050" s="117">
        <v>38604</v>
      </c>
      <c r="B5050">
        <v>10.701499999999999</v>
      </c>
    </row>
    <row r="5051" spans="1:2">
      <c r="A5051" s="117">
        <v>38605</v>
      </c>
      <c r="B5051">
        <v>10.7126</v>
      </c>
    </row>
    <row r="5052" spans="1:2">
      <c r="A5052" s="117">
        <v>38606</v>
      </c>
      <c r="B5052">
        <v>10.7126</v>
      </c>
    </row>
    <row r="5053" spans="1:2">
      <c r="A5053" s="117">
        <v>38607</v>
      </c>
      <c r="B5053">
        <v>10.7126</v>
      </c>
    </row>
    <row r="5054" spans="1:2">
      <c r="A5054" s="117">
        <v>38608</v>
      </c>
      <c r="B5054">
        <v>10.708</v>
      </c>
    </row>
    <row r="5055" spans="1:2">
      <c r="A5055" s="117">
        <v>38609</v>
      </c>
      <c r="B5055">
        <v>10.699400000000001</v>
      </c>
    </row>
    <row r="5056" spans="1:2">
      <c r="A5056" s="117">
        <v>38610</v>
      </c>
      <c r="B5056">
        <v>10.7456</v>
      </c>
    </row>
    <row r="5057" spans="1:2">
      <c r="A5057" s="117">
        <v>38611</v>
      </c>
      <c r="B5057">
        <v>10.8355</v>
      </c>
    </row>
    <row r="5058" spans="1:2">
      <c r="A5058" s="117">
        <v>38612</v>
      </c>
      <c r="B5058">
        <v>10.8355</v>
      </c>
    </row>
    <row r="5059" spans="1:2">
      <c r="A5059" s="117">
        <v>38613</v>
      </c>
      <c r="B5059">
        <v>10.8355</v>
      </c>
    </row>
    <row r="5060" spans="1:2">
      <c r="A5060" s="117">
        <v>38614</v>
      </c>
      <c r="B5060">
        <v>10.8355</v>
      </c>
    </row>
    <row r="5061" spans="1:2">
      <c r="A5061" s="117">
        <v>38615</v>
      </c>
      <c r="B5061">
        <v>10.807</v>
      </c>
    </row>
    <row r="5062" spans="1:2">
      <c r="A5062" s="117">
        <v>38616</v>
      </c>
      <c r="B5062">
        <v>10.8558</v>
      </c>
    </row>
    <row r="5063" spans="1:2">
      <c r="A5063" s="117">
        <v>38617</v>
      </c>
      <c r="B5063">
        <v>10.8232</v>
      </c>
    </row>
    <row r="5064" spans="1:2">
      <c r="A5064" s="117">
        <v>38618</v>
      </c>
      <c r="B5064">
        <v>10.7798</v>
      </c>
    </row>
    <row r="5065" spans="1:2">
      <c r="A5065" s="117">
        <v>38619</v>
      </c>
      <c r="B5065">
        <v>10.834099999999999</v>
      </c>
    </row>
    <row r="5066" spans="1:2">
      <c r="A5066" s="117">
        <v>38620</v>
      </c>
      <c r="B5066">
        <v>10.834099999999999</v>
      </c>
    </row>
    <row r="5067" spans="1:2">
      <c r="A5067" s="117">
        <v>38621</v>
      </c>
      <c r="B5067">
        <v>10.834099999999999</v>
      </c>
    </row>
    <row r="5068" spans="1:2">
      <c r="A5068" s="117">
        <v>38622</v>
      </c>
      <c r="B5068">
        <v>10.8475</v>
      </c>
    </row>
    <row r="5069" spans="1:2">
      <c r="A5069" s="117">
        <v>38623</v>
      </c>
      <c r="B5069">
        <v>10.875999999999999</v>
      </c>
    </row>
    <row r="5070" spans="1:2">
      <c r="A5070" s="117">
        <v>38624</v>
      </c>
      <c r="B5070">
        <v>10.885999999999999</v>
      </c>
    </row>
    <row r="5071" spans="1:2">
      <c r="A5071" s="117">
        <v>38625</v>
      </c>
      <c r="B5071">
        <v>10.849500000000001</v>
      </c>
    </row>
    <row r="5072" spans="1:2">
      <c r="A5072" s="117">
        <v>38626</v>
      </c>
      <c r="B5072">
        <v>10.8131</v>
      </c>
    </row>
    <row r="5073" spans="1:2">
      <c r="A5073" s="117">
        <v>38627</v>
      </c>
      <c r="B5073">
        <v>10.8131</v>
      </c>
    </row>
    <row r="5074" spans="1:2">
      <c r="A5074" s="117">
        <v>38628</v>
      </c>
      <c r="B5074">
        <v>10.8131</v>
      </c>
    </row>
    <row r="5075" spans="1:2">
      <c r="A5075" s="117">
        <v>38629</v>
      </c>
      <c r="B5075">
        <v>10.790699999999999</v>
      </c>
    </row>
    <row r="5076" spans="1:2">
      <c r="A5076" s="117">
        <v>38630</v>
      </c>
      <c r="B5076">
        <v>10.7683</v>
      </c>
    </row>
    <row r="5077" spans="1:2">
      <c r="A5077" s="117">
        <v>38631</v>
      </c>
      <c r="B5077">
        <v>10.685700000000001</v>
      </c>
    </row>
    <row r="5078" spans="1:2">
      <c r="A5078" s="117">
        <v>38632</v>
      </c>
      <c r="B5078">
        <v>10.711499999999999</v>
      </c>
    </row>
    <row r="5079" spans="1:2">
      <c r="A5079" s="117">
        <v>38633</v>
      </c>
      <c r="B5079">
        <v>10.768700000000001</v>
      </c>
    </row>
    <row r="5080" spans="1:2">
      <c r="A5080" s="117">
        <v>38634</v>
      </c>
      <c r="B5080">
        <v>10.768700000000001</v>
      </c>
    </row>
    <row r="5081" spans="1:2">
      <c r="A5081" s="117">
        <v>38635</v>
      </c>
      <c r="B5081">
        <v>10.768700000000001</v>
      </c>
    </row>
    <row r="5082" spans="1:2">
      <c r="A5082" s="117">
        <v>38636</v>
      </c>
      <c r="B5082">
        <v>10.794</v>
      </c>
    </row>
    <row r="5083" spans="1:2">
      <c r="A5083" s="117">
        <v>38637</v>
      </c>
      <c r="B5083">
        <v>10.7965</v>
      </c>
    </row>
    <row r="5084" spans="1:2">
      <c r="A5084" s="117">
        <v>38638</v>
      </c>
      <c r="B5084">
        <v>10.800700000000001</v>
      </c>
    </row>
    <row r="5085" spans="1:2">
      <c r="A5085" s="117">
        <v>38639</v>
      </c>
      <c r="B5085">
        <v>10.8842</v>
      </c>
    </row>
    <row r="5086" spans="1:2">
      <c r="A5086" s="117">
        <v>38640</v>
      </c>
      <c r="B5086">
        <v>10.940799999999999</v>
      </c>
    </row>
    <row r="5087" spans="1:2">
      <c r="A5087" s="117">
        <v>38641</v>
      </c>
      <c r="B5087">
        <v>10.940799999999999</v>
      </c>
    </row>
    <row r="5088" spans="1:2">
      <c r="A5088" s="117">
        <v>38642</v>
      </c>
      <c r="B5088">
        <v>10.940799999999999</v>
      </c>
    </row>
    <row r="5089" spans="1:2">
      <c r="A5089" s="117">
        <v>38643</v>
      </c>
      <c r="B5089">
        <v>10.916399999999999</v>
      </c>
    </row>
    <row r="5090" spans="1:2">
      <c r="A5090" s="117">
        <v>38644</v>
      </c>
      <c r="B5090">
        <v>10.8462</v>
      </c>
    </row>
    <row r="5091" spans="1:2">
      <c r="A5091" s="117">
        <v>38645</v>
      </c>
      <c r="B5091">
        <v>10.8307</v>
      </c>
    </row>
    <row r="5092" spans="1:2">
      <c r="A5092" s="117">
        <v>38646</v>
      </c>
      <c r="B5092">
        <v>10.8752</v>
      </c>
    </row>
    <row r="5093" spans="1:2">
      <c r="A5093" s="117">
        <v>38647</v>
      </c>
      <c r="B5093">
        <v>10.8393</v>
      </c>
    </row>
    <row r="5094" spans="1:2">
      <c r="A5094" s="117">
        <v>38648</v>
      </c>
      <c r="B5094">
        <v>10.8393</v>
      </c>
    </row>
    <row r="5095" spans="1:2">
      <c r="A5095" s="117">
        <v>38649</v>
      </c>
      <c r="B5095">
        <v>10.8393</v>
      </c>
    </row>
    <row r="5096" spans="1:2">
      <c r="A5096" s="117">
        <v>38650</v>
      </c>
      <c r="B5096">
        <v>10.8948</v>
      </c>
    </row>
    <row r="5097" spans="1:2">
      <c r="A5097" s="117">
        <v>38651</v>
      </c>
      <c r="B5097">
        <v>10.856</v>
      </c>
    </row>
    <row r="5098" spans="1:2">
      <c r="A5098" s="117">
        <v>38652</v>
      </c>
      <c r="B5098">
        <v>10.841699999999999</v>
      </c>
    </row>
    <row r="5099" spans="1:2">
      <c r="A5099" s="117">
        <v>38653</v>
      </c>
      <c r="B5099">
        <v>10.891</v>
      </c>
    </row>
    <row r="5100" spans="1:2">
      <c r="A5100" s="117">
        <v>38654</v>
      </c>
      <c r="B5100">
        <v>10.9092</v>
      </c>
    </row>
    <row r="5101" spans="1:2">
      <c r="A5101" s="117">
        <v>38655</v>
      </c>
      <c r="B5101">
        <v>10.9092</v>
      </c>
    </row>
    <row r="5102" spans="1:2">
      <c r="A5102" s="117">
        <v>38656</v>
      </c>
      <c r="B5102">
        <v>10.9092</v>
      </c>
    </row>
    <row r="5103" spans="1:2">
      <c r="A5103" s="117">
        <v>38657</v>
      </c>
      <c r="B5103">
        <v>10.8447</v>
      </c>
    </row>
    <row r="5104" spans="1:2">
      <c r="A5104" s="117">
        <v>38658</v>
      </c>
      <c r="B5104">
        <v>10.7857</v>
      </c>
    </row>
    <row r="5105" spans="1:2">
      <c r="A5105" s="117">
        <v>38659</v>
      </c>
      <c r="B5105">
        <v>10.764699999999999</v>
      </c>
    </row>
    <row r="5106" spans="1:2">
      <c r="A5106" s="117">
        <v>38660</v>
      </c>
      <c r="B5106">
        <v>10.7613</v>
      </c>
    </row>
    <row r="5107" spans="1:2">
      <c r="A5107" s="117">
        <v>38661</v>
      </c>
      <c r="B5107">
        <v>10.7218</v>
      </c>
    </row>
    <row r="5108" spans="1:2">
      <c r="A5108" s="117">
        <v>38662</v>
      </c>
      <c r="B5108">
        <v>10.7218</v>
      </c>
    </row>
    <row r="5109" spans="1:2">
      <c r="A5109" s="117">
        <v>38663</v>
      </c>
      <c r="B5109">
        <v>10.7218</v>
      </c>
    </row>
    <row r="5110" spans="1:2">
      <c r="A5110" s="117">
        <v>38664</v>
      </c>
      <c r="B5110">
        <v>10.749499999999999</v>
      </c>
    </row>
    <row r="5111" spans="1:2">
      <c r="A5111" s="117">
        <v>38665</v>
      </c>
      <c r="B5111">
        <v>10.7072</v>
      </c>
    </row>
    <row r="5112" spans="1:2">
      <c r="A5112" s="117">
        <v>38666</v>
      </c>
      <c r="B5112">
        <v>10.728199999999999</v>
      </c>
    </row>
    <row r="5113" spans="1:2">
      <c r="A5113" s="117">
        <v>38667</v>
      </c>
      <c r="B5113">
        <v>10.7104</v>
      </c>
    </row>
    <row r="5114" spans="1:2">
      <c r="A5114" s="117">
        <v>38668</v>
      </c>
      <c r="B5114">
        <v>10.714</v>
      </c>
    </row>
    <row r="5115" spans="1:2">
      <c r="A5115" s="117">
        <v>38669</v>
      </c>
      <c r="B5115">
        <v>10.714</v>
      </c>
    </row>
    <row r="5116" spans="1:2">
      <c r="A5116" s="117">
        <v>38670</v>
      </c>
      <c r="B5116">
        <v>10.714</v>
      </c>
    </row>
    <row r="5117" spans="1:2">
      <c r="A5117" s="117">
        <v>38671</v>
      </c>
      <c r="B5117">
        <v>10.683299999999999</v>
      </c>
    </row>
    <row r="5118" spans="1:2">
      <c r="A5118" s="117">
        <v>38672</v>
      </c>
      <c r="B5118">
        <v>10.6897</v>
      </c>
    </row>
    <row r="5119" spans="1:2">
      <c r="A5119" s="117">
        <v>38673</v>
      </c>
      <c r="B5119">
        <v>10.650499999999999</v>
      </c>
    </row>
    <row r="5120" spans="1:2">
      <c r="A5120" s="117">
        <v>38674</v>
      </c>
      <c r="B5120">
        <v>10.635</v>
      </c>
    </row>
    <row r="5121" spans="1:2">
      <c r="A5121" s="117">
        <v>38675</v>
      </c>
      <c r="B5121">
        <v>10.676</v>
      </c>
    </row>
    <row r="5122" spans="1:2">
      <c r="A5122" s="117">
        <v>38676</v>
      </c>
      <c r="B5122">
        <v>10.676</v>
      </c>
    </row>
    <row r="5123" spans="1:2">
      <c r="A5123" s="117">
        <v>38677</v>
      </c>
      <c r="B5123">
        <v>10.676</v>
      </c>
    </row>
    <row r="5124" spans="1:2">
      <c r="A5124" s="117">
        <v>38678</v>
      </c>
      <c r="B5124">
        <v>10.654299999999999</v>
      </c>
    </row>
    <row r="5125" spans="1:2">
      <c r="A5125" s="117">
        <v>38679</v>
      </c>
      <c r="B5125">
        <v>10.6425</v>
      </c>
    </row>
    <row r="5126" spans="1:2">
      <c r="A5126" s="117">
        <v>38680</v>
      </c>
      <c r="B5126">
        <v>10.6678</v>
      </c>
    </row>
    <row r="5127" spans="1:2">
      <c r="A5127" s="117">
        <v>38681</v>
      </c>
      <c r="B5127">
        <v>10.618</v>
      </c>
    </row>
    <row r="5128" spans="1:2">
      <c r="A5128" s="117">
        <v>38682</v>
      </c>
      <c r="B5128">
        <v>10.6083</v>
      </c>
    </row>
    <row r="5129" spans="1:2">
      <c r="A5129" s="117">
        <v>38683</v>
      </c>
      <c r="B5129">
        <v>10.6083</v>
      </c>
    </row>
    <row r="5130" spans="1:2">
      <c r="A5130" s="117">
        <v>38684</v>
      </c>
      <c r="B5130">
        <v>10.6083</v>
      </c>
    </row>
    <row r="5131" spans="1:2">
      <c r="A5131" s="117">
        <v>38685</v>
      </c>
      <c r="B5131">
        <v>10.606999999999999</v>
      </c>
    </row>
    <row r="5132" spans="1:2">
      <c r="A5132" s="117">
        <v>38686</v>
      </c>
      <c r="B5132">
        <v>10.567</v>
      </c>
    </row>
    <row r="5133" spans="1:2">
      <c r="A5133" s="117">
        <v>38687</v>
      </c>
      <c r="B5133">
        <v>10.5702</v>
      </c>
    </row>
    <row r="5134" spans="1:2">
      <c r="A5134" s="117">
        <v>38688</v>
      </c>
      <c r="B5134">
        <v>10.5793</v>
      </c>
    </row>
    <row r="5135" spans="1:2">
      <c r="A5135" s="117">
        <v>38689</v>
      </c>
      <c r="B5135">
        <v>10.524699999999999</v>
      </c>
    </row>
    <row r="5136" spans="1:2">
      <c r="A5136" s="117">
        <v>38690</v>
      </c>
      <c r="B5136">
        <v>10.524699999999999</v>
      </c>
    </row>
    <row r="5137" spans="1:2">
      <c r="A5137" s="117">
        <v>38691</v>
      </c>
      <c r="B5137">
        <v>10.524699999999999</v>
      </c>
    </row>
    <row r="5138" spans="1:2">
      <c r="A5138" s="117">
        <v>38692</v>
      </c>
      <c r="B5138">
        <v>10.4558</v>
      </c>
    </row>
    <row r="5139" spans="1:2">
      <c r="A5139" s="117">
        <v>38693</v>
      </c>
      <c r="B5139">
        <v>10.4741</v>
      </c>
    </row>
    <row r="5140" spans="1:2">
      <c r="A5140" s="117">
        <v>38694</v>
      </c>
      <c r="B5140">
        <v>10.409700000000001</v>
      </c>
    </row>
    <row r="5141" spans="1:2">
      <c r="A5141" s="117">
        <v>38695</v>
      </c>
      <c r="B5141">
        <v>10.44</v>
      </c>
    </row>
    <row r="5142" spans="1:2">
      <c r="A5142" s="117">
        <v>38696</v>
      </c>
      <c r="B5142">
        <v>10.502000000000001</v>
      </c>
    </row>
    <row r="5143" spans="1:2">
      <c r="A5143" s="117">
        <v>38697</v>
      </c>
      <c r="B5143">
        <v>10.502000000000001</v>
      </c>
    </row>
    <row r="5144" spans="1:2">
      <c r="A5144" s="117">
        <v>38698</v>
      </c>
      <c r="B5144">
        <v>10.502000000000001</v>
      </c>
    </row>
    <row r="5145" spans="1:2">
      <c r="A5145" s="117">
        <v>38699</v>
      </c>
      <c r="B5145">
        <v>10.502000000000001</v>
      </c>
    </row>
    <row r="5146" spans="1:2">
      <c r="A5146" s="117">
        <v>38700</v>
      </c>
      <c r="B5146">
        <v>10.624000000000001</v>
      </c>
    </row>
    <row r="5147" spans="1:2">
      <c r="A5147" s="117">
        <v>38701</v>
      </c>
      <c r="B5147">
        <v>10.636799999999999</v>
      </c>
    </row>
    <row r="5148" spans="1:2">
      <c r="A5148" s="117">
        <v>38702</v>
      </c>
      <c r="B5148">
        <v>10.693099999999999</v>
      </c>
    </row>
    <row r="5149" spans="1:2">
      <c r="A5149" s="117">
        <v>38703</v>
      </c>
      <c r="B5149">
        <v>10.7378</v>
      </c>
    </row>
    <row r="5150" spans="1:2">
      <c r="A5150" s="117">
        <v>38704</v>
      </c>
      <c r="B5150">
        <v>10.7378</v>
      </c>
    </row>
    <row r="5151" spans="1:2">
      <c r="A5151" s="117">
        <v>38705</v>
      </c>
      <c r="B5151">
        <v>10.7378</v>
      </c>
    </row>
    <row r="5152" spans="1:2">
      <c r="A5152" s="117">
        <v>38706</v>
      </c>
      <c r="B5152">
        <v>10.7567</v>
      </c>
    </row>
    <row r="5153" spans="1:2">
      <c r="A5153" s="117">
        <v>38707</v>
      </c>
      <c r="B5153">
        <v>10.728300000000001</v>
      </c>
    </row>
    <row r="5154" spans="1:2">
      <c r="A5154" s="117">
        <v>38708</v>
      </c>
      <c r="B5154">
        <v>10.6997</v>
      </c>
    </row>
    <row r="5155" spans="1:2">
      <c r="A5155" s="117">
        <v>38709</v>
      </c>
      <c r="B5155">
        <v>10.6457</v>
      </c>
    </row>
    <row r="5156" spans="1:2">
      <c r="A5156" s="117">
        <v>38710</v>
      </c>
      <c r="B5156">
        <v>10.6532</v>
      </c>
    </row>
    <row r="5157" spans="1:2">
      <c r="A5157" s="117">
        <v>38711</v>
      </c>
      <c r="B5157">
        <v>10.6532</v>
      </c>
    </row>
    <row r="5158" spans="1:2">
      <c r="A5158" s="117">
        <v>38712</v>
      </c>
      <c r="B5158">
        <v>10.6532</v>
      </c>
    </row>
    <row r="5159" spans="1:2">
      <c r="A5159" s="117">
        <v>38713</v>
      </c>
      <c r="B5159">
        <v>10.6845</v>
      </c>
    </row>
    <row r="5160" spans="1:2">
      <c r="A5160" s="117">
        <v>38714</v>
      </c>
      <c r="B5160">
        <v>10.693199999999999</v>
      </c>
    </row>
    <row r="5161" spans="1:2">
      <c r="A5161" s="117">
        <v>38715</v>
      </c>
      <c r="B5161">
        <v>10.7362</v>
      </c>
    </row>
    <row r="5162" spans="1:2">
      <c r="A5162" s="117">
        <v>38716</v>
      </c>
      <c r="B5162">
        <v>10.777699999999999</v>
      </c>
    </row>
    <row r="5163" spans="1:2">
      <c r="A5163" s="117">
        <v>38717</v>
      </c>
      <c r="B5163">
        <v>10.710900000000001</v>
      </c>
    </row>
    <row r="5164" spans="1:2">
      <c r="A5164" s="117">
        <v>38718</v>
      </c>
      <c r="B5164">
        <v>10.710900000000001</v>
      </c>
    </row>
    <row r="5165" spans="1:2">
      <c r="A5165" s="117">
        <v>38719</v>
      </c>
      <c r="B5165">
        <v>10.710900000000001</v>
      </c>
    </row>
    <row r="5166" spans="1:2">
      <c r="A5166" s="117">
        <v>38720</v>
      </c>
      <c r="B5166">
        <v>10.634399999999999</v>
      </c>
    </row>
    <row r="5167" spans="1:2">
      <c r="A5167" s="117">
        <v>38721</v>
      </c>
      <c r="B5167">
        <v>10.625299999999999</v>
      </c>
    </row>
    <row r="5168" spans="1:2">
      <c r="A5168" s="117">
        <v>38722</v>
      </c>
      <c r="B5168">
        <v>10.6455</v>
      </c>
    </row>
    <row r="5169" spans="1:2">
      <c r="A5169" s="117">
        <v>38723</v>
      </c>
      <c r="B5169">
        <v>10.5815</v>
      </c>
    </row>
    <row r="5170" spans="1:2">
      <c r="A5170" s="117">
        <v>38724</v>
      </c>
      <c r="B5170">
        <v>10.5907</v>
      </c>
    </row>
    <row r="5171" spans="1:2">
      <c r="A5171" s="117">
        <v>38725</v>
      </c>
      <c r="B5171">
        <v>10.5907</v>
      </c>
    </row>
    <row r="5172" spans="1:2">
      <c r="A5172" s="117">
        <v>38726</v>
      </c>
      <c r="B5172">
        <v>10.5907</v>
      </c>
    </row>
    <row r="5173" spans="1:2">
      <c r="A5173" s="117">
        <v>38727</v>
      </c>
      <c r="B5173">
        <v>10.5726</v>
      </c>
    </row>
    <row r="5174" spans="1:2">
      <c r="A5174" s="117">
        <v>38728</v>
      </c>
      <c r="B5174">
        <v>10.544600000000001</v>
      </c>
    </row>
    <row r="5175" spans="1:2">
      <c r="A5175" s="117">
        <v>38729</v>
      </c>
      <c r="B5175">
        <v>10.599</v>
      </c>
    </row>
    <row r="5176" spans="1:2">
      <c r="A5176" s="117">
        <v>38730</v>
      </c>
      <c r="B5176">
        <v>10.6097</v>
      </c>
    </row>
    <row r="5177" spans="1:2">
      <c r="A5177" s="117">
        <v>38731</v>
      </c>
      <c r="B5177">
        <v>10.5732</v>
      </c>
    </row>
    <row r="5178" spans="1:2">
      <c r="A5178" s="117">
        <v>38732</v>
      </c>
      <c r="B5178">
        <v>10.5732</v>
      </c>
    </row>
    <row r="5179" spans="1:2">
      <c r="A5179" s="117">
        <v>38733</v>
      </c>
      <c r="B5179">
        <v>10.5732</v>
      </c>
    </row>
    <row r="5180" spans="1:2">
      <c r="A5180" s="117">
        <v>38734</v>
      </c>
      <c r="B5180">
        <v>10.575200000000001</v>
      </c>
    </row>
    <row r="5181" spans="1:2">
      <c r="A5181" s="117">
        <v>38735</v>
      </c>
      <c r="B5181">
        <v>10.558999999999999</v>
      </c>
    </row>
    <row r="5182" spans="1:2">
      <c r="A5182" s="117">
        <v>38736</v>
      </c>
      <c r="B5182">
        <v>10.5372</v>
      </c>
    </row>
    <row r="5183" spans="1:2">
      <c r="A5183" s="117">
        <v>38737</v>
      </c>
      <c r="B5183">
        <v>10.5778</v>
      </c>
    </row>
    <row r="5184" spans="1:2">
      <c r="A5184" s="117">
        <v>38738</v>
      </c>
      <c r="B5184">
        <v>10.5589</v>
      </c>
    </row>
    <row r="5185" spans="1:2">
      <c r="A5185" s="117">
        <v>38739</v>
      </c>
      <c r="B5185">
        <v>10.5589</v>
      </c>
    </row>
    <row r="5186" spans="1:2">
      <c r="A5186" s="117">
        <v>38740</v>
      </c>
      <c r="B5186">
        <v>10.5589</v>
      </c>
    </row>
    <row r="5187" spans="1:2">
      <c r="A5187" s="117">
        <v>38741</v>
      </c>
      <c r="B5187">
        <v>10.5078</v>
      </c>
    </row>
    <row r="5188" spans="1:2">
      <c r="A5188" s="117">
        <v>38742</v>
      </c>
      <c r="B5188">
        <v>10.520799999999999</v>
      </c>
    </row>
    <row r="5189" spans="1:2">
      <c r="A5189" s="117">
        <v>38743</v>
      </c>
      <c r="B5189">
        <v>10.5063</v>
      </c>
    </row>
    <row r="5190" spans="1:2">
      <c r="A5190" s="117">
        <v>38744</v>
      </c>
      <c r="B5190">
        <v>10.500400000000001</v>
      </c>
    </row>
    <row r="5191" spans="1:2">
      <c r="A5191" s="117">
        <v>38745</v>
      </c>
      <c r="B5191">
        <v>10.5039</v>
      </c>
    </row>
    <row r="5192" spans="1:2">
      <c r="A5192" s="117">
        <v>38746</v>
      </c>
      <c r="B5192">
        <v>10.5039</v>
      </c>
    </row>
    <row r="5193" spans="1:2">
      <c r="A5193" s="117">
        <v>38747</v>
      </c>
      <c r="B5193">
        <v>10.5039</v>
      </c>
    </row>
    <row r="5194" spans="1:2">
      <c r="A5194" s="117">
        <v>38748</v>
      </c>
      <c r="B5194">
        <v>10.4598</v>
      </c>
    </row>
    <row r="5195" spans="1:2">
      <c r="A5195" s="117">
        <v>38749</v>
      </c>
      <c r="B5195">
        <v>10.441599999999999</v>
      </c>
    </row>
    <row r="5196" spans="1:2">
      <c r="A5196" s="117">
        <v>38750</v>
      </c>
      <c r="B5196">
        <v>10.443300000000001</v>
      </c>
    </row>
    <row r="5197" spans="1:2">
      <c r="A5197" s="117">
        <v>38751</v>
      </c>
      <c r="B5197">
        <v>10.430300000000001</v>
      </c>
    </row>
    <row r="5198" spans="1:2">
      <c r="A5198" s="117">
        <v>38752</v>
      </c>
      <c r="B5198">
        <v>10.480499999999999</v>
      </c>
    </row>
    <row r="5199" spans="1:2">
      <c r="A5199" s="117">
        <v>38753</v>
      </c>
      <c r="B5199">
        <v>10.480499999999999</v>
      </c>
    </row>
    <row r="5200" spans="1:2">
      <c r="A5200" s="117">
        <v>38754</v>
      </c>
      <c r="B5200">
        <v>10.480499999999999</v>
      </c>
    </row>
    <row r="5201" spans="1:2">
      <c r="A5201" s="117">
        <v>38755</v>
      </c>
      <c r="B5201">
        <v>10.480499999999999</v>
      </c>
    </row>
    <row r="5202" spans="1:2">
      <c r="A5202" s="117">
        <v>38756</v>
      </c>
      <c r="B5202">
        <v>10.498100000000001</v>
      </c>
    </row>
    <row r="5203" spans="1:2">
      <c r="A5203" s="117">
        <v>38757</v>
      </c>
      <c r="B5203">
        <v>10.4758</v>
      </c>
    </row>
    <row r="5204" spans="1:2">
      <c r="A5204" s="117">
        <v>38758</v>
      </c>
      <c r="B5204">
        <v>10.527699999999999</v>
      </c>
    </row>
    <row r="5205" spans="1:2">
      <c r="A5205" s="117">
        <v>38759</v>
      </c>
      <c r="B5205">
        <v>10.4803</v>
      </c>
    </row>
    <row r="5206" spans="1:2">
      <c r="A5206" s="117">
        <v>38760</v>
      </c>
      <c r="B5206">
        <v>10.4803</v>
      </c>
    </row>
    <row r="5207" spans="1:2">
      <c r="A5207" s="117">
        <v>38761</v>
      </c>
      <c r="B5207">
        <v>10.4803</v>
      </c>
    </row>
    <row r="5208" spans="1:2">
      <c r="A5208" s="117">
        <v>38762</v>
      </c>
      <c r="B5208">
        <v>10.487</v>
      </c>
    </row>
    <row r="5209" spans="1:2">
      <c r="A5209" s="117">
        <v>38763</v>
      </c>
      <c r="B5209">
        <v>10.5258</v>
      </c>
    </row>
    <row r="5210" spans="1:2">
      <c r="A5210" s="117">
        <v>38764</v>
      </c>
      <c r="B5210">
        <v>10.524900000000001</v>
      </c>
    </row>
    <row r="5211" spans="1:2">
      <c r="A5211" s="117">
        <v>38765</v>
      </c>
      <c r="B5211">
        <v>10.516999999999999</v>
      </c>
    </row>
    <row r="5212" spans="1:2">
      <c r="A5212" s="117">
        <v>38766</v>
      </c>
      <c r="B5212">
        <v>10.5175</v>
      </c>
    </row>
    <row r="5213" spans="1:2">
      <c r="A5213" s="117">
        <v>38767</v>
      </c>
      <c r="B5213">
        <v>10.5175</v>
      </c>
    </row>
    <row r="5214" spans="1:2">
      <c r="A5214" s="117">
        <v>38768</v>
      </c>
      <c r="B5214">
        <v>10.5175</v>
      </c>
    </row>
    <row r="5215" spans="1:2">
      <c r="A5215" s="117">
        <v>38769</v>
      </c>
      <c r="B5215">
        <v>10.4528</v>
      </c>
    </row>
    <row r="5216" spans="1:2">
      <c r="A5216" s="117">
        <v>38770</v>
      </c>
      <c r="B5216">
        <v>10.440099999999999</v>
      </c>
    </row>
    <row r="5217" spans="1:2">
      <c r="A5217" s="117">
        <v>38771</v>
      </c>
      <c r="B5217">
        <v>10.438800000000001</v>
      </c>
    </row>
    <row r="5218" spans="1:2">
      <c r="A5218" s="117">
        <v>38772</v>
      </c>
      <c r="B5218">
        <v>10.499000000000001</v>
      </c>
    </row>
    <row r="5219" spans="1:2">
      <c r="A5219" s="117">
        <v>38773</v>
      </c>
      <c r="B5219">
        <v>10.4885</v>
      </c>
    </row>
    <row r="5220" spans="1:2">
      <c r="A5220" s="117">
        <v>38774</v>
      </c>
      <c r="B5220">
        <v>10.4885</v>
      </c>
    </row>
    <row r="5221" spans="1:2">
      <c r="A5221" s="117">
        <v>38775</v>
      </c>
      <c r="B5221">
        <v>10.4885</v>
      </c>
    </row>
    <row r="5222" spans="1:2">
      <c r="A5222" s="117">
        <v>38776</v>
      </c>
      <c r="B5222">
        <v>10.476100000000001</v>
      </c>
    </row>
    <row r="5223" spans="1:2">
      <c r="A5223" s="117">
        <v>38777</v>
      </c>
      <c r="B5223">
        <v>10.466100000000001</v>
      </c>
    </row>
    <row r="5224" spans="1:2">
      <c r="A5224" s="117">
        <v>38778</v>
      </c>
      <c r="B5224">
        <v>10.456</v>
      </c>
    </row>
    <row r="5225" spans="1:2">
      <c r="A5225" s="117">
        <v>38779</v>
      </c>
      <c r="B5225">
        <v>10.4673</v>
      </c>
    </row>
    <row r="5226" spans="1:2">
      <c r="A5226" s="117">
        <v>38780</v>
      </c>
      <c r="B5226">
        <v>10.5113</v>
      </c>
    </row>
    <row r="5227" spans="1:2">
      <c r="A5227" s="117">
        <v>38781</v>
      </c>
      <c r="B5227">
        <v>10.5113</v>
      </c>
    </row>
    <row r="5228" spans="1:2">
      <c r="A5228" s="117">
        <v>38782</v>
      </c>
      <c r="B5228">
        <v>10.5113</v>
      </c>
    </row>
    <row r="5229" spans="1:2">
      <c r="A5229" s="117">
        <v>38783</v>
      </c>
      <c r="B5229">
        <v>10.575900000000001</v>
      </c>
    </row>
    <row r="5230" spans="1:2">
      <c r="A5230" s="117">
        <v>38784</v>
      </c>
      <c r="B5230">
        <v>10.611800000000001</v>
      </c>
    </row>
    <row r="5231" spans="1:2">
      <c r="A5231" s="117">
        <v>38785</v>
      </c>
      <c r="B5231">
        <v>10.7003</v>
      </c>
    </row>
    <row r="5232" spans="1:2">
      <c r="A5232" s="117">
        <v>38786</v>
      </c>
      <c r="B5232">
        <v>10.756</v>
      </c>
    </row>
    <row r="5233" spans="1:2">
      <c r="A5233" s="117">
        <v>38787</v>
      </c>
      <c r="B5233">
        <v>10.7094</v>
      </c>
    </row>
    <row r="5234" spans="1:2">
      <c r="A5234" s="117">
        <v>38788</v>
      </c>
      <c r="B5234">
        <v>10.7094</v>
      </c>
    </row>
    <row r="5235" spans="1:2">
      <c r="A5235" s="117">
        <v>38789</v>
      </c>
      <c r="B5235">
        <v>10.7094</v>
      </c>
    </row>
    <row r="5236" spans="1:2">
      <c r="A5236" s="117">
        <v>38790</v>
      </c>
      <c r="B5236">
        <v>10.7125</v>
      </c>
    </row>
    <row r="5237" spans="1:2">
      <c r="A5237" s="117">
        <v>38791</v>
      </c>
      <c r="B5237">
        <v>10.7126</v>
      </c>
    </row>
    <row r="5238" spans="1:2">
      <c r="A5238" s="117">
        <v>38792</v>
      </c>
      <c r="B5238">
        <v>10.6942</v>
      </c>
    </row>
    <row r="5239" spans="1:2">
      <c r="A5239" s="117">
        <v>38793</v>
      </c>
      <c r="B5239">
        <v>10.666700000000001</v>
      </c>
    </row>
    <row r="5240" spans="1:2">
      <c r="A5240" s="117">
        <v>38794</v>
      </c>
      <c r="B5240">
        <v>10.6212</v>
      </c>
    </row>
    <row r="5241" spans="1:2">
      <c r="A5241" s="117">
        <v>38795</v>
      </c>
      <c r="B5241">
        <v>10.6212</v>
      </c>
    </row>
    <row r="5242" spans="1:2">
      <c r="A5242" s="117">
        <v>38796</v>
      </c>
      <c r="B5242">
        <v>10.6212</v>
      </c>
    </row>
    <row r="5243" spans="1:2">
      <c r="A5243" s="117">
        <v>38797</v>
      </c>
      <c r="B5243">
        <v>10.688499999999999</v>
      </c>
    </row>
    <row r="5244" spans="1:2">
      <c r="A5244" s="117">
        <v>38798</v>
      </c>
      <c r="B5244">
        <v>10.688499999999999</v>
      </c>
    </row>
    <row r="5245" spans="1:2">
      <c r="A5245" s="117">
        <v>38799</v>
      </c>
      <c r="B5245">
        <v>10.7568</v>
      </c>
    </row>
    <row r="5246" spans="1:2">
      <c r="A5246" s="117">
        <v>38800</v>
      </c>
      <c r="B5246">
        <v>10.8628</v>
      </c>
    </row>
    <row r="5247" spans="1:2">
      <c r="A5247" s="117">
        <v>38801</v>
      </c>
      <c r="B5247">
        <v>10.8612</v>
      </c>
    </row>
    <row r="5248" spans="1:2">
      <c r="A5248" s="117">
        <v>38802</v>
      </c>
      <c r="B5248">
        <v>10.8612</v>
      </c>
    </row>
    <row r="5249" spans="1:2">
      <c r="A5249" s="117">
        <v>38803</v>
      </c>
      <c r="B5249">
        <v>10.8612</v>
      </c>
    </row>
    <row r="5250" spans="1:2">
      <c r="A5250" s="117">
        <v>38804</v>
      </c>
      <c r="B5250">
        <v>10.8568</v>
      </c>
    </row>
    <row r="5251" spans="1:2">
      <c r="A5251" s="117">
        <v>38805</v>
      </c>
      <c r="B5251">
        <v>10.9329</v>
      </c>
    </row>
    <row r="5252" spans="1:2">
      <c r="A5252" s="117">
        <v>38806</v>
      </c>
      <c r="B5252">
        <v>10.9633</v>
      </c>
    </row>
    <row r="5253" spans="1:2">
      <c r="A5253" s="117">
        <v>38807</v>
      </c>
      <c r="B5253">
        <v>10.951000000000001</v>
      </c>
    </row>
    <row r="5254" spans="1:2">
      <c r="A5254" s="117">
        <v>38808</v>
      </c>
      <c r="B5254">
        <v>10.922800000000001</v>
      </c>
    </row>
    <row r="5255" spans="1:2">
      <c r="A5255" s="117">
        <v>38809</v>
      </c>
      <c r="B5255">
        <v>10.922800000000001</v>
      </c>
    </row>
    <row r="5256" spans="1:2">
      <c r="A5256" s="117">
        <v>38810</v>
      </c>
      <c r="B5256">
        <v>10.922800000000001</v>
      </c>
    </row>
    <row r="5257" spans="1:2">
      <c r="A5257" s="117">
        <v>38811</v>
      </c>
      <c r="B5257">
        <v>10.8935</v>
      </c>
    </row>
    <row r="5258" spans="1:2">
      <c r="A5258" s="117">
        <v>38812</v>
      </c>
      <c r="B5258">
        <v>10.871700000000001</v>
      </c>
    </row>
    <row r="5259" spans="1:2">
      <c r="A5259" s="117">
        <v>38813</v>
      </c>
      <c r="B5259">
        <v>10.854799999999999</v>
      </c>
    </row>
    <row r="5260" spans="1:2">
      <c r="A5260" s="117">
        <v>38814</v>
      </c>
      <c r="B5260">
        <v>10.9467</v>
      </c>
    </row>
    <row r="5261" spans="1:2">
      <c r="A5261" s="117">
        <v>38815</v>
      </c>
      <c r="B5261">
        <v>11.0557</v>
      </c>
    </row>
    <row r="5262" spans="1:2">
      <c r="A5262" s="117">
        <v>38816</v>
      </c>
      <c r="B5262">
        <v>11.0557</v>
      </c>
    </row>
    <row r="5263" spans="1:2">
      <c r="A5263" s="117">
        <v>38817</v>
      </c>
      <c r="B5263">
        <v>11.0557</v>
      </c>
    </row>
    <row r="5264" spans="1:2">
      <c r="A5264" s="117">
        <v>38818</v>
      </c>
      <c r="B5264">
        <v>11.144299999999999</v>
      </c>
    </row>
    <row r="5265" spans="1:2">
      <c r="A5265" s="117">
        <v>38819</v>
      </c>
      <c r="B5265">
        <v>11.095599999999999</v>
      </c>
    </row>
    <row r="5266" spans="1:2">
      <c r="A5266" s="117">
        <v>38820</v>
      </c>
      <c r="B5266">
        <v>11.0708</v>
      </c>
    </row>
    <row r="5267" spans="1:2">
      <c r="A5267" s="117">
        <v>38821</v>
      </c>
      <c r="B5267">
        <v>11.0708</v>
      </c>
    </row>
    <row r="5268" spans="1:2">
      <c r="A5268" s="117">
        <v>38822</v>
      </c>
      <c r="B5268">
        <v>11.0708</v>
      </c>
    </row>
    <row r="5269" spans="1:2">
      <c r="A5269" s="117">
        <v>38823</v>
      </c>
      <c r="B5269">
        <v>11.0708</v>
      </c>
    </row>
    <row r="5270" spans="1:2">
      <c r="A5270" s="117">
        <v>38824</v>
      </c>
      <c r="B5270">
        <v>11.0708</v>
      </c>
    </row>
    <row r="5271" spans="1:2">
      <c r="A5271" s="117">
        <v>38825</v>
      </c>
      <c r="B5271">
        <v>11.047700000000001</v>
      </c>
    </row>
    <row r="5272" spans="1:2">
      <c r="A5272" s="117">
        <v>38826</v>
      </c>
      <c r="B5272">
        <v>11.084199999999999</v>
      </c>
    </row>
    <row r="5273" spans="1:2">
      <c r="A5273" s="117">
        <v>38827</v>
      </c>
      <c r="B5273">
        <v>11.001099999999999</v>
      </c>
    </row>
    <row r="5274" spans="1:2">
      <c r="A5274" s="117">
        <v>38828</v>
      </c>
      <c r="B5274">
        <v>10.9773</v>
      </c>
    </row>
    <row r="5275" spans="1:2">
      <c r="A5275" s="117">
        <v>38829</v>
      </c>
      <c r="B5275">
        <v>11.030200000000001</v>
      </c>
    </row>
    <row r="5276" spans="1:2">
      <c r="A5276" s="117">
        <v>38830</v>
      </c>
      <c r="B5276">
        <v>11.030200000000001</v>
      </c>
    </row>
    <row r="5277" spans="1:2">
      <c r="A5277" s="117">
        <v>38831</v>
      </c>
      <c r="B5277">
        <v>11.030200000000001</v>
      </c>
    </row>
    <row r="5278" spans="1:2">
      <c r="A5278" s="117">
        <v>38832</v>
      </c>
      <c r="B5278">
        <v>11.066700000000001</v>
      </c>
    </row>
    <row r="5279" spans="1:2">
      <c r="A5279" s="117">
        <v>38833</v>
      </c>
      <c r="B5279">
        <v>11.0656</v>
      </c>
    </row>
    <row r="5280" spans="1:2">
      <c r="A5280" s="117">
        <v>38834</v>
      </c>
      <c r="B5280">
        <v>11.084199999999999</v>
      </c>
    </row>
    <row r="5281" spans="1:2">
      <c r="A5281" s="117">
        <v>38835</v>
      </c>
      <c r="B5281">
        <v>11.1578</v>
      </c>
    </row>
    <row r="5282" spans="1:2">
      <c r="A5282" s="117">
        <v>38836</v>
      </c>
      <c r="B5282">
        <v>11.1135</v>
      </c>
    </row>
    <row r="5283" spans="1:2">
      <c r="A5283" s="117">
        <v>38837</v>
      </c>
      <c r="B5283">
        <v>11.1135</v>
      </c>
    </row>
    <row r="5284" spans="1:2">
      <c r="A5284" s="117">
        <v>38838</v>
      </c>
      <c r="B5284">
        <v>11.1135</v>
      </c>
    </row>
    <row r="5285" spans="1:2">
      <c r="A5285" s="117">
        <v>38839</v>
      </c>
      <c r="B5285">
        <v>11.1135</v>
      </c>
    </row>
    <row r="5286" spans="1:2">
      <c r="A5286" s="117">
        <v>38840</v>
      </c>
      <c r="B5286">
        <v>11.090299999999999</v>
      </c>
    </row>
    <row r="5287" spans="1:2">
      <c r="A5287" s="117">
        <v>38841</v>
      </c>
      <c r="B5287">
        <v>11.032299999999999</v>
      </c>
    </row>
    <row r="5288" spans="1:2">
      <c r="A5288" s="117">
        <v>38842</v>
      </c>
      <c r="B5288">
        <v>10.960800000000001</v>
      </c>
    </row>
    <row r="5289" spans="1:2">
      <c r="A5289" s="117">
        <v>38843</v>
      </c>
      <c r="B5289">
        <v>10.9694</v>
      </c>
    </row>
    <row r="5290" spans="1:2">
      <c r="A5290" s="117">
        <v>38844</v>
      </c>
      <c r="B5290">
        <v>10.9694</v>
      </c>
    </row>
    <row r="5291" spans="1:2">
      <c r="A5291" s="117">
        <v>38845</v>
      </c>
      <c r="B5291">
        <v>10.9694</v>
      </c>
    </row>
    <row r="5292" spans="1:2">
      <c r="A5292" s="117">
        <v>38846</v>
      </c>
      <c r="B5292">
        <v>10.9587</v>
      </c>
    </row>
    <row r="5293" spans="1:2">
      <c r="A5293" s="117">
        <v>38847</v>
      </c>
      <c r="B5293">
        <v>10.9381</v>
      </c>
    </row>
    <row r="5294" spans="1:2">
      <c r="A5294" s="117">
        <v>38848</v>
      </c>
      <c r="B5294">
        <v>10.925800000000001</v>
      </c>
    </row>
    <row r="5295" spans="1:2">
      <c r="A5295" s="117">
        <v>38849</v>
      </c>
      <c r="B5295">
        <v>10.842499999999999</v>
      </c>
    </row>
    <row r="5296" spans="1:2">
      <c r="A5296" s="117">
        <v>38850</v>
      </c>
      <c r="B5296">
        <v>10.838100000000001</v>
      </c>
    </row>
    <row r="5297" spans="1:2">
      <c r="A5297" s="117">
        <v>38851</v>
      </c>
      <c r="B5297">
        <v>10.838100000000001</v>
      </c>
    </row>
    <row r="5298" spans="1:2">
      <c r="A5298" s="117">
        <v>38852</v>
      </c>
      <c r="B5298">
        <v>10.838100000000001</v>
      </c>
    </row>
    <row r="5299" spans="1:2">
      <c r="A5299" s="117">
        <v>38853</v>
      </c>
      <c r="B5299">
        <v>11.032500000000001</v>
      </c>
    </row>
    <row r="5300" spans="1:2">
      <c r="A5300" s="117">
        <v>38854</v>
      </c>
      <c r="B5300">
        <v>11.1532</v>
      </c>
    </row>
    <row r="5301" spans="1:2">
      <c r="A5301" s="117">
        <v>38855</v>
      </c>
      <c r="B5301">
        <v>11.0518</v>
      </c>
    </row>
    <row r="5302" spans="1:2">
      <c r="A5302" s="117">
        <v>38856</v>
      </c>
      <c r="B5302">
        <v>11.132999999999999</v>
      </c>
    </row>
    <row r="5303" spans="1:2">
      <c r="A5303" s="117">
        <v>38857</v>
      </c>
      <c r="B5303">
        <v>11.2005</v>
      </c>
    </row>
    <row r="5304" spans="1:2">
      <c r="A5304" s="117">
        <v>38858</v>
      </c>
      <c r="B5304">
        <v>11.2005</v>
      </c>
    </row>
    <row r="5305" spans="1:2">
      <c r="A5305" s="117">
        <v>38859</v>
      </c>
      <c r="B5305">
        <v>11.2005</v>
      </c>
    </row>
    <row r="5306" spans="1:2">
      <c r="A5306" s="117">
        <v>38860</v>
      </c>
      <c r="B5306">
        <v>11.1915</v>
      </c>
    </row>
    <row r="5307" spans="1:2">
      <c r="A5307" s="117">
        <v>38861</v>
      </c>
      <c r="B5307">
        <v>11.2799</v>
      </c>
    </row>
    <row r="5308" spans="1:2">
      <c r="A5308" s="117">
        <v>38862</v>
      </c>
      <c r="B5308">
        <v>11.1935</v>
      </c>
    </row>
    <row r="5309" spans="1:2">
      <c r="A5309" s="117">
        <v>38863</v>
      </c>
      <c r="B5309">
        <v>11.285399999999999</v>
      </c>
    </row>
    <row r="5310" spans="1:2">
      <c r="A5310" s="117">
        <v>38864</v>
      </c>
      <c r="B5310">
        <v>11.2097</v>
      </c>
    </row>
    <row r="5311" spans="1:2">
      <c r="A5311" s="117">
        <v>38865</v>
      </c>
      <c r="B5311">
        <v>11.2097</v>
      </c>
    </row>
    <row r="5312" spans="1:2">
      <c r="A5312" s="117">
        <v>38866</v>
      </c>
      <c r="B5312">
        <v>11.2097</v>
      </c>
    </row>
    <row r="5313" spans="1:2">
      <c r="A5313" s="117">
        <v>38867</v>
      </c>
      <c r="B5313">
        <v>11.1373</v>
      </c>
    </row>
    <row r="5314" spans="1:2">
      <c r="A5314" s="117">
        <v>38868</v>
      </c>
      <c r="B5314">
        <v>11.1303</v>
      </c>
    </row>
    <row r="5315" spans="1:2">
      <c r="A5315" s="117">
        <v>38869</v>
      </c>
      <c r="B5315">
        <v>11.269299999999999</v>
      </c>
    </row>
    <row r="5316" spans="1:2">
      <c r="A5316" s="117">
        <v>38870</v>
      </c>
      <c r="B5316">
        <v>11.2966</v>
      </c>
    </row>
    <row r="5317" spans="1:2">
      <c r="A5317" s="117">
        <v>38871</v>
      </c>
      <c r="B5317">
        <v>11.2843</v>
      </c>
    </row>
    <row r="5318" spans="1:2">
      <c r="A5318" s="117">
        <v>38872</v>
      </c>
      <c r="B5318">
        <v>11.2843</v>
      </c>
    </row>
    <row r="5319" spans="1:2">
      <c r="A5319" s="117">
        <v>38873</v>
      </c>
      <c r="B5319">
        <v>11.2843</v>
      </c>
    </row>
    <row r="5320" spans="1:2">
      <c r="A5320" s="117">
        <v>38874</v>
      </c>
      <c r="B5320">
        <v>11.297000000000001</v>
      </c>
    </row>
    <row r="5321" spans="1:2">
      <c r="A5321" s="117">
        <v>38875</v>
      </c>
      <c r="B5321">
        <v>11.285399999999999</v>
      </c>
    </row>
    <row r="5322" spans="1:2">
      <c r="A5322" s="117">
        <v>38876</v>
      </c>
      <c r="B5322">
        <v>11.3667</v>
      </c>
    </row>
    <row r="5323" spans="1:2">
      <c r="A5323" s="117">
        <v>38877</v>
      </c>
      <c r="B5323">
        <v>11.324999999999999</v>
      </c>
    </row>
    <row r="5324" spans="1:2">
      <c r="A5324" s="117">
        <v>38878</v>
      </c>
      <c r="B5324">
        <v>11.419</v>
      </c>
    </row>
    <row r="5325" spans="1:2">
      <c r="A5325" s="117">
        <v>38879</v>
      </c>
      <c r="B5325">
        <v>11.419</v>
      </c>
    </row>
    <row r="5326" spans="1:2">
      <c r="A5326" s="117">
        <v>38880</v>
      </c>
      <c r="B5326">
        <v>11.419</v>
      </c>
    </row>
    <row r="5327" spans="1:2">
      <c r="A5327" s="117">
        <v>38881</v>
      </c>
      <c r="B5327">
        <v>11.377700000000001</v>
      </c>
    </row>
    <row r="5328" spans="1:2">
      <c r="A5328" s="117">
        <v>38882</v>
      </c>
      <c r="B5328">
        <v>11.3827</v>
      </c>
    </row>
    <row r="5329" spans="1:2">
      <c r="A5329" s="117">
        <v>38883</v>
      </c>
      <c r="B5329">
        <v>11.432700000000001</v>
      </c>
    </row>
    <row r="5330" spans="1:2">
      <c r="A5330" s="117">
        <v>38884</v>
      </c>
      <c r="B5330">
        <v>11.4527</v>
      </c>
    </row>
    <row r="5331" spans="1:2">
      <c r="A5331" s="117">
        <v>38885</v>
      </c>
      <c r="B5331">
        <v>11.411300000000001</v>
      </c>
    </row>
    <row r="5332" spans="1:2">
      <c r="A5332" s="117">
        <v>38886</v>
      </c>
      <c r="B5332">
        <v>11.411300000000001</v>
      </c>
    </row>
    <row r="5333" spans="1:2">
      <c r="A5333" s="117">
        <v>38887</v>
      </c>
      <c r="B5333">
        <v>11.411300000000001</v>
      </c>
    </row>
    <row r="5334" spans="1:2">
      <c r="A5334" s="117">
        <v>38888</v>
      </c>
      <c r="B5334">
        <v>11.414</v>
      </c>
    </row>
    <row r="5335" spans="1:2">
      <c r="A5335" s="117">
        <v>38889</v>
      </c>
      <c r="B5335">
        <v>11.4459</v>
      </c>
    </row>
    <row r="5336" spans="1:2">
      <c r="A5336" s="117">
        <v>38890</v>
      </c>
      <c r="B5336">
        <v>11.4809</v>
      </c>
    </row>
    <row r="5337" spans="1:2">
      <c r="A5337" s="117">
        <v>38891</v>
      </c>
      <c r="B5337">
        <v>11.444100000000001</v>
      </c>
    </row>
    <row r="5338" spans="1:2">
      <c r="A5338" s="117">
        <v>38892</v>
      </c>
      <c r="B5338">
        <v>11.4405</v>
      </c>
    </row>
    <row r="5339" spans="1:2">
      <c r="A5339" s="117">
        <v>38893</v>
      </c>
      <c r="B5339">
        <v>11.4405</v>
      </c>
    </row>
    <row r="5340" spans="1:2">
      <c r="A5340" s="117">
        <v>38894</v>
      </c>
      <c r="B5340">
        <v>11.4405</v>
      </c>
    </row>
    <row r="5341" spans="1:2">
      <c r="A5341" s="117">
        <v>38895</v>
      </c>
      <c r="B5341">
        <v>11.4382</v>
      </c>
    </row>
    <row r="5342" spans="1:2">
      <c r="A5342" s="117">
        <v>38896</v>
      </c>
      <c r="B5342">
        <v>11.409000000000001</v>
      </c>
    </row>
    <row r="5343" spans="1:2">
      <c r="A5343" s="117">
        <v>38897</v>
      </c>
      <c r="B5343">
        <v>11.430199999999999</v>
      </c>
    </row>
    <row r="5344" spans="1:2">
      <c r="A5344" s="117">
        <v>38898</v>
      </c>
      <c r="B5344">
        <v>11.3973</v>
      </c>
    </row>
    <row r="5345" spans="1:2">
      <c r="A5345" s="117">
        <v>38899</v>
      </c>
      <c r="B5345">
        <v>11.4009</v>
      </c>
    </row>
    <row r="5346" spans="1:2">
      <c r="A5346" s="117">
        <v>38900</v>
      </c>
      <c r="B5346">
        <v>11.4009</v>
      </c>
    </row>
    <row r="5347" spans="1:2">
      <c r="A5347" s="117">
        <v>38901</v>
      </c>
      <c r="B5347">
        <v>11.4009</v>
      </c>
    </row>
    <row r="5348" spans="1:2">
      <c r="A5348" s="117">
        <v>38902</v>
      </c>
      <c r="B5348">
        <v>11.2723</v>
      </c>
    </row>
    <row r="5349" spans="1:2">
      <c r="A5349" s="117">
        <v>38903</v>
      </c>
      <c r="B5349">
        <v>11.1302</v>
      </c>
    </row>
    <row r="5350" spans="1:2">
      <c r="A5350" s="117">
        <v>38904</v>
      </c>
      <c r="B5350">
        <v>11.0642</v>
      </c>
    </row>
    <row r="5351" spans="1:2">
      <c r="A5351" s="117">
        <v>38905</v>
      </c>
      <c r="B5351">
        <v>11.190099999999999</v>
      </c>
    </row>
    <row r="5352" spans="1:2">
      <c r="A5352" s="117">
        <v>38906</v>
      </c>
      <c r="B5352">
        <v>11.1061</v>
      </c>
    </row>
    <row r="5353" spans="1:2">
      <c r="A5353" s="117">
        <v>38907</v>
      </c>
      <c r="B5353">
        <v>11.1061</v>
      </c>
    </row>
    <row r="5354" spans="1:2">
      <c r="A5354" s="117">
        <v>38908</v>
      </c>
      <c r="B5354">
        <v>11.1061</v>
      </c>
    </row>
    <row r="5355" spans="1:2">
      <c r="A5355" s="117">
        <v>38909</v>
      </c>
      <c r="B5355">
        <v>11.0243</v>
      </c>
    </row>
    <row r="5356" spans="1:2">
      <c r="A5356" s="117">
        <v>38910</v>
      </c>
      <c r="B5356">
        <v>10.954700000000001</v>
      </c>
    </row>
    <row r="5357" spans="1:2">
      <c r="A5357" s="117">
        <v>38911</v>
      </c>
      <c r="B5357">
        <v>11.009499999999999</v>
      </c>
    </row>
    <row r="5358" spans="1:2">
      <c r="A5358" s="117">
        <v>38912</v>
      </c>
      <c r="B5358">
        <v>11.0303</v>
      </c>
    </row>
    <row r="5359" spans="1:2">
      <c r="A5359" s="117">
        <v>38913</v>
      </c>
      <c r="B5359">
        <v>11.052300000000001</v>
      </c>
    </row>
    <row r="5360" spans="1:2">
      <c r="A5360" s="117">
        <v>38914</v>
      </c>
      <c r="B5360">
        <v>11.052300000000001</v>
      </c>
    </row>
    <row r="5361" spans="1:2">
      <c r="A5361" s="117">
        <v>38915</v>
      </c>
      <c r="B5361">
        <v>11.052300000000001</v>
      </c>
    </row>
    <row r="5362" spans="1:2">
      <c r="A5362" s="117">
        <v>38916</v>
      </c>
      <c r="B5362">
        <v>11.0275</v>
      </c>
    </row>
    <row r="5363" spans="1:2">
      <c r="A5363" s="117">
        <v>38917</v>
      </c>
      <c r="B5363">
        <v>10.991400000000001</v>
      </c>
    </row>
    <row r="5364" spans="1:2">
      <c r="A5364" s="117">
        <v>38918</v>
      </c>
      <c r="B5364">
        <v>10.9618</v>
      </c>
    </row>
    <row r="5365" spans="1:2">
      <c r="A5365" s="117">
        <v>38919</v>
      </c>
      <c r="B5365">
        <v>10.904500000000001</v>
      </c>
    </row>
    <row r="5366" spans="1:2">
      <c r="A5366" s="117">
        <v>38920</v>
      </c>
      <c r="B5366">
        <v>10.870799999999999</v>
      </c>
    </row>
    <row r="5367" spans="1:2">
      <c r="A5367" s="117">
        <v>38921</v>
      </c>
      <c r="B5367">
        <v>10.870799999999999</v>
      </c>
    </row>
    <row r="5368" spans="1:2">
      <c r="A5368" s="117">
        <v>38922</v>
      </c>
      <c r="B5368">
        <v>10.870799999999999</v>
      </c>
    </row>
    <row r="5369" spans="1:2">
      <c r="A5369" s="117">
        <v>38923</v>
      </c>
      <c r="B5369">
        <v>10.8954</v>
      </c>
    </row>
    <row r="5370" spans="1:2">
      <c r="A5370" s="117">
        <v>38924</v>
      </c>
      <c r="B5370">
        <v>10.930300000000001</v>
      </c>
    </row>
    <row r="5371" spans="1:2">
      <c r="A5371" s="117">
        <v>38925</v>
      </c>
      <c r="B5371">
        <v>10.9148</v>
      </c>
    </row>
    <row r="5372" spans="1:2">
      <c r="A5372" s="117">
        <v>38926</v>
      </c>
      <c r="B5372">
        <v>10.9337</v>
      </c>
    </row>
    <row r="5373" spans="1:2">
      <c r="A5373" s="117">
        <v>38927</v>
      </c>
      <c r="B5373">
        <v>10.896800000000001</v>
      </c>
    </row>
    <row r="5374" spans="1:2">
      <c r="A5374" s="117">
        <v>38928</v>
      </c>
      <c r="B5374">
        <v>10.896800000000001</v>
      </c>
    </row>
    <row r="5375" spans="1:2">
      <c r="A5375" s="117">
        <v>38929</v>
      </c>
      <c r="B5375">
        <v>10.896800000000001</v>
      </c>
    </row>
    <row r="5376" spans="1:2">
      <c r="A5376" s="117">
        <v>38930</v>
      </c>
      <c r="B5376">
        <v>10.8947</v>
      </c>
    </row>
    <row r="5377" spans="1:2">
      <c r="A5377" s="117">
        <v>38931</v>
      </c>
      <c r="B5377">
        <v>10.918100000000001</v>
      </c>
    </row>
    <row r="5378" spans="1:2">
      <c r="A5378" s="117">
        <v>38932</v>
      </c>
      <c r="B5378">
        <v>11.020300000000001</v>
      </c>
    </row>
    <row r="5379" spans="1:2">
      <c r="A5379" s="117">
        <v>38933</v>
      </c>
      <c r="B5379">
        <v>10.9537</v>
      </c>
    </row>
    <row r="5380" spans="1:2">
      <c r="A5380" s="117">
        <v>38934</v>
      </c>
      <c r="B5380">
        <v>10.9802</v>
      </c>
    </row>
    <row r="5381" spans="1:2">
      <c r="A5381" s="117">
        <v>38935</v>
      </c>
      <c r="B5381">
        <v>10.9802</v>
      </c>
    </row>
    <row r="5382" spans="1:2">
      <c r="A5382" s="117">
        <v>38936</v>
      </c>
      <c r="B5382">
        <v>10.9802</v>
      </c>
    </row>
    <row r="5383" spans="1:2">
      <c r="A5383" s="117">
        <v>38937</v>
      </c>
      <c r="B5383">
        <v>10.8908</v>
      </c>
    </row>
    <row r="5384" spans="1:2">
      <c r="A5384" s="117">
        <v>38938</v>
      </c>
      <c r="B5384">
        <v>10.883800000000001</v>
      </c>
    </row>
    <row r="5385" spans="1:2">
      <c r="A5385" s="117">
        <v>38939</v>
      </c>
      <c r="B5385">
        <v>10.911300000000001</v>
      </c>
    </row>
    <row r="5386" spans="1:2">
      <c r="A5386" s="117">
        <v>38940</v>
      </c>
      <c r="B5386">
        <v>10.8386</v>
      </c>
    </row>
    <row r="5387" spans="1:2">
      <c r="A5387" s="117">
        <v>38941</v>
      </c>
      <c r="B5387">
        <v>10.880800000000001</v>
      </c>
    </row>
    <row r="5388" spans="1:2">
      <c r="A5388" s="117">
        <v>38942</v>
      </c>
      <c r="B5388">
        <v>10.880800000000001</v>
      </c>
    </row>
    <row r="5389" spans="1:2">
      <c r="A5389" s="117">
        <v>38943</v>
      </c>
      <c r="B5389">
        <v>10.880800000000001</v>
      </c>
    </row>
    <row r="5390" spans="1:2">
      <c r="A5390" s="117">
        <v>38944</v>
      </c>
      <c r="B5390">
        <v>10.8147</v>
      </c>
    </row>
    <row r="5391" spans="1:2">
      <c r="A5391" s="117">
        <v>38945</v>
      </c>
      <c r="B5391">
        <v>10.8028</v>
      </c>
    </row>
    <row r="5392" spans="1:2">
      <c r="A5392" s="117">
        <v>38946</v>
      </c>
      <c r="B5392">
        <v>10.824999999999999</v>
      </c>
    </row>
    <row r="5393" spans="1:2">
      <c r="A5393" s="117">
        <v>38947</v>
      </c>
      <c r="B5393">
        <v>10.75</v>
      </c>
    </row>
    <row r="5394" spans="1:2">
      <c r="A5394" s="117">
        <v>38948</v>
      </c>
      <c r="B5394">
        <v>10.747999999999999</v>
      </c>
    </row>
    <row r="5395" spans="1:2">
      <c r="A5395" s="117">
        <v>38949</v>
      </c>
      <c r="B5395">
        <v>10.747999999999999</v>
      </c>
    </row>
    <row r="5396" spans="1:2">
      <c r="A5396" s="117">
        <v>38950</v>
      </c>
      <c r="B5396">
        <v>10.747999999999999</v>
      </c>
    </row>
    <row r="5397" spans="1:2">
      <c r="A5397" s="117">
        <v>38951</v>
      </c>
      <c r="B5397">
        <v>10.8217</v>
      </c>
    </row>
    <row r="5398" spans="1:2">
      <c r="A5398" s="117">
        <v>38952</v>
      </c>
      <c r="B5398">
        <v>10.803800000000001</v>
      </c>
    </row>
    <row r="5399" spans="1:2">
      <c r="A5399" s="117">
        <v>38953</v>
      </c>
      <c r="B5399">
        <v>10.804</v>
      </c>
    </row>
    <row r="5400" spans="1:2">
      <c r="A5400" s="117">
        <v>38954</v>
      </c>
      <c r="B5400">
        <v>10.8428</v>
      </c>
    </row>
    <row r="5401" spans="1:2">
      <c r="A5401" s="117">
        <v>38955</v>
      </c>
      <c r="B5401">
        <v>10.922000000000001</v>
      </c>
    </row>
    <row r="5402" spans="1:2">
      <c r="A5402" s="117">
        <v>38956</v>
      </c>
      <c r="B5402">
        <v>10.922000000000001</v>
      </c>
    </row>
    <row r="5403" spans="1:2">
      <c r="A5403" s="117">
        <v>38957</v>
      </c>
      <c r="B5403">
        <v>10.922000000000001</v>
      </c>
    </row>
    <row r="5404" spans="1:2">
      <c r="A5404" s="117">
        <v>38958</v>
      </c>
      <c r="B5404">
        <v>10.9528</v>
      </c>
    </row>
    <row r="5405" spans="1:2">
      <c r="A5405" s="117">
        <v>38959</v>
      </c>
      <c r="B5405">
        <v>10.934699999999999</v>
      </c>
    </row>
    <row r="5406" spans="1:2">
      <c r="A5406" s="117">
        <v>38960</v>
      </c>
      <c r="B5406">
        <v>10.9047</v>
      </c>
    </row>
    <row r="5407" spans="1:2">
      <c r="A5407" s="117">
        <v>38961</v>
      </c>
      <c r="B5407">
        <v>10.865</v>
      </c>
    </row>
    <row r="5408" spans="1:2">
      <c r="A5408" s="117">
        <v>38962</v>
      </c>
      <c r="B5408">
        <v>10.903700000000001</v>
      </c>
    </row>
    <row r="5409" spans="1:2">
      <c r="A5409" s="117">
        <v>38963</v>
      </c>
      <c r="B5409">
        <v>10.903700000000001</v>
      </c>
    </row>
    <row r="5410" spans="1:2">
      <c r="A5410" s="117">
        <v>38964</v>
      </c>
      <c r="B5410">
        <v>10.903700000000001</v>
      </c>
    </row>
    <row r="5411" spans="1:2">
      <c r="A5411" s="117">
        <v>38965</v>
      </c>
      <c r="B5411">
        <v>10.895200000000001</v>
      </c>
    </row>
    <row r="5412" spans="1:2">
      <c r="A5412" s="117">
        <v>38966</v>
      </c>
      <c r="B5412">
        <v>10.8476</v>
      </c>
    </row>
    <row r="5413" spans="1:2">
      <c r="A5413" s="117">
        <v>38967</v>
      </c>
      <c r="B5413">
        <v>10.8438</v>
      </c>
    </row>
    <row r="5414" spans="1:2">
      <c r="A5414" s="117">
        <v>38968</v>
      </c>
      <c r="B5414">
        <v>10.938000000000001</v>
      </c>
    </row>
    <row r="5415" spans="1:2">
      <c r="A5415" s="117">
        <v>38969</v>
      </c>
      <c r="B5415">
        <v>11.019600000000001</v>
      </c>
    </row>
    <row r="5416" spans="1:2">
      <c r="A5416" s="117">
        <v>38970</v>
      </c>
      <c r="B5416">
        <v>11.019600000000001</v>
      </c>
    </row>
    <row r="5417" spans="1:2">
      <c r="A5417" s="117">
        <v>38971</v>
      </c>
      <c r="B5417">
        <v>11.019600000000001</v>
      </c>
    </row>
    <row r="5418" spans="1:2">
      <c r="A5418" s="117">
        <v>38972</v>
      </c>
      <c r="B5418">
        <v>11.027100000000001</v>
      </c>
    </row>
    <row r="5419" spans="1:2">
      <c r="A5419" s="117">
        <v>38973</v>
      </c>
      <c r="B5419">
        <v>11.070499999999999</v>
      </c>
    </row>
    <row r="5420" spans="1:2">
      <c r="A5420" s="117">
        <v>38974</v>
      </c>
      <c r="B5420">
        <v>11.036099999999999</v>
      </c>
    </row>
    <row r="5421" spans="1:2">
      <c r="A5421" s="117">
        <v>38975</v>
      </c>
      <c r="B5421">
        <v>11.011699999999999</v>
      </c>
    </row>
    <row r="5422" spans="1:2">
      <c r="A5422" s="117">
        <v>38976</v>
      </c>
      <c r="B5422">
        <v>10.9818</v>
      </c>
    </row>
    <row r="5423" spans="1:2">
      <c r="A5423" s="117">
        <v>38977</v>
      </c>
      <c r="B5423">
        <v>10.9818</v>
      </c>
    </row>
    <row r="5424" spans="1:2">
      <c r="A5424" s="117">
        <v>38978</v>
      </c>
      <c r="B5424">
        <v>10.9818</v>
      </c>
    </row>
    <row r="5425" spans="1:2">
      <c r="A5425" s="117">
        <v>38979</v>
      </c>
      <c r="B5425">
        <v>10.9468</v>
      </c>
    </row>
    <row r="5426" spans="1:2">
      <c r="A5426" s="117">
        <v>38980</v>
      </c>
      <c r="B5426">
        <v>10.927300000000001</v>
      </c>
    </row>
    <row r="5427" spans="1:2">
      <c r="A5427" s="117">
        <v>38981</v>
      </c>
      <c r="B5427">
        <v>10.922700000000001</v>
      </c>
    </row>
    <row r="5428" spans="1:2">
      <c r="A5428" s="117">
        <v>38982</v>
      </c>
      <c r="B5428">
        <v>10.9346</v>
      </c>
    </row>
    <row r="5429" spans="1:2">
      <c r="A5429" s="117">
        <v>38983</v>
      </c>
      <c r="B5429">
        <v>10.9953</v>
      </c>
    </row>
    <row r="5430" spans="1:2">
      <c r="A5430" s="117">
        <v>38984</v>
      </c>
      <c r="B5430">
        <v>10.9953</v>
      </c>
    </row>
    <row r="5431" spans="1:2">
      <c r="A5431" s="117">
        <v>38985</v>
      </c>
      <c r="B5431">
        <v>10.9953</v>
      </c>
    </row>
    <row r="5432" spans="1:2">
      <c r="A5432" s="117">
        <v>38986</v>
      </c>
      <c r="B5432">
        <v>11.0877</v>
      </c>
    </row>
    <row r="5433" spans="1:2">
      <c r="A5433" s="117">
        <v>38987</v>
      </c>
      <c r="B5433">
        <v>11.105</v>
      </c>
    </row>
    <row r="5434" spans="1:2">
      <c r="A5434" s="117">
        <v>38988</v>
      </c>
      <c r="B5434">
        <v>11.0418</v>
      </c>
    </row>
    <row r="5435" spans="1:2">
      <c r="A5435" s="117">
        <v>38989</v>
      </c>
      <c r="B5435">
        <v>11.0152</v>
      </c>
    </row>
    <row r="5436" spans="1:2">
      <c r="A5436" s="117">
        <v>38990</v>
      </c>
      <c r="B5436">
        <v>11.0502</v>
      </c>
    </row>
    <row r="5437" spans="1:2">
      <c r="A5437" s="117">
        <v>38991</v>
      </c>
      <c r="B5437">
        <v>11.0502</v>
      </c>
    </row>
    <row r="5438" spans="1:2">
      <c r="A5438" s="117">
        <v>38992</v>
      </c>
      <c r="B5438">
        <v>11.0502</v>
      </c>
    </row>
    <row r="5439" spans="1:2">
      <c r="A5439" s="117">
        <v>38993</v>
      </c>
      <c r="B5439">
        <v>10.993499999999999</v>
      </c>
    </row>
    <row r="5440" spans="1:2">
      <c r="A5440" s="117">
        <v>38994</v>
      </c>
      <c r="B5440">
        <v>10.9733</v>
      </c>
    </row>
    <row r="5441" spans="1:2">
      <c r="A5441" s="117">
        <v>38995</v>
      </c>
      <c r="B5441">
        <v>11.0404</v>
      </c>
    </row>
    <row r="5442" spans="1:2">
      <c r="A5442" s="117">
        <v>38996</v>
      </c>
      <c r="B5442">
        <v>11.0533</v>
      </c>
    </row>
    <row r="5443" spans="1:2">
      <c r="A5443" s="117">
        <v>38997</v>
      </c>
      <c r="B5443">
        <v>11.0185</v>
      </c>
    </row>
    <row r="5444" spans="1:2">
      <c r="A5444" s="117">
        <v>38998</v>
      </c>
      <c r="B5444">
        <v>11.0185</v>
      </c>
    </row>
    <row r="5445" spans="1:2">
      <c r="A5445" s="117">
        <v>38999</v>
      </c>
      <c r="B5445">
        <v>11.0185</v>
      </c>
    </row>
    <row r="5446" spans="1:2">
      <c r="A5446" s="117">
        <v>39000</v>
      </c>
      <c r="B5446">
        <v>11.0624</v>
      </c>
    </row>
    <row r="5447" spans="1:2">
      <c r="A5447" s="117">
        <v>39001</v>
      </c>
      <c r="B5447">
        <v>11.084199999999999</v>
      </c>
    </row>
    <row r="5448" spans="1:2">
      <c r="A5448" s="117">
        <v>39002</v>
      </c>
      <c r="B5448">
        <v>11.059699999999999</v>
      </c>
    </row>
    <row r="5449" spans="1:2">
      <c r="A5449" s="117">
        <v>39003</v>
      </c>
      <c r="B5449">
        <v>11.024800000000001</v>
      </c>
    </row>
    <row r="5450" spans="1:2">
      <c r="A5450" s="117">
        <v>39004</v>
      </c>
      <c r="B5450">
        <v>10.9406</v>
      </c>
    </row>
    <row r="5451" spans="1:2">
      <c r="A5451" s="117">
        <v>39005</v>
      </c>
      <c r="B5451">
        <v>10.9406</v>
      </c>
    </row>
    <row r="5452" spans="1:2">
      <c r="A5452" s="117">
        <v>39006</v>
      </c>
      <c r="B5452">
        <v>10.9406</v>
      </c>
    </row>
    <row r="5453" spans="1:2">
      <c r="A5453" s="117">
        <v>39007</v>
      </c>
      <c r="B5453">
        <v>10.8765</v>
      </c>
    </row>
    <row r="5454" spans="1:2">
      <c r="A5454" s="117">
        <v>39008</v>
      </c>
      <c r="B5454">
        <v>10.836399999999999</v>
      </c>
    </row>
    <row r="5455" spans="1:2">
      <c r="A5455" s="117">
        <v>39009</v>
      </c>
      <c r="B5455">
        <v>10.8703</v>
      </c>
    </row>
    <row r="5456" spans="1:2">
      <c r="A5456" s="117">
        <v>39010</v>
      </c>
      <c r="B5456">
        <v>10.825699999999999</v>
      </c>
    </row>
    <row r="5457" spans="1:2">
      <c r="A5457" s="117">
        <v>39011</v>
      </c>
      <c r="B5457">
        <v>10.805999999999999</v>
      </c>
    </row>
    <row r="5458" spans="1:2">
      <c r="A5458" s="117">
        <v>39012</v>
      </c>
      <c r="B5458">
        <v>10.805999999999999</v>
      </c>
    </row>
    <row r="5459" spans="1:2">
      <c r="A5459" s="117">
        <v>39013</v>
      </c>
      <c r="B5459">
        <v>10.805999999999999</v>
      </c>
    </row>
    <row r="5460" spans="1:2">
      <c r="A5460" s="117">
        <v>39014</v>
      </c>
      <c r="B5460">
        <v>10.8169</v>
      </c>
    </row>
    <row r="5461" spans="1:2">
      <c r="A5461" s="117">
        <v>39015</v>
      </c>
      <c r="B5461">
        <v>10.8489</v>
      </c>
    </row>
    <row r="5462" spans="1:2">
      <c r="A5462" s="117">
        <v>39016</v>
      </c>
      <c r="B5462">
        <v>10.828900000000001</v>
      </c>
    </row>
    <row r="5463" spans="1:2">
      <c r="A5463" s="117">
        <v>39017</v>
      </c>
      <c r="B5463">
        <v>10.7918</v>
      </c>
    </row>
    <row r="5464" spans="1:2">
      <c r="A5464" s="117">
        <v>39018</v>
      </c>
      <c r="B5464">
        <v>10.731299999999999</v>
      </c>
    </row>
    <row r="5465" spans="1:2">
      <c r="A5465" s="117">
        <v>39019</v>
      </c>
      <c r="B5465">
        <v>10.731299999999999</v>
      </c>
    </row>
    <row r="5466" spans="1:2">
      <c r="A5466" s="117">
        <v>39020</v>
      </c>
      <c r="B5466">
        <v>10.731299999999999</v>
      </c>
    </row>
    <row r="5467" spans="1:2">
      <c r="A5467" s="117">
        <v>39021</v>
      </c>
      <c r="B5467">
        <v>10.709300000000001</v>
      </c>
    </row>
    <row r="5468" spans="1:2">
      <c r="A5468" s="117">
        <v>39022</v>
      </c>
      <c r="B5468">
        <v>10.773999999999999</v>
      </c>
    </row>
    <row r="5469" spans="1:2">
      <c r="A5469" s="117">
        <v>39023</v>
      </c>
      <c r="B5469">
        <v>10.763999999999999</v>
      </c>
    </row>
    <row r="5470" spans="1:2">
      <c r="A5470" s="117">
        <v>39024</v>
      </c>
      <c r="B5470">
        <v>10.763999999999999</v>
      </c>
    </row>
    <row r="5471" spans="1:2">
      <c r="A5471" s="117">
        <v>39025</v>
      </c>
      <c r="B5471">
        <v>10.744899999999999</v>
      </c>
    </row>
    <row r="5472" spans="1:2">
      <c r="A5472" s="117">
        <v>39026</v>
      </c>
      <c r="B5472">
        <v>10.744899999999999</v>
      </c>
    </row>
    <row r="5473" spans="1:2">
      <c r="A5473" s="117">
        <v>39027</v>
      </c>
      <c r="B5473">
        <v>10.744899999999999</v>
      </c>
    </row>
    <row r="5474" spans="1:2">
      <c r="A5474" s="117">
        <v>39028</v>
      </c>
      <c r="B5474">
        <v>10.7948</v>
      </c>
    </row>
    <row r="5475" spans="1:2">
      <c r="A5475" s="117">
        <v>39029</v>
      </c>
      <c r="B5475">
        <v>10.8344</v>
      </c>
    </row>
    <row r="5476" spans="1:2">
      <c r="A5476" s="117">
        <v>39030</v>
      </c>
      <c r="B5476">
        <v>10.82</v>
      </c>
    </row>
    <row r="5477" spans="1:2">
      <c r="A5477" s="117">
        <v>39031</v>
      </c>
      <c r="B5477">
        <v>10.8598</v>
      </c>
    </row>
    <row r="5478" spans="1:2">
      <c r="A5478" s="117">
        <v>39032</v>
      </c>
      <c r="B5478">
        <v>10.863200000000001</v>
      </c>
    </row>
    <row r="5479" spans="1:2">
      <c r="A5479" s="117">
        <v>39033</v>
      </c>
      <c r="B5479">
        <v>10.863200000000001</v>
      </c>
    </row>
    <row r="5480" spans="1:2">
      <c r="A5480" s="117">
        <v>39034</v>
      </c>
      <c r="B5480">
        <v>10.863200000000001</v>
      </c>
    </row>
    <row r="5481" spans="1:2">
      <c r="A5481" s="117">
        <v>39035</v>
      </c>
      <c r="B5481">
        <v>10.915800000000001</v>
      </c>
    </row>
    <row r="5482" spans="1:2">
      <c r="A5482" s="117">
        <v>39036</v>
      </c>
      <c r="B5482">
        <v>10.926299999999999</v>
      </c>
    </row>
    <row r="5483" spans="1:2">
      <c r="A5483" s="117">
        <v>39037</v>
      </c>
      <c r="B5483">
        <v>10.8675</v>
      </c>
    </row>
    <row r="5484" spans="1:2">
      <c r="A5484" s="117">
        <v>39038</v>
      </c>
      <c r="B5484">
        <v>10.859500000000001</v>
      </c>
    </row>
    <row r="5485" spans="1:2">
      <c r="A5485" s="117">
        <v>39039</v>
      </c>
      <c r="B5485">
        <v>10.8527</v>
      </c>
    </row>
    <row r="5486" spans="1:2">
      <c r="A5486" s="117">
        <v>39040</v>
      </c>
      <c r="B5486">
        <v>10.8527</v>
      </c>
    </row>
    <row r="5487" spans="1:2">
      <c r="A5487" s="117">
        <v>39041</v>
      </c>
      <c r="B5487">
        <v>10.8527</v>
      </c>
    </row>
    <row r="5488" spans="1:2">
      <c r="A5488" s="117">
        <v>39042</v>
      </c>
      <c r="B5488">
        <v>10.8527</v>
      </c>
    </row>
    <row r="5489" spans="1:2">
      <c r="A5489" s="117">
        <v>39043</v>
      </c>
      <c r="B5489">
        <v>10.952400000000001</v>
      </c>
    </row>
    <row r="5490" spans="1:2">
      <c r="A5490" s="117">
        <v>39044</v>
      </c>
      <c r="B5490">
        <v>11.0021</v>
      </c>
    </row>
    <row r="5491" spans="1:2">
      <c r="A5491" s="117">
        <v>39045</v>
      </c>
      <c r="B5491">
        <v>10.9756</v>
      </c>
    </row>
    <row r="5492" spans="1:2">
      <c r="A5492" s="117">
        <v>39046</v>
      </c>
      <c r="B5492">
        <v>10.9682</v>
      </c>
    </row>
    <row r="5493" spans="1:2">
      <c r="A5493" s="117">
        <v>39047</v>
      </c>
      <c r="B5493">
        <v>10.9682</v>
      </c>
    </row>
    <row r="5494" spans="1:2">
      <c r="A5494" s="117">
        <v>39048</v>
      </c>
      <c r="B5494">
        <v>10.9682</v>
      </c>
    </row>
    <row r="5495" spans="1:2">
      <c r="A5495" s="117">
        <v>39049</v>
      </c>
      <c r="B5495">
        <v>11.0242</v>
      </c>
    </row>
    <row r="5496" spans="1:2">
      <c r="A5496" s="117">
        <v>39050</v>
      </c>
      <c r="B5496">
        <v>11.052</v>
      </c>
    </row>
    <row r="5497" spans="1:2">
      <c r="A5497" s="117">
        <v>39051</v>
      </c>
      <c r="B5497">
        <v>11.045400000000001</v>
      </c>
    </row>
    <row r="5498" spans="1:2">
      <c r="A5498" s="117">
        <v>39052</v>
      </c>
      <c r="B5498">
        <v>10.9983</v>
      </c>
    </row>
    <row r="5499" spans="1:2">
      <c r="A5499" s="117">
        <v>39053</v>
      </c>
      <c r="B5499">
        <v>10.9983</v>
      </c>
    </row>
    <row r="5500" spans="1:2">
      <c r="A5500" s="117">
        <v>39054</v>
      </c>
      <c r="B5500">
        <v>10.9983</v>
      </c>
    </row>
    <row r="5501" spans="1:2">
      <c r="A5501" s="117">
        <v>39055</v>
      </c>
      <c r="B5501">
        <v>10.9983</v>
      </c>
    </row>
    <row r="5502" spans="1:2">
      <c r="A5502" s="117">
        <v>39056</v>
      </c>
      <c r="B5502">
        <v>10.9975</v>
      </c>
    </row>
    <row r="5503" spans="1:2">
      <c r="A5503" s="117">
        <v>39057</v>
      </c>
      <c r="B5503">
        <v>10.9595</v>
      </c>
    </row>
    <row r="5504" spans="1:2">
      <c r="A5504" s="117">
        <v>39058</v>
      </c>
      <c r="B5504">
        <v>10.894</v>
      </c>
    </row>
    <row r="5505" spans="1:2">
      <c r="A5505" s="117">
        <v>39059</v>
      </c>
      <c r="B5505">
        <v>10.862</v>
      </c>
    </row>
    <row r="5506" spans="1:2">
      <c r="A5506" s="117">
        <v>39060</v>
      </c>
      <c r="B5506">
        <v>10.8558</v>
      </c>
    </row>
    <row r="5507" spans="1:2">
      <c r="A5507" s="117">
        <v>39061</v>
      </c>
      <c r="B5507">
        <v>10.8558</v>
      </c>
    </row>
    <row r="5508" spans="1:2">
      <c r="A5508" s="117">
        <v>39062</v>
      </c>
      <c r="B5508">
        <v>10.8558</v>
      </c>
    </row>
    <row r="5509" spans="1:2">
      <c r="A5509" s="117">
        <v>39063</v>
      </c>
      <c r="B5509">
        <v>10.8606</v>
      </c>
    </row>
    <row r="5510" spans="1:2">
      <c r="A5510" s="117">
        <v>39064</v>
      </c>
      <c r="B5510">
        <v>10.8606</v>
      </c>
    </row>
    <row r="5511" spans="1:2">
      <c r="A5511" s="117">
        <v>39065</v>
      </c>
      <c r="B5511">
        <v>10.8375</v>
      </c>
    </row>
    <row r="5512" spans="1:2">
      <c r="A5512" s="117">
        <v>39066</v>
      </c>
      <c r="B5512">
        <v>10.8255</v>
      </c>
    </row>
    <row r="5513" spans="1:2">
      <c r="A5513" s="117">
        <v>39067</v>
      </c>
      <c r="B5513">
        <v>10.792199999999999</v>
      </c>
    </row>
    <row r="5514" spans="1:2">
      <c r="A5514" s="117">
        <v>39068</v>
      </c>
      <c r="B5514">
        <v>10.792199999999999</v>
      </c>
    </row>
    <row r="5515" spans="1:2">
      <c r="A5515" s="117">
        <v>39069</v>
      </c>
      <c r="B5515">
        <v>10.792199999999999</v>
      </c>
    </row>
    <row r="5516" spans="1:2">
      <c r="A5516" s="117">
        <v>39070</v>
      </c>
      <c r="B5516">
        <v>10.773999999999999</v>
      </c>
    </row>
    <row r="5517" spans="1:2">
      <c r="A5517" s="117">
        <v>39071</v>
      </c>
      <c r="B5517">
        <v>10.8002</v>
      </c>
    </row>
    <row r="5518" spans="1:2">
      <c r="A5518" s="117">
        <v>39072</v>
      </c>
      <c r="B5518">
        <v>10.8492</v>
      </c>
    </row>
    <row r="5519" spans="1:2">
      <c r="A5519" s="117">
        <v>39073</v>
      </c>
      <c r="B5519">
        <v>10.807499999999999</v>
      </c>
    </row>
    <row r="5520" spans="1:2">
      <c r="A5520" s="117">
        <v>39074</v>
      </c>
      <c r="B5520">
        <v>10.841100000000001</v>
      </c>
    </row>
    <row r="5521" spans="1:2">
      <c r="A5521" s="117">
        <v>39075</v>
      </c>
      <c r="B5521">
        <v>10.841100000000001</v>
      </c>
    </row>
    <row r="5522" spans="1:2">
      <c r="A5522" s="117">
        <v>39076</v>
      </c>
      <c r="B5522">
        <v>10.841100000000001</v>
      </c>
    </row>
    <row r="5523" spans="1:2">
      <c r="A5523" s="117">
        <v>39077</v>
      </c>
      <c r="B5523">
        <v>10.841100000000001</v>
      </c>
    </row>
    <row r="5524" spans="1:2">
      <c r="A5524" s="117">
        <v>39078</v>
      </c>
      <c r="B5524">
        <v>10.8597</v>
      </c>
    </row>
    <row r="5525" spans="1:2">
      <c r="A5525" s="117">
        <v>39079</v>
      </c>
      <c r="B5525">
        <v>10.874700000000001</v>
      </c>
    </row>
    <row r="5526" spans="1:2">
      <c r="A5526" s="117">
        <v>39080</v>
      </c>
      <c r="B5526">
        <v>10.881</v>
      </c>
    </row>
    <row r="5527" spans="1:2">
      <c r="A5527" s="117">
        <v>39081</v>
      </c>
      <c r="B5527">
        <v>10.875500000000001</v>
      </c>
    </row>
    <row r="5528" spans="1:2">
      <c r="A5528" s="117">
        <v>39082</v>
      </c>
      <c r="B5528">
        <v>10.875500000000001</v>
      </c>
    </row>
    <row r="5529" spans="1:2">
      <c r="A5529" s="117">
        <v>39083</v>
      </c>
      <c r="B5529">
        <v>10.875500000000001</v>
      </c>
    </row>
    <row r="5530" spans="1:2">
      <c r="A5530" s="117">
        <v>39084</v>
      </c>
      <c r="B5530">
        <v>10.875500000000001</v>
      </c>
    </row>
    <row r="5531" spans="1:2">
      <c r="A5531" s="117">
        <v>39085</v>
      </c>
      <c r="B5531">
        <v>10.8116</v>
      </c>
    </row>
    <row r="5532" spans="1:2">
      <c r="A5532" s="117">
        <v>39086</v>
      </c>
      <c r="B5532">
        <v>10.781499999999999</v>
      </c>
    </row>
    <row r="5533" spans="1:2">
      <c r="A5533" s="117">
        <v>39087</v>
      </c>
      <c r="B5533">
        <v>10.770799999999999</v>
      </c>
    </row>
    <row r="5534" spans="1:2">
      <c r="A5534" s="117">
        <v>39088</v>
      </c>
      <c r="B5534">
        <v>10.865</v>
      </c>
    </row>
    <row r="5535" spans="1:2">
      <c r="A5535" s="117">
        <v>39089</v>
      </c>
      <c r="B5535">
        <v>10.865</v>
      </c>
    </row>
    <row r="5536" spans="1:2">
      <c r="A5536" s="117">
        <v>39090</v>
      </c>
      <c r="B5536">
        <v>10.865</v>
      </c>
    </row>
    <row r="5537" spans="1:2">
      <c r="A5537" s="117">
        <v>39091</v>
      </c>
      <c r="B5537">
        <v>10.935499999999999</v>
      </c>
    </row>
    <row r="5538" spans="1:2">
      <c r="A5538" s="117">
        <v>39092</v>
      </c>
      <c r="B5538">
        <v>10.970499999999999</v>
      </c>
    </row>
    <row r="5539" spans="1:2">
      <c r="A5539" s="117">
        <v>39093</v>
      </c>
      <c r="B5539">
        <v>11.0091</v>
      </c>
    </row>
    <row r="5540" spans="1:2">
      <c r="A5540" s="117">
        <v>39094</v>
      </c>
      <c r="B5540">
        <v>11.033300000000001</v>
      </c>
    </row>
    <row r="5541" spans="1:2">
      <c r="A5541" s="117">
        <v>39095</v>
      </c>
      <c r="B5541">
        <v>10.965</v>
      </c>
    </row>
    <row r="5542" spans="1:2">
      <c r="A5542" s="117">
        <v>39096</v>
      </c>
      <c r="B5542">
        <v>10.965</v>
      </c>
    </row>
    <row r="5543" spans="1:2">
      <c r="A5543" s="117">
        <v>39097</v>
      </c>
      <c r="B5543">
        <v>10.965</v>
      </c>
    </row>
    <row r="5544" spans="1:2">
      <c r="A5544" s="117">
        <v>39098</v>
      </c>
      <c r="B5544">
        <v>10.9765</v>
      </c>
    </row>
    <row r="5545" spans="1:2">
      <c r="A5545" s="117">
        <v>39099</v>
      </c>
      <c r="B5545">
        <v>10.9419</v>
      </c>
    </row>
    <row r="5546" spans="1:2">
      <c r="A5546" s="117">
        <v>39100</v>
      </c>
      <c r="B5546">
        <v>10.986000000000001</v>
      </c>
    </row>
    <row r="5547" spans="1:2">
      <c r="A5547" s="117">
        <v>39101</v>
      </c>
      <c r="B5547">
        <v>10.923400000000001</v>
      </c>
    </row>
    <row r="5548" spans="1:2">
      <c r="A5548" s="117">
        <v>39102</v>
      </c>
      <c r="B5548">
        <v>10.9232</v>
      </c>
    </row>
    <row r="5549" spans="1:2">
      <c r="A5549" s="117">
        <v>39103</v>
      </c>
      <c r="B5549">
        <v>10.9232</v>
      </c>
    </row>
    <row r="5550" spans="1:2">
      <c r="A5550" s="117">
        <v>39104</v>
      </c>
      <c r="B5550">
        <v>10.9232</v>
      </c>
    </row>
    <row r="5551" spans="1:2">
      <c r="A5551" s="117">
        <v>39105</v>
      </c>
      <c r="B5551">
        <v>10.882400000000001</v>
      </c>
    </row>
    <row r="5552" spans="1:2">
      <c r="A5552" s="117">
        <v>39106</v>
      </c>
      <c r="B5552">
        <v>10.8918</v>
      </c>
    </row>
    <row r="5553" spans="1:2">
      <c r="A5553" s="117">
        <v>39107</v>
      </c>
      <c r="B5553">
        <v>10.964499999999999</v>
      </c>
    </row>
    <row r="5554" spans="1:2">
      <c r="A5554" s="117">
        <v>39108</v>
      </c>
      <c r="B5554">
        <v>10.948600000000001</v>
      </c>
    </row>
    <row r="5555" spans="1:2">
      <c r="A5555" s="117">
        <v>39109</v>
      </c>
      <c r="B5555">
        <v>10.975300000000001</v>
      </c>
    </row>
    <row r="5556" spans="1:2">
      <c r="A5556" s="117">
        <v>39110</v>
      </c>
      <c r="B5556">
        <v>10.975300000000001</v>
      </c>
    </row>
    <row r="5557" spans="1:2">
      <c r="A5557" s="117">
        <v>39111</v>
      </c>
      <c r="B5557">
        <v>10.975300000000001</v>
      </c>
    </row>
    <row r="5558" spans="1:2">
      <c r="A5558" s="117">
        <v>39112</v>
      </c>
      <c r="B5558">
        <v>11.0402</v>
      </c>
    </row>
    <row r="5559" spans="1:2">
      <c r="A5559" s="117">
        <v>39113</v>
      </c>
      <c r="B5559">
        <v>11.0855</v>
      </c>
    </row>
    <row r="5560" spans="1:2">
      <c r="A5560" s="117">
        <v>39114</v>
      </c>
      <c r="B5560">
        <v>11.0548</v>
      </c>
    </row>
    <row r="5561" spans="1:2">
      <c r="A5561" s="117">
        <v>39115</v>
      </c>
      <c r="B5561">
        <v>11.0382</v>
      </c>
    </row>
    <row r="5562" spans="1:2">
      <c r="A5562" s="117">
        <v>39116</v>
      </c>
      <c r="B5562">
        <v>10.981999999999999</v>
      </c>
    </row>
    <row r="5563" spans="1:2">
      <c r="A5563" s="117">
        <v>39117</v>
      </c>
      <c r="B5563">
        <v>10.981999999999999</v>
      </c>
    </row>
    <row r="5564" spans="1:2">
      <c r="A5564" s="117">
        <v>39118</v>
      </c>
      <c r="B5564">
        <v>10.981999999999999</v>
      </c>
    </row>
    <row r="5565" spans="1:2">
      <c r="A5565" s="117">
        <v>39119</v>
      </c>
      <c r="B5565">
        <v>10.981999999999999</v>
      </c>
    </row>
    <row r="5566" spans="1:2">
      <c r="A5566" s="117">
        <v>39120</v>
      </c>
      <c r="B5566">
        <v>10.992100000000001</v>
      </c>
    </row>
    <row r="5567" spans="1:2">
      <c r="A5567" s="117">
        <v>39121</v>
      </c>
      <c r="B5567">
        <v>10.9192</v>
      </c>
    </row>
    <row r="5568" spans="1:2">
      <c r="A5568" s="117">
        <v>39122</v>
      </c>
      <c r="B5568">
        <v>10.936999999999999</v>
      </c>
    </row>
    <row r="5569" spans="1:2">
      <c r="A5569" s="117">
        <v>39123</v>
      </c>
      <c r="B5569">
        <v>10.968299999999999</v>
      </c>
    </row>
    <row r="5570" spans="1:2">
      <c r="A5570" s="117">
        <v>39124</v>
      </c>
      <c r="B5570">
        <v>10.968299999999999</v>
      </c>
    </row>
    <row r="5571" spans="1:2">
      <c r="A5571" s="117">
        <v>39125</v>
      </c>
      <c r="B5571">
        <v>10.968299999999999</v>
      </c>
    </row>
    <row r="5572" spans="1:2">
      <c r="A5572" s="117">
        <v>39126</v>
      </c>
      <c r="B5572">
        <v>10.960100000000001</v>
      </c>
    </row>
    <row r="5573" spans="1:2">
      <c r="A5573" s="117">
        <v>39127</v>
      </c>
      <c r="B5573">
        <v>11.0227</v>
      </c>
    </row>
    <row r="5574" spans="1:2">
      <c r="A5574" s="117">
        <v>39128</v>
      </c>
      <c r="B5574">
        <v>10.9915</v>
      </c>
    </row>
    <row r="5575" spans="1:2">
      <c r="A5575" s="117">
        <v>39129</v>
      </c>
      <c r="B5575">
        <v>10.9152</v>
      </c>
    </row>
    <row r="5576" spans="1:2">
      <c r="A5576" s="117">
        <v>39130</v>
      </c>
      <c r="B5576">
        <v>10.952199999999999</v>
      </c>
    </row>
    <row r="5577" spans="1:2">
      <c r="A5577" s="117">
        <v>39131</v>
      </c>
      <c r="B5577">
        <v>10.952199999999999</v>
      </c>
    </row>
    <row r="5578" spans="1:2">
      <c r="A5578" s="117">
        <v>39132</v>
      </c>
      <c r="B5578">
        <v>10.952199999999999</v>
      </c>
    </row>
    <row r="5579" spans="1:2">
      <c r="A5579" s="117">
        <v>39133</v>
      </c>
      <c r="B5579">
        <v>10.995799999999999</v>
      </c>
    </row>
    <row r="5580" spans="1:2">
      <c r="A5580" s="117">
        <v>39134</v>
      </c>
      <c r="B5580">
        <v>10.9778</v>
      </c>
    </row>
    <row r="5581" spans="1:2">
      <c r="A5581" s="117">
        <v>39135</v>
      </c>
      <c r="B5581">
        <v>10.9755</v>
      </c>
    </row>
    <row r="5582" spans="1:2">
      <c r="A5582" s="117">
        <v>39136</v>
      </c>
      <c r="B5582">
        <v>11.0023</v>
      </c>
    </row>
    <row r="5583" spans="1:2">
      <c r="A5583" s="117">
        <v>39137</v>
      </c>
      <c r="B5583">
        <v>10.968299999999999</v>
      </c>
    </row>
    <row r="5584" spans="1:2">
      <c r="A5584" s="117">
        <v>39138</v>
      </c>
      <c r="B5584">
        <v>10.968299999999999</v>
      </c>
    </row>
    <row r="5585" spans="1:2">
      <c r="A5585" s="117">
        <v>39139</v>
      </c>
      <c r="B5585">
        <v>10.968299999999999</v>
      </c>
    </row>
    <row r="5586" spans="1:2">
      <c r="A5586" s="117">
        <v>39140</v>
      </c>
      <c r="B5586">
        <v>11.0397</v>
      </c>
    </row>
    <row r="5587" spans="1:2">
      <c r="A5587" s="117">
        <v>39141</v>
      </c>
      <c r="B5587">
        <v>11.079000000000001</v>
      </c>
    </row>
    <row r="5588" spans="1:2">
      <c r="A5588" s="117">
        <v>39142</v>
      </c>
      <c r="B5588">
        <v>11.1493</v>
      </c>
    </row>
    <row r="5589" spans="1:2">
      <c r="A5589" s="117">
        <v>39143</v>
      </c>
      <c r="B5589">
        <v>11.168200000000001</v>
      </c>
    </row>
    <row r="5590" spans="1:2">
      <c r="A5590" s="117">
        <v>39144</v>
      </c>
      <c r="B5590">
        <v>11.191700000000001</v>
      </c>
    </row>
    <row r="5591" spans="1:2">
      <c r="A5591" s="117">
        <v>39145</v>
      </c>
      <c r="B5591">
        <v>11.191700000000001</v>
      </c>
    </row>
    <row r="5592" spans="1:2">
      <c r="A5592" s="117">
        <v>39146</v>
      </c>
      <c r="B5592">
        <v>11.191700000000001</v>
      </c>
    </row>
    <row r="5593" spans="1:2">
      <c r="A5593" s="117">
        <v>39147</v>
      </c>
      <c r="B5593">
        <v>11.181699999999999</v>
      </c>
    </row>
    <row r="5594" spans="1:2">
      <c r="A5594" s="117">
        <v>39148</v>
      </c>
      <c r="B5594">
        <v>11.1762</v>
      </c>
    </row>
    <row r="5595" spans="1:2">
      <c r="A5595" s="117">
        <v>39149</v>
      </c>
      <c r="B5595">
        <v>11.1473</v>
      </c>
    </row>
    <row r="5596" spans="1:2">
      <c r="A5596" s="117">
        <v>39150</v>
      </c>
      <c r="B5596">
        <v>11.1555</v>
      </c>
    </row>
    <row r="5597" spans="1:2">
      <c r="A5597" s="117">
        <v>39151</v>
      </c>
      <c r="B5597">
        <v>11.1426</v>
      </c>
    </row>
    <row r="5598" spans="1:2">
      <c r="A5598" s="117">
        <v>39152</v>
      </c>
      <c r="B5598">
        <v>11.1426</v>
      </c>
    </row>
    <row r="5599" spans="1:2">
      <c r="A5599" s="117">
        <v>39153</v>
      </c>
      <c r="B5599">
        <v>11.1426</v>
      </c>
    </row>
    <row r="5600" spans="1:2">
      <c r="A5600" s="117">
        <v>39154</v>
      </c>
      <c r="B5600">
        <v>11.1205</v>
      </c>
    </row>
    <row r="5601" spans="1:2">
      <c r="A5601" s="117">
        <v>39155</v>
      </c>
      <c r="B5601">
        <v>11.148300000000001</v>
      </c>
    </row>
    <row r="5602" spans="1:2">
      <c r="A5602" s="117">
        <v>39156</v>
      </c>
      <c r="B5602">
        <v>11.172700000000001</v>
      </c>
    </row>
    <row r="5603" spans="1:2">
      <c r="A5603" s="117">
        <v>39157</v>
      </c>
      <c r="B5603">
        <v>11.1867</v>
      </c>
    </row>
    <row r="5604" spans="1:2">
      <c r="A5604" s="117">
        <v>39158</v>
      </c>
      <c r="B5604">
        <v>11.1348</v>
      </c>
    </row>
    <row r="5605" spans="1:2">
      <c r="A5605" s="117">
        <v>39159</v>
      </c>
      <c r="B5605">
        <v>11.1348</v>
      </c>
    </row>
    <row r="5606" spans="1:2">
      <c r="A5606" s="117">
        <v>39160</v>
      </c>
      <c r="B5606">
        <v>11.1348</v>
      </c>
    </row>
    <row r="5607" spans="1:2">
      <c r="A5607" s="117">
        <v>39161</v>
      </c>
      <c r="B5607">
        <v>11.1348</v>
      </c>
    </row>
    <row r="5608" spans="1:2">
      <c r="A5608" s="117">
        <v>39162</v>
      </c>
      <c r="B5608">
        <v>11.166399999999999</v>
      </c>
    </row>
    <row r="5609" spans="1:2">
      <c r="A5609" s="117">
        <v>39163</v>
      </c>
      <c r="B5609">
        <v>11.112</v>
      </c>
    </row>
    <row r="5610" spans="1:2">
      <c r="A5610" s="117">
        <v>39164</v>
      </c>
      <c r="B5610">
        <v>11.079599999999999</v>
      </c>
    </row>
    <row r="5611" spans="1:2">
      <c r="A5611" s="117">
        <v>39165</v>
      </c>
      <c r="B5611">
        <v>11.022</v>
      </c>
    </row>
    <row r="5612" spans="1:2">
      <c r="A5612" s="117">
        <v>39166</v>
      </c>
      <c r="B5612">
        <v>11.022</v>
      </c>
    </row>
    <row r="5613" spans="1:2">
      <c r="A5613" s="117">
        <v>39167</v>
      </c>
      <c r="B5613">
        <v>11.022</v>
      </c>
    </row>
    <row r="5614" spans="1:2">
      <c r="A5614" s="117">
        <v>39168</v>
      </c>
      <c r="B5614">
        <v>11.0166</v>
      </c>
    </row>
    <row r="5615" spans="1:2">
      <c r="A5615" s="117">
        <v>39169</v>
      </c>
      <c r="B5615">
        <v>11.0253</v>
      </c>
    </row>
    <row r="5616" spans="1:2">
      <c r="A5616" s="117">
        <v>39170</v>
      </c>
      <c r="B5616">
        <v>11.047000000000001</v>
      </c>
    </row>
    <row r="5617" spans="1:2">
      <c r="A5617" s="117">
        <v>39171</v>
      </c>
      <c r="B5617">
        <v>11.081300000000001</v>
      </c>
    </row>
    <row r="5618" spans="1:2">
      <c r="A5618" s="117">
        <v>39172</v>
      </c>
      <c r="B5618">
        <v>11.050700000000001</v>
      </c>
    </row>
    <row r="5619" spans="1:2">
      <c r="A5619" s="117">
        <v>39173</v>
      </c>
      <c r="B5619">
        <v>11.050700000000001</v>
      </c>
    </row>
    <row r="5620" spans="1:2">
      <c r="A5620" s="117">
        <v>39174</v>
      </c>
      <c r="B5620">
        <v>11.050700000000001</v>
      </c>
    </row>
    <row r="5621" spans="1:2">
      <c r="A5621" s="117">
        <v>39175</v>
      </c>
      <c r="B5621">
        <v>11.0322</v>
      </c>
    </row>
    <row r="5622" spans="1:2">
      <c r="A5622" s="117">
        <v>39176</v>
      </c>
      <c r="B5622">
        <v>11.0336</v>
      </c>
    </row>
    <row r="5623" spans="1:2">
      <c r="A5623" s="117">
        <v>39177</v>
      </c>
      <c r="B5623">
        <v>10.979699999999999</v>
      </c>
    </row>
    <row r="5624" spans="1:2">
      <c r="A5624" s="117">
        <v>39178</v>
      </c>
      <c r="B5624">
        <v>10.979699999999999</v>
      </c>
    </row>
    <row r="5625" spans="1:2">
      <c r="A5625" s="117">
        <v>39179</v>
      </c>
      <c r="B5625">
        <v>10.979699999999999</v>
      </c>
    </row>
    <row r="5626" spans="1:2">
      <c r="A5626" s="117">
        <v>39180</v>
      </c>
      <c r="B5626">
        <v>10.979699999999999</v>
      </c>
    </row>
    <row r="5627" spans="1:2">
      <c r="A5627" s="117">
        <v>39181</v>
      </c>
      <c r="B5627">
        <v>10.979699999999999</v>
      </c>
    </row>
    <row r="5628" spans="1:2">
      <c r="A5628" s="117">
        <v>39182</v>
      </c>
      <c r="B5628">
        <v>10.9976</v>
      </c>
    </row>
    <row r="5629" spans="1:2">
      <c r="A5629" s="117">
        <v>39183</v>
      </c>
      <c r="B5629">
        <v>10.970499999999999</v>
      </c>
    </row>
    <row r="5630" spans="1:2">
      <c r="A5630" s="117">
        <v>39184</v>
      </c>
      <c r="B5630">
        <v>11.012600000000001</v>
      </c>
    </row>
    <row r="5631" spans="1:2">
      <c r="A5631" s="117">
        <v>39185</v>
      </c>
      <c r="B5631">
        <v>10.984</v>
      </c>
    </row>
    <row r="5632" spans="1:2">
      <c r="A5632" s="117">
        <v>39186</v>
      </c>
      <c r="B5632">
        <v>11.013500000000001</v>
      </c>
    </row>
    <row r="5633" spans="1:2">
      <c r="A5633" s="117">
        <v>39187</v>
      </c>
      <c r="B5633">
        <v>11.013500000000001</v>
      </c>
    </row>
    <row r="5634" spans="1:2">
      <c r="A5634" s="117">
        <v>39188</v>
      </c>
      <c r="B5634">
        <v>11.013500000000001</v>
      </c>
    </row>
    <row r="5635" spans="1:2">
      <c r="A5635" s="117">
        <v>39189</v>
      </c>
      <c r="B5635">
        <v>10.9917</v>
      </c>
    </row>
    <row r="5636" spans="1:2">
      <c r="A5636" s="117">
        <v>39190</v>
      </c>
      <c r="B5636">
        <v>10.9856</v>
      </c>
    </row>
    <row r="5637" spans="1:2">
      <c r="A5637" s="117">
        <v>39191</v>
      </c>
      <c r="B5637">
        <v>10.991099999999999</v>
      </c>
    </row>
    <row r="5638" spans="1:2">
      <c r="A5638" s="117">
        <v>39192</v>
      </c>
      <c r="B5638">
        <v>10.992000000000001</v>
      </c>
    </row>
    <row r="5639" spans="1:2">
      <c r="A5639" s="117">
        <v>39193</v>
      </c>
      <c r="B5639">
        <v>11.004799999999999</v>
      </c>
    </row>
    <row r="5640" spans="1:2">
      <c r="A5640" s="117">
        <v>39194</v>
      </c>
      <c r="B5640">
        <v>11.004799999999999</v>
      </c>
    </row>
    <row r="5641" spans="1:2">
      <c r="A5641" s="117">
        <v>39195</v>
      </c>
      <c r="B5641">
        <v>11.004799999999999</v>
      </c>
    </row>
    <row r="5642" spans="1:2">
      <c r="A5642" s="117">
        <v>39196</v>
      </c>
      <c r="B5642">
        <v>10.978999999999999</v>
      </c>
    </row>
    <row r="5643" spans="1:2">
      <c r="A5643" s="117">
        <v>39197</v>
      </c>
      <c r="B5643">
        <v>10.963699999999999</v>
      </c>
    </row>
    <row r="5644" spans="1:2">
      <c r="A5644" s="117">
        <v>39198</v>
      </c>
      <c r="B5644">
        <v>11.0053</v>
      </c>
    </row>
    <row r="5645" spans="1:2">
      <c r="A5645" s="117">
        <v>39199</v>
      </c>
      <c r="B5645">
        <v>10.9369</v>
      </c>
    </row>
    <row r="5646" spans="1:2">
      <c r="A5646" s="117">
        <v>39200</v>
      </c>
      <c r="B5646">
        <v>10.9312</v>
      </c>
    </row>
    <row r="5647" spans="1:2">
      <c r="A5647" s="117">
        <v>39201</v>
      </c>
      <c r="B5647">
        <v>10.9312</v>
      </c>
    </row>
    <row r="5648" spans="1:2">
      <c r="A5648" s="117">
        <v>39202</v>
      </c>
      <c r="B5648">
        <v>10.9312</v>
      </c>
    </row>
    <row r="5649" spans="1:2">
      <c r="A5649" s="117">
        <v>39203</v>
      </c>
      <c r="B5649">
        <v>10.9305</v>
      </c>
    </row>
    <row r="5650" spans="1:2">
      <c r="A5650" s="117">
        <v>39204</v>
      </c>
      <c r="B5650">
        <v>10.9305</v>
      </c>
    </row>
    <row r="5651" spans="1:2">
      <c r="A5651" s="117">
        <v>39205</v>
      </c>
      <c r="B5651">
        <v>10.9278</v>
      </c>
    </row>
    <row r="5652" spans="1:2">
      <c r="A5652" s="117">
        <v>39206</v>
      </c>
      <c r="B5652">
        <v>10.9262</v>
      </c>
    </row>
    <row r="5653" spans="1:2">
      <c r="A5653" s="117">
        <v>39207</v>
      </c>
      <c r="B5653">
        <v>10.901999999999999</v>
      </c>
    </row>
    <row r="5654" spans="1:2">
      <c r="A5654" s="117">
        <v>39208</v>
      </c>
      <c r="B5654">
        <v>10.901999999999999</v>
      </c>
    </row>
    <row r="5655" spans="1:2">
      <c r="A5655" s="117">
        <v>39209</v>
      </c>
      <c r="B5655">
        <v>10.901999999999999</v>
      </c>
    </row>
    <row r="5656" spans="1:2">
      <c r="A5656" s="117">
        <v>39210</v>
      </c>
      <c r="B5656">
        <v>10.885199999999999</v>
      </c>
    </row>
    <row r="5657" spans="1:2">
      <c r="A5657" s="117">
        <v>39211</v>
      </c>
      <c r="B5657">
        <v>10.8558</v>
      </c>
    </row>
    <row r="5658" spans="1:2">
      <c r="A5658" s="117">
        <v>39212</v>
      </c>
      <c r="B5658">
        <v>10.8513</v>
      </c>
    </row>
    <row r="5659" spans="1:2">
      <c r="A5659" s="117">
        <v>39213</v>
      </c>
      <c r="B5659">
        <v>10.8269</v>
      </c>
    </row>
    <row r="5660" spans="1:2">
      <c r="A5660" s="117">
        <v>39214</v>
      </c>
      <c r="B5660">
        <v>10.8178</v>
      </c>
    </row>
    <row r="5661" spans="1:2">
      <c r="A5661" s="117">
        <v>39215</v>
      </c>
      <c r="B5661">
        <v>10.8178</v>
      </c>
    </row>
    <row r="5662" spans="1:2">
      <c r="A5662" s="117">
        <v>39216</v>
      </c>
      <c r="B5662">
        <v>10.8178</v>
      </c>
    </row>
    <row r="5663" spans="1:2">
      <c r="A5663" s="117">
        <v>39217</v>
      </c>
      <c r="B5663">
        <v>10.8148</v>
      </c>
    </row>
    <row r="5664" spans="1:2">
      <c r="A5664" s="117">
        <v>39218</v>
      </c>
      <c r="B5664">
        <v>10.7987</v>
      </c>
    </row>
    <row r="5665" spans="1:2">
      <c r="A5665" s="117">
        <v>39219</v>
      </c>
      <c r="B5665">
        <v>10.8032</v>
      </c>
    </row>
    <row r="5666" spans="1:2">
      <c r="A5666" s="117">
        <v>39220</v>
      </c>
      <c r="B5666">
        <v>10.7905</v>
      </c>
    </row>
    <row r="5667" spans="1:2">
      <c r="A5667" s="117">
        <v>39221</v>
      </c>
      <c r="B5667">
        <v>10.8033</v>
      </c>
    </row>
    <row r="5668" spans="1:2">
      <c r="A5668" s="117">
        <v>39222</v>
      </c>
      <c r="B5668">
        <v>10.8033</v>
      </c>
    </row>
    <row r="5669" spans="1:2">
      <c r="A5669" s="117">
        <v>39223</v>
      </c>
      <c r="B5669">
        <v>10.8033</v>
      </c>
    </row>
    <row r="5670" spans="1:2">
      <c r="A5670" s="117">
        <v>39224</v>
      </c>
      <c r="B5670">
        <v>10.8223</v>
      </c>
    </row>
    <row r="5671" spans="1:2">
      <c r="A5671" s="117">
        <v>39225</v>
      </c>
      <c r="B5671">
        <v>10.7963</v>
      </c>
    </row>
    <row r="5672" spans="1:2">
      <c r="A5672" s="117">
        <v>39226</v>
      </c>
      <c r="B5672">
        <v>10.7598</v>
      </c>
    </row>
    <row r="5673" spans="1:2">
      <c r="A5673" s="117">
        <v>39227</v>
      </c>
      <c r="B5673">
        <v>10.768800000000001</v>
      </c>
    </row>
    <row r="5674" spans="1:2">
      <c r="A5674" s="117">
        <v>39228</v>
      </c>
      <c r="B5674">
        <v>10.8354</v>
      </c>
    </row>
    <row r="5675" spans="1:2">
      <c r="A5675" s="117">
        <v>39229</v>
      </c>
      <c r="B5675">
        <v>10.8354</v>
      </c>
    </row>
    <row r="5676" spans="1:2">
      <c r="A5676" s="117">
        <v>39230</v>
      </c>
      <c r="B5676">
        <v>10.8354</v>
      </c>
    </row>
    <row r="5677" spans="1:2">
      <c r="A5677" s="117">
        <v>39231</v>
      </c>
      <c r="B5677">
        <v>10.7803</v>
      </c>
    </row>
    <row r="5678" spans="1:2">
      <c r="A5678" s="117">
        <v>39232</v>
      </c>
      <c r="B5678">
        <v>10.7788</v>
      </c>
    </row>
    <row r="5679" spans="1:2">
      <c r="A5679" s="117">
        <v>39233</v>
      </c>
      <c r="B5679">
        <v>10.7873</v>
      </c>
    </row>
    <row r="5680" spans="1:2">
      <c r="A5680" s="117">
        <v>39234</v>
      </c>
      <c r="B5680">
        <v>10.818</v>
      </c>
    </row>
    <row r="5681" spans="1:2">
      <c r="A5681" s="117">
        <v>39235</v>
      </c>
      <c r="B5681">
        <v>10.7445</v>
      </c>
    </row>
    <row r="5682" spans="1:2">
      <c r="A5682" s="117">
        <v>39236</v>
      </c>
      <c r="B5682">
        <v>10.7445</v>
      </c>
    </row>
    <row r="5683" spans="1:2">
      <c r="A5683" s="117">
        <v>39237</v>
      </c>
      <c r="B5683">
        <v>10.7445</v>
      </c>
    </row>
    <row r="5684" spans="1:2">
      <c r="A5684" s="117">
        <v>39238</v>
      </c>
      <c r="B5684">
        <v>10.713100000000001</v>
      </c>
    </row>
    <row r="5685" spans="1:2">
      <c r="A5685" s="117">
        <v>39239</v>
      </c>
      <c r="B5685">
        <v>10.7441</v>
      </c>
    </row>
    <row r="5686" spans="1:2">
      <c r="A5686" s="117">
        <v>39240</v>
      </c>
      <c r="B5686">
        <v>10.780900000000001</v>
      </c>
    </row>
    <row r="5687" spans="1:2">
      <c r="A5687" s="117">
        <v>39241</v>
      </c>
      <c r="B5687">
        <v>10.845000000000001</v>
      </c>
    </row>
    <row r="5688" spans="1:2">
      <c r="A5688" s="117">
        <v>39242</v>
      </c>
      <c r="B5688">
        <v>10.904299999999999</v>
      </c>
    </row>
    <row r="5689" spans="1:2">
      <c r="A5689" s="117">
        <v>39243</v>
      </c>
      <c r="B5689">
        <v>10.904299999999999</v>
      </c>
    </row>
    <row r="5690" spans="1:2">
      <c r="A5690" s="117">
        <v>39244</v>
      </c>
      <c r="B5690">
        <v>10.904299999999999</v>
      </c>
    </row>
    <row r="5691" spans="1:2">
      <c r="A5691" s="117">
        <v>39245</v>
      </c>
      <c r="B5691">
        <v>10.9702</v>
      </c>
    </row>
    <row r="5692" spans="1:2">
      <c r="A5692" s="117">
        <v>39246</v>
      </c>
      <c r="B5692">
        <v>10.9307</v>
      </c>
    </row>
    <row r="5693" spans="1:2">
      <c r="A5693" s="117">
        <v>39247</v>
      </c>
      <c r="B5693">
        <v>10.9331</v>
      </c>
    </row>
    <row r="5694" spans="1:2">
      <c r="A5694" s="117">
        <v>39248</v>
      </c>
      <c r="B5694">
        <v>10.953799999999999</v>
      </c>
    </row>
    <row r="5695" spans="1:2">
      <c r="A5695" s="117">
        <v>39249</v>
      </c>
      <c r="B5695">
        <v>10.901199999999999</v>
      </c>
    </row>
    <row r="5696" spans="1:2">
      <c r="A5696" s="117">
        <v>39250</v>
      </c>
      <c r="B5696">
        <v>10.901199999999999</v>
      </c>
    </row>
    <row r="5697" spans="1:2">
      <c r="A5697" s="117">
        <v>39251</v>
      </c>
      <c r="B5697">
        <v>10.901199999999999</v>
      </c>
    </row>
    <row r="5698" spans="1:2">
      <c r="A5698" s="117">
        <v>39252</v>
      </c>
      <c r="B5698">
        <v>10.8148</v>
      </c>
    </row>
    <row r="5699" spans="1:2">
      <c r="A5699" s="117">
        <v>39253</v>
      </c>
      <c r="B5699">
        <v>10.776</v>
      </c>
    </row>
    <row r="5700" spans="1:2">
      <c r="A5700" s="117">
        <v>39254</v>
      </c>
      <c r="B5700">
        <v>10.7494</v>
      </c>
    </row>
    <row r="5701" spans="1:2">
      <c r="A5701" s="117">
        <v>39255</v>
      </c>
      <c r="B5701">
        <v>10.7713</v>
      </c>
    </row>
    <row r="5702" spans="1:2">
      <c r="A5702" s="117">
        <v>39256</v>
      </c>
      <c r="B5702">
        <v>10.826599999999999</v>
      </c>
    </row>
    <row r="5703" spans="1:2">
      <c r="A5703" s="117">
        <v>39257</v>
      </c>
      <c r="B5703">
        <v>10.826599999999999</v>
      </c>
    </row>
    <row r="5704" spans="1:2">
      <c r="A5704" s="117">
        <v>39258</v>
      </c>
      <c r="B5704">
        <v>10.826599999999999</v>
      </c>
    </row>
    <row r="5705" spans="1:2">
      <c r="A5705" s="117">
        <v>39259</v>
      </c>
      <c r="B5705">
        <v>10.808</v>
      </c>
    </row>
    <row r="5706" spans="1:2">
      <c r="A5706" s="117">
        <v>39260</v>
      </c>
      <c r="B5706">
        <v>10.818899999999999</v>
      </c>
    </row>
    <row r="5707" spans="1:2">
      <c r="A5707" s="117">
        <v>39261</v>
      </c>
      <c r="B5707">
        <v>10.8398</v>
      </c>
    </row>
    <row r="5708" spans="1:2">
      <c r="A5708" s="117">
        <v>39262</v>
      </c>
      <c r="B5708">
        <v>10.866099999999999</v>
      </c>
    </row>
    <row r="5709" spans="1:2">
      <c r="A5709" s="117">
        <v>39263</v>
      </c>
      <c r="B5709">
        <v>10.7926</v>
      </c>
    </row>
    <row r="5710" spans="1:2">
      <c r="A5710" s="117">
        <v>39264</v>
      </c>
      <c r="B5710">
        <v>10.7926</v>
      </c>
    </row>
    <row r="5711" spans="1:2">
      <c r="A5711" s="117">
        <v>39265</v>
      </c>
      <c r="B5711">
        <v>10.7926</v>
      </c>
    </row>
    <row r="5712" spans="1:2">
      <c r="A5712" s="117">
        <v>39266</v>
      </c>
      <c r="B5712">
        <v>10.794600000000001</v>
      </c>
    </row>
    <row r="5713" spans="1:2">
      <c r="A5713" s="117">
        <v>39267</v>
      </c>
      <c r="B5713">
        <v>10.7697</v>
      </c>
    </row>
    <row r="5714" spans="1:2">
      <c r="A5714" s="117">
        <v>39268</v>
      </c>
      <c r="B5714">
        <v>10.7698</v>
      </c>
    </row>
    <row r="5715" spans="1:2">
      <c r="A5715" s="117">
        <v>39269</v>
      </c>
      <c r="B5715">
        <v>10.76</v>
      </c>
    </row>
    <row r="5716" spans="1:2">
      <c r="A5716" s="117">
        <v>39270</v>
      </c>
      <c r="B5716">
        <v>10.7936</v>
      </c>
    </row>
    <row r="5717" spans="1:2">
      <c r="A5717" s="117">
        <v>39271</v>
      </c>
      <c r="B5717">
        <v>10.7936</v>
      </c>
    </row>
    <row r="5718" spans="1:2">
      <c r="A5718" s="117">
        <v>39272</v>
      </c>
      <c r="B5718">
        <v>10.7936</v>
      </c>
    </row>
    <row r="5719" spans="1:2">
      <c r="A5719" s="117">
        <v>39273</v>
      </c>
      <c r="B5719">
        <v>10.7828</v>
      </c>
    </row>
    <row r="5720" spans="1:2">
      <c r="A5720" s="117">
        <v>39274</v>
      </c>
      <c r="B5720">
        <v>10.7531</v>
      </c>
    </row>
    <row r="5721" spans="1:2">
      <c r="A5721" s="117">
        <v>39275</v>
      </c>
      <c r="B5721">
        <v>10.791700000000001</v>
      </c>
    </row>
    <row r="5722" spans="1:2">
      <c r="A5722" s="117">
        <v>39276</v>
      </c>
      <c r="B5722">
        <v>10.8248</v>
      </c>
    </row>
    <row r="5723" spans="1:2">
      <c r="A5723" s="117">
        <v>39277</v>
      </c>
      <c r="B5723">
        <v>10.7799</v>
      </c>
    </row>
    <row r="5724" spans="1:2">
      <c r="A5724" s="117">
        <v>39278</v>
      </c>
      <c r="B5724">
        <v>10.7799</v>
      </c>
    </row>
    <row r="5725" spans="1:2">
      <c r="A5725" s="117">
        <v>39279</v>
      </c>
      <c r="B5725">
        <v>10.7799</v>
      </c>
    </row>
    <row r="5726" spans="1:2">
      <c r="A5726" s="117">
        <v>39280</v>
      </c>
      <c r="B5726">
        <v>10.7608</v>
      </c>
    </row>
    <row r="5727" spans="1:2">
      <c r="A5727" s="117">
        <v>39281</v>
      </c>
      <c r="B5727">
        <v>10.7653</v>
      </c>
    </row>
    <row r="5728" spans="1:2">
      <c r="A5728" s="117">
        <v>39282</v>
      </c>
      <c r="B5728">
        <v>10.7628</v>
      </c>
    </row>
    <row r="5729" spans="1:2">
      <c r="A5729" s="117">
        <v>39283</v>
      </c>
      <c r="B5729">
        <v>10.752000000000001</v>
      </c>
    </row>
    <row r="5730" spans="1:2">
      <c r="A5730" s="117">
        <v>39284</v>
      </c>
      <c r="B5730">
        <v>10.720700000000001</v>
      </c>
    </row>
    <row r="5731" spans="1:2">
      <c r="A5731" s="117">
        <v>39285</v>
      </c>
      <c r="B5731">
        <v>10.720700000000001</v>
      </c>
    </row>
    <row r="5732" spans="1:2">
      <c r="A5732" s="117">
        <v>39286</v>
      </c>
      <c r="B5732">
        <v>10.720700000000001</v>
      </c>
    </row>
    <row r="5733" spans="1:2">
      <c r="A5733" s="117">
        <v>39287</v>
      </c>
      <c r="B5733">
        <v>10.7843</v>
      </c>
    </row>
    <row r="5734" spans="1:2">
      <c r="A5734" s="117">
        <v>39288</v>
      </c>
      <c r="B5734">
        <v>10.763999999999999</v>
      </c>
    </row>
    <row r="5735" spans="1:2">
      <c r="A5735" s="117">
        <v>39289</v>
      </c>
      <c r="B5735">
        <v>10.784599999999999</v>
      </c>
    </row>
    <row r="5736" spans="1:2">
      <c r="A5736" s="117">
        <v>39290</v>
      </c>
      <c r="B5736">
        <v>10.8712</v>
      </c>
    </row>
    <row r="5737" spans="1:2">
      <c r="A5737" s="117">
        <v>39291</v>
      </c>
      <c r="B5737">
        <v>10.9436</v>
      </c>
    </row>
    <row r="5738" spans="1:2">
      <c r="A5738" s="117">
        <v>39292</v>
      </c>
      <c r="B5738">
        <v>10.9436</v>
      </c>
    </row>
    <row r="5739" spans="1:2">
      <c r="A5739" s="117">
        <v>39293</v>
      </c>
      <c r="B5739">
        <v>10.9436</v>
      </c>
    </row>
    <row r="5740" spans="1:2">
      <c r="A5740" s="117">
        <v>39294</v>
      </c>
      <c r="B5740">
        <v>10.997299999999999</v>
      </c>
    </row>
    <row r="5741" spans="1:2">
      <c r="A5741" s="117">
        <v>39295</v>
      </c>
      <c r="B5741">
        <v>10.981199999999999</v>
      </c>
    </row>
    <row r="5742" spans="1:2">
      <c r="A5742" s="117">
        <v>39296</v>
      </c>
      <c r="B5742">
        <v>10.927300000000001</v>
      </c>
    </row>
    <row r="5743" spans="1:2">
      <c r="A5743" s="117">
        <v>39297</v>
      </c>
      <c r="B5743">
        <v>10.9663</v>
      </c>
    </row>
    <row r="5744" spans="1:2">
      <c r="A5744" s="117">
        <v>39298</v>
      </c>
      <c r="B5744">
        <v>10.940200000000001</v>
      </c>
    </row>
    <row r="5745" spans="1:2">
      <c r="A5745" s="117">
        <v>39299</v>
      </c>
      <c r="B5745">
        <v>10.940200000000001</v>
      </c>
    </row>
    <row r="5746" spans="1:2">
      <c r="A5746" s="117">
        <v>39300</v>
      </c>
      <c r="B5746">
        <v>10.940200000000001</v>
      </c>
    </row>
    <row r="5747" spans="1:2">
      <c r="A5747" s="117">
        <v>39301</v>
      </c>
      <c r="B5747">
        <v>10.967700000000001</v>
      </c>
    </row>
    <row r="5748" spans="1:2">
      <c r="A5748" s="117">
        <v>39302</v>
      </c>
      <c r="B5748">
        <v>10.9886</v>
      </c>
    </row>
    <row r="5749" spans="1:2">
      <c r="A5749" s="117">
        <v>39303</v>
      </c>
      <c r="B5749">
        <v>10.9613</v>
      </c>
    </row>
    <row r="5750" spans="1:2">
      <c r="A5750" s="117">
        <v>39304</v>
      </c>
      <c r="B5750">
        <v>10.9209</v>
      </c>
    </row>
    <row r="5751" spans="1:2">
      <c r="A5751" s="117">
        <v>39305</v>
      </c>
      <c r="B5751">
        <v>10.9832</v>
      </c>
    </row>
    <row r="5752" spans="1:2">
      <c r="A5752" s="117">
        <v>39306</v>
      </c>
      <c r="B5752">
        <v>10.9832</v>
      </c>
    </row>
    <row r="5753" spans="1:2">
      <c r="A5753" s="117">
        <v>39307</v>
      </c>
      <c r="B5753">
        <v>10.9832</v>
      </c>
    </row>
    <row r="5754" spans="1:2">
      <c r="A5754" s="117">
        <v>39308</v>
      </c>
      <c r="B5754">
        <v>11.017300000000001</v>
      </c>
    </row>
    <row r="5755" spans="1:2">
      <c r="A5755" s="117">
        <v>39309</v>
      </c>
      <c r="B5755">
        <v>10.9915</v>
      </c>
    </row>
    <row r="5756" spans="1:2">
      <c r="A5756" s="117">
        <v>39310</v>
      </c>
      <c r="B5756">
        <v>11.0549</v>
      </c>
    </row>
    <row r="5757" spans="1:2">
      <c r="A5757" s="117">
        <v>39311</v>
      </c>
      <c r="B5757">
        <v>11.114800000000001</v>
      </c>
    </row>
    <row r="5758" spans="1:2">
      <c r="A5758" s="117">
        <v>39312</v>
      </c>
      <c r="B5758">
        <v>11.2676</v>
      </c>
    </row>
    <row r="5759" spans="1:2">
      <c r="A5759" s="117">
        <v>39313</v>
      </c>
      <c r="B5759">
        <v>11.2676</v>
      </c>
    </row>
    <row r="5760" spans="1:2">
      <c r="A5760" s="117">
        <v>39314</v>
      </c>
      <c r="B5760">
        <v>11.2676</v>
      </c>
    </row>
    <row r="5761" spans="1:2">
      <c r="A5761" s="117">
        <v>39315</v>
      </c>
      <c r="B5761">
        <v>11.1259</v>
      </c>
    </row>
    <row r="5762" spans="1:2">
      <c r="A5762" s="117">
        <v>39316</v>
      </c>
      <c r="B5762">
        <v>11.1053</v>
      </c>
    </row>
    <row r="5763" spans="1:2">
      <c r="A5763" s="117">
        <v>39317</v>
      </c>
      <c r="B5763">
        <v>11.1213</v>
      </c>
    </row>
    <row r="5764" spans="1:2">
      <c r="A5764" s="117">
        <v>39318</v>
      </c>
      <c r="B5764">
        <v>11.073600000000001</v>
      </c>
    </row>
    <row r="5765" spans="1:2">
      <c r="A5765" s="117">
        <v>39319</v>
      </c>
      <c r="B5765">
        <v>11.0489</v>
      </c>
    </row>
    <row r="5766" spans="1:2">
      <c r="A5766" s="117">
        <v>39320</v>
      </c>
      <c r="B5766">
        <v>11.0489</v>
      </c>
    </row>
    <row r="5767" spans="1:2">
      <c r="A5767" s="117">
        <v>39321</v>
      </c>
      <c r="B5767">
        <v>11.0489</v>
      </c>
    </row>
    <row r="5768" spans="1:2">
      <c r="A5768" s="117">
        <v>39322</v>
      </c>
      <c r="B5768">
        <v>11.0413</v>
      </c>
    </row>
    <row r="5769" spans="1:2">
      <c r="A5769" s="117">
        <v>39323</v>
      </c>
      <c r="B5769">
        <v>11.0382</v>
      </c>
    </row>
    <row r="5770" spans="1:2">
      <c r="A5770" s="117">
        <v>39324</v>
      </c>
      <c r="B5770">
        <v>11.092000000000001</v>
      </c>
    </row>
    <row r="5771" spans="1:2">
      <c r="A5771" s="117">
        <v>39325</v>
      </c>
      <c r="B5771">
        <v>11.106199999999999</v>
      </c>
    </row>
    <row r="5772" spans="1:2">
      <c r="A5772" s="117">
        <v>39326</v>
      </c>
      <c r="B5772">
        <v>11.0848</v>
      </c>
    </row>
    <row r="5773" spans="1:2">
      <c r="A5773" s="117">
        <v>39327</v>
      </c>
      <c r="B5773">
        <v>11.0848</v>
      </c>
    </row>
    <row r="5774" spans="1:2">
      <c r="A5774" s="117">
        <v>39328</v>
      </c>
      <c r="B5774">
        <v>11.0848</v>
      </c>
    </row>
    <row r="5775" spans="1:2">
      <c r="A5775" s="117">
        <v>39329</v>
      </c>
      <c r="B5775">
        <v>11.037800000000001</v>
      </c>
    </row>
    <row r="5776" spans="1:2">
      <c r="A5776" s="117">
        <v>39330</v>
      </c>
      <c r="B5776">
        <v>11.0169</v>
      </c>
    </row>
    <row r="5777" spans="1:2">
      <c r="A5777" s="117">
        <v>39331</v>
      </c>
      <c r="B5777">
        <v>11.0265</v>
      </c>
    </row>
    <row r="5778" spans="1:2">
      <c r="A5778" s="117">
        <v>39332</v>
      </c>
      <c r="B5778">
        <v>11.0848</v>
      </c>
    </row>
    <row r="5779" spans="1:2">
      <c r="A5779" s="117">
        <v>39333</v>
      </c>
      <c r="B5779">
        <v>11.065799999999999</v>
      </c>
    </row>
    <row r="5780" spans="1:2">
      <c r="A5780" s="117">
        <v>39334</v>
      </c>
      <c r="B5780">
        <v>11.065799999999999</v>
      </c>
    </row>
    <row r="5781" spans="1:2">
      <c r="A5781" s="117">
        <v>39335</v>
      </c>
      <c r="B5781">
        <v>11.065799999999999</v>
      </c>
    </row>
    <row r="5782" spans="1:2">
      <c r="A5782" s="117">
        <v>39336</v>
      </c>
      <c r="B5782">
        <v>11.1227</v>
      </c>
    </row>
    <row r="5783" spans="1:2">
      <c r="A5783" s="117">
        <v>39337</v>
      </c>
      <c r="B5783">
        <v>11.140700000000001</v>
      </c>
    </row>
    <row r="5784" spans="1:2">
      <c r="A5784" s="117">
        <v>39338</v>
      </c>
      <c r="B5784">
        <v>11.105700000000001</v>
      </c>
    </row>
    <row r="5785" spans="1:2">
      <c r="A5785" s="117">
        <v>39339</v>
      </c>
      <c r="B5785">
        <v>11.071999999999999</v>
      </c>
    </row>
    <row r="5786" spans="1:2">
      <c r="A5786" s="117">
        <v>39340</v>
      </c>
      <c r="B5786">
        <v>11.074299999999999</v>
      </c>
    </row>
    <row r="5787" spans="1:2">
      <c r="A5787" s="117">
        <v>39341</v>
      </c>
      <c r="B5787">
        <v>11.074299999999999</v>
      </c>
    </row>
    <row r="5788" spans="1:2">
      <c r="A5788" s="117">
        <v>39342</v>
      </c>
      <c r="B5788">
        <v>11.074299999999999</v>
      </c>
    </row>
    <row r="5789" spans="1:2">
      <c r="A5789" s="117">
        <v>39343</v>
      </c>
      <c r="B5789">
        <v>11.111000000000001</v>
      </c>
    </row>
    <row r="5790" spans="1:2">
      <c r="A5790" s="117">
        <v>39344</v>
      </c>
      <c r="B5790">
        <v>11.1471</v>
      </c>
    </row>
    <row r="5791" spans="1:2">
      <c r="A5791" s="117">
        <v>39345</v>
      </c>
      <c r="B5791">
        <v>11.0959</v>
      </c>
    </row>
    <row r="5792" spans="1:2">
      <c r="A5792" s="117">
        <v>39346</v>
      </c>
      <c r="B5792">
        <v>10.9871</v>
      </c>
    </row>
    <row r="5793" spans="1:2">
      <c r="A5793" s="117">
        <v>39347</v>
      </c>
      <c r="B5793">
        <v>10.9687</v>
      </c>
    </row>
    <row r="5794" spans="1:2">
      <c r="A5794" s="117">
        <v>39348</v>
      </c>
      <c r="B5794">
        <v>10.9687</v>
      </c>
    </row>
    <row r="5795" spans="1:2">
      <c r="A5795" s="117">
        <v>39349</v>
      </c>
      <c r="B5795">
        <v>10.9687</v>
      </c>
    </row>
    <row r="5796" spans="1:2">
      <c r="A5796" s="117">
        <v>39350</v>
      </c>
      <c r="B5796">
        <v>10.951700000000001</v>
      </c>
    </row>
    <row r="5797" spans="1:2">
      <c r="A5797" s="117">
        <v>39351</v>
      </c>
      <c r="B5797">
        <v>10.9391</v>
      </c>
    </row>
    <row r="5798" spans="1:2">
      <c r="A5798" s="117">
        <v>39352</v>
      </c>
      <c r="B5798">
        <v>10.9438</v>
      </c>
    </row>
    <row r="5799" spans="1:2">
      <c r="A5799" s="117">
        <v>39353</v>
      </c>
      <c r="B5799">
        <v>10.924300000000001</v>
      </c>
    </row>
    <row r="5800" spans="1:2">
      <c r="A5800" s="117">
        <v>39354</v>
      </c>
      <c r="B5800">
        <v>10.920299999999999</v>
      </c>
    </row>
    <row r="5801" spans="1:2">
      <c r="A5801" s="117">
        <v>39355</v>
      </c>
      <c r="B5801">
        <v>10.920299999999999</v>
      </c>
    </row>
    <row r="5802" spans="1:2">
      <c r="A5802" s="117">
        <v>39356</v>
      </c>
      <c r="B5802">
        <v>10.920299999999999</v>
      </c>
    </row>
    <row r="5803" spans="1:2">
      <c r="A5803" s="117">
        <v>39357</v>
      </c>
      <c r="B5803">
        <v>10.9315</v>
      </c>
    </row>
    <row r="5804" spans="1:2">
      <c r="A5804" s="117">
        <v>39358</v>
      </c>
      <c r="B5804">
        <v>10.9224</v>
      </c>
    </row>
    <row r="5805" spans="1:2">
      <c r="A5805" s="117">
        <v>39359</v>
      </c>
      <c r="B5805">
        <v>10.920999999999999</v>
      </c>
    </row>
    <row r="5806" spans="1:2">
      <c r="A5806" s="117">
        <v>39360</v>
      </c>
      <c r="B5806">
        <v>10.868499999999999</v>
      </c>
    </row>
    <row r="5807" spans="1:2">
      <c r="A5807" s="117">
        <v>39361</v>
      </c>
      <c r="B5807">
        <v>10.8963</v>
      </c>
    </row>
    <row r="5808" spans="1:2">
      <c r="A5808" s="117">
        <v>39362</v>
      </c>
      <c r="B5808">
        <v>10.8963</v>
      </c>
    </row>
    <row r="5809" spans="1:2">
      <c r="A5809" s="117">
        <v>39363</v>
      </c>
      <c r="B5809">
        <v>10.8963</v>
      </c>
    </row>
    <row r="5810" spans="1:2">
      <c r="A5810" s="117">
        <v>39364</v>
      </c>
      <c r="B5810">
        <v>10.855700000000001</v>
      </c>
    </row>
    <row r="5811" spans="1:2">
      <c r="A5811" s="117">
        <v>39365</v>
      </c>
      <c r="B5811">
        <v>10.8589</v>
      </c>
    </row>
    <row r="5812" spans="1:2">
      <c r="A5812" s="117">
        <v>39366</v>
      </c>
      <c r="B5812">
        <v>10.837899999999999</v>
      </c>
    </row>
    <row r="5813" spans="1:2">
      <c r="A5813" s="117">
        <v>39367</v>
      </c>
      <c r="B5813">
        <v>10.8383</v>
      </c>
    </row>
    <row r="5814" spans="1:2">
      <c r="A5814" s="117">
        <v>39368</v>
      </c>
      <c r="B5814">
        <v>10.8101</v>
      </c>
    </row>
    <row r="5815" spans="1:2">
      <c r="A5815" s="117">
        <v>39369</v>
      </c>
      <c r="B5815">
        <v>10.8101</v>
      </c>
    </row>
    <row r="5816" spans="1:2">
      <c r="A5816" s="117">
        <v>39370</v>
      </c>
      <c r="B5816">
        <v>10.8101</v>
      </c>
    </row>
    <row r="5817" spans="1:2">
      <c r="A5817" s="117">
        <v>39371</v>
      </c>
      <c r="B5817">
        <v>10.825200000000001</v>
      </c>
    </row>
    <row r="5818" spans="1:2">
      <c r="A5818" s="117">
        <v>39372</v>
      </c>
      <c r="B5818">
        <v>10.8133</v>
      </c>
    </row>
    <row r="5819" spans="1:2">
      <c r="A5819" s="117">
        <v>39373</v>
      </c>
      <c r="B5819">
        <v>10.841799999999999</v>
      </c>
    </row>
    <row r="5820" spans="1:2">
      <c r="A5820" s="117">
        <v>39374</v>
      </c>
      <c r="B5820">
        <v>10.818099999999999</v>
      </c>
    </row>
    <row r="5821" spans="1:2">
      <c r="A5821" s="117">
        <v>39375</v>
      </c>
      <c r="B5821">
        <v>10.8133</v>
      </c>
    </row>
    <row r="5822" spans="1:2">
      <c r="A5822" s="117">
        <v>39376</v>
      </c>
      <c r="B5822">
        <v>10.8133</v>
      </c>
    </row>
    <row r="5823" spans="1:2">
      <c r="A5823" s="117">
        <v>39377</v>
      </c>
      <c r="B5823">
        <v>10.8133</v>
      </c>
    </row>
    <row r="5824" spans="1:2">
      <c r="A5824" s="117">
        <v>39378</v>
      </c>
      <c r="B5824">
        <v>10.797599999999999</v>
      </c>
    </row>
    <row r="5825" spans="1:2">
      <c r="A5825" s="117">
        <v>39379</v>
      </c>
      <c r="B5825">
        <v>10.840400000000001</v>
      </c>
    </row>
    <row r="5826" spans="1:2">
      <c r="A5826" s="117">
        <v>39380</v>
      </c>
      <c r="B5826">
        <v>10.824</v>
      </c>
    </row>
    <row r="5827" spans="1:2">
      <c r="A5827" s="117">
        <v>39381</v>
      </c>
      <c r="B5827">
        <v>10.8348</v>
      </c>
    </row>
    <row r="5828" spans="1:2">
      <c r="A5828" s="117">
        <v>39382</v>
      </c>
      <c r="B5828">
        <v>10.8291</v>
      </c>
    </row>
    <row r="5829" spans="1:2">
      <c r="A5829" s="117">
        <v>39383</v>
      </c>
      <c r="B5829">
        <v>10.8291</v>
      </c>
    </row>
    <row r="5830" spans="1:2">
      <c r="A5830" s="117">
        <v>39384</v>
      </c>
      <c r="B5830">
        <v>10.8291</v>
      </c>
    </row>
    <row r="5831" spans="1:2">
      <c r="A5831" s="117">
        <v>39385</v>
      </c>
      <c r="B5831">
        <v>10.7523</v>
      </c>
    </row>
    <row r="5832" spans="1:2">
      <c r="A5832" s="117">
        <v>39386</v>
      </c>
      <c r="B5832">
        <v>10.7112</v>
      </c>
    </row>
    <row r="5833" spans="1:2">
      <c r="A5833" s="117">
        <v>39387</v>
      </c>
      <c r="B5833">
        <v>10.719799999999999</v>
      </c>
    </row>
    <row r="5834" spans="1:2">
      <c r="A5834" s="117">
        <v>39388</v>
      </c>
      <c r="B5834">
        <v>10.702299999999999</v>
      </c>
    </row>
    <row r="5835" spans="1:2">
      <c r="A5835" s="117">
        <v>39389</v>
      </c>
      <c r="B5835">
        <v>10.702299999999999</v>
      </c>
    </row>
    <row r="5836" spans="1:2">
      <c r="A5836" s="117">
        <v>39390</v>
      </c>
      <c r="B5836">
        <v>10.702299999999999</v>
      </c>
    </row>
    <row r="5837" spans="1:2">
      <c r="A5837" s="117">
        <v>39391</v>
      </c>
      <c r="B5837">
        <v>10.702299999999999</v>
      </c>
    </row>
    <row r="5838" spans="1:2">
      <c r="A5838" s="117">
        <v>39392</v>
      </c>
      <c r="B5838">
        <v>10.6639</v>
      </c>
    </row>
    <row r="5839" spans="1:2">
      <c r="A5839" s="117">
        <v>39393</v>
      </c>
      <c r="B5839">
        <v>10.7308</v>
      </c>
    </row>
    <row r="5840" spans="1:2">
      <c r="A5840" s="117">
        <v>39394</v>
      </c>
      <c r="B5840">
        <v>10.704599999999999</v>
      </c>
    </row>
    <row r="5841" spans="1:2">
      <c r="A5841" s="117">
        <v>39395</v>
      </c>
      <c r="B5841">
        <v>10.743499999999999</v>
      </c>
    </row>
    <row r="5842" spans="1:2">
      <c r="A5842" s="117">
        <v>39396</v>
      </c>
      <c r="B5842">
        <v>10.8108</v>
      </c>
    </row>
    <row r="5843" spans="1:2">
      <c r="A5843" s="117">
        <v>39397</v>
      </c>
      <c r="B5843">
        <v>10.8108</v>
      </c>
    </row>
    <row r="5844" spans="1:2">
      <c r="A5844" s="117">
        <v>39398</v>
      </c>
      <c r="B5844">
        <v>10.8108</v>
      </c>
    </row>
    <row r="5845" spans="1:2">
      <c r="A5845" s="117">
        <v>39399</v>
      </c>
      <c r="B5845">
        <v>10.880800000000001</v>
      </c>
    </row>
    <row r="5846" spans="1:2">
      <c r="A5846" s="117">
        <v>39400</v>
      </c>
      <c r="B5846">
        <v>10.937799999999999</v>
      </c>
    </row>
    <row r="5847" spans="1:2">
      <c r="A5847" s="117">
        <v>39401</v>
      </c>
      <c r="B5847">
        <v>10.8941</v>
      </c>
    </row>
    <row r="5848" spans="1:2">
      <c r="A5848" s="117">
        <v>39402</v>
      </c>
      <c r="B5848">
        <v>10.868499999999999</v>
      </c>
    </row>
    <row r="5849" spans="1:2">
      <c r="A5849" s="117">
        <v>39403</v>
      </c>
      <c r="B5849">
        <v>10.9145</v>
      </c>
    </row>
    <row r="5850" spans="1:2">
      <c r="A5850" s="117">
        <v>39404</v>
      </c>
      <c r="B5850">
        <v>10.9145</v>
      </c>
    </row>
    <row r="5851" spans="1:2">
      <c r="A5851" s="117">
        <v>39405</v>
      </c>
      <c r="B5851">
        <v>10.9145</v>
      </c>
    </row>
    <row r="5852" spans="1:2">
      <c r="A5852" s="117">
        <v>39406</v>
      </c>
      <c r="B5852">
        <v>10.9145</v>
      </c>
    </row>
    <row r="5853" spans="1:2">
      <c r="A5853" s="117">
        <v>39407</v>
      </c>
      <c r="B5853">
        <v>10.9353</v>
      </c>
    </row>
    <row r="5854" spans="1:2">
      <c r="A5854" s="117">
        <v>39408</v>
      </c>
      <c r="B5854">
        <v>10.9687</v>
      </c>
    </row>
    <row r="5855" spans="1:2">
      <c r="A5855" s="117">
        <v>39409</v>
      </c>
      <c r="B5855">
        <v>11.0037</v>
      </c>
    </row>
    <row r="5856" spans="1:2">
      <c r="A5856" s="117">
        <v>39410</v>
      </c>
      <c r="B5856">
        <v>10.978999999999999</v>
      </c>
    </row>
    <row r="5857" spans="1:2">
      <c r="A5857" s="117">
        <v>39411</v>
      </c>
      <c r="B5857">
        <v>10.978999999999999</v>
      </c>
    </row>
    <row r="5858" spans="1:2">
      <c r="A5858" s="117">
        <v>39412</v>
      </c>
      <c r="B5858">
        <v>10.978999999999999</v>
      </c>
    </row>
    <row r="5859" spans="1:2">
      <c r="A5859" s="117">
        <v>39413</v>
      </c>
      <c r="B5859">
        <v>10.9733</v>
      </c>
    </row>
    <row r="5860" spans="1:2">
      <c r="A5860" s="117">
        <v>39414</v>
      </c>
      <c r="B5860">
        <v>10.981</v>
      </c>
    </row>
    <row r="5861" spans="1:2">
      <c r="A5861" s="117">
        <v>39415</v>
      </c>
      <c r="B5861">
        <v>10.9695</v>
      </c>
    </row>
    <row r="5862" spans="1:2">
      <c r="A5862" s="117">
        <v>39416</v>
      </c>
      <c r="B5862">
        <v>10.9345</v>
      </c>
    </row>
    <row r="5863" spans="1:2">
      <c r="A5863" s="117">
        <v>39417</v>
      </c>
      <c r="B5863">
        <v>10.941700000000001</v>
      </c>
    </row>
    <row r="5864" spans="1:2">
      <c r="A5864" s="117">
        <v>39418</v>
      </c>
      <c r="B5864">
        <v>10.941700000000001</v>
      </c>
    </row>
    <row r="5865" spans="1:2">
      <c r="A5865" s="117">
        <v>39419</v>
      </c>
      <c r="B5865">
        <v>10.941700000000001</v>
      </c>
    </row>
    <row r="5866" spans="1:2">
      <c r="A5866" s="117">
        <v>39420</v>
      </c>
      <c r="B5866">
        <v>10.896800000000001</v>
      </c>
    </row>
    <row r="5867" spans="1:2">
      <c r="A5867" s="117">
        <v>39421</v>
      </c>
      <c r="B5867">
        <v>10.9124</v>
      </c>
    </row>
    <row r="5868" spans="1:2">
      <c r="A5868" s="117">
        <v>39422</v>
      </c>
      <c r="B5868">
        <v>10.905900000000001</v>
      </c>
    </row>
    <row r="5869" spans="1:2">
      <c r="A5869" s="117">
        <v>39423</v>
      </c>
      <c r="B5869">
        <v>10.8592</v>
      </c>
    </row>
    <row r="5870" spans="1:2">
      <c r="A5870" s="117">
        <v>39424</v>
      </c>
      <c r="B5870">
        <v>10.8367</v>
      </c>
    </row>
    <row r="5871" spans="1:2">
      <c r="A5871" s="117">
        <v>39425</v>
      </c>
      <c r="B5871">
        <v>10.8367</v>
      </c>
    </row>
    <row r="5872" spans="1:2">
      <c r="A5872" s="117">
        <v>39426</v>
      </c>
      <c r="B5872">
        <v>10.8367</v>
      </c>
    </row>
    <row r="5873" spans="1:2">
      <c r="A5873" s="117">
        <v>39427</v>
      </c>
      <c r="B5873">
        <v>10.812799999999999</v>
      </c>
    </row>
    <row r="5874" spans="1:2">
      <c r="A5874" s="117">
        <v>39428</v>
      </c>
      <c r="B5874">
        <v>10.8185</v>
      </c>
    </row>
    <row r="5875" spans="1:2">
      <c r="A5875" s="117">
        <v>39429</v>
      </c>
      <c r="B5875">
        <v>10.8185</v>
      </c>
    </row>
    <row r="5876" spans="1:2">
      <c r="A5876" s="117">
        <v>39430</v>
      </c>
      <c r="B5876">
        <v>10.8025</v>
      </c>
    </row>
    <row r="5877" spans="1:2">
      <c r="A5877" s="117">
        <v>39431</v>
      </c>
      <c r="B5877">
        <v>10.8376</v>
      </c>
    </row>
    <row r="5878" spans="1:2">
      <c r="A5878" s="117">
        <v>39432</v>
      </c>
      <c r="B5878">
        <v>10.8376</v>
      </c>
    </row>
    <row r="5879" spans="1:2">
      <c r="A5879" s="117">
        <v>39433</v>
      </c>
      <c r="B5879">
        <v>10.8376</v>
      </c>
    </row>
    <row r="5880" spans="1:2">
      <c r="A5880" s="117">
        <v>39434</v>
      </c>
      <c r="B5880">
        <v>10.8249</v>
      </c>
    </row>
    <row r="5881" spans="1:2">
      <c r="A5881" s="117">
        <v>39435</v>
      </c>
      <c r="B5881">
        <v>10.846</v>
      </c>
    </row>
    <row r="5882" spans="1:2">
      <c r="A5882" s="117">
        <v>39436</v>
      </c>
      <c r="B5882">
        <v>10.8553</v>
      </c>
    </row>
    <row r="5883" spans="1:2">
      <c r="A5883" s="117">
        <v>39437</v>
      </c>
      <c r="B5883">
        <v>10.841200000000001</v>
      </c>
    </row>
    <row r="5884" spans="1:2">
      <c r="A5884" s="117">
        <v>39438</v>
      </c>
      <c r="B5884">
        <v>10.8363</v>
      </c>
    </row>
    <row r="5885" spans="1:2">
      <c r="A5885" s="117">
        <v>39439</v>
      </c>
      <c r="B5885">
        <v>10.8363</v>
      </c>
    </row>
    <row r="5886" spans="1:2">
      <c r="A5886" s="117">
        <v>39440</v>
      </c>
      <c r="B5886">
        <v>10.8363</v>
      </c>
    </row>
    <row r="5887" spans="1:2">
      <c r="A5887" s="117">
        <v>39441</v>
      </c>
      <c r="B5887">
        <v>10.8203</v>
      </c>
    </row>
    <row r="5888" spans="1:2">
      <c r="A5888" s="117">
        <v>39442</v>
      </c>
      <c r="B5888">
        <v>10.8203</v>
      </c>
    </row>
    <row r="5889" spans="1:2">
      <c r="A5889" s="117">
        <v>39443</v>
      </c>
      <c r="B5889">
        <v>10.8132</v>
      </c>
    </row>
    <row r="5890" spans="1:2">
      <c r="A5890" s="117">
        <v>39444</v>
      </c>
      <c r="B5890">
        <v>10.810499999999999</v>
      </c>
    </row>
    <row r="5891" spans="1:2">
      <c r="A5891" s="117">
        <v>39445</v>
      </c>
      <c r="B5891">
        <v>10.866199999999999</v>
      </c>
    </row>
    <row r="5892" spans="1:2">
      <c r="A5892" s="117">
        <v>39446</v>
      </c>
      <c r="B5892">
        <v>10.866199999999999</v>
      </c>
    </row>
    <row r="5893" spans="1:2">
      <c r="A5893" s="117">
        <v>39447</v>
      </c>
      <c r="B5893">
        <v>10.866199999999999</v>
      </c>
    </row>
    <row r="5894" spans="1:2">
      <c r="A5894" s="117">
        <v>39448</v>
      </c>
      <c r="B5894">
        <v>10.904299999999999</v>
      </c>
    </row>
    <row r="5895" spans="1:2">
      <c r="A5895" s="117">
        <v>39449</v>
      </c>
      <c r="B5895">
        <v>10.904299999999999</v>
      </c>
    </row>
    <row r="5896" spans="1:2">
      <c r="A5896" s="117">
        <v>39450</v>
      </c>
      <c r="B5896">
        <v>10.915699999999999</v>
      </c>
    </row>
    <row r="5897" spans="1:2">
      <c r="A5897" s="117">
        <v>39451</v>
      </c>
      <c r="B5897">
        <v>10.8972</v>
      </c>
    </row>
    <row r="5898" spans="1:2">
      <c r="A5898" s="117">
        <v>39452</v>
      </c>
      <c r="B5898">
        <v>10.8842</v>
      </c>
    </row>
    <row r="5899" spans="1:2">
      <c r="A5899" s="117">
        <v>39453</v>
      </c>
      <c r="B5899">
        <v>10.8842</v>
      </c>
    </row>
    <row r="5900" spans="1:2">
      <c r="A5900" s="117">
        <v>39454</v>
      </c>
      <c r="B5900">
        <v>10.8842</v>
      </c>
    </row>
    <row r="5901" spans="1:2">
      <c r="A5901" s="117">
        <v>39455</v>
      </c>
      <c r="B5901">
        <v>10.9277</v>
      </c>
    </row>
    <row r="5902" spans="1:2">
      <c r="A5902" s="117">
        <v>39456</v>
      </c>
      <c r="B5902">
        <v>10.9208</v>
      </c>
    </row>
    <row r="5903" spans="1:2">
      <c r="A5903" s="117">
        <v>39457</v>
      </c>
      <c r="B5903">
        <v>10.885</v>
      </c>
    </row>
    <row r="5904" spans="1:2">
      <c r="A5904" s="117">
        <v>39458</v>
      </c>
      <c r="B5904">
        <v>10.962</v>
      </c>
    </row>
    <row r="5905" spans="1:2">
      <c r="A5905" s="117">
        <v>39459</v>
      </c>
      <c r="B5905">
        <v>10.9572</v>
      </c>
    </row>
    <row r="5906" spans="1:2">
      <c r="A5906" s="117">
        <v>39460</v>
      </c>
      <c r="B5906">
        <v>10.9572</v>
      </c>
    </row>
    <row r="5907" spans="1:2">
      <c r="A5907" s="117">
        <v>39461</v>
      </c>
      <c r="B5907">
        <v>10.9572</v>
      </c>
    </row>
    <row r="5908" spans="1:2">
      <c r="A5908" s="117">
        <v>39462</v>
      </c>
      <c r="B5908">
        <v>10.931800000000001</v>
      </c>
    </row>
    <row r="5909" spans="1:2">
      <c r="A5909" s="117">
        <v>39463</v>
      </c>
      <c r="B5909">
        <v>10.914</v>
      </c>
    </row>
    <row r="5910" spans="1:2">
      <c r="A5910" s="117">
        <v>39464</v>
      </c>
      <c r="B5910">
        <v>10.920299999999999</v>
      </c>
    </row>
    <row r="5911" spans="1:2">
      <c r="A5911" s="117">
        <v>39465</v>
      </c>
      <c r="B5911">
        <v>10.9458</v>
      </c>
    </row>
    <row r="5912" spans="1:2">
      <c r="A5912" s="117">
        <v>39466</v>
      </c>
      <c r="B5912">
        <v>10.9445</v>
      </c>
    </row>
    <row r="5913" spans="1:2">
      <c r="A5913" s="117">
        <v>39467</v>
      </c>
      <c r="B5913">
        <v>10.9445</v>
      </c>
    </row>
    <row r="5914" spans="1:2">
      <c r="A5914" s="117">
        <v>39468</v>
      </c>
      <c r="B5914">
        <v>10.9445</v>
      </c>
    </row>
    <row r="5915" spans="1:2">
      <c r="A5915" s="117">
        <v>39469</v>
      </c>
      <c r="B5915">
        <v>10.923500000000001</v>
      </c>
    </row>
    <row r="5916" spans="1:2">
      <c r="A5916" s="117">
        <v>39470</v>
      </c>
      <c r="B5916">
        <v>10.981299999999999</v>
      </c>
    </row>
    <row r="5917" spans="1:2">
      <c r="A5917" s="117">
        <v>39471</v>
      </c>
      <c r="B5917">
        <v>10.9232</v>
      </c>
    </row>
    <row r="5918" spans="1:2">
      <c r="A5918" s="117">
        <v>39472</v>
      </c>
      <c r="B5918">
        <v>10.952199999999999</v>
      </c>
    </row>
    <row r="5919" spans="1:2">
      <c r="A5919" s="117">
        <v>39473</v>
      </c>
      <c r="B5919">
        <v>10.8934</v>
      </c>
    </row>
    <row r="5920" spans="1:2">
      <c r="A5920" s="117">
        <v>39474</v>
      </c>
      <c r="B5920">
        <v>10.8934</v>
      </c>
    </row>
    <row r="5921" spans="1:2">
      <c r="A5921" s="117">
        <v>39475</v>
      </c>
      <c r="B5921">
        <v>10.8934</v>
      </c>
    </row>
    <row r="5922" spans="1:2">
      <c r="A5922" s="117">
        <v>39476</v>
      </c>
      <c r="B5922">
        <v>10.8698</v>
      </c>
    </row>
    <row r="5923" spans="1:2">
      <c r="A5923" s="117">
        <v>39477</v>
      </c>
      <c r="B5923">
        <v>10.878399999999999</v>
      </c>
    </row>
    <row r="5924" spans="1:2">
      <c r="A5924" s="117">
        <v>39478</v>
      </c>
      <c r="B5924">
        <v>10.8444</v>
      </c>
    </row>
    <row r="5925" spans="1:2">
      <c r="A5925" s="117">
        <v>39479</v>
      </c>
      <c r="B5925">
        <v>10.837400000000001</v>
      </c>
    </row>
    <row r="5926" spans="1:2">
      <c r="A5926" s="117">
        <v>39480</v>
      </c>
      <c r="B5926">
        <v>10.8262</v>
      </c>
    </row>
    <row r="5927" spans="1:2">
      <c r="A5927" s="117">
        <v>39481</v>
      </c>
      <c r="B5927">
        <v>10.8262</v>
      </c>
    </row>
    <row r="5928" spans="1:2">
      <c r="A5928" s="117">
        <v>39482</v>
      </c>
      <c r="B5928">
        <v>10.8262</v>
      </c>
    </row>
    <row r="5929" spans="1:2">
      <c r="A5929" s="117">
        <v>39483</v>
      </c>
      <c r="B5929">
        <v>10.8262</v>
      </c>
    </row>
    <row r="5930" spans="1:2">
      <c r="A5930" s="117">
        <v>39484</v>
      </c>
      <c r="B5930">
        <v>10.813800000000001</v>
      </c>
    </row>
    <row r="5931" spans="1:2">
      <c r="A5931" s="117">
        <v>39485</v>
      </c>
      <c r="B5931">
        <v>10.828900000000001</v>
      </c>
    </row>
    <row r="5932" spans="1:2">
      <c r="A5932" s="117">
        <v>39486</v>
      </c>
      <c r="B5932">
        <v>10.822699999999999</v>
      </c>
    </row>
    <row r="5933" spans="1:2">
      <c r="A5933" s="117">
        <v>39487</v>
      </c>
      <c r="B5933">
        <v>10.804</v>
      </c>
    </row>
    <row r="5934" spans="1:2">
      <c r="A5934" s="117">
        <v>39488</v>
      </c>
      <c r="B5934">
        <v>10.804</v>
      </c>
    </row>
    <row r="5935" spans="1:2">
      <c r="A5935" s="117">
        <v>39489</v>
      </c>
      <c r="B5935">
        <v>10.804</v>
      </c>
    </row>
    <row r="5936" spans="1:2">
      <c r="A5936" s="117">
        <v>39490</v>
      </c>
      <c r="B5936">
        <v>10.7575</v>
      </c>
    </row>
    <row r="5937" spans="1:2">
      <c r="A5937" s="117">
        <v>39491</v>
      </c>
      <c r="B5937">
        <v>10.7736</v>
      </c>
    </row>
    <row r="5938" spans="1:2">
      <c r="A5938" s="117">
        <v>39492</v>
      </c>
      <c r="B5938">
        <v>10.746499999999999</v>
      </c>
    </row>
    <row r="5939" spans="1:2">
      <c r="A5939" s="117">
        <v>39493</v>
      </c>
      <c r="B5939">
        <v>10.7509</v>
      </c>
    </row>
    <row r="5940" spans="1:2">
      <c r="A5940" s="117">
        <v>39494</v>
      </c>
      <c r="B5940">
        <v>10.741300000000001</v>
      </c>
    </row>
    <row r="5941" spans="1:2">
      <c r="A5941" s="117">
        <v>39495</v>
      </c>
      <c r="B5941">
        <v>10.741300000000001</v>
      </c>
    </row>
    <row r="5942" spans="1:2">
      <c r="A5942" s="117">
        <v>39496</v>
      </c>
      <c r="B5942">
        <v>10.741300000000001</v>
      </c>
    </row>
    <row r="5943" spans="1:2">
      <c r="A5943" s="117">
        <v>39497</v>
      </c>
      <c r="B5943">
        <v>10.7653</v>
      </c>
    </row>
    <row r="5944" spans="1:2">
      <c r="A5944" s="117">
        <v>39498</v>
      </c>
      <c r="B5944">
        <v>10.734999999999999</v>
      </c>
    </row>
    <row r="5945" spans="1:2">
      <c r="A5945" s="117">
        <v>39499</v>
      </c>
      <c r="B5945">
        <v>10.748900000000001</v>
      </c>
    </row>
    <row r="5946" spans="1:2">
      <c r="A5946" s="117">
        <v>39500</v>
      </c>
      <c r="B5946">
        <v>10.793900000000001</v>
      </c>
    </row>
    <row r="5947" spans="1:2">
      <c r="A5947" s="117">
        <v>39501</v>
      </c>
      <c r="B5947">
        <v>10.798</v>
      </c>
    </row>
    <row r="5948" spans="1:2">
      <c r="A5948" s="117">
        <v>39502</v>
      </c>
      <c r="B5948">
        <v>10.798</v>
      </c>
    </row>
    <row r="5949" spans="1:2">
      <c r="A5949" s="117">
        <v>39503</v>
      </c>
      <c r="B5949">
        <v>10.798</v>
      </c>
    </row>
    <row r="5950" spans="1:2">
      <c r="A5950" s="117">
        <v>39504</v>
      </c>
      <c r="B5950">
        <v>10.7818</v>
      </c>
    </row>
    <row r="5951" spans="1:2">
      <c r="A5951" s="117">
        <v>39505</v>
      </c>
      <c r="B5951">
        <v>10.785500000000001</v>
      </c>
    </row>
    <row r="5952" spans="1:2">
      <c r="A5952" s="117">
        <v>39506</v>
      </c>
      <c r="B5952">
        <v>10.743</v>
      </c>
    </row>
    <row r="5953" spans="1:2">
      <c r="A5953" s="117">
        <v>39507</v>
      </c>
      <c r="B5953">
        <v>10.734400000000001</v>
      </c>
    </row>
    <row r="5954" spans="1:2">
      <c r="A5954" s="117">
        <v>39508</v>
      </c>
      <c r="B5954">
        <v>10.6813</v>
      </c>
    </row>
    <row r="5955" spans="1:2">
      <c r="A5955" s="117">
        <v>39509</v>
      </c>
      <c r="B5955">
        <v>10.6813</v>
      </c>
    </row>
    <row r="5956" spans="1:2">
      <c r="A5956" s="117">
        <v>39510</v>
      </c>
      <c r="B5956">
        <v>10.6813</v>
      </c>
    </row>
    <row r="5957" spans="1:2">
      <c r="A5957" s="117">
        <v>39511</v>
      </c>
      <c r="B5957">
        <v>10.724299999999999</v>
      </c>
    </row>
    <row r="5958" spans="1:2">
      <c r="A5958" s="117">
        <v>39512</v>
      </c>
      <c r="B5958">
        <v>10.704599999999999</v>
      </c>
    </row>
    <row r="5959" spans="1:2">
      <c r="A5959" s="117">
        <v>39513</v>
      </c>
      <c r="B5959">
        <v>10.7098</v>
      </c>
    </row>
    <row r="5960" spans="1:2">
      <c r="A5960" s="117">
        <v>39514</v>
      </c>
      <c r="B5960">
        <v>10.697800000000001</v>
      </c>
    </row>
    <row r="5961" spans="1:2">
      <c r="A5961" s="117">
        <v>39515</v>
      </c>
      <c r="B5961">
        <v>10.764900000000001</v>
      </c>
    </row>
    <row r="5962" spans="1:2">
      <c r="A5962" s="117">
        <v>39516</v>
      </c>
      <c r="B5962">
        <v>10.764900000000001</v>
      </c>
    </row>
    <row r="5963" spans="1:2">
      <c r="A5963" s="117">
        <v>39517</v>
      </c>
      <c r="B5963">
        <v>10.764900000000001</v>
      </c>
    </row>
    <row r="5964" spans="1:2">
      <c r="A5964" s="117">
        <v>39518</v>
      </c>
      <c r="B5964">
        <v>10.8383</v>
      </c>
    </row>
    <row r="5965" spans="1:2">
      <c r="A5965" s="117">
        <v>39519</v>
      </c>
      <c r="B5965">
        <v>10.847799999999999</v>
      </c>
    </row>
    <row r="5966" spans="1:2">
      <c r="A5966" s="117">
        <v>39520</v>
      </c>
      <c r="B5966">
        <v>10.7965</v>
      </c>
    </row>
    <row r="5967" spans="1:2">
      <c r="A5967" s="117">
        <v>39521</v>
      </c>
      <c r="B5967">
        <v>10.7735</v>
      </c>
    </row>
    <row r="5968" spans="1:2">
      <c r="A5968" s="117">
        <v>39522</v>
      </c>
      <c r="B5968">
        <v>10.777799999999999</v>
      </c>
    </row>
    <row r="5969" spans="1:2">
      <c r="A5969" s="117">
        <v>39523</v>
      </c>
      <c r="B5969">
        <v>10.777799999999999</v>
      </c>
    </row>
    <row r="5970" spans="1:2">
      <c r="A5970" s="117">
        <v>39524</v>
      </c>
      <c r="B5970">
        <v>10.777799999999999</v>
      </c>
    </row>
    <row r="5971" spans="1:2">
      <c r="A5971" s="117">
        <v>39525</v>
      </c>
      <c r="B5971">
        <v>10.777799999999999</v>
      </c>
    </row>
    <row r="5972" spans="1:2">
      <c r="A5972" s="117">
        <v>39526</v>
      </c>
      <c r="B5972">
        <v>10.7613</v>
      </c>
    </row>
    <row r="5973" spans="1:2">
      <c r="A5973" s="117">
        <v>39527</v>
      </c>
      <c r="B5973">
        <v>10.704000000000001</v>
      </c>
    </row>
    <row r="5974" spans="1:2">
      <c r="A5974" s="117">
        <v>39528</v>
      </c>
      <c r="B5974">
        <v>10.704000000000001</v>
      </c>
    </row>
    <row r="5975" spans="1:2">
      <c r="A5975" s="117">
        <v>39529</v>
      </c>
      <c r="B5975">
        <v>10.704000000000001</v>
      </c>
    </row>
    <row r="5976" spans="1:2">
      <c r="A5976" s="117">
        <v>39530</v>
      </c>
      <c r="B5976">
        <v>10.704000000000001</v>
      </c>
    </row>
    <row r="5977" spans="1:2">
      <c r="A5977" s="117">
        <v>39531</v>
      </c>
      <c r="B5977">
        <v>10.704000000000001</v>
      </c>
    </row>
    <row r="5978" spans="1:2">
      <c r="A5978" s="117">
        <v>39532</v>
      </c>
      <c r="B5978">
        <v>10.6944</v>
      </c>
    </row>
    <row r="5979" spans="1:2">
      <c r="A5979" s="117">
        <v>39533</v>
      </c>
      <c r="B5979">
        <v>10.674799999999999</v>
      </c>
    </row>
    <row r="5980" spans="1:2">
      <c r="A5980" s="117">
        <v>39534</v>
      </c>
      <c r="B5980">
        <v>10.6793</v>
      </c>
    </row>
    <row r="5981" spans="1:2">
      <c r="A5981" s="117">
        <v>39535</v>
      </c>
      <c r="B5981">
        <v>10.6957</v>
      </c>
    </row>
    <row r="5982" spans="1:2">
      <c r="A5982" s="117">
        <v>39536</v>
      </c>
      <c r="B5982">
        <v>10.696199999999999</v>
      </c>
    </row>
    <row r="5983" spans="1:2">
      <c r="A5983" s="117">
        <v>39537</v>
      </c>
      <c r="B5983">
        <v>10.696199999999999</v>
      </c>
    </row>
    <row r="5984" spans="1:2">
      <c r="A5984" s="117">
        <v>39538</v>
      </c>
      <c r="B5984">
        <v>10.696199999999999</v>
      </c>
    </row>
    <row r="5985" spans="1:2">
      <c r="A5985" s="117">
        <v>39539</v>
      </c>
      <c r="B5985">
        <v>10.698700000000001</v>
      </c>
    </row>
    <row r="5986" spans="1:2">
      <c r="A5986" s="117">
        <v>39540</v>
      </c>
      <c r="B5986">
        <v>10.648199999999999</v>
      </c>
    </row>
    <row r="5987" spans="1:2">
      <c r="A5987" s="117">
        <v>39541</v>
      </c>
      <c r="B5987">
        <v>10.5985</v>
      </c>
    </row>
    <row r="5988" spans="1:2">
      <c r="A5988" s="117">
        <v>39542</v>
      </c>
      <c r="B5988">
        <v>10.5557</v>
      </c>
    </row>
    <row r="5989" spans="1:2">
      <c r="A5989" s="117">
        <v>39543</v>
      </c>
      <c r="B5989">
        <v>10.564399999999999</v>
      </c>
    </row>
    <row r="5990" spans="1:2">
      <c r="A5990" s="117">
        <v>39544</v>
      </c>
      <c r="B5990">
        <v>10.564399999999999</v>
      </c>
    </row>
    <row r="5991" spans="1:2">
      <c r="A5991" s="117">
        <v>39545</v>
      </c>
      <c r="B5991">
        <v>10.564399999999999</v>
      </c>
    </row>
    <row r="5992" spans="1:2">
      <c r="A5992" s="117">
        <v>39546</v>
      </c>
      <c r="B5992">
        <v>10.558999999999999</v>
      </c>
    </row>
    <row r="5993" spans="1:2">
      <c r="A5993" s="117">
        <v>39547</v>
      </c>
      <c r="B5993">
        <v>10.5395</v>
      </c>
    </row>
    <row r="5994" spans="1:2">
      <c r="A5994" s="117">
        <v>39548</v>
      </c>
      <c r="B5994">
        <v>10.561</v>
      </c>
    </row>
    <row r="5995" spans="1:2">
      <c r="A5995" s="117">
        <v>39549</v>
      </c>
      <c r="B5995">
        <v>10.555199999999999</v>
      </c>
    </row>
    <row r="5996" spans="1:2">
      <c r="A5996" s="117">
        <v>39550</v>
      </c>
      <c r="B5996">
        <v>10.5503</v>
      </c>
    </row>
    <row r="5997" spans="1:2">
      <c r="A5997" s="117">
        <v>39551</v>
      </c>
      <c r="B5997">
        <v>10.5503</v>
      </c>
    </row>
    <row r="5998" spans="1:2">
      <c r="A5998" s="117">
        <v>39552</v>
      </c>
      <c r="B5998">
        <v>10.5503</v>
      </c>
    </row>
    <row r="5999" spans="1:2">
      <c r="A5999" s="117">
        <v>39553</v>
      </c>
      <c r="B5999">
        <v>10.5337</v>
      </c>
    </row>
    <row r="6000" spans="1:2">
      <c r="A6000" s="117">
        <v>39554</v>
      </c>
      <c r="B6000">
        <v>10.491899999999999</v>
      </c>
    </row>
    <row r="6001" spans="1:2">
      <c r="A6001" s="117">
        <v>39555</v>
      </c>
      <c r="B6001">
        <v>10.484299999999999</v>
      </c>
    </row>
    <row r="6002" spans="1:2">
      <c r="A6002" s="117">
        <v>39556</v>
      </c>
      <c r="B6002">
        <v>10.4579</v>
      </c>
    </row>
    <row r="6003" spans="1:2">
      <c r="A6003" s="117">
        <v>39557</v>
      </c>
      <c r="B6003">
        <v>10.482799999999999</v>
      </c>
    </row>
    <row r="6004" spans="1:2">
      <c r="A6004" s="117">
        <v>39558</v>
      </c>
      <c r="B6004">
        <v>10.482799999999999</v>
      </c>
    </row>
    <row r="6005" spans="1:2">
      <c r="A6005" s="117">
        <v>39559</v>
      </c>
      <c r="B6005">
        <v>10.482799999999999</v>
      </c>
    </row>
    <row r="6006" spans="1:2">
      <c r="A6006" s="117">
        <v>39560</v>
      </c>
      <c r="B6006">
        <v>10.461</v>
      </c>
    </row>
    <row r="6007" spans="1:2">
      <c r="A6007" s="117">
        <v>39561</v>
      </c>
      <c r="B6007">
        <v>10.5223</v>
      </c>
    </row>
    <row r="6008" spans="1:2">
      <c r="A6008" s="117">
        <v>39562</v>
      </c>
      <c r="B6008">
        <v>10.5181</v>
      </c>
    </row>
    <row r="6009" spans="1:2">
      <c r="A6009" s="117">
        <v>39563</v>
      </c>
      <c r="B6009">
        <v>10.486800000000001</v>
      </c>
    </row>
    <row r="6010" spans="1:2">
      <c r="A6010" s="117">
        <v>39564</v>
      </c>
      <c r="B6010">
        <v>10.462</v>
      </c>
    </row>
    <row r="6011" spans="1:2">
      <c r="A6011" s="117">
        <v>39565</v>
      </c>
      <c r="B6011">
        <v>10.462</v>
      </c>
    </row>
    <row r="6012" spans="1:2">
      <c r="A6012" s="117">
        <v>39566</v>
      </c>
      <c r="B6012">
        <v>10.462</v>
      </c>
    </row>
    <row r="6013" spans="1:2">
      <c r="A6013" s="117">
        <v>39567</v>
      </c>
      <c r="B6013">
        <v>10.4702</v>
      </c>
    </row>
    <row r="6014" spans="1:2">
      <c r="A6014" s="117">
        <v>39568</v>
      </c>
      <c r="B6014">
        <v>10.446400000000001</v>
      </c>
    </row>
    <row r="6015" spans="1:2">
      <c r="A6015" s="117">
        <v>39569</v>
      </c>
      <c r="B6015">
        <v>10.527200000000001</v>
      </c>
    </row>
    <row r="6016" spans="1:2">
      <c r="A6016" s="117">
        <v>39570</v>
      </c>
      <c r="B6016">
        <v>10.527200000000001</v>
      </c>
    </row>
    <row r="6017" spans="1:2">
      <c r="A6017" s="117">
        <v>39571</v>
      </c>
      <c r="B6017">
        <v>10.509499999999999</v>
      </c>
    </row>
    <row r="6018" spans="1:2">
      <c r="A6018" s="117">
        <v>39572</v>
      </c>
      <c r="B6018">
        <v>10.509499999999999</v>
      </c>
    </row>
    <row r="6019" spans="1:2">
      <c r="A6019" s="117">
        <v>39573</v>
      </c>
      <c r="B6019">
        <v>10.509499999999999</v>
      </c>
    </row>
    <row r="6020" spans="1:2">
      <c r="A6020" s="117">
        <v>39574</v>
      </c>
      <c r="B6020">
        <v>10.458500000000001</v>
      </c>
    </row>
    <row r="6021" spans="1:2">
      <c r="A6021" s="117">
        <v>39575</v>
      </c>
      <c r="B6021">
        <v>10.4687</v>
      </c>
    </row>
    <row r="6022" spans="1:2">
      <c r="A6022" s="117">
        <v>39576</v>
      </c>
      <c r="B6022">
        <v>10.4937</v>
      </c>
    </row>
    <row r="6023" spans="1:2">
      <c r="A6023" s="117">
        <v>39577</v>
      </c>
      <c r="B6023">
        <v>10.539</v>
      </c>
    </row>
    <row r="6024" spans="1:2">
      <c r="A6024" s="117">
        <v>39578</v>
      </c>
      <c r="B6024">
        <v>10.5465</v>
      </c>
    </row>
    <row r="6025" spans="1:2">
      <c r="A6025" s="117">
        <v>39579</v>
      </c>
      <c r="B6025">
        <v>10.5465</v>
      </c>
    </row>
    <row r="6026" spans="1:2">
      <c r="A6026" s="117">
        <v>39580</v>
      </c>
      <c r="B6026">
        <v>10.5465</v>
      </c>
    </row>
    <row r="6027" spans="1:2">
      <c r="A6027" s="117">
        <v>39581</v>
      </c>
      <c r="B6027">
        <v>10.566599999999999</v>
      </c>
    </row>
    <row r="6028" spans="1:2">
      <c r="A6028" s="117">
        <v>39582</v>
      </c>
      <c r="B6028">
        <v>10.505800000000001</v>
      </c>
    </row>
    <row r="6029" spans="1:2">
      <c r="A6029" s="117">
        <v>39583</v>
      </c>
      <c r="B6029">
        <v>10.483499999999999</v>
      </c>
    </row>
    <row r="6030" spans="1:2">
      <c r="A6030" s="117">
        <v>39584</v>
      </c>
      <c r="B6030">
        <v>10.4884</v>
      </c>
    </row>
    <row r="6031" spans="1:2">
      <c r="A6031" s="117">
        <v>39585</v>
      </c>
      <c r="B6031">
        <v>10.476900000000001</v>
      </c>
    </row>
    <row r="6032" spans="1:2">
      <c r="A6032" s="117">
        <v>39586</v>
      </c>
      <c r="B6032">
        <v>10.476900000000001</v>
      </c>
    </row>
    <row r="6033" spans="1:2">
      <c r="A6033" s="117">
        <v>39587</v>
      </c>
      <c r="B6033">
        <v>10.476900000000001</v>
      </c>
    </row>
    <row r="6034" spans="1:2">
      <c r="A6034" s="117">
        <v>39588</v>
      </c>
      <c r="B6034">
        <v>10.426600000000001</v>
      </c>
    </row>
    <row r="6035" spans="1:2">
      <c r="A6035" s="117">
        <v>39589</v>
      </c>
      <c r="B6035">
        <v>10.379200000000001</v>
      </c>
    </row>
    <row r="6036" spans="1:2">
      <c r="A6036" s="117">
        <v>39590</v>
      </c>
      <c r="B6036">
        <v>10.4002</v>
      </c>
    </row>
    <row r="6037" spans="1:2">
      <c r="A6037" s="117">
        <v>39591</v>
      </c>
      <c r="B6037">
        <v>10.3644</v>
      </c>
    </row>
    <row r="6038" spans="1:2">
      <c r="A6038" s="117">
        <v>39592</v>
      </c>
      <c r="B6038">
        <v>10.381</v>
      </c>
    </row>
    <row r="6039" spans="1:2">
      <c r="A6039" s="117">
        <v>39593</v>
      </c>
      <c r="B6039">
        <v>10.381</v>
      </c>
    </row>
    <row r="6040" spans="1:2">
      <c r="A6040" s="117">
        <v>39594</v>
      </c>
      <c r="B6040">
        <v>10.381</v>
      </c>
    </row>
    <row r="6041" spans="1:2">
      <c r="A6041" s="117">
        <v>39595</v>
      </c>
      <c r="B6041">
        <v>10.4</v>
      </c>
    </row>
    <row r="6042" spans="1:2">
      <c r="A6042" s="117">
        <v>39596</v>
      </c>
      <c r="B6042">
        <v>10.3848</v>
      </c>
    </row>
    <row r="6043" spans="1:2">
      <c r="A6043" s="117">
        <v>39597</v>
      </c>
      <c r="B6043">
        <v>10.3925</v>
      </c>
    </row>
    <row r="6044" spans="1:2">
      <c r="A6044" s="117">
        <v>39598</v>
      </c>
      <c r="B6044">
        <v>10.3447</v>
      </c>
    </row>
    <row r="6045" spans="1:2">
      <c r="A6045" s="117">
        <v>39599</v>
      </c>
      <c r="B6045">
        <v>10.3066</v>
      </c>
    </row>
    <row r="6046" spans="1:2">
      <c r="A6046" s="117">
        <v>39600</v>
      </c>
      <c r="B6046">
        <v>10.3066</v>
      </c>
    </row>
    <row r="6047" spans="1:2">
      <c r="A6047" s="117">
        <v>39601</v>
      </c>
      <c r="B6047">
        <v>10.3066</v>
      </c>
    </row>
    <row r="6048" spans="1:2">
      <c r="A6048" s="117">
        <v>39602</v>
      </c>
      <c r="B6048">
        <v>10.3306</v>
      </c>
    </row>
    <row r="6049" spans="1:2">
      <c r="A6049" s="117">
        <v>39603</v>
      </c>
      <c r="B6049">
        <v>10.341699999999999</v>
      </c>
    </row>
    <row r="6050" spans="1:2">
      <c r="A6050" s="117">
        <v>39604</v>
      </c>
      <c r="B6050">
        <v>10.299200000000001</v>
      </c>
    </row>
    <row r="6051" spans="1:2">
      <c r="A6051" s="117">
        <v>39605</v>
      </c>
      <c r="B6051">
        <v>10.321099999999999</v>
      </c>
    </row>
    <row r="6052" spans="1:2">
      <c r="A6052" s="117">
        <v>39606</v>
      </c>
      <c r="B6052">
        <v>10.3108</v>
      </c>
    </row>
    <row r="6053" spans="1:2">
      <c r="A6053" s="117">
        <v>39607</v>
      </c>
      <c r="B6053">
        <v>10.3108</v>
      </c>
    </row>
    <row r="6054" spans="1:2">
      <c r="A6054" s="117">
        <v>39608</v>
      </c>
      <c r="B6054">
        <v>10.3108</v>
      </c>
    </row>
    <row r="6055" spans="1:2">
      <c r="A6055" s="117">
        <v>39609</v>
      </c>
      <c r="B6055">
        <v>10.3582</v>
      </c>
    </row>
    <row r="6056" spans="1:2">
      <c r="A6056" s="117">
        <v>39610</v>
      </c>
      <c r="B6056">
        <v>10.362</v>
      </c>
    </row>
    <row r="6057" spans="1:2">
      <c r="A6057" s="117">
        <v>39611</v>
      </c>
      <c r="B6057">
        <v>10.3847</v>
      </c>
    </row>
    <row r="6058" spans="1:2">
      <c r="A6058" s="117">
        <v>39612</v>
      </c>
      <c r="B6058">
        <v>10.4268</v>
      </c>
    </row>
    <row r="6059" spans="1:2">
      <c r="A6059" s="117">
        <v>39613</v>
      </c>
      <c r="B6059">
        <v>10.395</v>
      </c>
    </row>
    <row r="6060" spans="1:2">
      <c r="A6060" s="117">
        <v>39614</v>
      </c>
      <c r="B6060">
        <v>10.395</v>
      </c>
    </row>
    <row r="6061" spans="1:2">
      <c r="A6061" s="117">
        <v>39615</v>
      </c>
      <c r="B6061">
        <v>10.395</v>
      </c>
    </row>
    <row r="6062" spans="1:2">
      <c r="A6062" s="117">
        <v>39616</v>
      </c>
      <c r="B6062">
        <v>10.365500000000001</v>
      </c>
    </row>
    <row r="6063" spans="1:2">
      <c r="A6063" s="117">
        <v>39617</v>
      </c>
      <c r="B6063">
        <v>10.3399</v>
      </c>
    </row>
    <row r="6064" spans="1:2">
      <c r="A6064" s="117">
        <v>39618</v>
      </c>
      <c r="B6064">
        <v>10.315300000000001</v>
      </c>
    </row>
    <row r="6065" spans="1:2">
      <c r="A6065" s="117">
        <v>39619</v>
      </c>
      <c r="B6065">
        <v>10.2935</v>
      </c>
    </row>
    <row r="6066" spans="1:2">
      <c r="A6066" s="117">
        <v>39620</v>
      </c>
      <c r="B6066">
        <v>10.3156</v>
      </c>
    </row>
    <row r="6067" spans="1:2">
      <c r="A6067" s="117">
        <v>39621</v>
      </c>
      <c r="B6067">
        <v>10.3156</v>
      </c>
    </row>
    <row r="6068" spans="1:2">
      <c r="A6068" s="117">
        <v>39622</v>
      </c>
      <c r="B6068">
        <v>10.3156</v>
      </c>
    </row>
    <row r="6069" spans="1:2">
      <c r="A6069" s="117">
        <v>39623</v>
      </c>
      <c r="B6069">
        <v>10.2753</v>
      </c>
    </row>
    <row r="6070" spans="1:2">
      <c r="A6070" s="117">
        <v>39624</v>
      </c>
      <c r="B6070">
        <v>10.3032</v>
      </c>
    </row>
    <row r="6071" spans="1:2">
      <c r="A6071" s="117">
        <v>39625</v>
      </c>
      <c r="B6071">
        <v>10.318</v>
      </c>
    </row>
    <row r="6072" spans="1:2">
      <c r="A6072" s="117">
        <v>39626</v>
      </c>
      <c r="B6072">
        <v>10.293799999999999</v>
      </c>
    </row>
    <row r="6073" spans="1:2">
      <c r="A6073" s="117">
        <v>39627</v>
      </c>
      <c r="B6073">
        <v>10.2841</v>
      </c>
    </row>
    <row r="6074" spans="1:2">
      <c r="A6074" s="117">
        <v>39628</v>
      </c>
      <c r="B6074">
        <v>10.2841</v>
      </c>
    </row>
    <row r="6075" spans="1:2">
      <c r="A6075" s="117">
        <v>39629</v>
      </c>
      <c r="B6075">
        <v>10.2841</v>
      </c>
    </row>
    <row r="6076" spans="1:2">
      <c r="A6076" s="117">
        <v>39630</v>
      </c>
      <c r="B6076">
        <v>10.3028</v>
      </c>
    </row>
    <row r="6077" spans="1:2">
      <c r="A6077" s="117">
        <v>39631</v>
      </c>
      <c r="B6077">
        <v>10.306900000000001</v>
      </c>
    </row>
    <row r="6078" spans="1:2">
      <c r="A6078" s="117">
        <v>39632</v>
      </c>
      <c r="B6078">
        <v>10.3908</v>
      </c>
    </row>
    <row r="6079" spans="1:2">
      <c r="A6079" s="117">
        <v>39633</v>
      </c>
      <c r="B6079">
        <v>10.372199999999999</v>
      </c>
    </row>
    <row r="6080" spans="1:2">
      <c r="A6080" s="117">
        <v>39634</v>
      </c>
      <c r="B6080">
        <v>10.369199999999999</v>
      </c>
    </row>
    <row r="6081" spans="1:2">
      <c r="A6081" s="117">
        <v>39635</v>
      </c>
      <c r="B6081">
        <v>10.369199999999999</v>
      </c>
    </row>
    <row r="6082" spans="1:2">
      <c r="A6082" s="117">
        <v>39636</v>
      </c>
      <c r="B6082">
        <v>10.369199999999999</v>
      </c>
    </row>
    <row r="6083" spans="1:2">
      <c r="A6083" s="117">
        <v>39637</v>
      </c>
      <c r="B6083">
        <v>10.341100000000001</v>
      </c>
    </row>
    <row r="6084" spans="1:2">
      <c r="A6084" s="117">
        <v>39638</v>
      </c>
      <c r="B6084">
        <v>10.3263</v>
      </c>
    </row>
    <row r="6085" spans="1:2">
      <c r="A6085" s="117">
        <v>39639</v>
      </c>
      <c r="B6085">
        <v>10.3363</v>
      </c>
    </row>
    <row r="6086" spans="1:2">
      <c r="A6086" s="117">
        <v>39640</v>
      </c>
      <c r="B6086">
        <v>10.299300000000001</v>
      </c>
    </row>
    <row r="6087" spans="1:2">
      <c r="A6087" s="117">
        <v>39641</v>
      </c>
      <c r="B6087">
        <v>10.307600000000001</v>
      </c>
    </row>
    <row r="6088" spans="1:2">
      <c r="A6088" s="117">
        <v>39642</v>
      </c>
      <c r="B6088">
        <v>10.307600000000001</v>
      </c>
    </row>
    <row r="6089" spans="1:2">
      <c r="A6089" s="117">
        <v>39643</v>
      </c>
      <c r="B6089">
        <v>10.307600000000001</v>
      </c>
    </row>
    <row r="6090" spans="1:2">
      <c r="A6090" s="117">
        <v>39644</v>
      </c>
      <c r="B6090">
        <v>10.311999999999999</v>
      </c>
    </row>
    <row r="6091" spans="1:2">
      <c r="A6091" s="117">
        <v>39645</v>
      </c>
      <c r="B6091">
        <v>10.2925</v>
      </c>
    </row>
    <row r="6092" spans="1:2">
      <c r="A6092" s="117">
        <v>39646</v>
      </c>
      <c r="B6092">
        <v>10.322900000000001</v>
      </c>
    </row>
    <row r="6093" spans="1:2">
      <c r="A6093" s="117">
        <v>39647</v>
      </c>
      <c r="B6093">
        <v>10.2608</v>
      </c>
    </row>
    <row r="6094" spans="1:2">
      <c r="A6094" s="117">
        <v>39648</v>
      </c>
      <c r="B6094">
        <v>10.2311</v>
      </c>
    </row>
    <row r="6095" spans="1:2">
      <c r="A6095" s="117">
        <v>39649</v>
      </c>
      <c r="B6095">
        <v>10.2311</v>
      </c>
    </row>
    <row r="6096" spans="1:2">
      <c r="A6096" s="117">
        <v>39650</v>
      </c>
      <c r="B6096">
        <v>10.2311</v>
      </c>
    </row>
    <row r="6097" spans="1:2">
      <c r="A6097" s="117">
        <v>39651</v>
      </c>
      <c r="B6097">
        <v>10.204700000000001</v>
      </c>
    </row>
    <row r="6098" spans="1:2">
      <c r="A6098" s="117">
        <v>39652</v>
      </c>
      <c r="B6098">
        <v>10.1708</v>
      </c>
    </row>
    <row r="6099" spans="1:2">
      <c r="A6099" s="117">
        <v>39653</v>
      </c>
      <c r="B6099">
        <v>10.117800000000001</v>
      </c>
    </row>
    <row r="6100" spans="1:2">
      <c r="A6100" s="117">
        <v>39654</v>
      </c>
      <c r="B6100">
        <v>10.055199999999999</v>
      </c>
    </row>
    <row r="6101" spans="1:2">
      <c r="A6101" s="117">
        <v>39655</v>
      </c>
      <c r="B6101">
        <v>10.026400000000001</v>
      </c>
    </row>
    <row r="6102" spans="1:2">
      <c r="A6102" s="117">
        <v>39656</v>
      </c>
      <c r="B6102">
        <v>10.026400000000001</v>
      </c>
    </row>
    <row r="6103" spans="1:2">
      <c r="A6103" s="117">
        <v>39657</v>
      </c>
      <c r="B6103">
        <v>10.026400000000001</v>
      </c>
    </row>
    <row r="6104" spans="1:2">
      <c r="A6104" s="117">
        <v>39658</v>
      </c>
      <c r="B6104">
        <v>10.019</v>
      </c>
    </row>
    <row r="6105" spans="1:2">
      <c r="A6105" s="117">
        <v>39659</v>
      </c>
      <c r="B6105">
        <v>10.070600000000001</v>
      </c>
    </row>
    <row r="6106" spans="1:2">
      <c r="A6106" s="117">
        <v>39660</v>
      </c>
      <c r="B6106">
        <v>10.061</v>
      </c>
    </row>
    <row r="6107" spans="1:2">
      <c r="A6107" s="117">
        <v>39661</v>
      </c>
      <c r="B6107">
        <v>10.034000000000001</v>
      </c>
    </row>
    <row r="6108" spans="1:2">
      <c r="A6108" s="117">
        <v>39662</v>
      </c>
      <c r="B6108">
        <v>10.035299999999999</v>
      </c>
    </row>
    <row r="6109" spans="1:2">
      <c r="A6109" s="117">
        <v>39663</v>
      </c>
      <c r="B6109">
        <v>10.035299999999999</v>
      </c>
    </row>
    <row r="6110" spans="1:2">
      <c r="A6110" s="117">
        <v>39664</v>
      </c>
      <c r="B6110">
        <v>10.035299999999999</v>
      </c>
    </row>
    <row r="6111" spans="1:2">
      <c r="A6111" s="117">
        <v>39665</v>
      </c>
      <c r="B6111">
        <v>9.9704999999999995</v>
      </c>
    </row>
    <row r="6112" spans="1:2">
      <c r="A6112" s="117">
        <v>39666</v>
      </c>
      <c r="B6112">
        <v>9.9335000000000004</v>
      </c>
    </row>
    <row r="6113" spans="1:2">
      <c r="A6113" s="117">
        <v>39667</v>
      </c>
      <c r="B6113">
        <v>9.9179999999999993</v>
      </c>
    </row>
    <row r="6114" spans="1:2">
      <c r="A6114" s="117">
        <v>39668</v>
      </c>
      <c r="B6114">
        <v>9.9484999999999992</v>
      </c>
    </row>
    <row r="6115" spans="1:2">
      <c r="A6115" s="117">
        <v>39669</v>
      </c>
      <c r="B6115">
        <v>9.9877000000000002</v>
      </c>
    </row>
    <row r="6116" spans="1:2">
      <c r="A6116" s="117">
        <v>39670</v>
      </c>
      <c r="B6116">
        <v>9.9877000000000002</v>
      </c>
    </row>
    <row r="6117" spans="1:2">
      <c r="A6117" s="117">
        <v>39671</v>
      </c>
      <c r="B6117">
        <v>9.9877000000000002</v>
      </c>
    </row>
    <row r="6118" spans="1:2">
      <c r="A6118" s="117">
        <v>39672</v>
      </c>
      <c r="B6118">
        <v>10.1305</v>
      </c>
    </row>
    <row r="6119" spans="1:2">
      <c r="A6119" s="117">
        <v>39673</v>
      </c>
      <c r="B6119">
        <v>10.1295</v>
      </c>
    </row>
    <row r="6120" spans="1:2">
      <c r="A6120" s="117">
        <v>39674</v>
      </c>
      <c r="B6120">
        <v>10.159000000000001</v>
      </c>
    </row>
    <row r="6121" spans="1:2">
      <c r="A6121" s="117">
        <v>39675</v>
      </c>
      <c r="B6121">
        <v>10.1968</v>
      </c>
    </row>
    <row r="6122" spans="1:2">
      <c r="A6122" s="117">
        <v>39676</v>
      </c>
      <c r="B6122">
        <v>10.1586</v>
      </c>
    </row>
    <row r="6123" spans="1:2">
      <c r="A6123" s="117">
        <v>39677</v>
      </c>
      <c r="B6123">
        <v>10.1586</v>
      </c>
    </row>
    <row r="6124" spans="1:2">
      <c r="A6124" s="117">
        <v>39678</v>
      </c>
      <c r="B6124">
        <v>10.1586</v>
      </c>
    </row>
    <row r="6125" spans="1:2">
      <c r="A6125" s="117">
        <v>39679</v>
      </c>
      <c r="B6125">
        <v>10.1966</v>
      </c>
    </row>
    <row r="6126" spans="1:2">
      <c r="A6126" s="117">
        <v>39680</v>
      </c>
      <c r="B6126">
        <v>10.1395</v>
      </c>
    </row>
    <row r="6127" spans="1:2">
      <c r="A6127" s="117">
        <v>39681</v>
      </c>
      <c r="B6127">
        <v>10.1867</v>
      </c>
    </row>
    <row r="6128" spans="1:2">
      <c r="A6128" s="117">
        <v>39682</v>
      </c>
      <c r="B6128">
        <v>10.1343</v>
      </c>
    </row>
    <row r="6129" spans="1:2">
      <c r="A6129" s="117">
        <v>39683</v>
      </c>
      <c r="B6129">
        <v>10.1106</v>
      </c>
    </row>
    <row r="6130" spans="1:2">
      <c r="A6130" s="117">
        <v>39684</v>
      </c>
      <c r="B6130">
        <v>10.1106</v>
      </c>
    </row>
    <row r="6131" spans="1:2">
      <c r="A6131" s="117">
        <v>39685</v>
      </c>
      <c r="B6131">
        <v>10.1106</v>
      </c>
    </row>
    <row r="6132" spans="1:2">
      <c r="A6132" s="117">
        <v>39686</v>
      </c>
      <c r="B6132">
        <v>10.0991</v>
      </c>
    </row>
    <row r="6133" spans="1:2">
      <c r="A6133" s="117">
        <v>39687</v>
      </c>
      <c r="B6133">
        <v>10.1183</v>
      </c>
    </row>
    <row r="6134" spans="1:2">
      <c r="A6134" s="117">
        <v>39688</v>
      </c>
      <c r="B6134">
        <v>10.173</v>
      </c>
    </row>
    <row r="6135" spans="1:2">
      <c r="A6135" s="117">
        <v>39689</v>
      </c>
      <c r="B6135">
        <v>10.142099999999999</v>
      </c>
    </row>
    <row r="6136" spans="1:2">
      <c r="A6136" s="117">
        <v>39690</v>
      </c>
      <c r="B6136">
        <v>10.1822</v>
      </c>
    </row>
    <row r="6137" spans="1:2">
      <c r="A6137" s="117">
        <v>39691</v>
      </c>
      <c r="B6137">
        <v>10.1822</v>
      </c>
    </row>
    <row r="6138" spans="1:2">
      <c r="A6138" s="117">
        <v>39692</v>
      </c>
      <c r="B6138">
        <v>10.1822</v>
      </c>
    </row>
    <row r="6139" spans="1:2">
      <c r="A6139" s="117">
        <v>39693</v>
      </c>
      <c r="B6139">
        <v>10.284700000000001</v>
      </c>
    </row>
    <row r="6140" spans="1:2">
      <c r="A6140" s="117">
        <v>39694</v>
      </c>
      <c r="B6140">
        <v>10.3423</v>
      </c>
    </row>
    <row r="6141" spans="1:2">
      <c r="A6141" s="117">
        <v>39695</v>
      </c>
      <c r="B6141">
        <v>10.3781</v>
      </c>
    </row>
    <row r="6142" spans="1:2">
      <c r="A6142" s="117">
        <v>39696</v>
      </c>
      <c r="B6142">
        <v>10.385199999999999</v>
      </c>
    </row>
    <row r="6143" spans="1:2">
      <c r="A6143" s="117">
        <v>39697</v>
      </c>
      <c r="B6143">
        <v>10.4658</v>
      </c>
    </row>
    <row r="6144" spans="1:2">
      <c r="A6144" s="117">
        <v>39698</v>
      </c>
      <c r="B6144">
        <v>10.4658</v>
      </c>
    </row>
    <row r="6145" spans="1:2">
      <c r="A6145" s="117">
        <v>39699</v>
      </c>
      <c r="B6145">
        <v>10.4658</v>
      </c>
    </row>
    <row r="6146" spans="1:2">
      <c r="A6146" s="117">
        <v>39700</v>
      </c>
      <c r="B6146">
        <v>10.5143</v>
      </c>
    </row>
    <row r="6147" spans="1:2">
      <c r="A6147" s="117">
        <v>39701</v>
      </c>
      <c r="B6147">
        <v>10.481</v>
      </c>
    </row>
    <row r="6148" spans="1:2">
      <c r="A6148" s="117">
        <v>39702</v>
      </c>
      <c r="B6148">
        <v>10.501300000000001</v>
      </c>
    </row>
    <row r="6149" spans="1:2">
      <c r="A6149" s="117">
        <v>39703</v>
      </c>
      <c r="B6149">
        <v>10.5862</v>
      </c>
    </row>
    <row r="6150" spans="1:2">
      <c r="A6150" s="117">
        <v>39704</v>
      </c>
      <c r="B6150">
        <v>10.6745</v>
      </c>
    </row>
    <row r="6151" spans="1:2">
      <c r="A6151" s="117">
        <v>39705</v>
      </c>
      <c r="B6151">
        <v>10.6745</v>
      </c>
    </row>
    <row r="6152" spans="1:2">
      <c r="A6152" s="117">
        <v>39706</v>
      </c>
      <c r="B6152">
        <v>10.6745</v>
      </c>
    </row>
    <row r="6153" spans="1:2">
      <c r="A6153" s="117">
        <v>39707</v>
      </c>
      <c r="B6153">
        <v>10.582800000000001</v>
      </c>
    </row>
    <row r="6154" spans="1:2">
      <c r="A6154" s="117">
        <v>39708</v>
      </c>
      <c r="B6154">
        <v>10.582800000000001</v>
      </c>
    </row>
    <row r="6155" spans="1:2">
      <c r="A6155" s="117">
        <v>39709</v>
      </c>
      <c r="B6155">
        <v>10.705399999999999</v>
      </c>
    </row>
    <row r="6156" spans="1:2">
      <c r="A6156" s="117">
        <v>39710</v>
      </c>
      <c r="B6156">
        <v>10.870200000000001</v>
      </c>
    </row>
    <row r="6157" spans="1:2">
      <c r="A6157" s="117">
        <v>39711</v>
      </c>
      <c r="B6157">
        <v>10.836499999999999</v>
      </c>
    </row>
    <row r="6158" spans="1:2">
      <c r="A6158" s="117">
        <v>39712</v>
      </c>
      <c r="B6158">
        <v>10.836499999999999</v>
      </c>
    </row>
    <row r="6159" spans="1:2">
      <c r="A6159" s="117">
        <v>39713</v>
      </c>
      <c r="B6159">
        <v>10.836499999999999</v>
      </c>
    </row>
    <row r="6160" spans="1:2">
      <c r="A6160" s="117">
        <v>39714</v>
      </c>
      <c r="B6160">
        <v>10.613300000000001</v>
      </c>
    </row>
    <row r="6161" spans="1:2">
      <c r="A6161" s="117">
        <v>39715</v>
      </c>
      <c r="B6161">
        <v>10.587899999999999</v>
      </c>
    </row>
    <row r="6162" spans="1:2">
      <c r="A6162" s="117">
        <v>39716</v>
      </c>
      <c r="B6162">
        <v>10.7264</v>
      </c>
    </row>
    <row r="6163" spans="1:2">
      <c r="A6163" s="117">
        <v>39717</v>
      </c>
      <c r="B6163">
        <v>10.7879</v>
      </c>
    </row>
    <row r="6164" spans="1:2">
      <c r="A6164" s="117">
        <v>39718</v>
      </c>
      <c r="B6164">
        <v>10.7653</v>
      </c>
    </row>
    <row r="6165" spans="1:2">
      <c r="A6165" s="117">
        <v>39719</v>
      </c>
      <c r="B6165">
        <v>10.7653</v>
      </c>
    </row>
    <row r="6166" spans="1:2">
      <c r="A6166" s="117">
        <v>39720</v>
      </c>
      <c r="B6166">
        <v>10.7653</v>
      </c>
    </row>
    <row r="6167" spans="1:2">
      <c r="A6167" s="117">
        <v>39721</v>
      </c>
      <c r="B6167">
        <v>10.7919</v>
      </c>
    </row>
    <row r="6168" spans="1:2">
      <c r="A6168" s="117">
        <v>39722</v>
      </c>
      <c r="B6168">
        <v>10.9397</v>
      </c>
    </row>
    <row r="6169" spans="1:2">
      <c r="A6169" s="117">
        <v>39723</v>
      </c>
      <c r="B6169">
        <v>10.981400000000001</v>
      </c>
    </row>
    <row r="6170" spans="1:2">
      <c r="A6170" s="117">
        <v>39724</v>
      </c>
      <c r="B6170">
        <v>10.9811</v>
      </c>
    </row>
    <row r="6171" spans="1:2">
      <c r="A6171" s="117">
        <v>39725</v>
      </c>
      <c r="B6171">
        <v>11.1296</v>
      </c>
    </row>
    <row r="6172" spans="1:2">
      <c r="A6172" s="117">
        <v>39726</v>
      </c>
      <c r="B6172">
        <v>11.1296</v>
      </c>
    </row>
    <row r="6173" spans="1:2">
      <c r="A6173" s="117">
        <v>39727</v>
      </c>
      <c r="B6173">
        <v>11.1296</v>
      </c>
    </row>
    <row r="6174" spans="1:2">
      <c r="A6174" s="117">
        <v>39728</v>
      </c>
      <c r="B6174">
        <v>11.1188</v>
      </c>
    </row>
    <row r="6175" spans="1:2">
      <c r="A6175" s="117">
        <v>39729</v>
      </c>
      <c r="B6175">
        <v>11.7667</v>
      </c>
    </row>
    <row r="6176" spans="1:2">
      <c r="A6176" s="117">
        <v>39730</v>
      </c>
      <c r="B6176">
        <v>12.1196</v>
      </c>
    </row>
    <row r="6177" spans="1:2">
      <c r="A6177" s="117">
        <v>39731</v>
      </c>
      <c r="B6177">
        <v>13.041700000000001</v>
      </c>
    </row>
    <row r="6178" spans="1:2">
      <c r="A6178" s="117">
        <v>39732</v>
      </c>
      <c r="B6178">
        <v>12.443300000000001</v>
      </c>
    </row>
    <row r="6179" spans="1:2">
      <c r="A6179" s="117">
        <v>39733</v>
      </c>
      <c r="B6179">
        <v>12.443300000000001</v>
      </c>
    </row>
    <row r="6180" spans="1:2">
      <c r="A6180" s="117">
        <v>39734</v>
      </c>
      <c r="B6180">
        <v>12.443300000000001</v>
      </c>
    </row>
    <row r="6181" spans="1:2">
      <c r="A6181" s="117">
        <v>39735</v>
      </c>
      <c r="B6181">
        <v>13.0867</v>
      </c>
    </row>
    <row r="6182" spans="1:2">
      <c r="A6182" s="117">
        <v>39736</v>
      </c>
      <c r="B6182">
        <v>12.3743</v>
      </c>
    </row>
    <row r="6183" spans="1:2">
      <c r="A6183" s="117">
        <v>39737</v>
      </c>
      <c r="B6183">
        <v>12.345000000000001</v>
      </c>
    </row>
    <row r="6184" spans="1:2">
      <c r="A6184" s="117">
        <v>39738</v>
      </c>
      <c r="B6184">
        <v>12.719200000000001</v>
      </c>
    </row>
    <row r="6185" spans="1:2">
      <c r="A6185" s="117">
        <v>39739</v>
      </c>
      <c r="B6185">
        <v>13.0633</v>
      </c>
    </row>
    <row r="6186" spans="1:2">
      <c r="A6186" s="117">
        <v>39740</v>
      </c>
      <c r="B6186">
        <v>13.0633</v>
      </c>
    </row>
    <row r="6187" spans="1:2">
      <c r="A6187" s="117">
        <v>39741</v>
      </c>
      <c r="B6187">
        <v>13.0633</v>
      </c>
    </row>
    <row r="6188" spans="1:2">
      <c r="A6188" s="117">
        <v>39742</v>
      </c>
      <c r="B6188">
        <v>12.8475</v>
      </c>
    </row>
    <row r="6189" spans="1:2">
      <c r="A6189" s="117">
        <v>39743</v>
      </c>
      <c r="B6189">
        <v>12.761699999999999</v>
      </c>
    </row>
    <row r="6190" spans="1:2">
      <c r="A6190" s="117">
        <v>39744</v>
      </c>
      <c r="B6190">
        <v>13.1233</v>
      </c>
    </row>
    <row r="6191" spans="1:2">
      <c r="A6191" s="117">
        <v>39745</v>
      </c>
      <c r="B6191">
        <v>13.559200000000001</v>
      </c>
    </row>
    <row r="6192" spans="1:2">
      <c r="A6192" s="117">
        <v>39746</v>
      </c>
      <c r="B6192">
        <v>13.5025</v>
      </c>
    </row>
    <row r="6193" spans="1:2">
      <c r="A6193" s="117">
        <v>39747</v>
      </c>
      <c r="B6193">
        <v>13.5025</v>
      </c>
    </row>
    <row r="6194" spans="1:2">
      <c r="A6194" s="117">
        <v>39748</v>
      </c>
      <c r="B6194">
        <v>13.5025</v>
      </c>
    </row>
    <row r="6195" spans="1:2">
      <c r="A6195" s="117">
        <v>39749</v>
      </c>
      <c r="B6195">
        <v>13.4</v>
      </c>
    </row>
    <row r="6196" spans="1:2">
      <c r="A6196" s="117">
        <v>39750</v>
      </c>
      <c r="B6196">
        <v>13.308299999999999</v>
      </c>
    </row>
    <row r="6197" spans="1:2">
      <c r="A6197" s="117">
        <v>39751</v>
      </c>
      <c r="B6197">
        <v>13.369199999999999</v>
      </c>
    </row>
    <row r="6198" spans="1:2">
      <c r="A6198" s="117">
        <v>39752</v>
      </c>
      <c r="B6198">
        <v>12.914199999999999</v>
      </c>
    </row>
    <row r="6199" spans="1:2">
      <c r="A6199" s="117">
        <v>39753</v>
      </c>
      <c r="B6199">
        <v>12.834199999999999</v>
      </c>
    </row>
    <row r="6200" spans="1:2">
      <c r="A6200" s="117">
        <v>39754</v>
      </c>
      <c r="B6200">
        <v>12.834199999999999</v>
      </c>
    </row>
    <row r="6201" spans="1:2">
      <c r="A6201" s="117">
        <v>39755</v>
      </c>
      <c r="B6201">
        <v>12.834199999999999</v>
      </c>
    </row>
    <row r="6202" spans="1:2">
      <c r="A6202" s="117">
        <v>39756</v>
      </c>
      <c r="B6202">
        <v>12.7125</v>
      </c>
    </row>
    <row r="6203" spans="1:2">
      <c r="A6203" s="117">
        <v>39757</v>
      </c>
      <c r="B6203">
        <v>12.7875</v>
      </c>
    </row>
    <row r="6204" spans="1:2">
      <c r="A6204" s="117">
        <v>39758</v>
      </c>
      <c r="B6204">
        <v>12.4862</v>
      </c>
    </row>
    <row r="6205" spans="1:2">
      <c r="A6205" s="117">
        <v>39759</v>
      </c>
      <c r="B6205">
        <v>12.604200000000001</v>
      </c>
    </row>
    <row r="6206" spans="1:2">
      <c r="A6206" s="117">
        <v>39760</v>
      </c>
      <c r="B6206">
        <v>12.95</v>
      </c>
    </row>
    <row r="6207" spans="1:2">
      <c r="A6207" s="117">
        <v>39761</v>
      </c>
      <c r="B6207">
        <v>12.95</v>
      </c>
    </row>
    <row r="6208" spans="1:2">
      <c r="A6208" s="117">
        <v>39762</v>
      </c>
      <c r="B6208">
        <v>12.95</v>
      </c>
    </row>
    <row r="6209" spans="1:2">
      <c r="A6209" s="117">
        <v>39763</v>
      </c>
      <c r="B6209">
        <v>12.8392</v>
      </c>
    </row>
    <row r="6210" spans="1:2">
      <c r="A6210" s="117">
        <v>39764</v>
      </c>
      <c r="B6210">
        <v>12.785</v>
      </c>
    </row>
    <row r="6211" spans="1:2">
      <c r="A6211" s="117">
        <v>39765</v>
      </c>
      <c r="B6211">
        <v>12.9892</v>
      </c>
    </row>
    <row r="6212" spans="1:2">
      <c r="A6212" s="117">
        <v>39766</v>
      </c>
      <c r="B6212">
        <v>13.0875</v>
      </c>
    </row>
    <row r="6213" spans="1:2">
      <c r="A6213" s="117">
        <v>39767</v>
      </c>
      <c r="B6213">
        <v>13.1663</v>
      </c>
    </row>
    <row r="6214" spans="1:2">
      <c r="A6214" s="117">
        <v>39768</v>
      </c>
      <c r="B6214">
        <v>13.1663</v>
      </c>
    </row>
    <row r="6215" spans="1:2">
      <c r="A6215" s="117">
        <v>39769</v>
      </c>
      <c r="B6215">
        <v>13.1663</v>
      </c>
    </row>
    <row r="6216" spans="1:2">
      <c r="A6216" s="117">
        <v>39770</v>
      </c>
      <c r="B6216">
        <v>13.1663</v>
      </c>
    </row>
    <row r="6217" spans="1:2">
      <c r="A6217" s="117">
        <v>39771</v>
      </c>
      <c r="B6217">
        <v>13.0242</v>
      </c>
    </row>
    <row r="6218" spans="1:2">
      <c r="A6218" s="117">
        <v>39772</v>
      </c>
      <c r="B6218">
        <v>13.195</v>
      </c>
    </row>
    <row r="6219" spans="1:2">
      <c r="A6219" s="117">
        <v>39773</v>
      </c>
      <c r="B6219">
        <v>13.18</v>
      </c>
    </row>
    <row r="6220" spans="1:2">
      <c r="A6220" s="117">
        <v>39774</v>
      </c>
      <c r="B6220">
        <v>13.575799999999999</v>
      </c>
    </row>
    <row r="6221" spans="1:2">
      <c r="A6221" s="117">
        <v>39775</v>
      </c>
      <c r="B6221">
        <v>13.575799999999999</v>
      </c>
    </row>
    <row r="6222" spans="1:2">
      <c r="A6222" s="117">
        <v>39776</v>
      </c>
      <c r="B6222">
        <v>13.575799999999999</v>
      </c>
    </row>
    <row r="6223" spans="1:2">
      <c r="A6223" s="117">
        <v>39777</v>
      </c>
      <c r="B6223">
        <v>13.9183</v>
      </c>
    </row>
    <row r="6224" spans="1:2">
      <c r="A6224" s="117">
        <v>39778</v>
      </c>
      <c r="B6224">
        <v>13.495799999999999</v>
      </c>
    </row>
    <row r="6225" spans="1:2">
      <c r="A6225" s="117">
        <v>39779</v>
      </c>
      <c r="B6225">
        <v>13.3142</v>
      </c>
    </row>
    <row r="6226" spans="1:2">
      <c r="A6226" s="117">
        <v>39780</v>
      </c>
      <c r="B6226">
        <v>13.2117</v>
      </c>
    </row>
    <row r="6227" spans="1:2">
      <c r="A6227" s="117">
        <v>39781</v>
      </c>
      <c r="B6227">
        <v>13.2325</v>
      </c>
    </row>
    <row r="6228" spans="1:2">
      <c r="A6228" s="117">
        <v>39782</v>
      </c>
      <c r="B6228">
        <v>13.2325</v>
      </c>
    </row>
    <row r="6229" spans="1:2">
      <c r="A6229" s="117">
        <v>39783</v>
      </c>
      <c r="B6229">
        <v>13.2325</v>
      </c>
    </row>
    <row r="6230" spans="1:2">
      <c r="A6230" s="117">
        <v>39784</v>
      </c>
      <c r="B6230">
        <v>13.3225</v>
      </c>
    </row>
    <row r="6231" spans="1:2">
      <c r="A6231" s="117">
        <v>39785</v>
      </c>
      <c r="B6231">
        <v>13.58</v>
      </c>
    </row>
    <row r="6232" spans="1:2">
      <c r="A6232" s="117">
        <v>39786</v>
      </c>
      <c r="B6232">
        <v>13.53</v>
      </c>
    </row>
    <row r="6233" spans="1:2">
      <c r="A6233" s="117">
        <v>39787</v>
      </c>
      <c r="B6233">
        <v>13.599600000000001</v>
      </c>
    </row>
    <row r="6234" spans="1:2">
      <c r="A6234" s="117">
        <v>39788</v>
      </c>
      <c r="B6234">
        <v>13.5358</v>
      </c>
    </row>
    <row r="6235" spans="1:2">
      <c r="A6235" s="117">
        <v>39789</v>
      </c>
      <c r="B6235">
        <v>13.5358</v>
      </c>
    </row>
    <row r="6236" spans="1:2">
      <c r="A6236" s="117">
        <v>39790</v>
      </c>
      <c r="B6236">
        <v>13.5358</v>
      </c>
    </row>
    <row r="6237" spans="1:2">
      <c r="A6237" s="117">
        <v>39791</v>
      </c>
      <c r="B6237">
        <v>13.7567</v>
      </c>
    </row>
    <row r="6238" spans="1:2">
      <c r="A6238" s="117">
        <v>39792</v>
      </c>
      <c r="B6238">
        <v>13.4597</v>
      </c>
    </row>
    <row r="6239" spans="1:2">
      <c r="A6239" s="117">
        <v>39793</v>
      </c>
      <c r="B6239">
        <v>13.492100000000001</v>
      </c>
    </row>
    <row r="6240" spans="1:2">
      <c r="A6240" s="117">
        <v>39794</v>
      </c>
      <c r="B6240">
        <v>13.472200000000001</v>
      </c>
    </row>
    <row r="6241" spans="1:2">
      <c r="A6241" s="117">
        <v>39795</v>
      </c>
      <c r="B6241">
        <v>13.472200000000001</v>
      </c>
    </row>
    <row r="6242" spans="1:2">
      <c r="A6242" s="117">
        <v>39796</v>
      </c>
      <c r="B6242">
        <v>13.472200000000001</v>
      </c>
    </row>
    <row r="6243" spans="1:2">
      <c r="A6243" s="117">
        <v>39797</v>
      </c>
      <c r="B6243">
        <v>13.472200000000001</v>
      </c>
    </row>
    <row r="6244" spans="1:2">
      <c r="A6244" s="117">
        <v>39798</v>
      </c>
      <c r="B6244">
        <v>13.1821</v>
      </c>
    </row>
    <row r="6245" spans="1:2">
      <c r="A6245" s="117">
        <v>39799</v>
      </c>
      <c r="B6245">
        <v>13.3317</v>
      </c>
    </row>
    <row r="6246" spans="1:2">
      <c r="A6246" s="117">
        <v>39800</v>
      </c>
      <c r="B6246">
        <v>13.271699999999999</v>
      </c>
    </row>
    <row r="6247" spans="1:2">
      <c r="A6247" s="117">
        <v>39801</v>
      </c>
      <c r="B6247">
        <v>13.1275</v>
      </c>
    </row>
    <row r="6248" spans="1:2">
      <c r="A6248" s="117">
        <v>39802</v>
      </c>
      <c r="B6248">
        <v>13.215</v>
      </c>
    </row>
    <row r="6249" spans="1:2">
      <c r="A6249" s="117">
        <v>39803</v>
      </c>
      <c r="B6249">
        <v>13.215</v>
      </c>
    </row>
    <row r="6250" spans="1:2">
      <c r="A6250" s="117">
        <v>39804</v>
      </c>
      <c r="B6250">
        <v>13.215</v>
      </c>
    </row>
    <row r="6251" spans="1:2">
      <c r="A6251" s="117">
        <v>39805</v>
      </c>
      <c r="B6251">
        <v>13.1197</v>
      </c>
    </row>
    <row r="6252" spans="1:2">
      <c r="A6252" s="117">
        <v>39806</v>
      </c>
      <c r="B6252">
        <v>13.174200000000001</v>
      </c>
    </row>
    <row r="6253" spans="1:2">
      <c r="A6253" s="117">
        <v>39807</v>
      </c>
      <c r="B6253">
        <v>13.217499999999999</v>
      </c>
    </row>
    <row r="6254" spans="1:2">
      <c r="A6254" s="117">
        <v>39808</v>
      </c>
      <c r="B6254">
        <v>13.217499999999999</v>
      </c>
    </row>
    <row r="6255" spans="1:2">
      <c r="A6255" s="117">
        <v>39809</v>
      </c>
      <c r="B6255">
        <v>13.311400000000001</v>
      </c>
    </row>
    <row r="6256" spans="1:2">
      <c r="A6256" s="117">
        <v>39810</v>
      </c>
      <c r="B6256">
        <v>13.311400000000001</v>
      </c>
    </row>
    <row r="6257" spans="1:2">
      <c r="A6257" s="117">
        <v>39811</v>
      </c>
      <c r="B6257">
        <v>13.311400000000001</v>
      </c>
    </row>
    <row r="6258" spans="1:2">
      <c r="A6258" s="117">
        <v>39812</v>
      </c>
      <c r="B6258">
        <v>13.3538</v>
      </c>
    </row>
    <row r="6259" spans="1:2">
      <c r="A6259" s="117">
        <v>39813</v>
      </c>
      <c r="B6259">
        <v>13.5383</v>
      </c>
    </row>
    <row r="6260" spans="1:2">
      <c r="A6260" s="117">
        <v>39814</v>
      </c>
      <c r="B6260">
        <v>13.7738</v>
      </c>
    </row>
    <row r="6261" spans="1:2">
      <c r="A6261" s="117">
        <v>39815</v>
      </c>
      <c r="B6261">
        <v>13.7738</v>
      </c>
    </row>
    <row r="6262" spans="1:2">
      <c r="A6262" s="117">
        <v>39816</v>
      </c>
      <c r="B6262">
        <v>13.8325</v>
      </c>
    </row>
    <row r="6263" spans="1:2">
      <c r="A6263" s="117">
        <v>39817</v>
      </c>
      <c r="B6263">
        <v>13.8325</v>
      </c>
    </row>
    <row r="6264" spans="1:2">
      <c r="A6264" s="117">
        <v>39818</v>
      </c>
      <c r="B6264">
        <v>13.8325</v>
      </c>
    </row>
    <row r="6265" spans="1:2">
      <c r="A6265" s="117">
        <v>39819</v>
      </c>
      <c r="B6265">
        <v>13.767799999999999</v>
      </c>
    </row>
    <row r="6266" spans="1:2">
      <c r="A6266" s="117">
        <v>39820</v>
      </c>
      <c r="B6266">
        <v>13.550700000000001</v>
      </c>
    </row>
    <row r="6267" spans="1:2">
      <c r="A6267" s="117">
        <v>39821</v>
      </c>
      <c r="B6267">
        <v>13.345800000000001</v>
      </c>
    </row>
    <row r="6268" spans="1:2">
      <c r="A6268" s="117">
        <v>39822</v>
      </c>
      <c r="B6268">
        <v>13.413600000000001</v>
      </c>
    </row>
    <row r="6269" spans="1:2">
      <c r="A6269" s="117">
        <v>39823</v>
      </c>
      <c r="B6269">
        <v>13.5045</v>
      </c>
    </row>
    <row r="6270" spans="1:2">
      <c r="A6270" s="117">
        <v>39824</v>
      </c>
      <c r="B6270">
        <v>13.5045</v>
      </c>
    </row>
    <row r="6271" spans="1:2">
      <c r="A6271" s="117">
        <v>39825</v>
      </c>
      <c r="B6271">
        <v>13.5045</v>
      </c>
    </row>
    <row r="6272" spans="1:2">
      <c r="A6272" s="117">
        <v>39826</v>
      </c>
      <c r="B6272">
        <v>13.700799999999999</v>
      </c>
    </row>
    <row r="6273" spans="1:2">
      <c r="A6273" s="117">
        <v>39827</v>
      </c>
      <c r="B6273">
        <v>13.7608</v>
      </c>
    </row>
    <row r="6274" spans="1:2">
      <c r="A6274" s="117">
        <v>39828</v>
      </c>
      <c r="B6274">
        <v>13.839</v>
      </c>
    </row>
    <row r="6275" spans="1:2">
      <c r="A6275" s="117">
        <v>39829</v>
      </c>
      <c r="B6275">
        <v>14.1083</v>
      </c>
    </row>
    <row r="6276" spans="1:2">
      <c r="A6276" s="117">
        <v>39830</v>
      </c>
      <c r="B6276">
        <v>14.219200000000001</v>
      </c>
    </row>
    <row r="6277" spans="1:2">
      <c r="A6277" s="117">
        <v>39831</v>
      </c>
      <c r="B6277">
        <v>14.219200000000001</v>
      </c>
    </row>
    <row r="6278" spans="1:2">
      <c r="A6278" s="117">
        <v>39832</v>
      </c>
      <c r="B6278">
        <v>14.219200000000001</v>
      </c>
    </row>
    <row r="6279" spans="1:2">
      <c r="A6279" s="117">
        <v>39833</v>
      </c>
      <c r="B6279">
        <v>13.905799999999999</v>
      </c>
    </row>
    <row r="6280" spans="1:2">
      <c r="A6280" s="117">
        <v>39834</v>
      </c>
      <c r="B6280">
        <v>13.9777</v>
      </c>
    </row>
    <row r="6281" spans="1:2">
      <c r="A6281" s="117">
        <v>39835</v>
      </c>
      <c r="B6281">
        <v>13.9382</v>
      </c>
    </row>
    <row r="6282" spans="1:2">
      <c r="A6282" s="117">
        <v>39836</v>
      </c>
      <c r="B6282">
        <v>13.9145</v>
      </c>
    </row>
    <row r="6283" spans="1:2">
      <c r="A6283" s="117">
        <v>39837</v>
      </c>
      <c r="B6283">
        <v>13.932499999999999</v>
      </c>
    </row>
    <row r="6284" spans="1:2">
      <c r="A6284" s="117">
        <v>39838</v>
      </c>
      <c r="B6284">
        <v>13.932499999999999</v>
      </c>
    </row>
    <row r="6285" spans="1:2">
      <c r="A6285" s="117">
        <v>39839</v>
      </c>
      <c r="B6285">
        <v>13.932499999999999</v>
      </c>
    </row>
    <row r="6286" spans="1:2">
      <c r="A6286" s="117">
        <v>39840</v>
      </c>
      <c r="B6286">
        <v>14.095000000000001</v>
      </c>
    </row>
    <row r="6287" spans="1:2">
      <c r="A6287" s="117">
        <v>39841</v>
      </c>
      <c r="B6287">
        <v>13.934200000000001</v>
      </c>
    </row>
    <row r="6288" spans="1:2">
      <c r="A6288" s="117">
        <v>39842</v>
      </c>
      <c r="B6288">
        <v>14.1675</v>
      </c>
    </row>
    <row r="6289" spans="1:2">
      <c r="A6289" s="117">
        <v>39843</v>
      </c>
      <c r="B6289">
        <v>14.151300000000001</v>
      </c>
    </row>
    <row r="6290" spans="1:2">
      <c r="A6290" s="117">
        <v>39844</v>
      </c>
      <c r="B6290">
        <v>14.1975</v>
      </c>
    </row>
    <row r="6291" spans="1:2">
      <c r="A6291" s="117">
        <v>39845</v>
      </c>
      <c r="B6291">
        <v>14.1975</v>
      </c>
    </row>
    <row r="6292" spans="1:2">
      <c r="A6292" s="117">
        <v>39846</v>
      </c>
      <c r="B6292">
        <v>14.1975</v>
      </c>
    </row>
    <row r="6293" spans="1:2">
      <c r="A6293" s="117">
        <v>39847</v>
      </c>
      <c r="B6293">
        <v>14.1975</v>
      </c>
    </row>
    <row r="6294" spans="1:2">
      <c r="A6294" s="117">
        <v>39848</v>
      </c>
      <c r="B6294">
        <v>14.309699999999999</v>
      </c>
    </row>
    <row r="6295" spans="1:2">
      <c r="A6295" s="117">
        <v>39849</v>
      </c>
      <c r="B6295">
        <v>14.5404</v>
      </c>
    </row>
    <row r="6296" spans="1:2">
      <c r="A6296" s="117">
        <v>39850</v>
      </c>
      <c r="B6296">
        <v>14.466699999999999</v>
      </c>
    </row>
    <row r="6297" spans="1:2">
      <c r="A6297" s="117">
        <v>39851</v>
      </c>
      <c r="B6297">
        <v>14.294499999999999</v>
      </c>
    </row>
    <row r="6298" spans="1:2">
      <c r="A6298" s="117">
        <v>39852</v>
      </c>
      <c r="B6298">
        <v>14.294499999999999</v>
      </c>
    </row>
    <row r="6299" spans="1:2">
      <c r="A6299" s="117">
        <v>39853</v>
      </c>
      <c r="B6299">
        <v>14.294499999999999</v>
      </c>
    </row>
    <row r="6300" spans="1:2">
      <c r="A6300" s="117">
        <v>39854</v>
      </c>
      <c r="B6300">
        <v>14.1778</v>
      </c>
    </row>
    <row r="6301" spans="1:2">
      <c r="A6301" s="117">
        <v>39855</v>
      </c>
      <c r="B6301">
        <v>14.139200000000001</v>
      </c>
    </row>
    <row r="6302" spans="1:2">
      <c r="A6302" s="117">
        <v>39856</v>
      </c>
      <c r="B6302">
        <v>14.3575</v>
      </c>
    </row>
    <row r="6303" spans="1:2">
      <c r="A6303" s="117">
        <v>39857</v>
      </c>
      <c r="B6303">
        <v>14.5313</v>
      </c>
    </row>
    <row r="6304" spans="1:2">
      <c r="A6304" s="117">
        <v>39858</v>
      </c>
      <c r="B6304">
        <v>14.6013</v>
      </c>
    </row>
    <row r="6305" spans="1:2">
      <c r="A6305" s="117">
        <v>39859</v>
      </c>
      <c r="B6305">
        <v>14.6013</v>
      </c>
    </row>
    <row r="6306" spans="1:2">
      <c r="A6306" s="117">
        <v>39860</v>
      </c>
      <c r="B6306">
        <v>14.6013</v>
      </c>
    </row>
    <row r="6307" spans="1:2">
      <c r="A6307" s="117">
        <v>39861</v>
      </c>
      <c r="B6307">
        <v>14.432600000000001</v>
      </c>
    </row>
    <row r="6308" spans="1:2">
      <c r="A6308" s="117">
        <v>39862</v>
      </c>
      <c r="B6308">
        <v>14.5288</v>
      </c>
    </row>
    <row r="6309" spans="1:2">
      <c r="A6309" s="117">
        <v>39863</v>
      </c>
      <c r="B6309">
        <v>14.611800000000001</v>
      </c>
    </row>
    <row r="6310" spans="1:2">
      <c r="A6310" s="117">
        <v>39864</v>
      </c>
      <c r="B6310">
        <v>14.672499999999999</v>
      </c>
    </row>
    <row r="6311" spans="1:2">
      <c r="A6311" s="117">
        <v>39865</v>
      </c>
      <c r="B6311">
        <v>14.5505</v>
      </c>
    </row>
    <row r="6312" spans="1:2">
      <c r="A6312" s="117">
        <v>39866</v>
      </c>
      <c r="B6312">
        <v>14.5505</v>
      </c>
    </row>
    <row r="6313" spans="1:2">
      <c r="A6313" s="117">
        <v>39867</v>
      </c>
      <c r="B6313">
        <v>14.5505</v>
      </c>
    </row>
    <row r="6314" spans="1:2">
      <c r="A6314" s="117">
        <v>39868</v>
      </c>
      <c r="B6314">
        <v>14.8163</v>
      </c>
    </row>
    <row r="6315" spans="1:2">
      <c r="A6315" s="117">
        <v>39869</v>
      </c>
      <c r="B6315">
        <v>14.8528</v>
      </c>
    </row>
    <row r="6316" spans="1:2">
      <c r="A6316" s="117">
        <v>39870</v>
      </c>
      <c r="B6316">
        <v>14.832700000000001</v>
      </c>
    </row>
    <row r="6317" spans="1:2">
      <c r="A6317" s="117">
        <v>39871</v>
      </c>
      <c r="B6317">
        <v>14.9275</v>
      </c>
    </row>
    <row r="6318" spans="1:2">
      <c r="A6318" s="117">
        <v>39872</v>
      </c>
      <c r="B6318">
        <v>14.9322</v>
      </c>
    </row>
    <row r="6319" spans="1:2">
      <c r="A6319" s="117">
        <v>39873</v>
      </c>
      <c r="B6319">
        <v>14.9322</v>
      </c>
    </row>
    <row r="6320" spans="1:2">
      <c r="A6320" s="117">
        <v>39874</v>
      </c>
      <c r="B6320">
        <v>14.9322</v>
      </c>
    </row>
    <row r="6321" spans="1:2">
      <c r="A6321" s="117">
        <v>39875</v>
      </c>
      <c r="B6321">
        <v>15.069800000000001</v>
      </c>
    </row>
    <row r="6322" spans="1:2">
      <c r="A6322" s="117">
        <v>39876</v>
      </c>
      <c r="B6322">
        <v>15.365</v>
      </c>
    </row>
    <row r="6323" spans="1:2">
      <c r="A6323" s="117">
        <v>39877</v>
      </c>
      <c r="B6323">
        <v>15.337199999999999</v>
      </c>
    </row>
    <row r="6324" spans="1:2">
      <c r="A6324" s="117">
        <v>39878</v>
      </c>
      <c r="B6324">
        <v>15.2178</v>
      </c>
    </row>
    <row r="6325" spans="1:2">
      <c r="A6325" s="117">
        <v>39879</v>
      </c>
      <c r="B6325">
        <v>15.285500000000001</v>
      </c>
    </row>
    <row r="6326" spans="1:2">
      <c r="A6326" s="117">
        <v>39880</v>
      </c>
      <c r="B6326">
        <v>15.285500000000001</v>
      </c>
    </row>
    <row r="6327" spans="1:2">
      <c r="A6327" s="117">
        <v>39881</v>
      </c>
      <c r="B6327">
        <v>15.285500000000001</v>
      </c>
    </row>
    <row r="6328" spans="1:2">
      <c r="A6328" s="117">
        <v>39882</v>
      </c>
      <c r="B6328">
        <v>15.263299999999999</v>
      </c>
    </row>
    <row r="6329" spans="1:2">
      <c r="A6329" s="117">
        <v>39883</v>
      </c>
      <c r="B6329">
        <v>15.351699999999999</v>
      </c>
    </row>
    <row r="6330" spans="1:2">
      <c r="A6330" s="117">
        <v>39884</v>
      </c>
      <c r="B6330">
        <v>15.3142</v>
      </c>
    </row>
    <row r="6331" spans="1:2">
      <c r="A6331" s="117">
        <v>39885</v>
      </c>
      <c r="B6331">
        <v>15.1145</v>
      </c>
    </row>
    <row r="6332" spans="1:2">
      <c r="A6332" s="117">
        <v>39886</v>
      </c>
      <c r="B6332">
        <v>14.908300000000001</v>
      </c>
    </row>
    <row r="6333" spans="1:2">
      <c r="A6333" s="117">
        <v>39887</v>
      </c>
      <c r="B6333">
        <v>14.908300000000001</v>
      </c>
    </row>
    <row r="6334" spans="1:2">
      <c r="A6334" s="117">
        <v>39888</v>
      </c>
      <c r="B6334">
        <v>14.908300000000001</v>
      </c>
    </row>
    <row r="6335" spans="1:2">
      <c r="A6335" s="117">
        <v>39889</v>
      </c>
      <c r="B6335">
        <v>14.908300000000001</v>
      </c>
    </row>
    <row r="6336" spans="1:2">
      <c r="A6336" s="117">
        <v>39890</v>
      </c>
      <c r="B6336">
        <v>14.569000000000001</v>
      </c>
    </row>
    <row r="6337" spans="1:2">
      <c r="A6337" s="117">
        <v>39891</v>
      </c>
      <c r="B6337">
        <v>14.0502</v>
      </c>
    </row>
    <row r="6338" spans="1:2">
      <c r="A6338" s="117">
        <v>39892</v>
      </c>
      <c r="B6338">
        <v>14.1457</v>
      </c>
    </row>
    <row r="6339" spans="1:2">
      <c r="A6339" s="117">
        <v>39893</v>
      </c>
      <c r="B6339">
        <v>14.08</v>
      </c>
    </row>
    <row r="6340" spans="1:2">
      <c r="A6340" s="117">
        <v>39894</v>
      </c>
      <c r="B6340">
        <v>14.08</v>
      </c>
    </row>
    <row r="6341" spans="1:2">
      <c r="A6341" s="117">
        <v>39895</v>
      </c>
      <c r="B6341">
        <v>14.08</v>
      </c>
    </row>
    <row r="6342" spans="1:2">
      <c r="A6342" s="117">
        <v>39896</v>
      </c>
      <c r="B6342">
        <v>14.148</v>
      </c>
    </row>
    <row r="6343" spans="1:2">
      <c r="A6343" s="117">
        <v>39897</v>
      </c>
      <c r="B6343">
        <v>14.320399999999999</v>
      </c>
    </row>
    <row r="6344" spans="1:2">
      <c r="A6344" s="117">
        <v>39898</v>
      </c>
      <c r="B6344">
        <v>14.2683</v>
      </c>
    </row>
    <row r="6345" spans="1:2">
      <c r="A6345" s="117">
        <v>39899</v>
      </c>
      <c r="B6345">
        <v>14.235799999999999</v>
      </c>
    </row>
    <row r="6346" spans="1:2">
      <c r="A6346" s="117">
        <v>39900</v>
      </c>
      <c r="B6346">
        <v>14.2163</v>
      </c>
    </row>
    <row r="6347" spans="1:2">
      <c r="A6347" s="117">
        <v>39901</v>
      </c>
      <c r="B6347">
        <v>14.2163</v>
      </c>
    </row>
    <row r="6348" spans="1:2">
      <c r="A6348" s="117">
        <v>39902</v>
      </c>
      <c r="B6348">
        <v>14.2163</v>
      </c>
    </row>
    <row r="6349" spans="1:2">
      <c r="A6349" s="117">
        <v>39903</v>
      </c>
      <c r="B6349">
        <v>14.3317</v>
      </c>
    </row>
    <row r="6350" spans="1:2">
      <c r="A6350" s="117">
        <v>39904</v>
      </c>
      <c r="B6350">
        <v>14.3855</v>
      </c>
    </row>
    <row r="6351" spans="1:2">
      <c r="A6351" s="117">
        <v>39905</v>
      </c>
      <c r="B6351">
        <v>14.1517</v>
      </c>
    </row>
    <row r="6352" spans="1:2">
      <c r="A6352" s="117">
        <v>39906</v>
      </c>
      <c r="B6352">
        <v>13.9108</v>
      </c>
    </row>
    <row r="6353" spans="1:2">
      <c r="A6353" s="117">
        <v>39907</v>
      </c>
      <c r="B6353">
        <v>13.792400000000001</v>
      </c>
    </row>
    <row r="6354" spans="1:2">
      <c r="A6354" s="117">
        <v>39908</v>
      </c>
      <c r="B6354">
        <v>13.792400000000001</v>
      </c>
    </row>
    <row r="6355" spans="1:2">
      <c r="A6355" s="117">
        <v>39909</v>
      </c>
      <c r="B6355">
        <v>13.792400000000001</v>
      </c>
    </row>
    <row r="6356" spans="1:2">
      <c r="A6356" s="117">
        <v>39910</v>
      </c>
      <c r="B6356">
        <v>13.6137</v>
      </c>
    </row>
    <row r="6357" spans="1:2">
      <c r="A6357" s="117">
        <v>39911</v>
      </c>
      <c r="B6357">
        <v>13.6325</v>
      </c>
    </row>
    <row r="6358" spans="1:2">
      <c r="A6358" s="117">
        <v>39912</v>
      </c>
      <c r="B6358">
        <v>13.571199999999999</v>
      </c>
    </row>
    <row r="6359" spans="1:2">
      <c r="A6359" s="117">
        <v>39913</v>
      </c>
      <c r="B6359">
        <v>13.571199999999999</v>
      </c>
    </row>
    <row r="6360" spans="1:2">
      <c r="A6360" s="117">
        <v>39914</v>
      </c>
      <c r="B6360">
        <v>13.571199999999999</v>
      </c>
    </row>
    <row r="6361" spans="1:2">
      <c r="A6361" s="117">
        <v>39915</v>
      </c>
      <c r="B6361">
        <v>13.571199999999999</v>
      </c>
    </row>
    <row r="6362" spans="1:2">
      <c r="A6362" s="117">
        <v>39916</v>
      </c>
      <c r="B6362">
        <v>13.571199999999999</v>
      </c>
    </row>
    <row r="6363" spans="1:2">
      <c r="A6363" s="117">
        <v>39917</v>
      </c>
      <c r="B6363">
        <v>13.364800000000001</v>
      </c>
    </row>
    <row r="6364" spans="1:2">
      <c r="A6364" s="117">
        <v>39918</v>
      </c>
      <c r="B6364">
        <v>13.0914</v>
      </c>
    </row>
    <row r="6365" spans="1:2">
      <c r="A6365" s="117">
        <v>39919</v>
      </c>
      <c r="B6365">
        <v>13.086</v>
      </c>
    </row>
    <row r="6366" spans="1:2">
      <c r="A6366" s="117">
        <v>39920</v>
      </c>
      <c r="B6366">
        <v>13.1683</v>
      </c>
    </row>
    <row r="6367" spans="1:2">
      <c r="A6367" s="117">
        <v>39921</v>
      </c>
      <c r="B6367">
        <v>13.0511</v>
      </c>
    </row>
    <row r="6368" spans="1:2">
      <c r="A6368" s="117">
        <v>39922</v>
      </c>
      <c r="B6368">
        <v>13.0511</v>
      </c>
    </row>
    <row r="6369" spans="1:2">
      <c r="A6369" s="117">
        <v>39923</v>
      </c>
      <c r="B6369">
        <v>13.0511</v>
      </c>
    </row>
    <row r="6370" spans="1:2">
      <c r="A6370" s="117">
        <v>39924</v>
      </c>
      <c r="B6370">
        <v>13.155799999999999</v>
      </c>
    </row>
    <row r="6371" spans="1:2">
      <c r="A6371" s="117">
        <v>39925</v>
      </c>
      <c r="B6371">
        <v>13.32</v>
      </c>
    </row>
    <row r="6372" spans="1:2">
      <c r="A6372" s="117">
        <v>39926</v>
      </c>
      <c r="B6372">
        <v>13.175000000000001</v>
      </c>
    </row>
    <row r="6373" spans="1:2">
      <c r="A6373" s="117">
        <v>39927</v>
      </c>
      <c r="B6373">
        <v>13.1457</v>
      </c>
    </row>
    <row r="6374" spans="1:2">
      <c r="A6374" s="117">
        <v>39928</v>
      </c>
      <c r="B6374">
        <v>13.309900000000001</v>
      </c>
    </row>
    <row r="6375" spans="1:2">
      <c r="A6375" s="117">
        <v>39929</v>
      </c>
      <c r="B6375">
        <v>13.309900000000001</v>
      </c>
    </row>
    <row r="6376" spans="1:2">
      <c r="A6376" s="117">
        <v>39930</v>
      </c>
      <c r="B6376">
        <v>13.309900000000001</v>
      </c>
    </row>
    <row r="6377" spans="1:2">
      <c r="A6377" s="117">
        <v>39931</v>
      </c>
      <c r="B6377">
        <v>13.2318</v>
      </c>
    </row>
    <row r="6378" spans="1:2">
      <c r="A6378" s="117">
        <v>39932</v>
      </c>
      <c r="B6378">
        <v>13.755000000000001</v>
      </c>
    </row>
    <row r="6379" spans="1:2">
      <c r="A6379" s="117">
        <v>39933</v>
      </c>
      <c r="B6379">
        <v>13.8667</v>
      </c>
    </row>
    <row r="6380" spans="1:2">
      <c r="A6380" s="117">
        <v>39934</v>
      </c>
      <c r="B6380">
        <v>13.6485</v>
      </c>
    </row>
    <row r="6381" spans="1:2">
      <c r="A6381" s="117">
        <v>39935</v>
      </c>
      <c r="B6381">
        <v>13.6485</v>
      </c>
    </row>
    <row r="6382" spans="1:2">
      <c r="A6382" s="117">
        <v>39936</v>
      </c>
      <c r="B6382">
        <v>13.6485</v>
      </c>
    </row>
    <row r="6383" spans="1:2">
      <c r="A6383" s="117">
        <v>39937</v>
      </c>
      <c r="B6383">
        <v>13.6485</v>
      </c>
    </row>
    <row r="6384" spans="1:2">
      <c r="A6384" s="117">
        <v>39938</v>
      </c>
      <c r="B6384">
        <v>13.8443</v>
      </c>
    </row>
    <row r="6385" spans="1:2">
      <c r="A6385" s="117">
        <v>39939</v>
      </c>
      <c r="B6385">
        <v>13.35</v>
      </c>
    </row>
    <row r="6386" spans="1:2">
      <c r="A6386" s="117">
        <v>39940</v>
      </c>
      <c r="B6386">
        <v>13.2242</v>
      </c>
    </row>
    <row r="6387" spans="1:2">
      <c r="A6387" s="117">
        <v>39941</v>
      </c>
      <c r="B6387">
        <v>13.226800000000001</v>
      </c>
    </row>
    <row r="6388" spans="1:2">
      <c r="A6388" s="117">
        <v>39942</v>
      </c>
      <c r="B6388">
        <v>13.110300000000001</v>
      </c>
    </row>
    <row r="6389" spans="1:2">
      <c r="A6389" s="117">
        <v>39943</v>
      </c>
      <c r="B6389">
        <v>13.110300000000001</v>
      </c>
    </row>
    <row r="6390" spans="1:2">
      <c r="A6390" s="117">
        <v>39944</v>
      </c>
      <c r="B6390">
        <v>13.110300000000001</v>
      </c>
    </row>
    <row r="6391" spans="1:2">
      <c r="A6391" s="117">
        <v>39945</v>
      </c>
      <c r="B6391">
        <v>13.1067</v>
      </c>
    </row>
    <row r="6392" spans="1:2">
      <c r="A6392" s="117">
        <v>39946</v>
      </c>
      <c r="B6392">
        <v>13.1008</v>
      </c>
    </row>
    <row r="6393" spans="1:2">
      <c r="A6393" s="117">
        <v>39947</v>
      </c>
      <c r="B6393">
        <v>13.220800000000001</v>
      </c>
    </row>
    <row r="6394" spans="1:2">
      <c r="A6394" s="117">
        <v>39948</v>
      </c>
      <c r="B6394">
        <v>13.3177</v>
      </c>
    </row>
    <row r="6395" spans="1:2">
      <c r="A6395" s="117">
        <v>39949</v>
      </c>
      <c r="B6395">
        <v>13.298299999999999</v>
      </c>
    </row>
    <row r="6396" spans="1:2">
      <c r="A6396" s="117">
        <v>39950</v>
      </c>
      <c r="B6396">
        <v>13.298299999999999</v>
      </c>
    </row>
    <row r="6397" spans="1:2">
      <c r="A6397" s="117">
        <v>39951</v>
      </c>
      <c r="B6397">
        <v>13.298299999999999</v>
      </c>
    </row>
    <row r="6398" spans="1:2">
      <c r="A6398" s="117">
        <v>39952</v>
      </c>
      <c r="B6398">
        <v>13.2058</v>
      </c>
    </row>
    <row r="6399" spans="1:2">
      <c r="A6399" s="117">
        <v>39953</v>
      </c>
      <c r="B6399">
        <v>13.1363</v>
      </c>
    </row>
    <row r="6400" spans="1:2">
      <c r="A6400" s="117">
        <v>39954</v>
      </c>
      <c r="B6400">
        <v>12.968</v>
      </c>
    </row>
    <row r="6401" spans="1:2">
      <c r="A6401" s="117">
        <v>39955</v>
      </c>
      <c r="B6401">
        <v>12.8695</v>
      </c>
    </row>
    <row r="6402" spans="1:2">
      <c r="A6402" s="117">
        <v>39956</v>
      </c>
      <c r="B6402">
        <v>13.103</v>
      </c>
    </row>
    <row r="6403" spans="1:2">
      <c r="A6403" s="117">
        <v>39957</v>
      </c>
      <c r="B6403">
        <v>13.103</v>
      </c>
    </row>
    <row r="6404" spans="1:2">
      <c r="A6404" s="117">
        <v>39958</v>
      </c>
      <c r="B6404">
        <v>13.103</v>
      </c>
    </row>
    <row r="6405" spans="1:2">
      <c r="A6405" s="117">
        <v>39959</v>
      </c>
      <c r="B6405">
        <v>13.172800000000001</v>
      </c>
    </row>
    <row r="6406" spans="1:2">
      <c r="A6406" s="117">
        <v>39960</v>
      </c>
      <c r="B6406">
        <v>13.137499999999999</v>
      </c>
    </row>
    <row r="6407" spans="1:2">
      <c r="A6407" s="117">
        <v>39961</v>
      </c>
      <c r="B6407">
        <v>13.133800000000001</v>
      </c>
    </row>
    <row r="6408" spans="1:2">
      <c r="A6408" s="117">
        <v>39962</v>
      </c>
      <c r="B6408">
        <v>13.159000000000001</v>
      </c>
    </row>
    <row r="6409" spans="1:2">
      <c r="A6409" s="117">
        <v>39963</v>
      </c>
      <c r="B6409">
        <v>13.233700000000001</v>
      </c>
    </row>
    <row r="6410" spans="1:2">
      <c r="A6410" s="117">
        <v>39964</v>
      </c>
      <c r="B6410">
        <v>13.233700000000001</v>
      </c>
    </row>
    <row r="6411" spans="1:2">
      <c r="A6411" s="117">
        <v>39965</v>
      </c>
      <c r="B6411">
        <v>13.233700000000001</v>
      </c>
    </row>
    <row r="6412" spans="1:2">
      <c r="A6412" s="117">
        <v>39966</v>
      </c>
      <c r="B6412">
        <v>13.166700000000001</v>
      </c>
    </row>
    <row r="6413" spans="1:2">
      <c r="A6413" s="117">
        <v>39967</v>
      </c>
      <c r="B6413">
        <v>13.154999999999999</v>
      </c>
    </row>
    <row r="6414" spans="1:2">
      <c r="A6414" s="117">
        <v>39968</v>
      </c>
      <c r="B6414">
        <v>13.260899999999999</v>
      </c>
    </row>
    <row r="6415" spans="1:2">
      <c r="A6415" s="117">
        <v>39969</v>
      </c>
      <c r="B6415">
        <v>13.3172</v>
      </c>
    </row>
    <row r="6416" spans="1:2">
      <c r="A6416" s="117">
        <v>39970</v>
      </c>
      <c r="B6416">
        <v>13.2675</v>
      </c>
    </row>
    <row r="6417" spans="1:2">
      <c r="A6417" s="117">
        <v>39971</v>
      </c>
      <c r="B6417">
        <v>13.2675</v>
      </c>
    </row>
    <row r="6418" spans="1:2">
      <c r="A6418" s="117">
        <v>39972</v>
      </c>
      <c r="B6418">
        <v>13.2675</v>
      </c>
    </row>
    <row r="6419" spans="1:2">
      <c r="A6419" s="117">
        <v>39973</v>
      </c>
      <c r="B6419">
        <v>13.2768</v>
      </c>
    </row>
    <row r="6420" spans="1:2">
      <c r="A6420" s="117">
        <v>39974</v>
      </c>
      <c r="B6420">
        <v>13.45</v>
      </c>
    </row>
    <row r="6421" spans="1:2">
      <c r="A6421" s="117">
        <v>39975</v>
      </c>
      <c r="B6421">
        <v>13.4793</v>
      </c>
    </row>
    <row r="6422" spans="1:2">
      <c r="A6422" s="117">
        <v>39976</v>
      </c>
      <c r="B6422">
        <v>13.650700000000001</v>
      </c>
    </row>
    <row r="6423" spans="1:2">
      <c r="A6423" s="117">
        <v>39977</v>
      </c>
      <c r="B6423">
        <v>13.4581</v>
      </c>
    </row>
    <row r="6424" spans="1:2">
      <c r="A6424" s="117">
        <v>39978</v>
      </c>
      <c r="B6424">
        <v>13.4581</v>
      </c>
    </row>
    <row r="6425" spans="1:2">
      <c r="A6425" s="117">
        <v>39979</v>
      </c>
      <c r="B6425">
        <v>13.4581</v>
      </c>
    </row>
    <row r="6426" spans="1:2">
      <c r="A6426" s="117">
        <v>39980</v>
      </c>
      <c r="B6426">
        <v>13.399699999999999</v>
      </c>
    </row>
    <row r="6427" spans="1:2">
      <c r="A6427" s="117">
        <v>39981</v>
      </c>
      <c r="B6427">
        <v>13.452299999999999</v>
      </c>
    </row>
    <row r="6428" spans="1:2">
      <c r="A6428" s="117">
        <v>39982</v>
      </c>
      <c r="B6428">
        <v>13.352499999999999</v>
      </c>
    </row>
    <row r="6429" spans="1:2">
      <c r="A6429" s="117">
        <v>39983</v>
      </c>
      <c r="B6429">
        <v>13.469799999999999</v>
      </c>
    </row>
    <row r="6430" spans="1:2">
      <c r="A6430" s="117">
        <v>39984</v>
      </c>
      <c r="B6430">
        <v>13.369400000000001</v>
      </c>
    </row>
    <row r="6431" spans="1:2">
      <c r="A6431" s="117">
        <v>39985</v>
      </c>
      <c r="B6431">
        <v>13.369400000000001</v>
      </c>
    </row>
    <row r="6432" spans="1:2">
      <c r="A6432" s="117">
        <v>39986</v>
      </c>
      <c r="B6432">
        <v>13.369400000000001</v>
      </c>
    </row>
    <row r="6433" spans="1:2">
      <c r="A6433" s="117">
        <v>39987</v>
      </c>
      <c r="B6433">
        <v>13.3248</v>
      </c>
    </row>
    <row r="6434" spans="1:2">
      <c r="A6434" s="117">
        <v>39988</v>
      </c>
      <c r="B6434">
        <v>13.3782</v>
      </c>
    </row>
    <row r="6435" spans="1:2">
      <c r="A6435" s="117">
        <v>39989</v>
      </c>
      <c r="B6435">
        <v>13.3187</v>
      </c>
    </row>
    <row r="6436" spans="1:2">
      <c r="A6436" s="117">
        <v>39990</v>
      </c>
      <c r="B6436">
        <v>13.305099999999999</v>
      </c>
    </row>
    <row r="6437" spans="1:2">
      <c r="A6437" s="117">
        <v>39991</v>
      </c>
      <c r="B6437">
        <v>13.277799999999999</v>
      </c>
    </row>
    <row r="6438" spans="1:2">
      <c r="A6438" s="117">
        <v>39992</v>
      </c>
      <c r="B6438">
        <v>13.277799999999999</v>
      </c>
    </row>
    <row r="6439" spans="1:2">
      <c r="A6439" s="117">
        <v>39993</v>
      </c>
      <c r="B6439">
        <v>13.277799999999999</v>
      </c>
    </row>
    <row r="6440" spans="1:2">
      <c r="A6440" s="117">
        <v>39994</v>
      </c>
      <c r="B6440">
        <v>13.202299999999999</v>
      </c>
    </row>
    <row r="6441" spans="1:2">
      <c r="A6441" s="117">
        <v>39995</v>
      </c>
      <c r="B6441">
        <v>13.1812</v>
      </c>
    </row>
    <row r="6442" spans="1:2">
      <c r="A6442" s="117">
        <v>39996</v>
      </c>
      <c r="B6442">
        <v>13.1722</v>
      </c>
    </row>
    <row r="6443" spans="1:2">
      <c r="A6443" s="117">
        <v>39997</v>
      </c>
      <c r="B6443">
        <v>13.097200000000001</v>
      </c>
    </row>
    <row r="6444" spans="1:2">
      <c r="A6444" s="117">
        <v>39998</v>
      </c>
      <c r="B6444">
        <v>13.169499999999999</v>
      </c>
    </row>
    <row r="6445" spans="1:2">
      <c r="A6445" s="117">
        <v>39999</v>
      </c>
      <c r="B6445">
        <v>13.169499999999999</v>
      </c>
    </row>
    <row r="6446" spans="1:2">
      <c r="A6446" s="117">
        <v>40000</v>
      </c>
      <c r="B6446">
        <v>13.169499999999999</v>
      </c>
    </row>
    <row r="6447" spans="1:2">
      <c r="A6447" s="117">
        <v>40001</v>
      </c>
      <c r="B6447">
        <v>13.242800000000001</v>
      </c>
    </row>
    <row r="6448" spans="1:2">
      <c r="A6448" s="117">
        <v>40002</v>
      </c>
      <c r="B6448">
        <v>13.2547</v>
      </c>
    </row>
    <row r="6449" spans="1:2">
      <c r="A6449" s="117">
        <v>40003</v>
      </c>
      <c r="B6449">
        <v>13.272399999999999</v>
      </c>
    </row>
    <row r="6450" spans="1:2">
      <c r="A6450" s="117">
        <v>40004</v>
      </c>
      <c r="B6450">
        <v>13.433299999999999</v>
      </c>
    </row>
    <row r="6451" spans="1:2">
      <c r="A6451" s="117">
        <v>40005</v>
      </c>
      <c r="B6451">
        <v>13.575799999999999</v>
      </c>
    </row>
    <row r="6452" spans="1:2">
      <c r="A6452" s="117">
        <v>40006</v>
      </c>
      <c r="B6452">
        <v>13.575799999999999</v>
      </c>
    </row>
    <row r="6453" spans="1:2">
      <c r="A6453" s="117">
        <v>40007</v>
      </c>
      <c r="B6453">
        <v>13.575799999999999</v>
      </c>
    </row>
    <row r="6454" spans="1:2">
      <c r="A6454" s="117">
        <v>40008</v>
      </c>
      <c r="B6454">
        <v>13.7052</v>
      </c>
    </row>
    <row r="6455" spans="1:2">
      <c r="A6455" s="117">
        <v>40009</v>
      </c>
      <c r="B6455">
        <v>13.810499999999999</v>
      </c>
    </row>
    <row r="6456" spans="1:2">
      <c r="A6456" s="117">
        <v>40010</v>
      </c>
      <c r="B6456">
        <v>13.7645</v>
      </c>
    </row>
    <row r="6457" spans="1:2">
      <c r="A6457" s="117">
        <v>40011</v>
      </c>
      <c r="B6457">
        <v>13.6526</v>
      </c>
    </row>
    <row r="6458" spans="1:2">
      <c r="A6458" s="117">
        <v>40012</v>
      </c>
      <c r="B6458">
        <v>13.587</v>
      </c>
    </row>
    <row r="6459" spans="1:2">
      <c r="A6459" s="117">
        <v>40013</v>
      </c>
      <c r="B6459">
        <v>13.587</v>
      </c>
    </row>
    <row r="6460" spans="1:2">
      <c r="A6460" s="117">
        <v>40014</v>
      </c>
      <c r="B6460">
        <v>13.587</v>
      </c>
    </row>
    <row r="6461" spans="1:2">
      <c r="A6461" s="117">
        <v>40015</v>
      </c>
      <c r="B6461">
        <v>13.3895</v>
      </c>
    </row>
    <row r="6462" spans="1:2">
      <c r="A6462" s="117">
        <v>40016</v>
      </c>
      <c r="B6462">
        <v>13.315799999999999</v>
      </c>
    </row>
    <row r="6463" spans="1:2">
      <c r="A6463" s="117">
        <v>40017</v>
      </c>
      <c r="B6463">
        <v>13.2879</v>
      </c>
    </row>
    <row r="6464" spans="1:2">
      <c r="A6464" s="117">
        <v>40018</v>
      </c>
      <c r="B6464">
        <v>13.231199999999999</v>
      </c>
    </row>
    <row r="6465" spans="1:2">
      <c r="A6465" s="117">
        <v>40019</v>
      </c>
      <c r="B6465">
        <v>13.1915</v>
      </c>
    </row>
    <row r="6466" spans="1:2">
      <c r="A6466" s="117">
        <v>40020</v>
      </c>
      <c r="B6466">
        <v>13.1915</v>
      </c>
    </row>
    <row r="6467" spans="1:2">
      <c r="A6467" s="117">
        <v>40021</v>
      </c>
      <c r="B6467">
        <v>13.1915</v>
      </c>
    </row>
    <row r="6468" spans="1:2">
      <c r="A6468" s="117">
        <v>40022</v>
      </c>
      <c r="B6468">
        <v>13.2247</v>
      </c>
    </row>
    <row r="6469" spans="1:2">
      <c r="A6469" s="117">
        <v>40023</v>
      </c>
      <c r="B6469">
        <v>13.216699999999999</v>
      </c>
    </row>
    <row r="6470" spans="1:2">
      <c r="A6470" s="117">
        <v>40024</v>
      </c>
      <c r="B6470">
        <v>13.282500000000001</v>
      </c>
    </row>
    <row r="6471" spans="1:2">
      <c r="A6471" s="117">
        <v>40025</v>
      </c>
      <c r="B6471">
        <v>13.2643</v>
      </c>
    </row>
    <row r="6472" spans="1:2">
      <c r="A6472" s="117">
        <v>40026</v>
      </c>
      <c r="B6472">
        <v>13.222300000000001</v>
      </c>
    </row>
    <row r="6473" spans="1:2">
      <c r="A6473" s="117">
        <v>40027</v>
      </c>
      <c r="B6473">
        <v>13.222300000000001</v>
      </c>
    </row>
    <row r="6474" spans="1:2">
      <c r="A6474" s="117">
        <v>40028</v>
      </c>
      <c r="B6474">
        <v>13.222300000000001</v>
      </c>
    </row>
    <row r="6475" spans="1:2">
      <c r="A6475" s="117">
        <v>40029</v>
      </c>
      <c r="B6475">
        <v>13.2125</v>
      </c>
    </row>
    <row r="6476" spans="1:2">
      <c r="A6476" s="117">
        <v>40030</v>
      </c>
      <c r="B6476">
        <v>13.129300000000001</v>
      </c>
    </row>
    <row r="6477" spans="1:2">
      <c r="A6477" s="117">
        <v>40031</v>
      </c>
      <c r="B6477">
        <v>13.1073</v>
      </c>
    </row>
    <row r="6478" spans="1:2">
      <c r="A6478" s="117">
        <v>40032</v>
      </c>
      <c r="B6478">
        <v>13.105</v>
      </c>
    </row>
    <row r="6479" spans="1:2">
      <c r="A6479" s="117">
        <v>40033</v>
      </c>
      <c r="B6479">
        <v>12.992599999999999</v>
      </c>
    </row>
    <row r="6480" spans="1:2">
      <c r="A6480" s="117">
        <v>40034</v>
      </c>
      <c r="B6480">
        <v>12.992599999999999</v>
      </c>
    </row>
    <row r="6481" spans="1:2">
      <c r="A6481" s="117">
        <v>40035</v>
      </c>
      <c r="B6481">
        <v>12.992599999999999</v>
      </c>
    </row>
    <row r="6482" spans="1:2">
      <c r="A6482" s="117">
        <v>40036</v>
      </c>
      <c r="B6482">
        <v>12.934900000000001</v>
      </c>
    </row>
    <row r="6483" spans="1:2">
      <c r="A6483" s="117">
        <v>40037</v>
      </c>
      <c r="B6483">
        <v>12.922000000000001</v>
      </c>
    </row>
    <row r="6484" spans="1:2">
      <c r="A6484" s="117">
        <v>40038</v>
      </c>
      <c r="B6484">
        <v>12.9937</v>
      </c>
    </row>
    <row r="6485" spans="1:2">
      <c r="A6485" s="117">
        <v>40039</v>
      </c>
      <c r="B6485">
        <v>12.997</v>
      </c>
    </row>
    <row r="6486" spans="1:2">
      <c r="A6486" s="117">
        <v>40040</v>
      </c>
      <c r="B6486">
        <v>12.8658</v>
      </c>
    </row>
    <row r="6487" spans="1:2">
      <c r="A6487" s="117">
        <v>40041</v>
      </c>
      <c r="B6487">
        <v>12.8658</v>
      </c>
    </row>
    <row r="6488" spans="1:2">
      <c r="A6488" s="117">
        <v>40042</v>
      </c>
      <c r="B6488">
        <v>12.8658</v>
      </c>
    </row>
    <row r="6489" spans="1:2">
      <c r="A6489" s="117">
        <v>40043</v>
      </c>
      <c r="B6489">
        <v>12.8766</v>
      </c>
    </row>
    <row r="6490" spans="1:2">
      <c r="A6490" s="117">
        <v>40044</v>
      </c>
      <c r="B6490">
        <v>12.9963</v>
      </c>
    </row>
    <row r="6491" spans="1:2">
      <c r="A6491" s="117">
        <v>40045</v>
      </c>
      <c r="B6491">
        <v>12.955500000000001</v>
      </c>
    </row>
    <row r="6492" spans="1:2">
      <c r="A6492" s="117">
        <v>40046</v>
      </c>
      <c r="B6492">
        <v>12.915900000000001</v>
      </c>
    </row>
    <row r="6493" spans="1:2">
      <c r="A6493" s="117">
        <v>40047</v>
      </c>
      <c r="B6493">
        <v>12.8733</v>
      </c>
    </row>
    <row r="6494" spans="1:2">
      <c r="A6494" s="117">
        <v>40048</v>
      </c>
      <c r="B6494">
        <v>12.8733</v>
      </c>
    </row>
    <row r="6495" spans="1:2">
      <c r="A6495" s="117">
        <v>40049</v>
      </c>
      <c r="B6495">
        <v>12.8733</v>
      </c>
    </row>
    <row r="6496" spans="1:2">
      <c r="A6496" s="117">
        <v>40050</v>
      </c>
      <c r="B6496">
        <v>12.822699999999999</v>
      </c>
    </row>
    <row r="6497" spans="1:2">
      <c r="A6497" s="117">
        <v>40051</v>
      </c>
      <c r="B6497">
        <v>12.827400000000001</v>
      </c>
    </row>
    <row r="6498" spans="1:2">
      <c r="A6498" s="117">
        <v>40052</v>
      </c>
      <c r="B6498">
        <v>12.897500000000001</v>
      </c>
    </row>
    <row r="6499" spans="1:2">
      <c r="A6499" s="117">
        <v>40053</v>
      </c>
      <c r="B6499">
        <v>13.1378</v>
      </c>
    </row>
    <row r="6500" spans="1:2">
      <c r="A6500" s="117">
        <v>40054</v>
      </c>
      <c r="B6500">
        <v>13.2462</v>
      </c>
    </row>
    <row r="6501" spans="1:2">
      <c r="A6501" s="117">
        <v>40055</v>
      </c>
      <c r="B6501">
        <v>13.2462</v>
      </c>
    </row>
    <row r="6502" spans="1:2">
      <c r="A6502" s="117">
        <v>40056</v>
      </c>
      <c r="B6502">
        <v>13.2462</v>
      </c>
    </row>
    <row r="6503" spans="1:2">
      <c r="A6503" s="117">
        <v>40057</v>
      </c>
      <c r="B6503">
        <v>13.257899999999999</v>
      </c>
    </row>
    <row r="6504" spans="1:2">
      <c r="A6504" s="117">
        <v>40058</v>
      </c>
      <c r="B6504">
        <v>13.314</v>
      </c>
    </row>
    <row r="6505" spans="1:2">
      <c r="A6505" s="117">
        <v>40059</v>
      </c>
      <c r="B6505">
        <v>13.5246</v>
      </c>
    </row>
    <row r="6506" spans="1:2">
      <c r="A6506" s="117">
        <v>40060</v>
      </c>
      <c r="B6506">
        <v>13.6427</v>
      </c>
    </row>
    <row r="6507" spans="1:2">
      <c r="A6507" s="117">
        <v>40061</v>
      </c>
      <c r="B6507">
        <v>13.5898</v>
      </c>
    </row>
    <row r="6508" spans="1:2">
      <c r="A6508" s="117">
        <v>40062</v>
      </c>
      <c r="B6508">
        <v>13.5898</v>
      </c>
    </row>
    <row r="6509" spans="1:2">
      <c r="A6509" s="117">
        <v>40063</v>
      </c>
      <c r="B6509">
        <v>13.5898</v>
      </c>
    </row>
    <row r="6510" spans="1:2">
      <c r="A6510" s="117">
        <v>40064</v>
      </c>
      <c r="B6510">
        <v>13.4658</v>
      </c>
    </row>
    <row r="6511" spans="1:2">
      <c r="A6511" s="117">
        <v>40065</v>
      </c>
      <c r="B6511">
        <v>13.364599999999999</v>
      </c>
    </row>
    <row r="6512" spans="1:2">
      <c r="A6512" s="117">
        <v>40066</v>
      </c>
      <c r="B6512">
        <v>13.2826</v>
      </c>
    </row>
    <row r="6513" spans="1:2">
      <c r="A6513" s="117">
        <v>40067</v>
      </c>
      <c r="B6513">
        <v>13.392300000000001</v>
      </c>
    </row>
    <row r="6514" spans="1:2">
      <c r="A6514" s="117">
        <v>40068</v>
      </c>
      <c r="B6514">
        <v>13.4582</v>
      </c>
    </row>
    <row r="6515" spans="1:2">
      <c r="A6515" s="117">
        <v>40069</v>
      </c>
      <c r="B6515">
        <v>13.4582</v>
      </c>
    </row>
    <row r="6516" spans="1:2">
      <c r="A6516" s="117">
        <v>40070</v>
      </c>
      <c r="B6516">
        <v>13.4582</v>
      </c>
    </row>
    <row r="6517" spans="1:2">
      <c r="A6517" s="117">
        <v>40071</v>
      </c>
      <c r="B6517">
        <v>13.3432</v>
      </c>
    </row>
    <row r="6518" spans="1:2">
      <c r="A6518" s="117">
        <v>40072</v>
      </c>
      <c r="B6518">
        <v>13.389200000000001</v>
      </c>
    </row>
    <row r="6519" spans="1:2">
      <c r="A6519" s="117">
        <v>40073</v>
      </c>
      <c r="B6519">
        <v>13.389200000000001</v>
      </c>
    </row>
    <row r="6520" spans="1:2">
      <c r="A6520" s="117">
        <v>40074</v>
      </c>
      <c r="B6520">
        <v>13.3475</v>
      </c>
    </row>
    <row r="6521" spans="1:2">
      <c r="A6521" s="117">
        <v>40075</v>
      </c>
      <c r="B6521">
        <v>13.23</v>
      </c>
    </row>
    <row r="6522" spans="1:2">
      <c r="A6522" s="117">
        <v>40076</v>
      </c>
      <c r="B6522">
        <v>13.23</v>
      </c>
    </row>
    <row r="6523" spans="1:2">
      <c r="A6523" s="117">
        <v>40077</v>
      </c>
      <c r="B6523">
        <v>13.23</v>
      </c>
    </row>
    <row r="6524" spans="1:2">
      <c r="A6524" s="117">
        <v>40078</v>
      </c>
      <c r="B6524">
        <v>13.241300000000001</v>
      </c>
    </row>
    <row r="6525" spans="1:2">
      <c r="A6525" s="117">
        <v>40079</v>
      </c>
      <c r="B6525">
        <v>13.353</v>
      </c>
    </row>
    <row r="6526" spans="1:2">
      <c r="A6526" s="117">
        <v>40080</v>
      </c>
      <c r="B6526">
        <v>13.3186</v>
      </c>
    </row>
    <row r="6527" spans="1:2">
      <c r="A6527" s="117">
        <v>40081</v>
      </c>
      <c r="B6527">
        <v>13.3733</v>
      </c>
    </row>
    <row r="6528" spans="1:2">
      <c r="A6528" s="117">
        <v>40082</v>
      </c>
      <c r="B6528">
        <v>13.4549</v>
      </c>
    </row>
    <row r="6529" spans="1:2">
      <c r="A6529" s="117">
        <v>40083</v>
      </c>
      <c r="B6529">
        <v>13.4549</v>
      </c>
    </row>
    <row r="6530" spans="1:2">
      <c r="A6530" s="117">
        <v>40084</v>
      </c>
      <c r="B6530">
        <v>13.4549</v>
      </c>
    </row>
    <row r="6531" spans="1:2">
      <c r="A6531" s="117">
        <v>40085</v>
      </c>
      <c r="B6531">
        <v>13.5243</v>
      </c>
    </row>
    <row r="6532" spans="1:2">
      <c r="A6532" s="117">
        <v>40086</v>
      </c>
      <c r="B6532">
        <v>13.504200000000001</v>
      </c>
    </row>
    <row r="6533" spans="1:2">
      <c r="A6533" s="117">
        <v>40087</v>
      </c>
      <c r="B6533">
        <v>13.551299999999999</v>
      </c>
    </row>
    <row r="6534" spans="1:2">
      <c r="A6534" s="117">
        <v>40088</v>
      </c>
      <c r="B6534">
        <v>13.492800000000001</v>
      </c>
    </row>
    <row r="6535" spans="1:2">
      <c r="A6535" s="117">
        <v>40089</v>
      </c>
      <c r="B6535">
        <v>13.6242</v>
      </c>
    </row>
    <row r="6536" spans="1:2">
      <c r="A6536" s="117">
        <v>40090</v>
      </c>
      <c r="B6536">
        <v>13.6242</v>
      </c>
    </row>
    <row r="6537" spans="1:2">
      <c r="A6537" s="117">
        <v>40091</v>
      </c>
      <c r="B6537">
        <v>13.6242</v>
      </c>
    </row>
    <row r="6538" spans="1:2">
      <c r="A6538" s="117">
        <v>40092</v>
      </c>
      <c r="B6538">
        <v>13.677300000000001</v>
      </c>
    </row>
    <row r="6539" spans="1:2">
      <c r="A6539" s="117">
        <v>40093</v>
      </c>
      <c r="B6539">
        <v>13.654999999999999</v>
      </c>
    </row>
    <row r="6540" spans="1:2">
      <c r="A6540" s="117">
        <v>40094</v>
      </c>
      <c r="B6540">
        <v>13.494300000000001</v>
      </c>
    </row>
    <row r="6541" spans="1:2">
      <c r="A6541" s="117">
        <v>40095</v>
      </c>
      <c r="B6541">
        <v>13.4673</v>
      </c>
    </row>
    <row r="6542" spans="1:2">
      <c r="A6542" s="117">
        <v>40096</v>
      </c>
      <c r="B6542">
        <v>13.322699999999999</v>
      </c>
    </row>
    <row r="6543" spans="1:2">
      <c r="A6543" s="117">
        <v>40097</v>
      </c>
      <c r="B6543">
        <v>13.322699999999999</v>
      </c>
    </row>
    <row r="6544" spans="1:2">
      <c r="A6544" s="117">
        <v>40098</v>
      </c>
      <c r="B6544">
        <v>13.322699999999999</v>
      </c>
    </row>
    <row r="6545" spans="1:2">
      <c r="A6545" s="117">
        <v>40099</v>
      </c>
      <c r="B6545">
        <v>13.255000000000001</v>
      </c>
    </row>
    <row r="6546" spans="1:2">
      <c r="A6546" s="117">
        <v>40100</v>
      </c>
      <c r="B6546">
        <v>13.2178</v>
      </c>
    </row>
    <row r="6547" spans="1:2">
      <c r="A6547" s="117">
        <v>40101</v>
      </c>
      <c r="B6547">
        <v>13.1774</v>
      </c>
    </row>
    <row r="6548" spans="1:2">
      <c r="A6548" s="117">
        <v>40102</v>
      </c>
      <c r="B6548">
        <v>13.0779</v>
      </c>
    </row>
    <row r="6549" spans="1:2">
      <c r="A6549" s="117">
        <v>40103</v>
      </c>
      <c r="B6549">
        <v>13.0884</v>
      </c>
    </row>
    <row r="6550" spans="1:2">
      <c r="A6550" s="117">
        <v>40104</v>
      </c>
      <c r="B6550">
        <v>13.0884</v>
      </c>
    </row>
    <row r="6551" spans="1:2">
      <c r="A6551" s="117">
        <v>40105</v>
      </c>
      <c r="B6551">
        <v>13.0884</v>
      </c>
    </row>
    <row r="6552" spans="1:2">
      <c r="A6552" s="117">
        <v>40106</v>
      </c>
      <c r="B6552">
        <v>13.105700000000001</v>
      </c>
    </row>
    <row r="6553" spans="1:2">
      <c r="A6553" s="117">
        <v>40107</v>
      </c>
      <c r="B6553">
        <v>13.084</v>
      </c>
    </row>
    <row r="6554" spans="1:2">
      <c r="A6554" s="117">
        <v>40108</v>
      </c>
      <c r="B6554">
        <v>12.9407</v>
      </c>
    </row>
    <row r="6555" spans="1:2">
      <c r="A6555" s="117">
        <v>40109</v>
      </c>
      <c r="B6555">
        <v>12.919600000000001</v>
      </c>
    </row>
    <row r="6556" spans="1:2">
      <c r="A6556" s="117">
        <v>40110</v>
      </c>
      <c r="B6556">
        <v>12.9495</v>
      </c>
    </row>
    <row r="6557" spans="1:2">
      <c r="A6557" s="117">
        <v>40111</v>
      </c>
      <c r="B6557">
        <v>12.9495</v>
      </c>
    </row>
    <row r="6558" spans="1:2">
      <c r="A6558" s="117">
        <v>40112</v>
      </c>
      <c r="B6558">
        <v>12.9495</v>
      </c>
    </row>
    <row r="6559" spans="1:2">
      <c r="A6559" s="117">
        <v>40113</v>
      </c>
      <c r="B6559">
        <v>12.979799999999999</v>
      </c>
    </row>
    <row r="6560" spans="1:2">
      <c r="A6560" s="117">
        <v>40114</v>
      </c>
      <c r="B6560">
        <v>13.148999999999999</v>
      </c>
    </row>
    <row r="6561" spans="1:2">
      <c r="A6561" s="117">
        <v>40115</v>
      </c>
      <c r="B6561">
        <v>13.2662</v>
      </c>
    </row>
    <row r="6562" spans="1:2">
      <c r="A6562" s="117">
        <v>40116</v>
      </c>
      <c r="B6562">
        <v>13.282299999999999</v>
      </c>
    </row>
    <row r="6563" spans="1:2">
      <c r="A6563" s="117">
        <v>40117</v>
      </c>
      <c r="B6563">
        <v>13.0825</v>
      </c>
    </row>
    <row r="6564" spans="1:2">
      <c r="A6564" s="117">
        <v>40118</v>
      </c>
      <c r="B6564">
        <v>13.0825</v>
      </c>
    </row>
    <row r="6565" spans="1:2">
      <c r="A6565" s="117">
        <v>40119</v>
      </c>
      <c r="B6565">
        <v>13.0825</v>
      </c>
    </row>
    <row r="6566" spans="1:2">
      <c r="A6566" s="117">
        <v>40120</v>
      </c>
      <c r="B6566">
        <v>13.0825</v>
      </c>
    </row>
    <row r="6567" spans="1:2">
      <c r="A6567" s="117">
        <v>40121</v>
      </c>
      <c r="B6567">
        <v>13.1479</v>
      </c>
    </row>
    <row r="6568" spans="1:2">
      <c r="A6568" s="117">
        <v>40122</v>
      </c>
      <c r="B6568">
        <v>13.290800000000001</v>
      </c>
    </row>
    <row r="6569" spans="1:2">
      <c r="A6569" s="117">
        <v>40123</v>
      </c>
      <c r="B6569">
        <v>13.270799999999999</v>
      </c>
    </row>
    <row r="6570" spans="1:2">
      <c r="A6570" s="117">
        <v>40124</v>
      </c>
      <c r="B6570">
        <v>13.343</v>
      </c>
    </row>
    <row r="6571" spans="1:2">
      <c r="A6571" s="117">
        <v>40125</v>
      </c>
      <c r="B6571">
        <v>13.343</v>
      </c>
    </row>
    <row r="6572" spans="1:2">
      <c r="A6572" s="117">
        <v>40126</v>
      </c>
      <c r="B6572">
        <v>13.343</v>
      </c>
    </row>
    <row r="6573" spans="1:2">
      <c r="A6573" s="117">
        <v>40127</v>
      </c>
      <c r="B6573">
        <v>13.3758</v>
      </c>
    </row>
    <row r="6574" spans="1:2">
      <c r="A6574" s="117">
        <v>40128</v>
      </c>
      <c r="B6574">
        <v>13.2996</v>
      </c>
    </row>
    <row r="6575" spans="1:2">
      <c r="A6575" s="117">
        <v>40129</v>
      </c>
      <c r="B6575">
        <v>13.2308</v>
      </c>
    </row>
    <row r="6576" spans="1:2">
      <c r="A6576" s="117">
        <v>40130</v>
      </c>
      <c r="B6576">
        <v>13.1622</v>
      </c>
    </row>
    <row r="6577" spans="1:2">
      <c r="A6577" s="117">
        <v>40131</v>
      </c>
      <c r="B6577">
        <v>13.206099999999999</v>
      </c>
    </row>
    <row r="6578" spans="1:2">
      <c r="A6578" s="117">
        <v>40132</v>
      </c>
      <c r="B6578">
        <v>13.206099999999999</v>
      </c>
    </row>
    <row r="6579" spans="1:2">
      <c r="A6579" s="117">
        <v>40133</v>
      </c>
      <c r="B6579">
        <v>13.206099999999999</v>
      </c>
    </row>
    <row r="6580" spans="1:2">
      <c r="A6580" s="117">
        <v>40134</v>
      </c>
      <c r="B6580">
        <v>13.206099999999999</v>
      </c>
    </row>
    <row r="6581" spans="1:2">
      <c r="A6581" s="117">
        <v>40135</v>
      </c>
      <c r="B6581">
        <v>13.1012</v>
      </c>
    </row>
    <row r="6582" spans="1:2">
      <c r="A6582" s="117">
        <v>40136</v>
      </c>
      <c r="B6582">
        <v>13.0875</v>
      </c>
    </row>
    <row r="6583" spans="1:2">
      <c r="A6583" s="117">
        <v>40137</v>
      </c>
      <c r="B6583">
        <v>12.9818</v>
      </c>
    </row>
    <row r="6584" spans="1:2">
      <c r="A6584" s="117">
        <v>40138</v>
      </c>
      <c r="B6584">
        <v>13.0502</v>
      </c>
    </row>
    <row r="6585" spans="1:2">
      <c r="A6585" s="117">
        <v>40139</v>
      </c>
      <c r="B6585">
        <v>13.0502</v>
      </c>
    </row>
    <row r="6586" spans="1:2">
      <c r="A6586" s="117">
        <v>40140</v>
      </c>
      <c r="B6586">
        <v>13.0502</v>
      </c>
    </row>
    <row r="6587" spans="1:2">
      <c r="A6587" s="117">
        <v>40141</v>
      </c>
      <c r="B6587">
        <v>13.089499999999999</v>
      </c>
    </row>
    <row r="6588" spans="1:2">
      <c r="A6588" s="117">
        <v>40142</v>
      </c>
      <c r="B6588">
        <v>13.0151</v>
      </c>
    </row>
    <row r="6589" spans="1:2">
      <c r="A6589" s="117">
        <v>40143</v>
      </c>
      <c r="B6589">
        <v>12.9305</v>
      </c>
    </row>
    <row r="6590" spans="1:2">
      <c r="A6590" s="117">
        <v>40144</v>
      </c>
      <c r="B6590">
        <v>12.866</v>
      </c>
    </row>
    <row r="6591" spans="1:2">
      <c r="A6591" s="117">
        <v>40145</v>
      </c>
      <c r="B6591">
        <v>12.9475</v>
      </c>
    </row>
    <row r="6592" spans="1:2">
      <c r="A6592" s="117">
        <v>40146</v>
      </c>
      <c r="B6592">
        <v>12.9475</v>
      </c>
    </row>
    <row r="6593" spans="1:2">
      <c r="A6593" s="117">
        <v>40147</v>
      </c>
      <c r="B6593">
        <v>12.9475</v>
      </c>
    </row>
    <row r="6594" spans="1:2">
      <c r="A6594" s="117">
        <v>40148</v>
      </c>
      <c r="B6594">
        <v>12.9139</v>
      </c>
    </row>
    <row r="6595" spans="1:2">
      <c r="A6595" s="117">
        <v>40149</v>
      </c>
      <c r="B6595">
        <v>12.915699999999999</v>
      </c>
    </row>
    <row r="6596" spans="1:2">
      <c r="A6596" s="117">
        <v>40150</v>
      </c>
      <c r="B6596">
        <v>12.855700000000001</v>
      </c>
    </row>
    <row r="6597" spans="1:2">
      <c r="A6597" s="117">
        <v>40151</v>
      </c>
      <c r="B6597">
        <v>12.8026</v>
      </c>
    </row>
    <row r="6598" spans="1:2">
      <c r="A6598" s="117">
        <v>40152</v>
      </c>
      <c r="B6598">
        <v>12.665800000000001</v>
      </c>
    </row>
    <row r="6599" spans="1:2">
      <c r="A6599" s="117">
        <v>40153</v>
      </c>
      <c r="B6599">
        <v>12.665800000000001</v>
      </c>
    </row>
    <row r="6600" spans="1:2">
      <c r="A6600" s="117">
        <v>40154</v>
      </c>
      <c r="B6600">
        <v>12.665800000000001</v>
      </c>
    </row>
    <row r="6601" spans="1:2">
      <c r="A6601" s="117">
        <v>40155</v>
      </c>
      <c r="B6601">
        <v>12.5969</v>
      </c>
    </row>
    <row r="6602" spans="1:2">
      <c r="A6602" s="117">
        <v>40156</v>
      </c>
      <c r="B6602">
        <v>12.655799999999999</v>
      </c>
    </row>
    <row r="6603" spans="1:2">
      <c r="A6603" s="117">
        <v>40157</v>
      </c>
      <c r="B6603">
        <v>12.8399</v>
      </c>
    </row>
    <row r="6604" spans="1:2">
      <c r="A6604" s="117">
        <v>40158</v>
      </c>
      <c r="B6604">
        <v>12.9862</v>
      </c>
    </row>
    <row r="6605" spans="1:2">
      <c r="A6605" s="117">
        <v>40159</v>
      </c>
      <c r="B6605">
        <v>12.9739</v>
      </c>
    </row>
    <row r="6606" spans="1:2">
      <c r="A6606" s="117">
        <v>40160</v>
      </c>
      <c r="B6606">
        <v>12.9739</v>
      </c>
    </row>
    <row r="6607" spans="1:2">
      <c r="A6607" s="117">
        <v>40161</v>
      </c>
      <c r="B6607">
        <v>12.9739</v>
      </c>
    </row>
    <row r="6608" spans="1:2">
      <c r="A6608" s="117">
        <v>40162</v>
      </c>
      <c r="B6608">
        <v>12.9253</v>
      </c>
    </row>
    <row r="6609" spans="1:2">
      <c r="A6609" s="117">
        <v>40163</v>
      </c>
      <c r="B6609">
        <v>12.810499999999999</v>
      </c>
    </row>
    <row r="6610" spans="1:2">
      <c r="A6610" s="117">
        <v>40164</v>
      </c>
      <c r="B6610">
        <v>12.7234</v>
      </c>
    </row>
    <row r="6611" spans="1:2">
      <c r="A6611" s="117">
        <v>40165</v>
      </c>
      <c r="B6611">
        <v>12.698</v>
      </c>
    </row>
    <row r="6612" spans="1:2">
      <c r="A6612" s="117">
        <v>40166</v>
      </c>
      <c r="B6612">
        <v>12.9331</v>
      </c>
    </row>
    <row r="6613" spans="1:2">
      <c r="A6613" s="117">
        <v>40167</v>
      </c>
      <c r="B6613">
        <v>12.9331</v>
      </c>
    </row>
    <row r="6614" spans="1:2">
      <c r="A6614" s="117">
        <v>40168</v>
      </c>
      <c r="B6614">
        <v>12.9331</v>
      </c>
    </row>
    <row r="6615" spans="1:2">
      <c r="A6615" s="117">
        <v>40169</v>
      </c>
      <c r="B6615">
        <v>12.8979</v>
      </c>
    </row>
    <row r="6616" spans="1:2">
      <c r="A6616" s="117">
        <v>40170</v>
      </c>
      <c r="B6616">
        <v>12.812099999999999</v>
      </c>
    </row>
    <row r="6617" spans="1:2">
      <c r="A6617" s="117">
        <v>40171</v>
      </c>
      <c r="B6617">
        <v>12.944900000000001</v>
      </c>
    </row>
    <row r="6618" spans="1:2">
      <c r="A6618" s="117">
        <v>40172</v>
      </c>
      <c r="B6618">
        <v>12.8896</v>
      </c>
    </row>
    <row r="6619" spans="1:2">
      <c r="A6619" s="117">
        <v>40173</v>
      </c>
      <c r="B6619">
        <v>12.8896</v>
      </c>
    </row>
    <row r="6620" spans="1:2">
      <c r="A6620" s="117">
        <v>40174</v>
      </c>
      <c r="B6620">
        <v>12.8896</v>
      </c>
    </row>
    <row r="6621" spans="1:2">
      <c r="A6621" s="117">
        <v>40175</v>
      </c>
      <c r="B6621">
        <v>12.8896</v>
      </c>
    </row>
    <row r="6622" spans="1:2">
      <c r="A6622" s="117">
        <v>40176</v>
      </c>
      <c r="B6622">
        <v>12.879300000000001</v>
      </c>
    </row>
    <row r="6623" spans="1:2">
      <c r="A6623" s="117">
        <v>40177</v>
      </c>
      <c r="B6623">
        <v>12.928800000000001</v>
      </c>
    </row>
    <row r="6624" spans="1:2">
      <c r="A6624" s="117">
        <v>40178</v>
      </c>
      <c r="B6624">
        <v>13.0587</v>
      </c>
    </row>
    <row r="6625" spans="1:2">
      <c r="A6625" s="117">
        <v>40179</v>
      </c>
      <c r="B6625">
        <v>13.043699999999999</v>
      </c>
    </row>
    <row r="6626" spans="1:2">
      <c r="A6626" s="117">
        <v>40180</v>
      </c>
      <c r="B6626">
        <v>13.043699999999999</v>
      </c>
    </row>
    <row r="6627" spans="1:2">
      <c r="A6627" s="117">
        <v>40181</v>
      </c>
      <c r="B6627">
        <v>13.043699999999999</v>
      </c>
    </row>
    <row r="6628" spans="1:2">
      <c r="A6628" s="117">
        <v>40182</v>
      </c>
      <c r="B6628">
        <v>13.043699999999999</v>
      </c>
    </row>
    <row r="6629" spans="1:2">
      <c r="A6629" s="117">
        <v>40183</v>
      </c>
      <c r="B6629">
        <v>13.065899999999999</v>
      </c>
    </row>
    <row r="6630" spans="1:2">
      <c r="A6630" s="117">
        <v>40184</v>
      </c>
      <c r="B6630">
        <v>12.922599999999999</v>
      </c>
    </row>
    <row r="6631" spans="1:2">
      <c r="A6631" s="117">
        <v>40185</v>
      </c>
      <c r="B6631">
        <v>12.8241</v>
      </c>
    </row>
    <row r="6632" spans="1:2">
      <c r="A6632" s="117">
        <v>40186</v>
      </c>
      <c r="B6632">
        <v>12.748900000000001</v>
      </c>
    </row>
    <row r="6633" spans="1:2">
      <c r="A6633" s="117">
        <v>40187</v>
      </c>
      <c r="B6633">
        <v>12.7646</v>
      </c>
    </row>
    <row r="6634" spans="1:2">
      <c r="A6634" s="117">
        <v>40188</v>
      </c>
      <c r="B6634">
        <v>12.7646</v>
      </c>
    </row>
    <row r="6635" spans="1:2">
      <c r="A6635" s="117">
        <v>40189</v>
      </c>
      <c r="B6635">
        <v>12.7646</v>
      </c>
    </row>
    <row r="6636" spans="1:2">
      <c r="A6636" s="117">
        <v>40190</v>
      </c>
      <c r="B6636">
        <v>12.724299999999999</v>
      </c>
    </row>
    <row r="6637" spans="1:2">
      <c r="A6637" s="117">
        <v>40191</v>
      </c>
      <c r="B6637">
        <v>12.6692</v>
      </c>
    </row>
    <row r="6638" spans="1:2">
      <c r="A6638" s="117">
        <v>40192</v>
      </c>
      <c r="B6638">
        <v>12.729100000000001</v>
      </c>
    </row>
    <row r="6639" spans="1:2">
      <c r="A6639" s="117">
        <v>40193</v>
      </c>
      <c r="B6639">
        <v>12.7698</v>
      </c>
    </row>
    <row r="6640" spans="1:2">
      <c r="A6640" s="117">
        <v>40194</v>
      </c>
      <c r="B6640">
        <v>12.7364</v>
      </c>
    </row>
    <row r="6641" spans="1:2">
      <c r="A6641" s="117">
        <v>40195</v>
      </c>
      <c r="B6641">
        <v>12.7364</v>
      </c>
    </row>
    <row r="6642" spans="1:2">
      <c r="A6642" s="117">
        <v>40196</v>
      </c>
      <c r="B6642">
        <v>12.7364</v>
      </c>
    </row>
    <row r="6643" spans="1:2">
      <c r="A6643" s="117">
        <v>40197</v>
      </c>
      <c r="B6643">
        <v>12.6884</v>
      </c>
    </row>
    <row r="6644" spans="1:2">
      <c r="A6644" s="117">
        <v>40198</v>
      </c>
      <c r="B6644">
        <v>12.666399999999999</v>
      </c>
    </row>
    <row r="6645" spans="1:2">
      <c r="A6645" s="117">
        <v>40199</v>
      </c>
      <c r="B6645">
        <v>12.6478</v>
      </c>
    </row>
    <row r="6646" spans="1:2">
      <c r="A6646" s="117">
        <v>40200</v>
      </c>
      <c r="B6646">
        <v>12.738799999999999</v>
      </c>
    </row>
    <row r="6647" spans="1:2">
      <c r="A6647" s="117">
        <v>40201</v>
      </c>
      <c r="B6647">
        <v>12.772</v>
      </c>
    </row>
    <row r="6648" spans="1:2">
      <c r="A6648" s="117">
        <v>40202</v>
      </c>
      <c r="B6648">
        <v>12.772</v>
      </c>
    </row>
    <row r="6649" spans="1:2">
      <c r="A6649" s="117">
        <v>40203</v>
      </c>
      <c r="B6649">
        <v>12.772</v>
      </c>
    </row>
    <row r="6650" spans="1:2">
      <c r="A6650" s="117">
        <v>40204</v>
      </c>
      <c r="B6650">
        <v>12.9412</v>
      </c>
    </row>
    <row r="6651" spans="1:2">
      <c r="A6651" s="117">
        <v>40205</v>
      </c>
      <c r="B6651">
        <v>12.9018</v>
      </c>
    </row>
    <row r="6652" spans="1:2">
      <c r="A6652" s="117">
        <v>40206</v>
      </c>
      <c r="B6652">
        <v>12.854900000000001</v>
      </c>
    </row>
    <row r="6653" spans="1:2">
      <c r="A6653" s="117">
        <v>40207</v>
      </c>
      <c r="B6653">
        <v>12.929500000000001</v>
      </c>
    </row>
    <row r="6654" spans="1:2">
      <c r="A6654" s="117">
        <v>40208</v>
      </c>
      <c r="B6654">
        <v>12.9975</v>
      </c>
    </row>
    <row r="6655" spans="1:2">
      <c r="A6655" s="117">
        <v>40209</v>
      </c>
      <c r="B6655">
        <v>12.9975</v>
      </c>
    </row>
    <row r="6656" spans="1:2">
      <c r="A6656" s="117">
        <v>40210</v>
      </c>
      <c r="B6656">
        <v>12.9975</v>
      </c>
    </row>
    <row r="6657" spans="1:2">
      <c r="A6657" s="117">
        <v>40211</v>
      </c>
      <c r="B6657">
        <v>12.9975</v>
      </c>
    </row>
    <row r="6658" spans="1:2">
      <c r="A6658" s="117">
        <v>40212</v>
      </c>
      <c r="B6658">
        <v>13.0098</v>
      </c>
    </row>
    <row r="6659" spans="1:2">
      <c r="A6659" s="117">
        <v>40213</v>
      </c>
      <c r="B6659">
        <v>12.869899999999999</v>
      </c>
    </row>
    <row r="6660" spans="1:2">
      <c r="A6660" s="117">
        <v>40214</v>
      </c>
      <c r="B6660">
        <v>12.939500000000001</v>
      </c>
    </row>
    <row r="6661" spans="1:2">
      <c r="A6661" s="117">
        <v>40215</v>
      </c>
      <c r="B6661">
        <v>13.0687</v>
      </c>
    </row>
    <row r="6662" spans="1:2">
      <c r="A6662" s="117">
        <v>40216</v>
      </c>
      <c r="B6662">
        <v>13.0687</v>
      </c>
    </row>
    <row r="6663" spans="1:2">
      <c r="A6663" s="117">
        <v>40217</v>
      </c>
      <c r="B6663">
        <v>13.0687</v>
      </c>
    </row>
    <row r="6664" spans="1:2">
      <c r="A6664" s="117">
        <v>40218</v>
      </c>
      <c r="B6664">
        <v>13.1753</v>
      </c>
    </row>
    <row r="6665" spans="1:2">
      <c r="A6665" s="117">
        <v>40219</v>
      </c>
      <c r="B6665">
        <v>13.164</v>
      </c>
    </row>
    <row r="6666" spans="1:2">
      <c r="A6666" s="117">
        <v>40220</v>
      </c>
      <c r="B6666">
        <v>13.083600000000001</v>
      </c>
    </row>
    <row r="6667" spans="1:2">
      <c r="A6667" s="117">
        <v>40221</v>
      </c>
      <c r="B6667">
        <v>13.0601</v>
      </c>
    </row>
    <row r="6668" spans="1:2">
      <c r="A6668" s="117">
        <v>40222</v>
      </c>
      <c r="B6668">
        <v>13.0609</v>
      </c>
    </row>
    <row r="6669" spans="1:2">
      <c r="A6669" s="117">
        <v>40223</v>
      </c>
      <c r="B6669">
        <v>13.0609</v>
      </c>
    </row>
    <row r="6670" spans="1:2">
      <c r="A6670" s="117">
        <v>40224</v>
      </c>
      <c r="B6670">
        <v>13.0609</v>
      </c>
    </row>
    <row r="6671" spans="1:2">
      <c r="A6671" s="117">
        <v>40225</v>
      </c>
      <c r="B6671">
        <v>12.9764</v>
      </c>
    </row>
    <row r="6672" spans="1:2">
      <c r="A6672" s="117">
        <v>40226</v>
      </c>
      <c r="B6672">
        <v>12.942</v>
      </c>
    </row>
    <row r="6673" spans="1:2">
      <c r="A6673" s="117">
        <v>40227</v>
      </c>
      <c r="B6673">
        <v>12.8683</v>
      </c>
    </row>
    <row r="6674" spans="1:2">
      <c r="A6674" s="117">
        <v>40228</v>
      </c>
      <c r="B6674">
        <v>12.8781</v>
      </c>
    </row>
    <row r="6675" spans="1:2">
      <c r="A6675" s="117">
        <v>40229</v>
      </c>
      <c r="B6675">
        <v>12.844200000000001</v>
      </c>
    </row>
    <row r="6676" spans="1:2">
      <c r="A6676" s="117">
        <v>40230</v>
      </c>
      <c r="B6676">
        <v>12.844200000000001</v>
      </c>
    </row>
    <row r="6677" spans="1:2">
      <c r="A6677" s="117">
        <v>40231</v>
      </c>
      <c r="B6677">
        <v>12.844200000000001</v>
      </c>
    </row>
    <row r="6678" spans="1:2">
      <c r="A6678" s="117">
        <v>40232</v>
      </c>
      <c r="B6678">
        <v>12.8337</v>
      </c>
    </row>
    <row r="6679" spans="1:2">
      <c r="A6679" s="117">
        <v>40233</v>
      </c>
      <c r="B6679">
        <v>12.8017</v>
      </c>
    </row>
    <row r="6680" spans="1:2">
      <c r="A6680" s="117">
        <v>40234</v>
      </c>
      <c r="B6680">
        <v>12.8584</v>
      </c>
    </row>
    <row r="6681" spans="1:2">
      <c r="A6681" s="117">
        <v>40235</v>
      </c>
      <c r="B6681">
        <v>12.853899999999999</v>
      </c>
    </row>
    <row r="6682" spans="1:2">
      <c r="A6682" s="117">
        <v>40236</v>
      </c>
      <c r="B6682">
        <v>12.850300000000001</v>
      </c>
    </row>
    <row r="6683" spans="1:2">
      <c r="A6683" s="117">
        <v>40237</v>
      </c>
      <c r="B6683">
        <v>12.850300000000001</v>
      </c>
    </row>
    <row r="6684" spans="1:2">
      <c r="A6684" s="117">
        <v>40238</v>
      </c>
      <c r="B6684">
        <v>12.850300000000001</v>
      </c>
    </row>
    <row r="6685" spans="1:2">
      <c r="A6685" s="117">
        <v>40239</v>
      </c>
      <c r="B6685">
        <v>12.776899999999999</v>
      </c>
    </row>
    <row r="6686" spans="1:2">
      <c r="A6686" s="117">
        <v>40240</v>
      </c>
      <c r="B6686">
        <v>12.7454</v>
      </c>
    </row>
    <row r="6687" spans="1:2">
      <c r="A6687" s="117">
        <v>40241</v>
      </c>
      <c r="B6687">
        <v>12.725899999999999</v>
      </c>
    </row>
    <row r="6688" spans="1:2">
      <c r="A6688" s="117">
        <v>40242</v>
      </c>
      <c r="B6688">
        <v>12.69</v>
      </c>
    </row>
    <row r="6689" spans="1:2">
      <c r="A6689" s="117">
        <v>40243</v>
      </c>
      <c r="B6689">
        <v>12.7182</v>
      </c>
    </row>
    <row r="6690" spans="1:2">
      <c r="A6690" s="117">
        <v>40244</v>
      </c>
      <c r="B6690">
        <v>12.7182</v>
      </c>
    </row>
    <row r="6691" spans="1:2">
      <c r="A6691" s="117">
        <v>40245</v>
      </c>
      <c r="B6691">
        <v>12.7182</v>
      </c>
    </row>
    <row r="6692" spans="1:2">
      <c r="A6692" s="117">
        <v>40246</v>
      </c>
      <c r="B6692">
        <v>12.6557</v>
      </c>
    </row>
    <row r="6693" spans="1:2">
      <c r="A6693" s="117">
        <v>40247</v>
      </c>
      <c r="B6693">
        <v>12.661799999999999</v>
      </c>
    </row>
    <row r="6694" spans="1:2">
      <c r="A6694" s="117">
        <v>40248</v>
      </c>
      <c r="B6694">
        <v>12.657400000000001</v>
      </c>
    </row>
    <row r="6695" spans="1:2">
      <c r="A6695" s="117">
        <v>40249</v>
      </c>
      <c r="B6695">
        <v>12.6028</v>
      </c>
    </row>
    <row r="6696" spans="1:2">
      <c r="A6696" s="117">
        <v>40250</v>
      </c>
      <c r="B6696">
        <v>12.619199999999999</v>
      </c>
    </row>
    <row r="6697" spans="1:2">
      <c r="A6697" s="117">
        <v>40251</v>
      </c>
      <c r="B6697">
        <v>12.619199999999999</v>
      </c>
    </row>
    <row r="6698" spans="1:2">
      <c r="A6698" s="117">
        <v>40252</v>
      </c>
      <c r="B6698">
        <v>12.619199999999999</v>
      </c>
    </row>
    <row r="6699" spans="1:2">
      <c r="A6699" s="117">
        <v>40253</v>
      </c>
      <c r="B6699">
        <v>12.619199999999999</v>
      </c>
    </row>
    <row r="6700" spans="1:2">
      <c r="A6700" s="117">
        <v>40254</v>
      </c>
      <c r="B6700">
        <v>12.5527</v>
      </c>
    </row>
    <row r="6701" spans="1:2">
      <c r="A6701" s="117">
        <v>40255</v>
      </c>
      <c r="B6701">
        <v>12.525399999999999</v>
      </c>
    </row>
    <row r="6702" spans="1:2">
      <c r="A6702" s="117">
        <v>40256</v>
      </c>
      <c r="B6702">
        <v>12.4892</v>
      </c>
    </row>
    <row r="6703" spans="1:2">
      <c r="A6703" s="117">
        <v>40257</v>
      </c>
      <c r="B6703">
        <v>12.472899999999999</v>
      </c>
    </row>
    <row r="6704" spans="1:2">
      <c r="A6704" s="117">
        <v>40258</v>
      </c>
      <c r="B6704">
        <v>12.472899999999999</v>
      </c>
    </row>
    <row r="6705" spans="1:2">
      <c r="A6705" s="117">
        <v>40259</v>
      </c>
      <c r="B6705">
        <v>12.472899999999999</v>
      </c>
    </row>
    <row r="6706" spans="1:2">
      <c r="A6706" s="117">
        <v>40260</v>
      </c>
      <c r="B6706">
        <v>12.579599999999999</v>
      </c>
    </row>
    <row r="6707" spans="1:2">
      <c r="A6707" s="117">
        <v>40261</v>
      </c>
      <c r="B6707">
        <v>12.6052</v>
      </c>
    </row>
    <row r="6708" spans="1:2">
      <c r="A6708" s="117">
        <v>40262</v>
      </c>
      <c r="B6708">
        <v>12.5284</v>
      </c>
    </row>
    <row r="6709" spans="1:2">
      <c r="A6709" s="117">
        <v>40263</v>
      </c>
      <c r="B6709">
        <v>12.5381</v>
      </c>
    </row>
    <row r="6710" spans="1:2">
      <c r="A6710" s="117">
        <v>40264</v>
      </c>
      <c r="B6710">
        <v>12.5009</v>
      </c>
    </row>
    <row r="6711" spans="1:2">
      <c r="A6711" s="117">
        <v>40265</v>
      </c>
      <c r="B6711">
        <v>12.5009</v>
      </c>
    </row>
    <row r="6712" spans="1:2">
      <c r="A6712" s="117">
        <v>40266</v>
      </c>
      <c r="B6712">
        <v>12.5009</v>
      </c>
    </row>
    <row r="6713" spans="1:2">
      <c r="A6713" s="117">
        <v>40267</v>
      </c>
      <c r="B6713">
        <v>12.5426</v>
      </c>
    </row>
    <row r="6714" spans="1:2">
      <c r="A6714" s="117">
        <v>40268</v>
      </c>
      <c r="B6714">
        <v>12.464</v>
      </c>
    </row>
    <row r="6715" spans="1:2">
      <c r="A6715" s="117">
        <v>40269</v>
      </c>
      <c r="B6715">
        <v>12.4145</v>
      </c>
    </row>
    <row r="6716" spans="1:2">
      <c r="A6716" s="117">
        <v>40270</v>
      </c>
      <c r="B6716">
        <v>12.4145</v>
      </c>
    </row>
    <row r="6717" spans="1:2">
      <c r="A6717" s="117">
        <v>40271</v>
      </c>
      <c r="B6717">
        <v>12.4145</v>
      </c>
    </row>
    <row r="6718" spans="1:2">
      <c r="A6718" s="117">
        <v>40272</v>
      </c>
      <c r="B6718">
        <v>12.4145</v>
      </c>
    </row>
    <row r="6719" spans="1:2">
      <c r="A6719" s="117">
        <v>40273</v>
      </c>
      <c r="B6719">
        <v>12.4145</v>
      </c>
    </row>
    <row r="6720" spans="1:2">
      <c r="A6720" s="117">
        <v>40274</v>
      </c>
      <c r="B6720">
        <v>12.3306</v>
      </c>
    </row>
    <row r="6721" spans="1:2">
      <c r="A6721" s="117">
        <v>40275</v>
      </c>
      <c r="B6721">
        <v>12.2658</v>
      </c>
    </row>
    <row r="6722" spans="1:2">
      <c r="A6722" s="117">
        <v>40276</v>
      </c>
      <c r="B6722">
        <v>12.2454</v>
      </c>
    </row>
    <row r="6723" spans="1:2">
      <c r="A6723" s="117">
        <v>40277</v>
      </c>
      <c r="B6723">
        <v>12.2218</v>
      </c>
    </row>
    <row r="6724" spans="1:2">
      <c r="A6724" s="117">
        <v>40278</v>
      </c>
      <c r="B6724">
        <v>12.248799999999999</v>
      </c>
    </row>
    <row r="6725" spans="1:2">
      <c r="A6725" s="117">
        <v>40279</v>
      </c>
      <c r="B6725">
        <v>12.248799999999999</v>
      </c>
    </row>
    <row r="6726" spans="1:2">
      <c r="A6726" s="117">
        <v>40280</v>
      </c>
      <c r="B6726">
        <v>12.248799999999999</v>
      </c>
    </row>
    <row r="6727" spans="1:2">
      <c r="A6727" s="117">
        <v>40281</v>
      </c>
      <c r="B6727">
        <v>12.1997</v>
      </c>
    </row>
    <row r="6728" spans="1:2">
      <c r="A6728" s="117">
        <v>40282</v>
      </c>
      <c r="B6728">
        <v>12.1808</v>
      </c>
    </row>
    <row r="6729" spans="1:2">
      <c r="A6729" s="117">
        <v>40283</v>
      </c>
      <c r="B6729">
        <v>12.212199999999999</v>
      </c>
    </row>
    <row r="6730" spans="1:2">
      <c r="A6730" s="117">
        <v>40284</v>
      </c>
      <c r="B6730">
        <v>12.182700000000001</v>
      </c>
    </row>
    <row r="6731" spans="1:2">
      <c r="A6731" s="117">
        <v>40285</v>
      </c>
      <c r="B6731">
        <v>12.1934</v>
      </c>
    </row>
    <row r="6732" spans="1:2">
      <c r="A6732" s="117">
        <v>40286</v>
      </c>
      <c r="B6732">
        <v>12.1934</v>
      </c>
    </row>
    <row r="6733" spans="1:2">
      <c r="A6733" s="117">
        <v>40287</v>
      </c>
      <c r="B6733">
        <v>12.1934</v>
      </c>
    </row>
    <row r="6734" spans="1:2">
      <c r="A6734" s="117">
        <v>40288</v>
      </c>
      <c r="B6734">
        <v>12.2356</v>
      </c>
    </row>
    <row r="6735" spans="1:2">
      <c r="A6735" s="117">
        <v>40289</v>
      </c>
      <c r="B6735">
        <v>12.3064</v>
      </c>
    </row>
    <row r="6736" spans="1:2">
      <c r="A6736" s="117">
        <v>40290</v>
      </c>
      <c r="B6736">
        <v>12.2188</v>
      </c>
    </row>
    <row r="6737" spans="1:2">
      <c r="A6737" s="117">
        <v>40291</v>
      </c>
      <c r="B6737">
        <v>12.1896</v>
      </c>
    </row>
    <row r="6738" spans="1:2">
      <c r="A6738" s="117">
        <v>40292</v>
      </c>
      <c r="B6738">
        <v>12.240500000000001</v>
      </c>
    </row>
    <row r="6739" spans="1:2">
      <c r="A6739" s="117">
        <v>40293</v>
      </c>
      <c r="B6739">
        <v>12.240500000000001</v>
      </c>
    </row>
    <row r="6740" spans="1:2">
      <c r="A6740" s="117">
        <v>40294</v>
      </c>
      <c r="B6740">
        <v>12.240500000000001</v>
      </c>
    </row>
    <row r="6741" spans="1:2">
      <c r="A6741" s="117">
        <v>40295</v>
      </c>
      <c r="B6741">
        <v>12.1973</v>
      </c>
    </row>
    <row r="6742" spans="1:2">
      <c r="A6742" s="117">
        <v>40296</v>
      </c>
      <c r="B6742">
        <v>12.157500000000001</v>
      </c>
    </row>
    <row r="6743" spans="1:2">
      <c r="A6743" s="117">
        <v>40297</v>
      </c>
      <c r="B6743">
        <v>12.2278</v>
      </c>
    </row>
    <row r="6744" spans="1:2">
      <c r="A6744" s="117">
        <v>40298</v>
      </c>
      <c r="B6744">
        <v>12.3698</v>
      </c>
    </row>
    <row r="6745" spans="1:2">
      <c r="A6745" s="117">
        <v>40299</v>
      </c>
      <c r="B6745">
        <v>12.246499999999999</v>
      </c>
    </row>
    <row r="6746" spans="1:2">
      <c r="A6746" s="117">
        <v>40300</v>
      </c>
      <c r="B6746">
        <v>12.246499999999999</v>
      </c>
    </row>
    <row r="6747" spans="1:2">
      <c r="A6747" s="117">
        <v>40301</v>
      </c>
      <c r="B6747">
        <v>12.246499999999999</v>
      </c>
    </row>
    <row r="6748" spans="1:2">
      <c r="A6748" s="117">
        <v>40302</v>
      </c>
      <c r="B6748">
        <v>12.262600000000001</v>
      </c>
    </row>
    <row r="6749" spans="1:2">
      <c r="A6749" s="117">
        <v>40303</v>
      </c>
      <c r="B6749">
        <v>12.2605</v>
      </c>
    </row>
    <row r="6750" spans="1:2">
      <c r="A6750" s="117">
        <v>40304</v>
      </c>
      <c r="B6750">
        <v>12.428800000000001</v>
      </c>
    </row>
    <row r="6751" spans="1:2">
      <c r="A6751" s="117">
        <v>40305</v>
      </c>
      <c r="B6751">
        <v>12.663500000000001</v>
      </c>
    </row>
    <row r="6752" spans="1:2">
      <c r="A6752" s="117">
        <v>40306</v>
      </c>
      <c r="B6752">
        <v>12.788399999999999</v>
      </c>
    </row>
    <row r="6753" spans="1:2">
      <c r="A6753" s="117">
        <v>40307</v>
      </c>
      <c r="B6753">
        <v>12.788399999999999</v>
      </c>
    </row>
    <row r="6754" spans="1:2">
      <c r="A6754" s="117">
        <v>40308</v>
      </c>
      <c r="B6754">
        <v>12.788399999999999</v>
      </c>
    </row>
    <row r="6755" spans="1:2">
      <c r="A6755" s="117">
        <v>40309</v>
      </c>
      <c r="B6755">
        <v>12.917899999999999</v>
      </c>
    </row>
    <row r="6756" spans="1:2">
      <c r="A6756" s="117">
        <v>40310</v>
      </c>
      <c r="B6756">
        <v>12.5297</v>
      </c>
    </row>
    <row r="6757" spans="1:2">
      <c r="A6757" s="117">
        <v>40311</v>
      </c>
      <c r="B6757">
        <v>12.5025</v>
      </c>
    </row>
    <row r="6758" spans="1:2">
      <c r="A6758" s="117">
        <v>40312</v>
      </c>
      <c r="B6758">
        <v>12.4351</v>
      </c>
    </row>
    <row r="6759" spans="1:2">
      <c r="A6759" s="117">
        <v>40313</v>
      </c>
      <c r="B6759">
        <v>12.350099999999999</v>
      </c>
    </row>
    <row r="6760" spans="1:2">
      <c r="A6760" s="117">
        <v>40314</v>
      </c>
      <c r="B6760">
        <v>12.350099999999999</v>
      </c>
    </row>
    <row r="6761" spans="1:2">
      <c r="A6761" s="117">
        <v>40315</v>
      </c>
      <c r="B6761">
        <v>12.350099999999999</v>
      </c>
    </row>
    <row r="6762" spans="1:2">
      <c r="A6762" s="117">
        <v>40316</v>
      </c>
      <c r="B6762">
        <v>12.5684</v>
      </c>
    </row>
    <row r="6763" spans="1:2">
      <c r="A6763" s="117">
        <v>40317</v>
      </c>
      <c r="B6763">
        <v>12.692600000000001</v>
      </c>
    </row>
    <row r="6764" spans="1:2">
      <c r="A6764" s="117">
        <v>40318</v>
      </c>
      <c r="B6764">
        <v>12.5787</v>
      </c>
    </row>
    <row r="6765" spans="1:2">
      <c r="A6765" s="117">
        <v>40319</v>
      </c>
      <c r="B6765">
        <v>12.9138</v>
      </c>
    </row>
    <row r="6766" spans="1:2">
      <c r="A6766" s="117">
        <v>40320</v>
      </c>
      <c r="B6766">
        <v>13.1412</v>
      </c>
    </row>
    <row r="6767" spans="1:2">
      <c r="A6767" s="117">
        <v>40321</v>
      </c>
      <c r="B6767">
        <v>13.1412</v>
      </c>
    </row>
    <row r="6768" spans="1:2">
      <c r="A6768" s="117">
        <v>40322</v>
      </c>
      <c r="B6768">
        <v>13.1412</v>
      </c>
    </row>
    <row r="6769" spans="1:2">
      <c r="A6769" s="117">
        <v>40323</v>
      </c>
      <c r="B6769">
        <v>13.033799999999999</v>
      </c>
    </row>
    <row r="6770" spans="1:2">
      <c r="A6770" s="117">
        <v>40324</v>
      </c>
      <c r="B6770">
        <v>12.9588</v>
      </c>
    </row>
    <row r="6771" spans="1:2">
      <c r="A6771" s="117">
        <v>40325</v>
      </c>
      <c r="B6771">
        <v>13.181900000000001</v>
      </c>
    </row>
    <row r="6772" spans="1:2">
      <c r="A6772" s="117">
        <v>40326</v>
      </c>
      <c r="B6772">
        <v>12.9955</v>
      </c>
    </row>
    <row r="6773" spans="1:2">
      <c r="A6773" s="117">
        <v>40327</v>
      </c>
      <c r="B6773">
        <v>12.884600000000001</v>
      </c>
    </row>
    <row r="6774" spans="1:2">
      <c r="A6774" s="117">
        <v>40328</v>
      </c>
      <c r="B6774">
        <v>12.884600000000001</v>
      </c>
    </row>
    <row r="6775" spans="1:2">
      <c r="A6775" s="117">
        <v>40329</v>
      </c>
      <c r="B6775">
        <v>12.884600000000001</v>
      </c>
    </row>
    <row r="6776" spans="1:2">
      <c r="A6776" s="117">
        <v>40330</v>
      </c>
      <c r="B6776">
        <v>12.8589</v>
      </c>
    </row>
    <row r="6777" spans="1:2">
      <c r="A6777" s="117">
        <v>40331</v>
      </c>
      <c r="B6777">
        <v>12.9146</v>
      </c>
    </row>
    <row r="6778" spans="1:2">
      <c r="A6778" s="117">
        <v>40332</v>
      </c>
      <c r="B6778">
        <v>12.901199999999999</v>
      </c>
    </row>
    <row r="6779" spans="1:2">
      <c r="A6779" s="117">
        <v>40333</v>
      </c>
      <c r="B6779">
        <v>12.862500000000001</v>
      </c>
    </row>
    <row r="6780" spans="1:2">
      <c r="A6780" s="117">
        <v>40334</v>
      </c>
      <c r="B6780">
        <v>12.7644</v>
      </c>
    </row>
    <row r="6781" spans="1:2">
      <c r="A6781" s="117">
        <v>40335</v>
      </c>
      <c r="B6781">
        <v>12.7644</v>
      </c>
    </row>
    <row r="6782" spans="1:2">
      <c r="A6782" s="117">
        <v>40336</v>
      </c>
      <c r="B6782">
        <v>12.7644</v>
      </c>
    </row>
    <row r="6783" spans="1:2">
      <c r="A6783" s="117">
        <v>40337</v>
      </c>
      <c r="B6783">
        <v>12.860300000000001</v>
      </c>
    </row>
    <row r="6784" spans="1:2">
      <c r="A6784" s="117">
        <v>40338</v>
      </c>
      <c r="B6784">
        <v>12.920199999999999</v>
      </c>
    </row>
    <row r="6785" spans="1:2">
      <c r="A6785" s="117">
        <v>40339</v>
      </c>
      <c r="B6785">
        <v>12.928800000000001</v>
      </c>
    </row>
    <row r="6786" spans="1:2">
      <c r="A6786" s="117">
        <v>40340</v>
      </c>
      <c r="B6786">
        <v>12.8093</v>
      </c>
    </row>
    <row r="6787" spans="1:2">
      <c r="A6787" s="117">
        <v>40341</v>
      </c>
      <c r="B6787">
        <v>12.7441</v>
      </c>
    </row>
    <row r="6788" spans="1:2">
      <c r="A6788" s="117">
        <v>40342</v>
      </c>
      <c r="B6788">
        <v>12.7441</v>
      </c>
    </row>
    <row r="6789" spans="1:2">
      <c r="A6789" s="117">
        <v>40343</v>
      </c>
      <c r="B6789">
        <v>12.7441</v>
      </c>
    </row>
    <row r="6790" spans="1:2">
      <c r="A6790" s="117">
        <v>40344</v>
      </c>
      <c r="B6790">
        <v>12.674799999999999</v>
      </c>
    </row>
    <row r="6791" spans="1:2">
      <c r="A6791" s="117">
        <v>40345</v>
      </c>
      <c r="B6791">
        <v>12.5974</v>
      </c>
    </row>
    <row r="6792" spans="1:2">
      <c r="A6792" s="117">
        <v>40346</v>
      </c>
      <c r="B6792">
        <v>12.600099999999999</v>
      </c>
    </row>
    <row r="6793" spans="1:2">
      <c r="A6793" s="117">
        <v>40347</v>
      </c>
      <c r="B6793">
        <v>12.5878</v>
      </c>
    </row>
    <row r="6794" spans="1:2">
      <c r="A6794" s="117">
        <v>40348</v>
      </c>
      <c r="B6794">
        <v>12.592499999999999</v>
      </c>
    </row>
    <row r="6795" spans="1:2">
      <c r="A6795" s="117">
        <v>40349</v>
      </c>
      <c r="B6795">
        <v>12.592499999999999</v>
      </c>
    </row>
    <row r="6796" spans="1:2">
      <c r="A6796" s="117">
        <v>40350</v>
      </c>
      <c r="B6796">
        <v>12.592499999999999</v>
      </c>
    </row>
    <row r="6797" spans="1:2">
      <c r="A6797" s="117">
        <v>40351</v>
      </c>
      <c r="B6797">
        <v>12.54</v>
      </c>
    </row>
    <row r="6798" spans="1:2">
      <c r="A6798" s="117">
        <v>40352</v>
      </c>
      <c r="B6798">
        <v>12.4604</v>
      </c>
    </row>
    <row r="6799" spans="1:2">
      <c r="A6799" s="117">
        <v>40353</v>
      </c>
      <c r="B6799">
        <v>12.5246</v>
      </c>
    </row>
    <row r="6800" spans="1:2">
      <c r="A6800" s="117">
        <v>40354</v>
      </c>
      <c r="B6800">
        <v>12.698399999999999</v>
      </c>
    </row>
    <row r="6801" spans="1:2">
      <c r="A6801" s="117">
        <v>40355</v>
      </c>
      <c r="B6801">
        <v>12.7141</v>
      </c>
    </row>
    <row r="6802" spans="1:2">
      <c r="A6802" s="117">
        <v>40356</v>
      </c>
      <c r="B6802">
        <v>12.7141</v>
      </c>
    </row>
    <row r="6803" spans="1:2">
      <c r="A6803" s="117">
        <v>40357</v>
      </c>
      <c r="B6803">
        <v>12.7141</v>
      </c>
    </row>
    <row r="6804" spans="1:2">
      <c r="A6804" s="117">
        <v>40358</v>
      </c>
      <c r="B6804">
        <v>12.7042</v>
      </c>
    </row>
    <row r="6805" spans="1:2">
      <c r="A6805" s="117">
        <v>40359</v>
      </c>
      <c r="B6805">
        <v>12.656700000000001</v>
      </c>
    </row>
    <row r="6806" spans="1:2">
      <c r="A6806" s="117">
        <v>40360</v>
      </c>
      <c r="B6806">
        <v>12.839399999999999</v>
      </c>
    </row>
    <row r="6807" spans="1:2">
      <c r="A6807" s="117">
        <v>40361</v>
      </c>
      <c r="B6807">
        <v>12.844099999999999</v>
      </c>
    </row>
    <row r="6808" spans="1:2">
      <c r="A6808" s="117">
        <v>40362</v>
      </c>
      <c r="B6808">
        <v>13.032500000000001</v>
      </c>
    </row>
    <row r="6809" spans="1:2">
      <c r="A6809" s="117">
        <v>40363</v>
      </c>
      <c r="B6809">
        <v>13.032500000000001</v>
      </c>
    </row>
    <row r="6810" spans="1:2">
      <c r="A6810" s="117">
        <v>40364</v>
      </c>
      <c r="B6810">
        <v>13.032500000000001</v>
      </c>
    </row>
    <row r="6811" spans="1:2">
      <c r="A6811" s="117">
        <v>40365</v>
      </c>
      <c r="B6811">
        <v>13.058999999999999</v>
      </c>
    </row>
    <row r="6812" spans="1:2">
      <c r="A6812" s="117">
        <v>40366</v>
      </c>
      <c r="B6812">
        <v>13.0953</v>
      </c>
    </row>
    <row r="6813" spans="1:2">
      <c r="A6813" s="117">
        <v>40367</v>
      </c>
      <c r="B6813">
        <v>12.9308</v>
      </c>
    </row>
    <row r="6814" spans="1:2">
      <c r="A6814" s="117">
        <v>40368</v>
      </c>
      <c r="B6814">
        <v>12.897500000000001</v>
      </c>
    </row>
    <row r="6815" spans="1:2">
      <c r="A6815" s="117">
        <v>40369</v>
      </c>
      <c r="B6815">
        <v>12.8232</v>
      </c>
    </row>
    <row r="6816" spans="1:2">
      <c r="A6816" s="117">
        <v>40370</v>
      </c>
      <c r="B6816">
        <v>12.8232</v>
      </c>
    </row>
    <row r="6817" spans="1:2">
      <c r="A6817" s="117">
        <v>40371</v>
      </c>
      <c r="B6817">
        <v>12.8232</v>
      </c>
    </row>
    <row r="6818" spans="1:2">
      <c r="A6818" s="117">
        <v>40372</v>
      </c>
      <c r="B6818">
        <v>12.7859</v>
      </c>
    </row>
    <row r="6819" spans="1:2">
      <c r="A6819" s="117">
        <v>40373</v>
      </c>
      <c r="B6819">
        <v>12.8233</v>
      </c>
    </row>
    <row r="6820" spans="1:2">
      <c r="A6820" s="117">
        <v>40374</v>
      </c>
      <c r="B6820">
        <v>12.714</v>
      </c>
    </row>
    <row r="6821" spans="1:2">
      <c r="A6821" s="117">
        <v>40375</v>
      </c>
      <c r="B6821">
        <v>12.717599999999999</v>
      </c>
    </row>
    <row r="6822" spans="1:2">
      <c r="A6822" s="117">
        <v>40376</v>
      </c>
      <c r="B6822">
        <v>12.779500000000001</v>
      </c>
    </row>
    <row r="6823" spans="1:2">
      <c r="A6823" s="117">
        <v>40377</v>
      </c>
      <c r="B6823">
        <v>12.779500000000001</v>
      </c>
    </row>
    <row r="6824" spans="1:2">
      <c r="A6824" s="117">
        <v>40378</v>
      </c>
      <c r="B6824">
        <v>12.779500000000001</v>
      </c>
    </row>
    <row r="6825" spans="1:2">
      <c r="A6825" s="117">
        <v>40379</v>
      </c>
      <c r="B6825">
        <v>12.901300000000001</v>
      </c>
    </row>
    <row r="6826" spans="1:2">
      <c r="A6826" s="117">
        <v>40380</v>
      </c>
      <c r="B6826">
        <v>12.9162</v>
      </c>
    </row>
    <row r="6827" spans="1:2">
      <c r="A6827" s="117">
        <v>40381</v>
      </c>
      <c r="B6827">
        <v>12.854900000000001</v>
      </c>
    </row>
    <row r="6828" spans="1:2">
      <c r="A6828" s="117">
        <v>40382</v>
      </c>
      <c r="B6828">
        <v>12.7798</v>
      </c>
    </row>
    <row r="6829" spans="1:2">
      <c r="A6829" s="117">
        <v>40383</v>
      </c>
      <c r="B6829">
        <v>12.756</v>
      </c>
    </row>
    <row r="6830" spans="1:2">
      <c r="A6830" s="117">
        <v>40384</v>
      </c>
      <c r="B6830">
        <v>12.756</v>
      </c>
    </row>
    <row r="6831" spans="1:2">
      <c r="A6831" s="117">
        <v>40385</v>
      </c>
      <c r="B6831">
        <v>12.756</v>
      </c>
    </row>
    <row r="6832" spans="1:2">
      <c r="A6832" s="117">
        <v>40386</v>
      </c>
      <c r="B6832">
        <v>12.774900000000001</v>
      </c>
    </row>
    <row r="6833" spans="1:2">
      <c r="A6833" s="117">
        <v>40387</v>
      </c>
      <c r="B6833">
        <v>12.6975</v>
      </c>
    </row>
    <row r="6834" spans="1:2">
      <c r="A6834" s="117">
        <v>40388</v>
      </c>
      <c r="B6834">
        <v>12.6469</v>
      </c>
    </row>
    <row r="6835" spans="1:2">
      <c r="A6835" s="117">
        <v>40389</v>
      </c>
      <c r="B6835">
        <v>12.6798</v>
      </c>
    </row>
    <row r="6836" spans="1:2">
      <c r="A6836" s="117">
        <v>40390</v>
      </c>
      <c r="B6836">
        <v>12.703799999999999</v>
      </c>
    </row>
    <row r="6837" spans="1:2">
      <c r="A6837" s="117">
        <v>40391</v>
      </c>
      <c r="B6837">
        <v>12.703799999999999</v>
      </c>
    </row>
    <row r="6838" spans="1:2">
      <c r="A6838" s="117">
        <v>40392</v>
      </c>
      <c r="B6838">
        <v>12.703799999999999</v>
      </c>
    </row>
    <row r="6839" spans="1:2">
      <c r="A6839" s="117">
        <v>40393</v>
      </c>
      <c r="B6839">
        <v>12.6455</v>
      </c>
    </row>
    <row r="6840" spans="1:2">
      <c r="A6840" s="117">
        <v>40394</v>
      </c>
      <c r="B6840">
        <v>12.572800000000001</v>
      </c>
    </row>
    <row r="6841" spans="1:2">
      <c r="A6841" s="117">
        <v>40395</v>
      </c>
      <c r="B6841">
        <v>12.604799999999999</v>
      </c>
    </row>
    <row r="6842" spans="1:2">
      <c r="A6842" s="117">
        <v>40396</v>
      </c>
      <c r="B6842">
        <v>12.5535</v>
      </c>
    </row>
    <row r="6843" spans="1:2">
      <c r="A6843" s="117">
        <v>40397</v>
      </c>
      <c r="B6843">
        <v>12.5367</v>
      </c>
    </row>
    <row r="6844" spans="1:2">
      <c r="A6844" s="117">
        <v>40398</v>
      </c>
      <c r="B6844">
        <v>12.5367</v>
      </c>
    </row>
    <row r="6845" spans="1:2">
      <c r="A6845" s="117">
        <v>40399</v>
      </c>
      <c r="B6845">
        <v>12.5367</v>
      </c>
    </row>
    <row r="6846" spans="1:2">
      <c r="A6846" s="117">
        <v>40400</v>
      </c>
      <c r="B6846">
        <v>12.654999999999999</v>
      </c>
    </row>
    <row r="6847" spans="1:2">
      <c r="A6847" s="117">
        <v>40401</v>
      </c>
      <c r="B6847">
        <v>12.646100000000001</v>
      </c>
    </row>
    <row r="6848" spans="1:2">
      <c r="A6848" s="117">
        <v>40402</v>
      </c>
      <c r="B6848">
        <v>12.6927</v>
      </c>
    </row>
    <row r="6849" spans="1:2">
      <c r="A6849" s="117">
        <v>40403</v>
      </c>
      <c r="B6849">
        <v>12.7432</v>
      </c>
    </row>
    <row r="6850" spans="1:2">
      <c r="A6850" s="117">
        <v>40404</v>
      </c>
      <c r="B6850">
        <v>12.7258</v>
      </c>
    </row>
    <row r="6851" spans="1:2">
      <c r="A6851" s="117">
        <v>40405</v>
      </c>
      <c r="B6851">
        <v>12.7258</v>
      </c>
    </row>
    <row r="6852" spans="1:2">
      <c r="A6852" s="117">
        <v>40406</v>
      </c>
      <c r="B6852">
        <v>12.7258</v>
      </c>
    </row>
    <row r="6853" spans="1:2">
      <c r="A6853" s="117">
        <v>40407</v>
      </c>
      <c r="B6853">
        <v>12.7256</v>
      </c>
    </row>
    <row r="6854" spans="1:2">
      <c r="A6854" s="117">
        <v>40408</v>
      </c>
      <c r="B6854">
        <v>12.645799999999999</v>
      </c>
    </row>
    <row r="6855" spans="1:2">
      <c r="A6855" s="117">
        <v>40409</v>
      </c>
      <c r="B6855">
        <v>12.5944</v>
      </c>
    </row>
    <row r="6856" spans="1:2">
      <c r="A6856" s="117">
        <v>40410</v>
      </c>
      <c r="B6856">
        <v>12.6073</v>
      </c>
    </row>
    <row r="6857" spans="1:2">
      <c r="A6857" s="117">
        <v>40411</v>
      </c>
      <c r="B6857">
        <v>12.7226</v>
      </c>
    </row>
    <row r="6858" spans="1:2">
      <c r="A6858" s="117">
        <v>40412</v>
      </c>
      <c r="B6858">
        <v>12.7226</v>
      </c>
    </row>
    <row r="6859" spans="1:2">
      <c r="A6859" s="117">
        <v>40413</v>
      </c>
      <c r="B6859">
        <v>12.7226</v>
      </c>
    </row>
    <row r="6860" spans="1:2">
      <c r="A6860" s="117">
        <v>40414</v>
      </c>
      <c r="B6860">
        <v>12.7683</v>
      </c>
    </row>
    <row r="6861" spans="1:2">
      <c r="A6861" s="117">
        <v>40415</v>
      </c>
      <c r="B6861">
        <v>12.8492</v>
      </c>
    </row>
    <row r="6862" spans="1:2">
      <c r="A6862" s="117">
        <v>40416</v>
      </c>
      <c r="B6862">
        <v>12.936</v>
      </c>
    </row>
    <row r="6863" spans="1:2">
      <c r="A6863" s="117">
        <v>40417</v>
      </c>
      <c r="B6863">
        <v>13.045299999999999</v>
      </c>
    </row>
    <row r="6864" spans="1:2">
      <c r="A6864" s="117">
        <v>40418</v>
      </c>
      <c r="B6864">
        <v>12.984</v>
      </c>
    </row>
    <row r="6865" spans="1:2">
      <c r="A6865" s="117">
        <v>40419</v>
      </c>
      <c r="B6865">
        <v>12.984</v>
      </c>
    </row>
    <row r="6866" spans="1:2">
      <c r="A6866" s="117">
        <v>40420</v>
      </c>
      <c r="B6866">
        <v>12.984</v>
      </c>
    </row>
    <row r="6867" spans="1:2">
      <c r="A6867" s="117">
        <v>40421</v>
      </c>
      <c r="B6867">
        <v>13.014799999999999</v>
      </c>
    </row>
    <row r="6868" spans="1:2">
      <c r="A6868" s="117">
        <v>40422</v>
      </c>
      <c r="B6868">
        <v>13.136699999999999</v>
      </c>
    </row>
    <row r="6869" spans="1:2">
      <c r="A6869" s="117">
        <v>40423</v>
      </c>
      <c r="B6869">
        <v>13.1676</v>
      </c>
    </row>
    <row r="6870" spans="1:2">
      <c r="A6870" s="117">
        <v>40424</v>
      </c>
      <c r="B6870">
        <v>13.053800000000001</v>
      </c>
    </row>
    <row r="6871" spans="1:2">
      <c r="A6871" s="117">
        <v>40425</v>
      </c>
      <c r="B6871">
        <v>13.055</v>
      </c>
    </row>
    <row r="6872" spans="1:2">
      <c r="A6872" s="117">
        <v>40426</v>
      </c>
      <c r="B6872">
        <v>13.055</v>
      </c>
    </row>
    <row r="6873" spans="1:2">
      <c r="A6873" s="117">
        <v>40427</v>
      </c>
      <c r="B6873">
        <v>13.055</v>
      </c>
    </row>
    <row r="6874" spans="1:2">
      <c r="A6874" s="117">
        <v>40428</v>
      </c>
      <c r="B6874">
        <v>12.9526</v>
      </c>
    </row>
    <row r="6875" spans="1:2">
      <c r="A6875" s="117">
        <v>40429</v>
      </c>
      <c r="B6875">
        <v>12.939500000000001</v>
      </c>
    </row>
    <row r="6876" spans="1:2">
      <c r="A6876" s="117">
        <v>40430</v>
      </c>
      <c r="B6876">
        <v>13.0566</v>
      </c>
    </row>
    <row r="6877" spans="1:2">
      <c r="A6877" s="117">
        <v>40431</v>
      </c>
      <c r="B6877">
        <v>13.003399999999999</v>
      </c>
    </row>
    <row r="6878" spans="1:2">
      <c r="A6878" s="117">
        <v>40432</v>
      </c>
      <c r="B6878">
        <v>12.985300000000001</v>
      </c>
    </row>
    <row r="6879" spans="1:2">
      <c r="A6879" s="117">
        <v>40433</v>
      </c>
      <c r="B6879">
        <v>12.985300000000001</v>
      </c>
    </row>
    <row r="6880" spans="1:2">
      <c r="A6880" s="117">
        <v>40434</v>
      </c>
      <c r="B6880">
        <v>12.985300000000001</v>
      </c>
    </row>
    <row r="6881" spans="1:2">
      <c r="A6881" s="117">
        <v>40435</v>
      </c>
      <c r="B6881">
        <v>12.961600000000001</v>
      </c>
    </row>
    <row r="6882" spans="1:2">
      <c r="A6882" s="117">
        <v>40436</v>
      </c>
      <c r="B6882">
        <v>12.8729</v>
      </c>
    </row>
    <row r="6883" spans="1:2">
      <c r="A6883" s="117">
        <v>40437</v>
      </c>
      <c r="B6883">
        <v>12.8355</v>
      </c>
    </row>
    <row r="6884" spans="1:2">
      <c r="A6884" s="117">
        <v>40438</v>
      </c>
      <c r="B6884">
        <v>12.8355</v>
      </c>
    </row>
    <row r="6885" spans="1:2">
      <c r="A6885" s="117">
        <v>40439</v>
      </c>
      <c r="B6885">
        <v>12.8355</v>
      </c>
    </row>
    <row r="6886" spans="1:2">
      <c r="A6886" s="117">
        <v>40440</v>
      </c>
      <c r="B6886">
        <v>12.8355</v>
      </c>
    </row>
    <row r="6887" spans="1:2">
      <c r="A6887" s="117">
        <v>40441</v>
      </c>
      <c r="B6887">
        <v>12.8355</v>
      </c>
    </row>
    <row r="6888" spans="1:2">
      <c r="A6888" s="117">
        <v>40442</v>
      </c>
      <c r="B6888">
        <v>12.779299999999999</v>
      </c>
    </row>
    <row r="6889" spans="1:2">
      <c r="A6889" s="117">
        <v>40443</v>
      </c>
      <c r="B6889">
        <v>12.7623</v>
      </c>
    </row>
    <row r="6890" spans="1:2">
      <c r="A6890" s="117">
        <v>40444</v>
      </c>
      <c r="B6890">
        <v>12.759399999999999</v>
      </c>
    </row>
    <row r="6891" spans="1:2">
      <c r="A6891" s="117">
        <v>40445</v>
      </c>
      <c r="B6891">
        <v>12.688599999999999</v>
      </c>
    </row>
    <row r="6892" spans="1:2">
      <c r="A6892" s="117">
        <v>40446</v>
      </c>
      <c r="B6892">
        <v>12.642200000000001</v>
      </c>
    </row>
    <row r="6893" spans="1:2">
      <c r="A6893" s="117">
        <v>40447</v>
      </c>
      <c r="B6893">
        <v>12.642200000000001</v>
      </c>
    </row>
    <row r="6894" spans="1:2">
      <c r="A6894" s="117">
        <v>40448</v>
      </c>
      <c r="B6894">
        <v>12.642200000000001</v>
      </c>
    </row>
    <row r="6895" spans="1:2">
      <c r="A6895" s="117">
        <v>40449</v>
      </c>
      <c r="B6895">
        <v>12.549099999999999</v>
      </c>
    </row>
    <row r="6896" spans="1:2">
      <c r="A6896" s="117">
        <v>40450</v>
      </c>
      <c r="B6896">
        <v>12.5168</v>
      </c>
    </row>
    <row r="6897" spans="1:2">
      <c r="A6897" s="117">
        <v>40451</v>
      </c>
      <c r="B6897">
        <v>12.501099999999999</v>
      </c>
    </row>
    <row r="6898" spans="1:2">
      <c r="A6898" s="117">
        <v>40452</v>
      </c>
      <c r="B6898">
        <v>12.4801</v>
      </c>
    </row>
    <row r="6899" spans="1:2">
      <c r="A6899" s="117">
        <v>40453</v>
      </c>
      <c r="B6899">
        <v>12.5998</v>
      </c>
    </row>
    <row r="6900" spans="1:2">
      <c r="A6900" s="117">
        <v>40454</v>
      </c>
      <c r="B6900">
        <v>12.5998</v>
      </c>
    </row>
    <row r="6901" spans="1:2">
      <c r="A6901" s="117">
        <v>40455</v>
      </c>
      <c r="B6901">
        <v>12.5998</v>
      </c>
    </row>
    <row r="6902" spans="1:2">
      <c r="A6902" s="117">
        <v>40456</v>
      </c>
      <c r="B6902">
        <v>12.5511</v>
      </c>
    </row>
    <row r="6903" spans="1:2">
      <c r="A6903" s="117">
        <v>40457</v>
      </c>
      <c r="B6903">
        <v>12.5875</v>
      </c>
    </row>
    <row r="6904" spans="1:2">
      <c r="A6904" s="117">
        <v>40458</v>
      </c>
      <c r="B6904">
        <v>12.5099</v>
      </c>
    </row>
    <row r="6905" spans="1:2">
      <c r="A6905" s="117">
        <v>40459</v>
      </c>
      <c r="B6905">
        <v>12.4779</v>
      </c>
    </row>
    <row r="6906" spans="1:2">
      <c r="A6906" s="117">
        <v>40460</v>
      </c>
      <c r="B6906">
        <v>12.527699999999999</v>
      </c>
    </row>
    <row r="6907" spans="1:2">
      <c r="A6907" s="117">
        <v>40461</v>
      </c>
      <c r="B6907">
        <v>12.527699999999999</v>
      </c>
    </row>
    <row r="6908" spans="1:2">
      <c r="A6908" s="117">
        <v>40462</v>
      </c>
      <c r="B6908">
        <v>12.527699999999999</v>
      </c>
    </row>
    <row r="6909" spans="1:2">
      <c r="A6909" s="117">
        <v>40463</v>
      </c>
      <c r="B6909">
        <v>12.4895</v>
      </c>
    </row>
    <row r="6910" spans="1:2">
      <c r="A6910" s="117">
        <v>40464</v>
      </c>
      <c r="B6910">
        <v>12.4224</v>
      </c>
    </row>
    <row r="6911" spans="1:2">
      <c r="A6911" s="117">
        <v>40465</v>
      </c>
      <c r="B6911">
        <v>12.432</v>
      </c>
    </row>
    <row r="6912" spans="1:2">
      <c r="A6912" s="117">
        <v>40466</v>
      </c>
      <c r="B6912">
        <v>12.3683</v>
      </c>
    </row>
    <row r="6913" spans="1:2">
      <c r="A6913" s="117">
        <v>40467</v>
      </c>
      <c r="B6913">
        <v>12.4101</v>
      </c>
    </row>
    <row r="6914" spans="1:2">
      <c r="A6914" s="117">
        <v>40468</v>
      </c>
      <c r="B6914">
        <v>12.4101</v>
      </c>
    </row>
    <row r="6915" spans="1:2">
      <c r="A6915" s="117">
        <v>40469</v>
      </c>
      <c r="B6915">
        <v>12.4101</v>
      </c>
    </row>
    <row r="6916" spans="1:2">
      <c r="A6916" s="117">
        <v>40470</v>
      </c>
      <c r="B6916">
        <v>12.4276</v>
      </c>
    </row>
    <row r="6917" spans="1:2">
      <c r="A6917" s="117">
        <v>40471</v>
      </c>
      <c r="B6917">
        <v>12.413500000000001</v>
      </c>
    </row>
    <row r="6918" spans="1:2">
      <c r="A6918" s="117">
        <v>40472</v>
      </c>
      <c r="B6918">
        <v>12.4818</v>
      </c>
    </row>
    <row r="6919" spans="1:2">
      <c r="A6919" s="117">
        <v>40473</v>
      </c>
      <c r="B6919">
        <v>12.4117</v>
      </c>
    </row>
    <row r="6920" spans="1:2">
      <c r="A6920" s="117">
        <v>40474</v>
      </c>
      <c r="B6920">
        <v>12.3613</v>
      </c>
    </row>
    <row r="6921" spans="1:2">
      <c r="A6921" s="117">
        <v>40475</v>
      </c>
      <c r="B6921">
        <v>12.3613</v>
      </c>
    </row>
    <row r="6922" spans="1:2">
      <c r="A6922" s="117">
        <v>40476</v>
      </c>
      <c r="B6922">
        <v>12.3613</v>
      </c>
    </row>
    <row r="6923" spans="1:2">
      <c r="A6923" s="117">
        <v>40477</v>
      </c>
      <c r="B6923">
        <v>12.387700000000001</v>
      </c>
    </row>
    <row r="6924" spans="1:2">
      <c r="A6924" s="117">
        <v>40478</v>
      </c>
      <c r="B6924">
        <v>12.320499999999999</v>
      </c>
    </row>
    <row r="6925" spans="1:2">
      <c r="A6925" s="117">
        <v>40479</v>
      </c>
      <c r="B6925">
        <v>12.385899999999999</v>
      </c>
    </row>
    <row r="6926" spans="1:2">
      <c r="A6926" s="117">
        <v>40480</v>
      </c>
      <c r="B6926">
        <v>12.477600000000001</v>
      </c>
    </row>
    <row r="6927" spans="1:2">
      <c r="A6927" s="117">
        <v>40481</v>
      </c>
      <c r="B6927">
        <v>12.4023</v>
      </c>
    </row>
    <row r="6928" spans="1:2">
      <c r="A6928" s="117">
        <v>40482</v>
      </c>
      <c r="B6928">
        <v>12.4023</v>
      </c>
    </row>
    <row r="6929" spans="1:2">
      <c r="A6929" s="117">
        <v>40483</v>
      </c>
      <c r="B6929">
        <v>12.4023</v>
      </c>
    </row>
    <row r="6930" spans="1:2">
      <c r="A6930" s="117">
        <v>40484</v>
      </c>
      <c r="B6930">
        <v>12.338699999999999</v>
      </c>
    </row>
    <row r="6931" spans="1:2">
      <c r="A6931" s="117">
        <v>40485</v>
      </c>
      <c r="B6931">
        <v>12.338699999999999</v>
      </c>
    </row>
    <row r="6932" spans="1:2">
      <c r="A6932" s="117">
        <v>40486</v>
      </c>
      <c r="B6932">
        <v>12.3452</v>
      </c>
    </row>
    <row r="6933" spans="1:2">
      <c r="A6933" s="117">
        <v>40487</v>
      </c>
      <c r="B6933">
        <v>12.3041</v>
      </c>
    </row>
    <row r="6934" spans="1:2">
      <c r="A6934" s="117">
        <v>40488</v>
      </c>
      <c r="B6934">
        <v>12.238099999999999</v>
      </c>
    </row>
    <row r="6935" spans="1:2">
      <c r="A6935" s="117">
        <v>40489</v>
      </c>
      <c r="B6935">
        <v>12.238099999999999</v>
      </c>
    </row>
    <row r="6936" spans="1:2">
      <c r="A6936" s="117">
        <v>40490</v>
      </c>
      <c r="B6936">
        <v>12.238099999999999</v>
      </c>
    </row>
    <row r="6937" spans="1:2">
      <c r="A6937" s="117">
        <v>40491</v>
      </c>
      <c r="B6937">
        <v>12.205500000000001</v>
      </c>
    </row>
    <row r="6938" spans="1:2">
      <c r="A6938" s="117">
        <v>40492</v>
      </c>
      <c r="B6938">
        <v>12.2483</v>
      </c>
    </row>
    <row r="6939" spans="1:2">
      <c r="A6939" s="117">
        <v>40493</v>
      </c>
      <c r="B6939">
        <v>12.206799999999999</v>
      </c>
    </row>
    <row r="6940" spans="1:2">
      <c r="A6940" s="117">
        <v>40494</v>
      </c>
      <c r="B6940">
        <v>12.2714</v>
      </c>
    </row>
    <row r="6941" spans="1:2">
      <c r="A6941" s="117">
        <v>40495</v>
      </c>
      <c r="B6941">
        <v>12.259600000000001</v>
      </c>
    </row>
    <row r="6942" spans="1:2">
      <c r="A6942" s="117">
        <v>40496</v>
      </c>
      <c r="B6942">
        <v>12.259600000000001</v>
      </c>
    </row>
    <row r="6943" spans="1:2">
      <c r="A6943" s="117">
        <v>40497</v>
      </c>
      <c r="B6943">
        <v>12.259600000000001</v>
      </c>
    </row>
    <row r="6944" spans="1:2">
      <c r="A6944" s="117">
        <v>40498</v>
      </c>
      <c r="B6944">
        <v>12.259600000000001</v>
      </c>
    </row>
    <row r="6945" spans="1:2">
      <c r="A6945" s="117">
        <v>40499</v>
      </c>
      <c r="B6945">
        <v>12.262600000000001</v>
      </c>
    </row>
    <row r="6946" spans="1:2">
      <c r="A6946" s="117">
        <v>40500</v>
      </c>
      <c r="B6946">
        <v>12.4353</v>
      </c>
    </row>
    <row r="6947" spans="1:2">
      <c r="A6947" s="117">
        <v>40501</v>
      </c>
      <c r="B6947">
        <v>12.378299999999999</v>
      </c>
    </row>
    <row r="6948" spans="1:2">
      <c r="A6948" s="117">
        <v>40502</v>
      </c>
      <c r="B6948">
        <v>12.292400000000001</v>
      </c>
    </row>
    <row r="6949" spans="1:2">
      <c r="A6949" s="117">
        <v>40503</v>
      </c>
      <c r="B6949">
        <v>12.292400000000001</v>
      </c>
    </row>
    <row r="6950" spans="1:2">
      <c r="A6950" s="117">
        <v>40504</v>
      </c>
      <c r="B6950">
        <v>12.292400000000001</v>
      </c>
    </row>
    <row r="6951" spans="1:2">
      <c r="A6951" s="117">
        <v>40505</v>
      </c>
      <c r="B6951">
        <v>12.2996</v>
      </c>
    </row>
    <row r="6952" spans="1:2">
      <c r="A6952" s="117">
        <v>40506</v>
      </c>
      <c r="B6952">
        <v>12.308999999999999</v>
      </c>
    </row>
    <row r="6953" spans="1:2">
      <c r="A6953" s="117">
        <v>40507</v>
      </c>
      <c r="B6953">
        <v>12.457700000000001</v>
      </c>
    </row>
    <row r="6954" spans="1:2">
      <c r="A6954" s="117">
        <v>40508</v>
      </c>
      <c r="B6954">
        <v>12.3912</v>
      </c>
    </row>
    <row r="6955" spans="1:2">
      <c r="A6955" s="117">
        <v>40509</v>
      </c>
      <c r="B6955">
        <v>12.366899999999999</v>
      </c>
    </row>
    <row r="6956" spans="1:2">
      <c r="A6956" s="117">
        <v>40510</v>
      </c>
      <c r="B6956">
        <v>12.366899999999999</v>
      </c>
    </row>
    <row r="6957" spans="1:2">
      <c r="A6957" s="117">
        <v>40511</v>
      </c>
      <c r="B6957">
        <v>12.366899999999999</v>
      </c>
    </row>
    <row r="6958" spans="1:2">
      <c r="A6958" s="117">
        <v>40512</v>
      </c>
      <c r="B6958">
        <v>12.489000000000001</v>
      </c>
    </row>
    <row r="6959" spans="1:2">
      <c r="A6959" s="117">
        <v>40513</v>
      </c>
      <c r="B6959">
        <v>12.553800000000001</v>
      </c>
    </row>
    <row r="6960" spans="1:2">
      <c r="A6960" s="117">
        <v>40514</v>
      </c>
      <c r="B6960">
        <v>12.4664</v>
      </c>
    </row>
    <row r="6961" spans="1:2">
      <c r="A6961" s="117">
        <v>40515</v>
      </c>
      <c r="B6961">
        <v>12.396699999999999</v>
      </c>
    </row>
    <row r="6962" spans="1:2">
      <c r="A6962" s="117">
        <v>40516</v>
      </c>
      <c r="B6962">
        <v>12.3546</v>
      </c>
    </row>
    <row r="6963" spans="1:2">
      <c r="A6963" s="117">
        <v>40517</v>
      </c>
      <c r="B6963">
        <v>12.3546</v>
      </c>
    </row>
    <row r="6964" spans="1:2">
      <c r="A6964" s="117">
        <v>40518</v>
      </c>
      <c r="B6964">
        <v>12.3546</v>
      </c>
    </row>
    <row r="6965" spans="1:2">
      <c r="A6965" s="117">
        <v>40519</v>
      </c>
      <c r="B6965">
        <v>12.3597</v>
      </c>
    </row>
    <row r="6966" spans="1:2">
      <c r="A6966" s="117">
        <v>40520</v>
      </c>
      <c r="B6966">
        <v>12.388400000000001</v>
      </c>
    </row>
    <row r="6967" spans="1:2">
      <c r="A6967" s="117">
        <v>40521</v>
      </c>
      <c r="B6967">
        <v>12.4123</v>
      </c>
    </row>
    <row r="6968" spans="1:2">
      <c r="A6968" s="117">
        <v>40522</v>
      </c>
      <c r="B6968">
        <v>12.448399999999999</v>
      </c>
    </row>
    <row r="6969" spans="1:2">
      <c r="A6969" s="117">
        <v>40523</v>
      </c>
      <c r="B6969">
        <v>12.458600000000001</v>
      </c>
    </row>
    <row r="6970" spans="1:2">
      <c r="A6970" s="117">
        <v>40524</v>
      </c>
      <c r="B6970">
        <v>12.458600000000001</v>
      </c>
    </row>
    <row r="6971" spans="1:2">
      <c r="A6971" s="117">
        <v>40525</v>
      </c>
      <c r="B6971">
        <v>12.458600000000001</v>
      </c>
    </row>
    <row r="6972" spans="1:2">
      <c r="A6972" s="117">
        <v>40526</v>
      </c>
      <c r="B6972">
        <v>12.4617</v>
      </c>
    </row>
    <row r="6973" spans="1:2">
      <c r="A6973" s="117">
        <v>40527</v>
      </c>
      <c r="B6973">
        <v>12.386900000000001</v>
      </c>
    </row>
    <row r="6974" spans="1:2">
      <c r="A6974" s="117">
        <v>40528</v>
      </c>
      <c r="B6974">
        <v>12.3703</v>
      </c>
    </row>
    <row r="6975" spans="1:2">
      <c r="A6975" s="117">
        <v>40529</v>
      </c>
      <c r="B6975">
        <v>12.3963</v>
      </c>
    </row>
    <row r="6976" spans="1:2">
      <c r="A6976" s="117">
        <v>40530</v>
      </c>
      <c r="B6976">
        <v>12.4505</v>
      </c>
    </row>
    <row r="6977" spans="1:2">
      <c r="A6977" s="117">
        <v>40531</v>
      </c>
      <c r="B6977">
        <v>12.4505</v>
      </c>
    </row>
    <row r="6978" spans="1:2">
      <c r="A6978" s="117">
        <v>40532</v>
      </c>
      <c r="B6978">
        <v>12.4505</v>
      </c>
    </row>
    <row r="6979" spans="1:2">
      <c r="A6979" s="117">
        <v>40533</v>
      </c>
      <c r="B6979">
        <v>12.4345</v>
      </c>
    </row>
    <row r="6980" spans="1:2">
      <c r="A6980" s="117">
        <v>40534</v>
      </c>
      <c r="B6980">
        <v>12.417</v>
      </c>
    </row>
    <row r="6981" spans="1:2">
      <c r="A6981" s="117">
        <v>40535</v>
      </c>
      <c r="B6981">
        <v>12.372</v>
      </c>
    </row>
    <row r="6982" spans="1:2">
      <c r="A6982" s="117">
        <v>40536</v>
      </c>
      <c r="B6982">
        <v>12.337899999999999</v>
      </c>
    </row>
    <row r="6983" spans="1:2">
      <c r="A6983" s="117">
        <v>40537</v>
      </c>
      <c r="B6983">
        <v>12.3332</v>
      </c>
    </row>
    <row r="6984" spans="1:2">
      <c r="A6984" s="117">
        <v>40538</v>
      </c>
      <c r="B6984">
        <v>12.3332</v>
      </c>
    </row>
    <row r="6985" spans="1:2">
      <c r="A6985" s="117">
        <v>40539</v>
      </c>
      <c r="B6985">
        <v>12.3332</v>
      </c>
    </row>
    <row r="6986" spans="1:2">
      <c r="A6986" s="117">
        <v>40540</v>
      </c>
      <c r="B6986">
        <v>12.3459</v>
      </c>
    </row>
    <row r="6987" spans="1:2">
      <c r="A6987" s="117">
        <v>40541</v>
      </c>
      <c r="B6987">
        <v>12.3653</v>
      </c>
    </row>
    <row r="6988" spans="1:2">
      <c r="A6988" s="117">
        <v>40542</v>
      </c>
      <c r="B6988">
        <v>12.3567</v>
      </c>
    </row>
    <row r="6989" spans="1:2">
      <c r="A6989" s="117">
        <v>40543</v>
      </c>
      <c r="B6989">
        <v>12.357100000000001</v>
      </c>
    </row>
    <row r="6990" spans="1:2">
      <c r="A6990" s="117">
        <v>40544</v>
      </c>
      <c r="B6990">
        <v>12.3817</v>
      </c>
    </row>
    <row r="6991" spans="1:2">
      <c r="A6991" s="117">
        <v>40545</v>
      </c>
      <c r="B6991">
        <v>12.3817</v>
      </c>
    </row>
    <row r="6992" spans="1:2">
      <c r="A6992" s="117">
        <v>40546</v>
      </c>
      <c r="B6992">
        <v>12.3817</v>
      </c>
    </row>
    <row r="6993" spans="1:2">
      <c r="A6993" s="117">
        <v>40547</v>
      </c>
      <c r="B6993">
        <v>12.349600000000001</v>
      </c>
    </row>
    <row r="6994" spans="1:2">
      <c r="A6994" s="117">
        <v>40548</v>
      </c>
      <c r="B6994">
        <v>12.257400000000001</v>
      </c>
    </row>
    <row r="6995" spans="1:2">
      <c r="A6995" s="117">
        <v>40549</v>
      </c>
      <c r="B6995">
        <v>12.261900000000001</v>
      </c>
    </row>
    <row r="6996" spans="1:2">
      <c r="A6996" s="117">
        <v>40550</v>
      </c>
      <c r="B6996">
        <v>12.2064</v>
      </c>
    </row>
    <row r="6997" spans="1:2">
      <c r="A6997" s="117">
        <v>40551</v>
      </c>
      <c r="B6997">
        <v>12.2256</v>
      </c>
    </row>
    <row r="6998" spans="1:2">
      <c r="A6998" s="117">
        <v>40552</v>
      </c>
      <c r="B6998">
        <v>12.2256</v>
      </c>
    </row>
    <row r="6999" spans="1:2">
      <c r="A6999" s="117">
        <v>40553</v>
      </c>
      <c r="B6999">
        <v>12.2256</v>
      </c>
    </row>
    <row r="7000" spans="1:2">
      <c r="A7000" s="117">
        <v>40554</v>
      </c>
      <c r="B7000">
        <v>12.2369</v>
      </c>
    </row>
    <row r="7001" spans="1:2">
      <c r="A7001" s="117">
        <v>40555</v>
      </c>
      <c r="B7001">
        <v>12.254200000000001</v>
      </c>
    </row>
    <row r="7002" spans="1:2">
      <c r="A7002" s="117">
        <v>40556</v>
      </c>
      <c r="B7002">
        <v>12.1907</v>
      </c>
    </row>
    <row r="7003" spans="1:2">
      <c r="A7003" s="117">
        <v>40557</v>
      </c>
      <c r="B7003">
        <v>12.075699999999999</v>
      </c>
    </row>
    <row r="7004" spans="1:2">
      <c r="A7004" s="117">
        <v>40558</v>
      </c>
      <c r="B7004">
        <v>12.1028</v>
      </c>
    </row>
    <row r="7005" spans="1:2">
      <c r="A7005" s="117">
        <v>40559</v>
      </c>
      <c r="B7005">
        <v>12.1028</v>
      </c>
    </row>
    <row r="7006" spans="1:2">
      <c r="A7006" s="117">
        <v>40560</v>
      </c>
      <c r="B7006">
        <v>12.1028</v>
      </c>
    </row>
    <row r="7007" spans="1:2">
      <c r="A7007" s="117">
        <v>40561</v>
      </c>
      <c r="B7007">
        <v>12.0871</v>
      </c>
    </row>
    <row r="7008" spans="1:2">
      <c r="A7008" s="117">
        <v>40562</v>
      </c>
      <c r="B7008">
        <v>12.0299</v>
      </c>
    </row>
    <row r="7009" spans="1:2">
      <c r="A7009" s="117">
        <v>40563</v>
      </c>
      <c r="B7009">
        <v>12.0261</v>
      </c>
    </row>
    <row r="7010" spans="1:2">
      <c r="A7010" s="117">
        <v>40564</v>
      </c>
      <c r="B7010">
        <v>12.074400000000001</v>
      </c>
    </row>
    <row r="7011" spans="1:2">
      <c r="A7011" s="117">
        <v>40565</v>
      </c>
      <c r="B7011">
        <v>12.090299999999999</v>
      </c>
    </row>
    <row r="7012" spans="1:2">
      <c r="A7012" s="117">
        <v>40566</v>
      </c>
      <c r="B7012">
        <v>12.090299999999999</v>
      </c>
    </row>
    <row r="7013" spans="1:2">
      <c r="A7013" s="117">
        <v>40567</v>
      </c>
      <c r="B7013">
        <v>12.090299999999999</v>
      </c>
    </row>
    <row r="7014" spans="1:2">
      <c r="A7014" s="117">
        <v>40568</v>
      </c>
      <c r="B7014">
        <v>12.0482</v>
      </c>
    </row>
    <row r="7015" spans="1:2">
      <c r="A7015" s="117">
        <v>40569</v>
      </c>
      <c r="B7015">
        <v>12.051600000000001</v>
      </c>
    </row>
    <row r="7016" spans="1:2">
      <c r="A7016" s="117">
        <v>40570</v>
      </c>
      <c r="B7016">
        <v>12.085599999999999</v>
      </c>
    </row>
    <row r="7017" spans="1:2">
      <c r="A7017" s="117">
        <v>40571</v>
      </c>
      <c r="B7017">
        <v>12.040800000000001</v>
      </c>
    </row>
    <row r="7018" spans="1:2">
      <c r="A7018" s="117">
        <v>40572</v>
      </c>
      <c r="B7018">
        <v>12.023899999999999</v>
      </c>
    </row>
    <row r="7019" spans="1:2">
      <c r="A7019" s="117">
        <v>40573</v>
      </c>
      <c r="B7019">
        <v>12.023899999999999</v>
      </c>
    </row>
    <row r="7020" spans="1:2">
      <c r="A7020" s="117">
        <v>40574</v>
      </c>
      <c r="B7020">
        <v>12.023899999999999</v>
      </c>
    </row>
    <row r="7021" spans="1:2">
      <c r="A7021" s="117">
        <v>40575</v>
      </c>
      <c r="B7021">
        <v>12.1214</v>
      </c>
    </row>
    <row r="7022" spans="1:2">
      <c r="A7022" s="117">
        <v>40576</v>
      </c>
      <c r="B7022">
        <v>12.151899999999999</v>
      </c>
    </row>
    <row r="7023" spans="1:2">
      <c r="A7023" s="117">
        <v>40577</v>
      </c>
      <c r="B7023">
        <v>12.016999999999999</v>
      </c>
    </row>
    <row r="7024" spans="1:2">
      <c r="A7024" s="117">
        <v>40578</v>
      </c>
      <c r="B7024">
        <v>12.019</v>
      </c>
    </row>
    <row r="7025" spans="1:2">
      <c r="A7025" s="117">
        <v>40579</v>
      </c>
      <c r="B7025">
        <v>12.049899999999999</v>
      </c>
    </row>
    <row r="7026" spans="1:2">
      <c r="A7026" s="117">
        <v>40580</v>
      </c>
      <c r="B7026">
        <v>12.049899999999999</v>
      </c>
    </row>
    <row r="7027" spans="1:2">
      <c r="A7027" s="117">
        <v>40581</v>
      </c>
      <c r="B7027">
        <v>12.049899999999999</v>
      </c>
    </row>
    <row r="7028" spans="1:2">
      <c r="A7028" s="117">
        <v>40582</v>
      </c>
      <c r="B7028">
        <v>12.049899999999999</v>
      </c>
    </row>
    <row r="7029" spans="1:2">
      <c r="A7029" s="117">
        <v>40583</v>
      </c>
      <c r="B7029">
        <v>11.9946</v>
      </c>
    </row>
    <row r="7030" spans="1:2">
      <c r="A7030" s="117">
        <v>40584</v>
      </c>
      <c r="B7030">
        <v>11.9937</v>
      </c>
    </row>
    <row r="7031" spans="1:2">
      <c r="A7031" s="117">
        <v>40585</v>
      </c>
      <c r="B7031">
        <v>12.043200000000001</v>
      </c>
    </row>
    <row r="7032" spans="1:2">
      <c r="A7032" s="117">
        <v>40586</v>
      </c>
      <c r="B7032">
        <v>12.0937</v>
      </c>
    </row>
    <row r="7033" spans="1:2">
      <c r="A7033" s="117">
        <v>40587</v>
      </c>
      <c r="B7033">
        <v>12.0937</v>
      </c>
    </row>
    <row r="7034" spans="1:2">
      <c r="A7034" s="117">
        <v>40588</v>
      </c>
      <c r="B7034">
        <v>12.0937</v>
      </c>
    </row>
    <row r="7035" spans="1:2">
      <c r="A7035" s="117">
        <v>40589</v>
      </c>
      <c r="B7035">
        <v>12.063499999999999</v>
      </c>
    </row>
    <row r="7036" spans="1:2">
      <c r="A7036" s="117">
        <v>40590</v>
      </c>
      <c r="B7036">
        <v>12.046099999999999</v>
      </c>
    </row>
    <row r="7037" spans="1:2">
      <c r="A7037" s="117">
        <v>40591</v>
      </c>
      <c r="B7037">
        <v>12.114000000000001</v>
      </c>
    </row>
    <row r="7038" spans="1:2">
      <c r="A7038" s="117">
        <v>40592</v>
      </c>
      <c r="B7038">
        <v>12.095700000000001</v>
      </c>
    </row>
    <row r="7039" spans="1:2">
      <c r="A7039" s="117">
        <v>40593</v>
      </c>
      <c r="B7039">
        <v>12.048299999999999</v>
      </c>
    </row>
    <row r="7040" spans="1:2">
      <c r="A7040" s="117">
        <v>40594</v>
      </c>
      <c r="B7040">
        <v>12.048299999999999</v>
      </c>
    </row>
    <row r="7041" spans="1:2">
      <c r="A7041" s="117">
        <v>40595</v>
      </c>
      <c r="B7041">
        <v>12.048299999999999</v>
      </c>
    </row>
    <row r="7042" spans="1:2">
      <c r="A7042" s="117">
        <v>40596</v>
      </c>
      <c r="B7042">
        <v>12.017200000000001</v>
      </c>
    </row>
    <row r="7043" spans="1:2">
      <c r="A7043" s="117">
        <v>40597</v>
      </c>
      <c r="B7043">
        <v>12.0558</v>
      </c>
    </row>
    <row r="7044" spans="1:2">
      <c r="A7044" s="117">
        <v>40598</v>
      </c>
      <c r="B7044">
        <v>12.091699999999999</v>
      </c>
    </row>
    <row r="7045" spans="1:2">
      <c r="A7045" s="117">
        <v>40599</v>
      </c>
      <c r="B7045">
        <v>12.19</v>
      </c>
    </row>
    <row r="7046" spans="1:2">
      <c r="A7046" s="117">
        <v>40600</v>
      </c>
      <c r="B7046">
        <v>12.173</v>
      </c>
    </row>
    <row r="7047" spans="1:2">
      <c r="A7047" s="117">
        <v>40601</v>
      </c>
      <c r="B7047">
        <v>12.173</v>
      </c>
    </row>
    <row r="7048" spans="1:2">
      <c r="A7048" s="117">
        <v>40602</v>
      </c>
      <c r="B7048">
        <v>12.173</v>
      </c>
    </row>
    <row r="7049" spans="1:2">
      <c r="A7049" s="117">
        <v>40603</v>
      </c>
      <c r="B7049">
        <v>12.1235</v>
      </c>
    </row>
    <row r="7050" spans="1:2">
      <c r="A7050" s="117">
        <v>40604</v>
      </c>
      <c r="B7050">
        <v>12.106199999999999</v>
      </c>
    </row>
    <row r="7051" spans="1:2">
      <c r="A7051" s="117">
        <v>40605</v>
      </c>
      <c r="B7051">
        <v>12.0929</v>
      </c>
    </row>
    <row r="7052" spans="1:2">
      <c r="A7052" s="117">
        <v>40606</v>
      </c>
      <c r="B7052">
        <v>12.098100000000001</v>
      </c>
    </row>
    <row r="7053" spans="1:2">
      <c r="A7053" s="117">
        <v>40607</v>
      </c>
      <c r="B7053">
        <v>12.036799999999999</v>
      </c>
    </row>
    <row r="7054" spans="1:2">
      <c r="A7054" s="117">
        <v>40608</v>
      </c>
      <c r="B7054">
        <v>12.036799999999999</v>
      </c>
    </row>
    <row r="7055" spans="1:2">
      <c r="A7055" s="117">
        <v>40609</v>
      </c>
      <c r="B7055">
        <v>12.036799999999999</v>
      </c>
    </row>
    <row r="7056" spans="1:2">
      <c r="A7056" s="117">
        <v>40610</v>
      </c>
      <c r="B7056">
        <v>12.006399999999999</v>
      </c>
    </row>
    <row r="7057" spans="1:2">
      <c r="A7057" s="117">
        <v>40611</v>
      </c>
      <c r="B7057">
        <v>12.016999999999999</v>
      </c>
    </row>
    <row r="7058" spans="1:2">
      <c r="A7058" s="117">
        <v>40612</v>
      </c>
      <c r="B7058">
        <v>12.025399999999999</v>
      </c>
    </row>
    <row r="7059" spans="1:2">
      <c r="A7059" s="117">
        <v>40613</v>
      </c>
      <c r="B7059">
        <v>11.968</v>
      </c>
    </row>
    <row r="7060" spans="1:2">
      <c r="A7060" s="117">
        <v>40614</v>
      </c>
      <c r="B7060">
        <v>11.9755</v>
      </c>
    </row>
    <row r="7061" spans="1:2">
      <c r="A7061" s="117">
        <v>40615</v>
      </c>
      <c r="B7061">
        <v>11.9755</v>
      </c>
    </row>
    <row r="7062" spans="1:2">
      <c r="A7062" s="117">
        <v>40616</v>
      </c>
      <c r="B7062">
        <v>11.9755</v>
      </c>
    </row>
    <row r="7063" spans="1:2">
      <c r="A7063" s="117">
        <v>40617</v>
      </c>
      <c r="B7063">
        <v>11.944100000000001</v>
      </c>
    </row>
    <row r="7064" spans="1:2">
      <c r="A7064" s="117">
        <v>40618</v>
      </c>
      <c r="B7064">
        <v>11.923500000000001</v>
      </c>
    </row>
    <row r="7065" spans="1:2">
      <c r="A7065" s="117">
        <v>40619</v>
      </c>
      <c r="B7065">
        <v>12.017099999999999</v>
      </c>
    </row>
    <row r="7066" spans="1:2">
      <c r="A7066" s="117">
        <v>40620</v>
      </c>
      <c r="B7066">
        <v>12.071</v>
      </c>
    </row>
    <row r="7067" spans="1:2">
      <c r="A7067" s="117">
        <v>40621</v>
      </c>
      <c r="B7067">
        <v>12.092499999999999</v>
      </c>
    </row>
    <row r="7068" spans="1:2">
      <c r="A7068" s="117">
        <v>40622</v>
      </c>
      <c r="B7068">
        <v>12.092499999999999</v>
      </c>
    </row>
    <row r="7069" spans="1:2">
      <c r="A7069" s="117">
        <v>40623</v>
      </c>
      <c r="B7069">
        <v>12.092499999999999</v>
      </c>
    </row>
    <row r="7070" spans="1:2">
      <c r="A7070" s="117">
        <v>40624</v>
      </c>
      <c r="B7070">
        <v>12.092499999999999</v>
      </c>
    </row>
    <row r="7071" spans="1:2">
      <c r="A7071" s="117">
        <v>40625</v>
      </c>
      <c r="B7071">
        <v>12.061500000000001</v>
      </c>
    </row>
    <row r="7072" spans="1:2">
      <c r="A7072" s="117">
        <v>40626</v>
      </c>
      <c r="B7072">
        <v>11.9885</v>
      </c>
    </row>
    <row r="7073" spans="1:2">
      <c r="A7073" s="117">
        <v>40627</v>
      </c>
      <c r="B7073">
        <v>12.000400000000001</v>
      </c>
    </row>
    <row r="7074" spans="1:2">
      <c r="A7074" s="117">
        <v>40628</v>
      </c>
      <c r="B7074">
        <v>11.955500000000001</v>
      </c>
    </row>
    <row r="7075" spans="1:2">
      <c r="A7075" s="117">
        <v>40629</v>
      </c>
      <c r="B7075">
        <v>11.955500000000001</v>
      </c>
    </row>
    <row r="7076" spans="1:2">
      <c r="A7076" s="117">
        <v>40630</v>
      </c>
      <c r="B7076">
        <v>11.955500000000001</v>
      </c>
    </row>
    <row r="7077" spans="1:2">
      <c r="A7077" s="117">
        <v>40631</v>
      </c>
      <c r="B7077">
        <v>11.9505</v>
      </c>
    </row>
    <row r="7078" spans="1:2">
      <c r="A7078" s="117">
        <v>40632</v>
      </c>
      <c r="B7078">
        <v>11.959</v>
      </c>
    </row>
    <row r="7079" spans="1:2">
      <c r="A7079" s="117">
        <v>40633</v>
      </c>
      <c r="B7079">
        <v>11.9678</v>
      </c>
    </row>
    <row r="7080" spans="1:2">
      <c r="A7080" s="117">
        <v>40634</v>
      </c>
      <c r="B7080">
        <v>11.921900000000001</v>
      </c>
    </row>
    <row r="7081" spans="1:2">
      <c r="A7081" s="117">
        <v>40635</v>
      </c>
      <c r="B7081">
        <v>11.9084</v>
      </c>
    </row>
    <row r="7082" spans="1:2">
      <c r="A7082" s="117">
        <v>40636</v>
      </c>
      <c r="B7082">
        <v>11.9084</v>
      </c>
    </row>
    <row r="7083" spans="1:2">
      <c r="A7083" s="117">
        <v>40637</v>
      </c>
      <c r="B7083">
        <v>11.9084</v>
      </c>
    </row>
    <row r="7084" spans="1:2">
      <c r="A7084" s="117">
        <v>40638</v>
      </c>
      <c r="B7084">
        <v>11.841200000000001</v>
      </c>
    </row>
    <row r="7085" spans="1:2">
      <c r="A7085" s="117">
        <v>40639</v>
      </c>
      <c r="B7085">
        <v>11.853300000000001</v>
      </c>
    </row>
    <row r="7086" spans="1:2">
      <c r="A7086" s="117">
        <v>40640</v>
      </c>
      <c r="B7086">
        <v>11.8322</v>
      </c>
    </row>
    <row r="7087" spans="1:2">
      <c r="A7087" s="117">
        <v>40641</v>
      </c>
      <c r="B7087">
        <v>11.7836</v>
      </c>
    </row>
    <row r="7088" spans="1:2">
      <c r="A7088" s="117">
        <v>40642</v>
      </c>
      <c r="B7088">
        <v>11.793100000000001</v>
      </c>
    </row>
    <row r="7089" spans="1:2">
      <c r="A7089" s="117">
        <v>40643</v>
      </c>
      <c r="B7089">
        <v>11.793100000000001</v>
      </c>
    </row>
    <row r="7090" spans="1:2">
      <c r="A7090" s="117">
        <v>40644</v>
      </c>
      <c r="B7090">
        <v>11.793100000000001</v>
      </c>
    </row>
    <row r="7091" spans="1:2">
      <c r="A7091" s="117">
        <v>40645</v>
      </c>
      <c r="B7091">
        <v>11.742100000000001</v>
      </c>
    </row>
    <row r="7092" spans="1:2">
      <c r="A7092" s="117">
        <v>40646</v>
      </c>
      <c r="B7092">
        <v>11.7447</v>
      </c>
    </row>
    <row r="7093" spans="1:2">
      <c r="A7093" s="117">
        <v>40647</v>
      </c>
      <c r="B7093">
        <v>11.826599999999999</v>
      </c>
    </row>
    <row r="7094" spans="1:2">
      <c r="A7094" s="117">
        <v>40648</v>
      </c>
      <c r="B7094">
        <v>11.790699999999999</v>
      </c>
    </row>
    <row r="7095" spans="1:2">
      <c r="A7095" s="117">
        <v>40649</v>
      </c>
      <c r="B7095">
        <v>11.767899999999999</v>
      </c>
    </row>
    <row r="7096" spans="1:2">
      <c r="A7096" s="117">
        <v>40650</v>
      </c>
      <c r="B7096">
        <v>11.767899999999999</v>
      </c>
    </row>
    <row r="7097" spans="1:2">
      <c r="A7097" s="117">
        <v>40651</v>
      </c>
      <c r="B7097">
        <v>11.767899999999999</v>
      </c>
    </row>
    <row r="7098" spans="1:2">
      <c r="A7098" s="117">
        <v>40652</v>
      </c>
      <c r="B7098">
        <v>11.709</v>
      </c>
    </row>
    <row r="7099" spans="1:2">
      <c r="A7099" s="117">
        <v>40653</v>
      </c>
      <c r="B7099">
        <v>11.7783</v>
      </c>
    </row>
    <row r="7100" spans="1:2">
      <c r="A7100" s="117">
        <v>40654</v>
      </c>
      <c r="B7100">
        <v>11.692500000000001</v>
      </c>
    </row>
    <row r="7101" spans="1:2">
      <c r="A7101" s="117">
        <v>40655</v>
      </c>
      <c r="B7101">
        <v>11.692500000000001</v>
      </c>
    </row>
    <row r="7102" spans="1:2">
      <c r="A7102" s="117">
        <v>40656</v>
      </c>
      <c r="B7102">
        <v>11.692500000000001</v>
      </c>
    </row>
    <row r="7103" spans="1:2">
      <c r="A7103" s="117">
        <v>40657</v>
      </c>
      <c r="B7103">
        <v>11.692500000000001</v>
      </c>
    </row>
    <row r="7104" spans="1:2">
      <c r="A7104" s="117">
        <v>40658</v>
      </c>
      <c r="B7104">
        <v>11.692500000000001</v>
      </c>
    </row>
    <row r="7105" spans="1:2">
      <c r="A7105" s="117">
        <v>40659</v>
      </c>
      <c r="B7105">
        <v>11.6252</v>
      </c>
    </row>
    <row r="7106" spans="1:2">
      <c r="A7106" s="117">
        <v>40660</v>
      </c>
      <c r="B7106">
        <v>11.6294</v>
      </c>
    </row>
    <row r="7107" spans="1:2">
      <c r="A7107" s="117">
        <v>40661</v>
      </c>
      <c r="B7107">
        <v>11.5824</v>
      </c>
    </row>
    <row r="7108" spans="1:2">
      <c r="A7108" s="117">
        <v>40662</v>
      </c>
      <c r="B7108">
        <v>11.5868</v>
      </c>
    </row>
    <row r="7109" spans="1:2">
      <c r="A7109" s="117">
        <v>40663</v>
      </c>
      <c r="B7109">
        <v>11.5428</v>
      </c>
    </row>
    <row r="7110" spans="1:2">
      <c r="A7110" s="117">
        <v>40664</v>
      </c>
      <c r="B7110">
        <v>11.5428</v>
      </c>
    </row>
    <row r="7111" spans="1:2">
      <c r="A7111" s="117">
        <v>40665</v>
      </c>
      <c r="B7111">
        <v>11.5428</v>
      </c>
    </row>
    <row r="7112" spans="1:2">
      <c r="A7112" s="117">
        <v>40666</v>
      </c>
      <c r="B7112">
        <v>11.527799999999999</v>
      </c>
    </row>
    <row r="7113" spans="1:2">
      <c r="A7113" s="117">
        <v>40667</v>
      </c>
      <c r="B7113">
        <v>11.5023</v>
      </c>
    </row>
    <row r="7114" spans="1:2">
      <c r="A7114" s="117">
        <v>40668</v>
      </c>
      <c r="B7114">
        <v>11.5665</v>
      </c>
    </row>
    <row r="7115" spans="1:2">
      <c r="A7115" s="117">
        <v>40669</v>
      </c>
      <c r="B7115">
        <v>11.6214</v>
      </c>
    </row>
    <row r="7116" spans="1:2">
      <c r="A7116" s="117">
        <v>40670</v>
      </c>
      <c r="B7116">
        <v>11.6934</v>
      </c>
    </row>
    <row r="7117" spans="1:2">
      <c r="A7117" s="117">
        <v>40671</v>
      </c>
      <c r="B7117">
        <v>11.6934</v>
      </c>
    </row>
    <row r="7118" spans="1:2">
      <c r="A7118" s="117">
        <v>40672</v>
      </c>
      <c r="B7118">
        <v>11.6934</v>
      </c>
    </row>
    <row r="7119" spans="1:2">
      <c r="A7119" s="117">
        <v>40673</v>
      </c>
      <c r="B7119">
        <v>11.609</v>
      </c>
    </row>
    <row r="7120" spans="1:2">
      <c r="A7120" s="117">
        <v>40674</v>
      </c>
      <c r="B7120">
        <v>11.641</v>
      </c>
    </row>
    <row r="7121" spans="1:2">
      <c r="A7121" s="117">
        <v>40675</v>
      </c>
      <c r="B7121">
        <v>11.600899999999999</v>
      </c>
    </row>
    <row r="7122" spans="1:2">
      <c r="A7122" s="117">
        <v>40676</v>
      </c>
      <c r="B7122">
        <v>11.6075</v>
      </c>
    </row>
    <row r="7123" spans="1:2">
      <c r="A7123" s="117">
        <v>40677</v>
      </c>
      <c r="B7123">
        <v>11.6656</v>
      </c>
    </row>
    <row r="7124" spans="1:2">
      <c r="A7124" s="117">
        <v>40678</v>
      </c>
      <c r="B7124">
        <v>11.6656</v>
      </c>
    </row>
    <row r="7125" spans="1:2">
      <c r="A7125" s="117">
        <v>40679</v>
      </c>
      <c r="B7125">
        <v>11.6656</v>
      </c>
    </row>
    <row r="7126" spans="1:2">
      <c r="A7126" s="117">
        <v>40680</v>
      </c>
      <c r="B7126">
        <v>11.7219</v>
      </c>
    </row>
    <row r="7127" spans="1:2">
      <c r="A7127" s="117">
        <v>40681</v>
      </c>
      <c r="B7127">
        <v>11.7094</v>
      </c>
    </row>
    <row r="7128" spans="1:2">
      <c r="A7128" s="117">
        <v>40682</v>
      </c>
      <c r="B7128">
        <v>11.766</v>
      </c>
    </row>
    <row r="7129" spans="1:2">
      <c r="A7129" s="117">
        <v>40683</v>
      </c>
      <c r="B7129">
        <v>11.7234</v>
      </c>
    </row>
    <row r="7130" spans="1:2">
      <c r="A7130" s="117">
        <v>40684</v>
      </c>
      <c r="B7130">
        <v>11.658799999999999</v>
      </c>
    </row>
    <row r="7131" spans="1:2">
      <c r="A7131" s="117">
        <v>40685</v>
      </c>
      <c r="B7131">
        <v>11.658799999999999</v>
      </c>
    </row>
    <row r="7132" spans="1:2">
      <c r="A7132" s="117">
        <v>40686</v>
      </c>
      <c r="B7132">
        <v>11.658799999999999</v>
      </c>
    </row>
    <row r="7133" spans="1:2">
      <c r="A7133" s="117">
        <v>40687</v>
      </c>
      <c r="B7133">
        <v>11.646699999999999</v>
      </c>
    </row>
    <row r="7134" spans="1:2">
      <c r="A7134" s="117">
        <v>40688</v>
      </c>
      <c r="B7134">
        <v>11.729200000000001</v>
      </c>
    </row>
    <row r="7135" spans="1:2">
      <c r="A7135" s="117">
        <v>40689</v>
      </c>
      <c r="B7135">
        <v>11.703200000000001</v>
      </c>
    </row>
    <row r="7136" spans="1:2">
      <c r="A7136" s="117">
        <v>40690</v>
      </c>
      <c r="B7136">
        <v>11.694800000000001</v>
      </c>
    </row>
    <row r="7137" spans="1:2">
      <c r="A7137" s="117">
        <v>40691</v>
      </c>
      <c r="B7137">
        <v>11.695600000000001</v>
      </c>
    </row>
    <row r="7138" spans="1:2">
      <c r="A7138" s="117">
        <v>40692</v>
      </c>
      <c r="B7138">
        <v>11.695600000000001</v>
      </c>
    </row>
    <row r="7139" spans="1:2">
      <c r="A7139" s="117">
        <v>40693</v>
      </c>
      <c r="B7139">
        <v>11.695600000000001</v>
      </c>
    </row>
    <row r="7140" spans="1:2">
      <c r="A7140" s="117">
        <v>40694</v>
      </c>
      <c r="B7140">
        <v>11.6256</v>
      </c>
    </row>
    <row r="7141" spans="1:2">
      <c r="A7141" s="117">
        <v>40695</v>
      </c>
      <c r="B7141">
        <v>11.612299999999999</v>
      </c>
    </row>
    <row r="7142" spans="1:2">
      <c r="A7142" s="117">
        <v>40696</v>
      </c>
      <c r="B7142">
        <v>11.577999999999999</v>
      </c>
    </row>
    <row r="7143" spans="1:2">
      <c r="A7143" s="117">
        <v>40697</v>
      </c>
      <c r="B7143">
        <v>11.627700000000001</v>
      </c>
    </row>
    <row r="7144" spans="1:2">
      <c r="A7144" s="117">
        <v>40698</v>
      </c>
      <c r="B7144">
        <v>11.6739</v>
      </c>
    </row>
    <row r="7145" spans="1:2">
      <c r="A7145" s="117">
        <v>40699</v>
      </c>
      <c r="B7145">
        <v>11.6739</v>
      </c>
    </row>
    <row r="7146" spans="1:2">
      <c r="A7146" s="117">
        <v>40700</v>
      </c>
      <c r="B7146">
        <v>11.6739</v>
      </c>
    </row>
    <row r="7147" spans="1:2">
      <c r="A7147" s="117">
        <v>40701</v>
      </c>
      <c r="B7147">
        <v>11.668900000000001</v>
      </c>
    </row>
    <row r="7148" spans="1:2">
      <c r="A7148" s="117">
        <v>40702</v>
      </c>
      <c r="B7148">
        <v>11.6983</v>
      </c>
    </row>
    <row r="7149" spans="1:2">
      <c r="A7149" s="117">
        <v>40703</v>
      </c>
      <c r="B7149">
        <v>11.7196</v>
      </c>
    </row>
    <row r="7150" spans="1:2">
      <c r="A7150" s="117">
        <v>40704</v>
      </c>
      <c r="B7150">
        <v>11.8001</v>
      </c>
    </row>
    <row r="7151" spans="1:2">
      <c r="A7151" s="117">
        <v>40705</v>
      </c>
      <c r="B7151">
        <v>11.7965</v>
      </c>
    </row>
    <row r="7152" spans="1:2">
      <c r="A7152" s="117">
        <v>40706</v>
      </c>
      <c r="B7152">
        <v>11.7965</v>
      </c>
    </row>
    <row r="7153" spans="1:2">
      <c r="A7153" s="117">
        <v>40707</v>
      </c>
      <c r="B7153">
        <v>11.7965</v>
      </c>
    </row>
    <row r="7154" spans="1:2">
      <c r="A7154" s="117">
        <v>40708</v>
      </c>
      <c r="B7154">
        <v>11.868600000000001</v>
      </c>
    </row>
    <row r="7155" spans="1:2">
      <c r="A7155" s="117">
        <v>40709</v>
      </c>
      <c r="B7155">
        <v>11.868</v>
      </c>
    </row>
    <row r="7156" spans="1:2">
      <c r="A7156" s="117">
        <v>40710</v>
      </c>
      <c r="B7156">
        <v>11.7982</v>
      </c>
    </row>
    <row r="7157" spans="1:2">
      <c r="A7157" s="117">
        <v>40711</v>
      </c>
      <c r="B7157">
        <v>11.8751</v>
      </c>
    </row>
    <row r="7158" spans="1:2">
      <c r="A7158" s="117">
        <v>40712</v>
      </c>
      <c r="B7158">
        <v>11.959099999999999</v>
      </c>
    </row>
    <row r="7159" spans="1:2">
      <c r="A7159" s="117">
        <v>40713</v>
      </c>
      <c r="B7159">
        <v>11.959099999999999</v>
      </c>
    </row>
    <row r="7160" spans="1:2">
      <c r="A7160" s="117">
        <v>40714</v>
      </c>
      <c r="B7160">
        <v>11.959099999999999</v>
      </c>
    </row>
    <row r="7161" spans="1:2">
      <c r="A7161" s="117">
        <v>40715</v>
      </c>
      <c r="B7161">
        <v>11.900600000000001</v>
      </c>
    </row>
    <row r="7162" spans="1:2">
      <c r="A7162" s="117">
        <v>40716</v>
      </c>
      <c r="B7162">
        <v>11.8916</v>
      </c>
    </row>
    <row r="7163" spans="1:2">
      <c r="A7163" s="117">
        <v>40717</v>
      </c>
      <c r="B7163">
        <v>11.813000000000001</v>
      </c>
    </row>
    <row r="7164" spans="1:2">
      <c r="A7164" s="117">
        <v>40718</v>
      </c>
      <c r="B7164">
        <v>11.7789</v>
      </c>
    </row>
    <row r="7165" spans="1:2">
      <c r="A7165" s="117">
        <v>40719</v>
      </c>
      <c r="B7165">
        <v>11.881600000000001</v>
      </c>
    </row>
    <row r="7166" spans="1:2">
      <c r="A7166" s="117">
        <v>40720</v>
      </c>
      <c r="B7166">
        <v>11.881600000000001</v>
      </c>
    </row>
    <row r="7167" spans="1:2">
      <c r="A7167" s="117">
        <v>40721</v>
      </c>
      <c r="B7167">
        <v>11.881600000000001</v>
      </c>
    </row>
    <row r="7168" spans="1:2">
      <c r="A7168" s="117">
        <v>40722</v>
      </c>
      <c r="B7168">
        <v>11.882199999999999</v>
      </c>
    </row>
    <row r="7169" spans="1:2">
      <c r="A7169" s="117">
        <v>40723</v>
      </c>
      <c r="B7169">
        <v>11.893800000000001</v>
      </c>
    </row>
    <row r="7170" spans="1:2">
      <c r="A7170" s="117">
        <v>40724</v>
      </c>
      <c r="B7170">
        <v>11.838900000000001</v>
      </c>
    </row>
    <row r="7171" spans="1:2">
      <c r="A7171" s="117">
        <v>40725</v>
      </c>
      <c r="B7171">
        <v>11.774800000000001</v>
      </c>
    </row>
    <row r="7172" spans="1:2">
      <c r="A7172" s="117">
        <v>40726</v>
      </c>
      <c r="B7172">
        <v>11.723000000000001</v>
      </c>
    </row>
    <row r="7173" spans="1:2">
      <c r="A7173" s="117">
        <v>40727</v>
      </c>
      <c r="B7173">
        <v>11.723000000000001</v>
      </c>
    </row>
    <row r="7174" spans="1:2">
      <c r="A7174" s="117">
        <v>40728</v>
      </c>
      <c r="B7174">
        <v>11.723000000000001</v>
      </c>
    </row>
    <row r="7175" spans="1:2">
      <c r="A7175" s="117">
        <v>40729</v>
      </c>
      <c r="B7175">
        <v>11.636799999999999</v>
      </c>
    </row>
    <row r="7176" spans="1:2">
      <c r="A7176" s="117">
        <v>40730</v>
      </c>
      <c r="B7176">
        <v>11.592499999999999</v>
      </c>
    </row>
    <row r="7177" spans="1:2">
      <c r="A7177" s="117">
        <v>40731</v>
      </c>
      <c r="B7177">
        <v>11.619400000000001</v>
      </c>
    </row>
    <row r="7178" spans="1:2">
      <c r="A7178" s="117">
        <v>40732</v>
      </c>
      <c r="B7178">
        <v>11.654400000000001</v>
      </c>
    </row>
    <row r="7179" spans="1:2">
      <c r="A7179" s="117">
        <v>40733</v>
      </c>
      <c r="B7179">
        <v>11.5738</v>
      </c>
    </row>
    <row r="7180" spans="1:2">
      <c r="A7180" s="117">
        <v>40734</v>
      </c>
      <c r="B7180">
        <v>11.5738</v>
      </c>
    </row>
    <row r="7181" spans="1:2">
      <c r="A7181" s="117">
        <v>40735</v>
      </c>
      <c r="B7181">
        <v>11.5738</v>
      </c>
    </row>
    <row r="7182" spans="1:2">
      <c r="A7182" s="117">
        <v>40736</v>
      </c>
      <c r="B7182">
        <v>11.633699999999999</v>
      </c>
    </row>
    <row r="7183" spans="1:2">
      <c r="A7183" s="117">
        <v>40737</v>
      </c>
      <c r="B7183">
        <v>11.727399999999999</v>
      </c>
    </row>
    <row r="7184" spans="1:2">
      <c r="A7184" s="117">
        <v>40738</v>
      </c>
      <c r="B7184">
        <v>11.7867</v>
      </c>
    </row>
    <row r="7185" spans="1:2">
      <c r="A7185" s="117">
        <v>40739</v>
      </c>
      <c r="B7185">
        <v>11.717000000000001</v>
      </c>
    </row>
    <row r="7186" spans="1:2">
      <c r="A7186" s="117">
        <v>40740</v>
      </c>
      <c r="B7186">
        <v>11.701000000000001</v>
      </c>
    </row>
    <row r="7187" spans="1:2">
      <c r="A7187" s="117">
        <v>40741</v>
      </c>
      <c r="B7187">
        <v>11.701000000000001</v>
      </c>
    </row>
    <row r="7188" spans="1:2">
      <c r="A7188" s="117">
        <v>40742</v>
      </c>
      <c r="B7188">
        <v>11.701000000000001</v>
      </c>
    </row>
    <row r="7189" spans="1:2">
      <c r="A7189" s="117">
        <v>40743</v>
      </c>
      <c r="B7189">
        <v>11.7178</v>
      </c>
    </row>
    <row r="7190" spans="1:2">
      <c r="A7190" s="117">
        <v>40744</v>
      </c>
      <c r="B7190">
        <v>11.787699999999999</v>
      </c>
    </row>
    <row r="7191" spans="1:2">
      <c r="A7191" s="117">
        <v>40745</v>
      </c>
      <c r="B7191">
        <v>11.696400000000001</v>
      </c>
    </row>
    <row r="7192" spans="1:2">
      <c r="A7192" s="117">
        <v>40746</v>
      </c>
      <c r="B7192">
        <v>11.6638</v>
      </c>
    </row>
    <row r="7193" spans="1:2">
      <c r="A7193" s="117">
        <v>40747</v>
      </c>
      <c r="B7193">
        <v>11.6174</v>
      </c>
    </row>
    <row r="7194" spans="1:2">
      <c r="A7194" s="117">
        <v>40748</v>
      </c>
      <c r="B7194">
        <v>11.6174</v>
      </c>
    </row>
    <row r="7195" spans="1:2">
      <c r="A7195" s="117">
        <v>40749</v>
      </c>
      <c r="B7195">
        <v>11.6174</v>
      </c>
    </row>
    <row r="7196" spans="1:2">
      <c r="A7196" s="117">
        <v>40750</v>
      </c>
      <c r="B7196">
        <v>11.6393</v>
      </c>
    </row>
    <row r="7197" spans="1:2">
      <c r="A7197" s="117">
        <v>40751</v>
      </c>
      <c r="B7197">
        <v>11.664099999999999</v>
      </c>
    </row>
    <row r="7198" spans="1:2">
      <c r="A7198" s="117">
        <v>40752</v>
      </c>
      <c r="B7198">
        <v>11.6172</v>
      </c>
    </row>
    <row r="7199" spans="1:2">
      <c r="A7199" s="117">
        <v>40753</v>
      </c>
      <c r="B7199">
        <v>11.652699999999999</v>
      </c>
    </row>
    <row r="7200" spans="1:2">
      <c r="A7200" s="117">
        <v>40754</v>
      </c>
      <c r="B7200">
        <v>11.6821</v>
      </c>
    </row>
    <row r="7201" spans="1:2">
      <c r="A7201" s="117">
        <v>40755</v>
      </c>
      <c r="B7201">
        <v>11.6821</v>
      </c>
    </row>
    <row r="7202" spans="1:2">
      <c r="A7202" s="117">
        <v>40756</v>
      </c>
      <c r="B7202">
        <v>11.6821</v>
      </c>
    </row>
    <row r="7203" spans="1:2">
      <c r="A7203" s="117">
        <v>40757</v>
      </c>
      <c r="B7203">
        <v>11.7425</v>
      </c>
    </row>
    <row r="7204" spans="1:2">
      <c r="A7204" s="117">
        <v>40758</v>
      </c>
      <c r="B7204">
        <v>11.7514</v>
      </c>
    </row>
    <row r="7205" spans="1:2">
      <c r="A7205" s="117">
        <v>40759</v>
      </c>
      <c r="B7205">
        <v>11.765700000000001</v>
      </c>
    </row>
    <row r="7206" spans="1:2">
      <c r="A7206" s="117">
        <v>40760</v>
      </c>
      <c r="B7206">
        <v>11.847300000000001</v>
      </c>
    </row>
    <row r="7207" spans="1:2">
      <c r="A7207" s="117">
        <v>40761</v>
      </c>
      <c r="B7207">
        <v>11.952299999999999</v>
      </c>
    </row>
    <row r="7208" spans="1:2">
      <c r="A7208" s="117">
        <v>40762</v>
      </c>
      <c r="B7208">
        <v>11.952299999999999</v>
      </c>
    </row>
    <row r="7209" spans="1:2">
      <c r="A7209" s="117">
        <v>40763</v>
      </c>
      <c r="B7209">
        <v>11.952299999999999</v>
      </c>
    </row>
    <row r="7210" spans="1:2">
      <c r="A7210" s="117">
        <v>40764</v>
      </c>
      <c r="B7210">
        <v>11.9794</v>
      </c>
    </row>
    <row r="7211" spans="1:2">
      <c r="A7211" s="117">
        <v>40765</v>
      </c>
      <c r="B7211">
        <v>12.1845</v>
      </c>
    </row>
    <row r="7212" spans="1:2">
      <c r="A7212" s="117">
        <v>40766</v>
      </c>
      <c r="B7212">
        <v>12.371</v>
      </c>
    </row>
    <row r="7213" spans="1:2">
      <c r="A7213" s="117">
        <v>40767</v>
      </c>
      <c r="B7213">
        <v>12.322100000000001</v>
      </c>
    </row>
    <row r="7214" spans="1:2">
      <c r="A7214" s="117">
        <v>40768</v>
      </c>
      <c r="B7214">
        <v>12.389900000000001</v>
      </c>
    </row>
    <row r="7215" spans="1:2">
      <c r="A7215" s="117">
        <v>40769</v>
      </c>
      <c r="B7215">
        <v>12.389900000000001</v>
      </c>
    </row>
    <row r="7216" spans="1:2">
      <c r="A7216" s="117">
        <v>40770</v>
      </c>
      <c r="B7216">
        <v>12.389900000000001</v>
      </c>
    </row>
    <row r="7217" spans="1:2">
      <c r="A7217" s="117">
        <v>40771</v>
      </c>
      <c r="B7217">
        <v>12.299200000000001</v>
      </c>
    </row>
    <row r="7218" spans="1:2">
      <c r="A7218" s="117">
        <v>40772</v>
      </c>
      <c r="B7218">
        <v>12.2424</v>
      </c>
    </row>
    <row r="7219" spans="1:2">
      <c r="A7219" s="117">
        <v>40773</v>
      </c>
      <c r="B7219">
        <v>12.2631</v>
      </c>
    </row>
    <row r="7220" spans="1:2">
      <c r="A7220" s="117">
        <v>40774</v>
      </c>
      <c r="B7220">
        <v>12.165100000000001</v>
      </c>
    </row>
    <row r="7221" spans="1:2">
      <c r="A7221" s="117">
        <v>40775</v>
      </c>
      <c r="B7221">
        <v>12.368499999999999</v>
      </c>
    </row>
    <row r="7222" spans="1:2">
      <c r="A7222" s="117">
        <v>40776</v>
      </c>
      <c r="B7222">
        <v>12.368499999999999</v>
      </c>
    </row>
    <row r="7223" spans="1:2">
      <c r="A7223" s="117">
        <v>40777</v>
      </c>
      <c r="B7223">
        <v>12.368499999999999</v>
      </c>
    </row>
    <row r="7224" spans="1:2">
      <c r="A7224" s="117">
        <v>40778</v>
      </c>
      <c r="B7224">
        <v>12.2386</v>
      </c>
    </row>
    <row r="7225" spans="1:2">
      <c r="A7225" s="117">
        <v>40779</v>
      </c>
      <c r="B7225">
        <v>12.2948</v>
      </c>
    </row>
    <row r="7226" spans="1:2">
      <c r="A7226" s="117">
        <v>40780</v>
      </c>
      <c r="B7226">
        <v>12.335699999999999</v>
      </c>
    </row>
    <row r="7227" spans="1:2">
      <c r="A7227" s="117">
        <v>40781</v>
      </c>
      <c r="B7227">
        <v>12.395200000000001</v>
      </c>
    </row>
    <row r="7228" spans="1:2">
      <c r="A7228" s="117">
        <v>40782</v>
      </c>
      <c r="B7228">
        <v>12.4259</v>
      </c>
    </row>
    <row r="7229" spans="1:2">
      <c r="A7229" s="117">
        <v>40783</v>
      </c>
      <c r="B7229">
        <v>12.4259</v>
      </c>
    </row>
    <row r="7230" spans="1:2">
      <c r="A7230" s="117">
        <v>40784</v>
      </c>
      <c r="B7230">
        <v>12.4259</v>
      </c>
    </row>
    <row r="7231" spans="1:2">
      <c r="A7231" s="117">
        <v>40785</v>
      </c>
      <c r="B7231">
        <v>12.4953</v>
      </c>
    </row>
    <row r="7232" spans="1:2">
      <c r="A7232" s="117">
        <v>40786</v>
      </c>
      <c r="B7232">
        <v>12.4148</v>
      </c>
    </row>
    <row r="7233" spans="1:2">
      <c r="A7233" s="117">
        <v>40787</v>
      </c>
      <c r="B7233">
        <v>12.4838</v>
      </c>
    </row>
    <row r="7234" spans="1:2">
      <c r="A7234" s="117">
        <v>40788</v>
      </c>
      <c r="B7234">
        <v>12.348000000000001</v>
      </c>
    </row>
    <row r="7235" spans="1:2">
      <c r="A7235" s="117">
        <v>40789</v>
      </c>
      <c r="B7235">
        <v>12.2616</v>
      </c>
    </row>
    <row r="7236" spans="1:2">
      <c r="A7236" s="117">
        <v>40790</v>
      </c>
      <c r="B7236">
        <v>12.2616</v>
      </c>
    </row>
    <row r="7237" spans="1:2">
      <c r="A7237" s="117">
        <v>40791</v>
      </c>
      <c r="B7237">
        <v>12.2616</v>
      </c>
    </row>
    <row r="7238" spans="1:2">
      <c r="A7238" s="117">
        <v>40792</v>
      </c>
      <c r="B7238">
        <v>12.3735</v>
      </c>
    </row>
    <row r="7239" spans="1:2">
      <c r="A7239" s="117">
        <v>40793</v>
      </c>
      <c r="B7239">
        <v>12.535299999999999</v>
      </c>
    </row>
    <row r="7240" spans="1:2">
      <c r="A7240" s="117">
        <v>40794</v>
      </c>
      <c r="B7240">
        <v>12.510199999999999</v>
      </c>
    </row>
    <row r="7241" spans="1:2">
      <c r="A7241" s="117">
        <v>40795</v>
      </c>
      <c r="B7241">
        <v>12.466100000000001</v>
      </c>
    </row>
    <row r="7242" spans="1:2">
      <c r="A7242" s="117">
        <v>40796</v>
      </c>
      <c r="B7242">
        <v>12.4956</v>
      </c>
    </row>
    <row r="7243" spans="1:2">
      <c r="A7243" s="117">
        <v>40797</v>
      </c>
      <c r="B7243">
        <v>12.4956</v>
      </c>
    </row>
    <row r="7244" spans="1:2">
      <c r="A7244" s="117">
        <v>40798</v>
      </c>
      <c r="B7244">
        <v>12.4956</v>
      </c>
    </row>
    <row r="7245" spans="1:2">
      <c r="A7245" s="117">
        <v>40799</v>
      </c>
      <c r="B7245">
        <v>12.632400000000001</v>
      </c>
    </row>
    <row r="7246" spans="1:2">
      <c r="A7246" s="117">
        <v>40800</v>
      </c>
      <c r="B7246">
        <v>12.768700000000001</v>
      </c>
    </row>
    <row r="7247" spans="1:2">
      <c r="A7247" s="117">
        <v>40801</v>
      </c>
      <c r="B7247">
        <v>12.8994</v>
      </c>
    </row>
    <row r="7248" spans="1:2">
      <c r="A7248" s="117">
        <v>40802</v>
      </c>
      <c r="B7248">
        <v>12.964600000000001</v>
      </c>
    </row>
    <row r="7249" spans="1:2">
      <c r="A7249" s="117">
        <v>40803</v>
      </c>
      <c r="B7249">
        <v>12.964600000000001</v>
      </c>
    </row>
    <row r="7250" spans="1:2">
      <c r="A7250" s="117">
        <v>40804</v>
      </c>
      <c r="B7250">
        <v>12.964600000000001</v>
      </c>
    </row>
    <row r="7251" spans="1:2">
      <c r="A7251" s="117">
        <v>40805</v>
      </c>
      <c r="B7251">
        <v>12.964600000000001</v>
      </c>
    </row>
    <row r="7252" spans="1:2">
      <c r="A7252" s="117">
        <v>40806</v>
      </c>
      <c r="B7252">
        <v>12.912699999999999</v>
      </c>
    </row>
    <row r="7253" spans="1:2">
      <c r="A7253" s="117">
        <v>40807</v>
      </c>
      <c r="B7253">
        <v>13.186</v>
      </c>
    </row>
    <row r="7254" spans="1:2">
      <c r="A7254" s="117">
        <v>40808</v>
      </c>
      <c r="B7254">
        <v>13.1669</v>
      </c>
    </row>
    <row r="7255" spans="1:2">
      <c r="A7255" s="117">
        <v>40809</v>
      </c>
      <c r="B7255">
        <v>13.404500000000001</v>
      </c>
    </row>
    <row r="7256" spans="1:2">
      <c r="A7256" s="117">
        <v>40810</v>
      </c>
      <c r="B7256">
        <v>13.8917</v>
      </c>
    </row>
    <row r="7257" spans="1:2">
      <c r="A7257" s="117">
        <v>40811</v>
      </c>
      <c r="B7257">
        <v>13.8917</v>
      </c>
    </row>
    <row r="7258" spans="1:2">
      <c r="A7258" s="117">
        <v>40812</v>
      </c>
      <c r="B7258">
        <v>13.8917</v>
      </c>
    </row>
    <row r="7259" spans="1:2">
      <c r="A7259" s="117">
        <v>40813</v>
      </c>
      <c r="B7259">
        <v>13.7788</v>
      </c>
    </row>
    <row r="7260" spans="1:2">
      <c r="A7260" s="117">
        <v>40814</v>
      </c>
      <c r="B7260">
        <v>13.6677</v>
      </c>
    </row>
    <row r="7261" spans="1:2">
      <c r="A7261" s="117">
        <v>40815</v>
      </c>
      <c r="B7261">
        <v>13.3414</v>
      </c>
    </row>
    <row r="7262" spans="1:2">
      <c r="A7262" s="117">
        <v>40816</v>
      </c>
      <c r="B7262">
        <v>13.4217</v>
      </c>
    </row>
    <row r="7263" spans="1:2">
      <c r="A7263" s="117">
        <v>40817</v>
      </c>
      <c r="B7263">
        <v>13.4567</v>
      </c>
    </row>
    <row r="7264" spans="1:2">
      <c r="A7264" s="117">
        <v>40818</v>
      </c>
      <c r="B7264">
        <v>13.4567</v>
      </c>
    </row>
    <row r="7265" spans="1:2">
      <c r="A7265" s="117">
        <v>40819</v>
      </c>
      <c r="B7265">
        <v>13.4567</v>
      </c>
    </row>
    <row r="7266" spans="1:2">
      <c r="A7266" s="117">
        <v>40820</v>
      </c>
      <c r="B7266">
        <v>13.7994</v>
      </c>
    </row>
    <row r="7267" spans="1:2">
      <c r="A7267" s="117">
        <v>40821</v>
      </c>
      <c r="B7267">
        <v>13.896699999999999</v>
      </c>
    </row>
    <row r="7268" spans="1:2">
      <c r="A7268" s="117">
        <v>40822</v>
      </c>
      <c r="B7268">
        <v>13.971399999999999</v>
      </c>
    </row>
    <row r="7269" spans="1:2">
      <c r="A7269" s="117">
        <v>40823</v>
      </c>
      <c r="B7269">
        <v>13.6675</v>
      </c>
    </row>
    <row r="7270" spans="1:2">
      <c r="A7270" s="117">
        <v>40824</v>
      </c>
      <c r="B7270">
        <v>13.5341</v>
      </c>
    </row>
    <row r="7271" spans="1:2">
      <c r="A7271" s="117">
        <v>40825</v>
      </c>
      <c r="B7271">
        <v>13.5341</v>
      </c>
    </row>
    <row r="7272" spans="1:2">
      <c r="A7272" s="117">
        <v>40826</v>
      </c>
      <c r="B7272">
        <v>13.5341</v>
      </c>
    </row>
    <row r="7273" spans="1:2">
      <c r="A7273" s="117">
        <v>40827</v>
      </c>
      <c r="B7273">
        <v>13.314299999999999</v>
      </c>
    </row>
    <row r="7274" spans="1:2">
      <c r="A7274" s="117">
        <v>40828</v>
      </c>
      <c r="B7274">
        <v>13.2751</v>
      </c>
    </row>
    <row r="7275" spans="1:2">
      <c r="A7275" s="117">
        <v>40829</v>
      </c>
      <c r="B7275">
        <v>13.326599999999999</v>
      </c>
    </row>
    <row r="7276" spans="1:2">
      <c r="A7276" s="117">
        <v>40830</v>
      </c>
      <c r="B7276">
        <v>13.221299999999999</v>
      </c>
    </row>
    <row r="7277" spans="1:2">
      <c r="A7277" s="117">
        <v>40831</v>
      </c>
      <c r="B7277">
        <v>13.364699999999999</v>
      </c>
    </row>
    <row r="7278" spans="1:2">
      <c r="A7278" s="117">
        <v>40832</v>
      </c>
      <c r="B7278">
        <v>13.364699999999999</v>
      </c>
    </row>
    <row r="7279" spans="1:2">
      <c r="A7279" s="117">
        <v>40833</v>
      </c>
      <c r="B7279">
        <v>13.364699999999999</v>
      </c>
    </row>
    <row r="7280" spans="1:2">
      <c r="A7280" s="117">
        <v>40834</v>
      </c>
      <c r="B7280">
        <v>13.271100000000001</v>
      </c>
    </row>
    <row r="7281" spans="1:2">
      <c r="A7281" s="117">
        <v>40835</v>
      </c>
      <c r="B7281">
        <v>13.295199999999999</v>
      </c>
    </row>
    <row r="7282" spans="1:2">
      <c r="A7282" s="117">
        <v>40836</v>
      </c>
      <c r="B7282">
        <v>13.4445</v>
      </c>
    </row>
    <row r="7283" spans="1:2">
      <c r="A7283" s="117">
        <v>40837</v>
      </c>
      <c r="B7283">
        <v>13.3733</v>
      </c>
    </row>
    <row r="7284" spans="1:2">
      <c r="A7284" s="117">
        <v>40838</v>
      </c>
      <c r="B7284">
        <v>13.662800000000001</v>
      </c>
    </row>
    <row r="7285" spans="1:2">
      <c r="A7285" s="117">
        <v>40839</v>
      </c>
      <c r="B7285">
        <v>13.662800000000001</v>
      </c>
    </row>
    <row r="7286" spans="1:2">
      <c r="A7286" s="117">
        <v>40840</v>
      </c>
      <c r="B7286">
        <v>13.662800000000001</v>
      </c>
    </row>
    <row r="7287" spans="1:2">
      <c r="A7287" s="117">
        <v>40841</v>
      </c>
      <c r="B7287">
        <v>13.599600000000001</v>
      </c>
    </row>
    <row r="7288" spans="1:2">
      <c r="A7288" s="117">
        <v>40842</v>
      </c>
      <c r="B7288">
        <v>13.488899999999999</v>
      </c>
    </row>
    <row r="7289" spans="1:2">
      <c r="A7289" s="117">
        <v>40843</v>
      </c>
      <c r="B7289">
        <v>13.4459</v>
      </c>
    </row>
    <row r="7290" spans="1:2">
      <c r="A7290" s="117">
        <v>40844</v>
      </c>
      <c r="B7290">
        <v>13.491400000000001</v>
      </c>
    </row>
    <row r="7291" spans="1:2">
      <c r="A7291" s="117">
        <v>40845</v>
      </c>
      <c r="B7291">
        <v>13.1973</v>
      </c>
    </row>
    <row r="7292" spans="1:2">
      <c r="A7292" s="117">
        <v>40846</v>
      </c>
      <c r="B7292">
        <v>13.1973</v>
      </c>
    </row>
    <row r="7293" spans="1:2">
      <c r="A7293" s="117">
        <v>40847</v>
      </c>
      <c r="B7293">
        <v>13.1973</v>
      </c>
    </row>
    <row r="7294" spans="1:2">
      <c r="A7294" s="117">
        <v>40848</v>
      </c>
      <c r="B7294">
        <v>13.113200000000001</v>
      </c>
    </row>
    <row r="7295" spans="1:2">
      <c r="A7295" s="117">
        <v>40849</v>
      </c>
      <c r="B7295">
        <v>13.180199999999999</v>
      </c>
    </row>
    <row r="7296" spans="1:2">
      <c r="A7296" s="117">
        <v>40850</v>
      </c>
      <c r="B7296">
        <v>13.180199999999999</v>
      </c>
    </row>
    <row r="7297" spans="1:2">
      <c r="A7297" s="117">
        <v>40851</v>
      </c>
      <c r="B7297">
        <v>13.6282</v>
      </c>
    </row>
    <row r="7298" spans="1:2">
      <c r="A7298" s="117">
        <v>40852</v>
      </c>
      <c r="B7298">
        <v>13.412800000000001</v>
      </c>
    </row>
    <row r="7299" spans="1:2">
      <c r="A7299" s="117">
        <v>40853</v>
      </c>
      <c r="B7299">
        <v>13.412800000000001</v>
      </c>
    </row>
    <row r="7300" spans="1:2">
      <c r="A7300" s="117">
        <v>40854</v>
      </c>
      <c r="B7300">
        <v>13.412800000000001</v>
      </c>
    </row>
    <row r="7301" spans="1:2">
      <c r="A7301" s="117">
        <v>40855</v>
      </c>
      <c r="B7301">
        <v>13.469799999999999</v>
      </c>
    </row>
    <row r="7302" spans="1:2">
      <c r="A7302" s="117">
        <v>40856</v>
      </c>
      <c r="B7302">
        <v>13.4504</v>
      </c>
    </row>
    <row r="7303" spans="1:2">
      <c r="A7303" s="117">
        <v>40857</v>
      </c>
      <c r="B7303">
        <v>13.385199999999999</v>
      </c>
    </row>
    <row r="7304" spans="1:2">
      <c r="A7304" s="117">
        <v>40858</v>
      </c>
      <c r="B7304">
        <v>13.5252</v>
      </c>
    </row>
    <row r="7305" spans="1:2">
      <c r="A7305" s="117">
        <v>40859</v>
      </c>
      <c r="B7305">
        <v>13.562200000000001</v>
      </c>
    </row>
    <row r="7306" spans="1:2">
      <c r="A7306" s="117">
        <v>40860</v>
      </c>
      <c r="B7306">
        <v>13.562200000000001</v>
      </c>
    </row>
    <row r="7307" spans="1:2">
      <c r="A7307" s="117">
        <v>40861</v>
      </c>
      <c r="B7307">
        <v>13.562200000000001</v>
      </c>
    </row>
    <row r="7308" spans="1:2">
      <c r="A7308" s="117">
        <v>40862</v>
      </c>
      <c r="B7308">
        <v>13.416499999999999</v>
      </c>
    </row>
    <row r="7309" spans="1:2">
      <c r="A7309" s="117">
        <v>40863</v>
      </c>
      <c r="B7309">
        <v>13.5122</v>
      </c>
    </row>
    <row r="7310" spans="1:2">
      <c r="A7310" s="117">
        <v>40864</v>
      </c>
      <c r="B7310">
        <v>13.5672</v>
      </c>
    </row>
    <row r="7311" spans="1:2">
      <c r="A7311" s="117">
        <v>40865</v>
      </c>
      <c r="B7311">
        <v>13.5847</v>
      </c>
    </row>
    <row r="7312" spans="1:2">
      <c r="A7312" s="117">
        <v>40866</v>
      </c>
      <c r="B7312">
        <v>13.637499999999999</v>
      </c>
    </row>
    <row r="7313" spans="1:2">
      <c r="A7313" s="117">
        <v>40867</v>
      </c>
      <c r="B7313">
        <v>13.637499999999999</v>
      </c>
    </row>
    <row r="7314" spans="1:2">
      <c r="A7314" s="117">
        <v>40868</v>
      </c>
      <c r="B7314">
        <v>13.637499999999999</v>
      </c>
    </row>
    <row r="7315" spans="1:2">
      <c r="A7315" s="117">
        <v>40869</v>
      </c>
      <c r="B7315">
        <v>13.637499999999999</v>
      </c>
    </row>
    <row r="7316" spans="1:2">
      <c r="A7316" s="117">
        <v>40870</v>
      </c>
      <c r="B7316">
        <v>13.7033</v>
      </c>
    </row>
    <row r="7317" spans="1:2">
      <c r="A7317" s="117">
        <v>40871</v>
      </c>
      <c r="B7317">
        <v>13.981199999999999</v>
      </c>
    </row>
    <row r="7318" spans="1:2">
      <c r="A7318" s="117">
        <v>40872</v>
      </c>
      <c r="B7318">
        <v>14.129099999999999</v>
      </c>
    </row>
    <row r="7319" spans="1:2">
      <c r="A7319" s="117">
        <v>40873</v>
      </c>
      <c r="B7319">
        <v>14.1778</v>
      </c>
    </row>
    <row r="7320" spans="1:2">
      <c r="A7320" s="117">
        <v>40874</v>
      </c>
      <c r="B7320">
        <v>14.1778</v>
      </c>
    </row>
    <row r="7321" spans="1:2">
      <c r="A7321" s="117">
        <v>40875</v>
      </c>
      <c r="B7321">
        <v>14.1778</v>
      </c>
    </row>
    <row r="7322" spans="1:2">
      <c r="A7322" s="117">
        <v>40876</v>
      </c>
      <c r="B7322">
        <v>14.244300000000001</v>
      </c>
    </row>
    <row r="7323" spans="1:2">
      <c r="A7323" s="117">
        <v>40877</v>
      </c>
      <c r="B7323">
        <v>14.0344</v>
      </c>
    </row>
    <row r="7324" spans="1:2">
      <c r="A7324" s="117">
        <v>40878</v>
      </c>
      <c r="B7324">
        <v>13.953799999999999</v>
      </c>
    </row>
    <row r="7325" spans="1:2">
      <c r="A7325" s="117">
        <v>40879</v>
      </c>
      <c r="B7325">
        <v>13.61</v>
      </c>
    </row>
    <row r="7326" spans="1:2">
      <c r="A7326" s="117">
        <v>40880</v>
      </c>
      <c r="B7326">
        <v>13.589399999999999</v>
      </c>
    </row>
    <row r="7327" spans="1:2">
      <c r="A7327" s="117">
        <v>40881</v>
      </c>
      <c r="B7327">
        <v>13.589399999999999</v>
      </c>
    </row>
    <row r="7328" spans="1:2">
      <c r="A7328" s="117">
        <v>40882</v>
      </c>
      <c r="B7328">
        <v>13.589399999999999</v>
      </c>
    </row>
    <row r="7329" spans="1:2">
      <c r="A7329" s="117">
        <v>40883</v>
      </c>
      <c r="B7329">
        <v>13.5488</v>
      </c>
    </row>
    <row r="7330" spans="1:2">
      <c r="A7330" s="117">
        <v>40884</v>
      </c>
      <c r="B7330">
        <v>13.4786</v>
      </c>
    </row>
    <row r="7331" spans="1:2">
      <c r="A7331" s="117">
        <v>40885</v>
      </c>
      <c r="B7331">
        <v>13.497</v>
      </c>
    </row>
    <row r="7332" spans="1:2">
      <c r="A7332" s="117">
        <v>40886</v>
      </c>
      <c r="B7332">
        <v>13.511799999999999</v>
      </c>
    </row>
    <row r="7333" spans="1:2">
      <c r="A7333" s="117">
        <v>40887</v>
      </c>
      <c r="B7333">
        <v>13.6569</v>
      </c>
    </row>
    <row r="7334" spans="1:2">
      <c r="A7334" s="117">
        <v>40888</v>
      </c>
      <c r="B7334">
        <v>13.6569</v>
      </c>
    </row>
    <row r="7335" spans="1:2">
      <c r="A7335" s="117">
        <v>40889</v>
      </c>
      <c r="B7335">
        <v>13.6569</v>
      </c>
    </row>
    <row r="7336" spans="1:2">
      <c r="A7336" s="117">
        <v>40890</v>
      </c>
      <c r="B7336">
        <v>13.6569</v>
      </c>
    </row>
    <row r="7337" spans="1:2">
      <c r="A7337" s="117">
        <v>40891</v>
      </c>
      <c r="B7337">
        <v>13.640599999999999</v>
      </c>
    </row>
    <row r="7338" spans="1:2">
      <c r="A7338" s="117">
        <v>40892</v>
      </c>
      <c r="B7338">
        <v>13.7714</v>
      </c>
    </row>
    <row r="7339" spans="1:2">
      <c r="A7339" s="117">
        <v>40893</v>
      </c>
      <c r="B7339">
        <v>13.9412</v>
      </c>
    </row>
    <row r="7340" spans="1:2">
      <c r="A7340" s="117">
        <v>40894</v>
      </c>
      <c r="B7340">
        <v>13.823</v>
      </c>
    </row>
    <row r="7341" spans="1:2">
      <c r="A7341" s="117">
        <v>40895</v>
      </c>
      <c r="B7341">
        <v>13.823</v>
      </c>
    </row>
    <row r="7342" spans="1:2">
      <c r="A7342" s="117">
        <v>40896</v>
      </c>
      <c r="B7342">
        <v>13.823</v>
      </c>
    </row>
    <row r="7343" spans="1:2">
      <c r="A7343" s="117">
        <v>40897</v>
      </c>
      <c r="B7343">
        <v>13.845000000000001</v>
      </c>
    </row>
    <row r="7344" spans="1:2">
      <c r="A7344" s="117">
        <v>40898</v>
      </c>
      <c r="B7344">
        <v>13.854200000000001</v>
      </c>
    </row>
    <row r="7345" spans="1:2">
      <c r="A7345" s="117">
        <v>40899</v>
      </c>
      <c r="B7345">
        <v>13.772</v>
      </c>
    </row>
    <row r="7346" spans="1:2">
      <c r="A7346" s="117">
        <v>40900</v>
      </c>
      <c r="B7346">
        <v>13.852600000000001</v>
      </c>
    </row>
    <row r="7347" spans="1:2">
      <c r="A7347" s="117">
        <v>40901</v>
      </c>
      <c r="B7347">
        <v>13.8169</v>
      </c>
    </row>
    <row r="7348" spans="1:2">
      <c r="A7348" s="117">
        <v>40902</v>
      </c>
      <c r="B7348">
        <v>13.8169</v>
      </c>
    </row>
    <row r="7349" spans="1:2">
      <c r="A7349" s="117">
        <v>40903</v>
      </c>
      <c r="B7349">
        <v>13.8169</v>
      </c>
    </row>
    <row r="7350" spans="1:2">
      <c r="A7350" s="117">
        <v>40904</v>
      </c>
      <c r="B7350">
        <v>13.8163</v>
      </c>
    </row>
    <row r="7351" spans="1:2">
      <c r="A7351" s="117">
        <v>40905</v>
      </c>
      <c r="B7351">
        <v>13.8483</v>
      </c>
    </row>
    <row r="7352" spans="1:2">
      <c r="A7352" s="117">
        <v>40906</v>
      </c>
      <c r="B7352">
        <v>13.9658</v>
      </c>
    </row>
    <row r="7353" spans="1:2">
      <c r="A7353" s="117">
        <v>40907</v>
      </c>
      <c r="B7353">
        <v>13.990399999999999</v>
      </c>
    </row>
    <row r="7354" spans="1:2">
      <c r="A7354" s="117">
        <v>40908</v>
      </c>
      <c r="B7354">
        <v>13.9787</v>
      </c>
    </row>
    <row r="7355" spans="1:2">
      <c r="A7355" s="117">
        <v>40909</v>
      </c>
      <c r="B7355">
        <v>13.9787</v>
      </c>
    </row>
    <row r="7356" spans="1:2">
      <c r="A7356" s="117">
        <v>40910</v>
      </c>
      <c r="B7356">
        <v>13.9787</v>
      </c>
    </row>
    <row r="7357" spans="1:2">
      <c r="A7357" s="117">
        <v>40911</v>
      </c>
      <c r="B7357">
        <v>13.9476</v>
      </c>
    </row>
    <row r="7358" spans="1:2">
      <c r="A7358" s="117">
        <v>40912</v>
      </c>
      <c r="B7358">
        <v>13.934200000000001</v>
      </c>
    </row>
    <row r="7359" spans="1:2">
      <c r="A7359" s="117">
        <v>40913</v>
      </c>
      <c r="B7359">
        <v>13.6882</v>
      </c>
    </row>
    <row r="7360" spans="1:2">
      <c r="A7360" s="117">
        <v>40914</v>
      </c>
      <c r="B7360">
        <v>13.714399999999999</v>
      </c>
    </row>
    <row r="7361" spans="1:2">
      <c r="A7361" s="117">
        <v>40915</v>
      </c>
      <c r="B7361">
        <v>13.7409</v>
      </c>
    </row>
    <row r="7362" spans="1:2">
      <c r="A7362" s="117">
        <v>40916</v>
      </c>
      <c r="B7362">
        <v>13.7409</v>
      </c>
    </row>
    <row r="7363" spans="1:2">
      <c r="A7363" s="117">
        <v>40917</v>
      </c>
      <c r="B7363">
        <v>13.7409</v>
      </c>
    </row>
    <row r="7364" spans="1:2">
      <c r="A7364" s="117">
        <v>40918</v>
      </c>
      <c r="B7364">
        <v>13.722799999999999</v>
      </c>
    </row>
    <row r="7365" spans="1:2">
      <c r="A7365" s="117">
        <v>40919</v>
      </c>
      <c r="B7365">
        <v>13.7437</v>
      </c>
    </row>
    <row r="7366" spans="1:2">
      <c r="A7366" s="117">
        <v>40920</v>
      </c>
      <c r="B7366">
        <v>13.6204</v>
      </c>
    </row>
    <row r="7367" spans="1:2">
      <c r="A7367" s="117">
        <v>40921</v>
      </c>
      <c r="B7367">
        <v>13.6592</v>
      </c>
    </row>
    <row r="7368" spans="1:2">
      <c r="A7368" s="117">
        <v>40922</v>
      </c>
      <c r="B7368">
        <v>13.5982</v>
      </c>
    </row>
    <row r="7369" spans="1:2">
      <c r="A7369" s="117">
        <v>40923</v>
      </c>
      <c r="B7369">
        <v>13.5982</v>
      </c>
    </row>
    <row r="7370" spans="1:2">
      <c r="A7370" s="117">
        <v>40924</v>
      </c>
      <c r="B7370">
        <v>13.5982</v>
      </c>
    </row>
    <row r="7371" spans="1:2">
      <c r="A7371" s="117">
        <v>40925</v>
      </c>
      <c r="B7371">
        <v>13.626300000000001</v>
      </c>
    </row>
    <row r="7372" spans="1:2">
      <c r="A7372" s="117">
        <v>40926</v>
      </c>
      <c r="B7372">
        <v>13.540100000000001</v>
      </c>
    </row>
    <row r="7373" spans="1:2">
      <c r="A7373" s="117">
        <v>40927</v>
      </c>
      <c r="B7373">
        <v>13.4621</v>
      </c>
    </row>
    <row r="7374" spans="1:2">
      <c r="A7374" s="117">
        <v>40928</v>
      </c>
      <c r="B7374">
        <v>13.326700000000001</v>
      </c>
    </row>
    <row r="7375" spans="1:2">
      <c r="A7375" s="117">
        <v>40929</v>
      </c>
      <c r="B7375">
        <v>13.2516</v>
      </c>
    </row>
    <row r="7376" spans="1:2">
      <c r="A7376" s="117">
        <v>40930</v>
      </c>
      <c r="B7376">
        <v>13.2516</v>
      </c>
    </row>
    <row r="7377" spans="1:2">
      <c r="A7377" s="117">
        <v>40931</v>
      </c>
      <c r="B7377">
        <v>13.2516</v>
      </c>
    </row>
    <row r="7378" spans="1:2">
      <c r="A7378" s="117">
        <v>40932</v>
      </c>
      <c r="B7378">
        <v>13.224</v>
      </c>
    </row>
    <row r="7379" spans="1:2">
      <c r="A7379" s="117">
        <v>40933</v>
      </c>
      <c r="B7379">
        <v>13.138299999999999</v>
      </c>
    </row>
    <row r="7380" spans="1:2">
      <c r="A7380" s="117">
        <v>40934</v>
      </c>
      <c r="B7380">
        <v>13.171200000000001</v>
      </c>
    </row>
    <row r="7381" spans="1:2">
      <c r="A7381" s="117">
        <v>40935</v>
      </c>
      <c r="B7381">
        <v>13.1319</v>
      </c>
    </row>
    <row r="7382" spans="1:2">
      <c r="A7382" s="117">
        <v>40936</v>
      </c>
      <c r="B7382">
        <v>12.932499999999999</v>
      </c>
    </row>
    <row r="7383" spans="1:2">
      <c r="A7383" s="117">
        <v>40937</v>
      </c>
      <c r="B7383">
        <v>12.932499999999999</v>
      </c>
    </row>
    <row r="7384" spans="1:2">
      <c r="A7384" s="117">
        <v>40938</v>
      </c>
      <c r="B7384">
        <v>12.932499999999999</v>
      </c>
    </row>
    <row r="7385" spans="1:2">
      <c r="A7385" s="117">
        <v>40939</v>
      </c>
      <c r="B7385">
        <v>12.9504</v>
      </c>
    </row>
    <row r="7386" spans="1:2">
      <c r="A7386" s="117">
        <v>40940</v>
      </c>
      <c r="B7386">
        <v>13.0063</v>
      </c>
    </row>
    <row r="7387" spans="1:2">
      <c r="A7387" s="117">
        <v>40941</v>
      </c>
      <c r="B7387">
        <v>13.0077</v>
      </c>
    </row>
    <row r="7388" spans="1:2">
      <c r="A7388" s="117">
        <v>40942</v>
      </c>
      <c r="B7388">
        <v>12.89</v>
      </c>
    </row>
    <row r="7389" spans="1:2">
      <c r="A7389" s="117">
        <v>40943</v>
      </c>
      <c r="B7389">
        <v>12.803800000000001</v>
      </c>
    </row>
    <row r="7390" spans="1:2">
      <c r="A7390" s="117">
        <v>40944</v>
      </c>
      <c r="B7390">
        <v>12.803800000000001</v>
      </c>
    </row>
    <row r="7391" spans="1:2">
      <c r="A7391" s="117">
        <v>40945</v>
      </c>
      <c r="B7391">
        <v>12.803800000000001</v>
      </c>
    </row>
    <row r="7392" spans="1:2">
      <c r="A7392" s="117">
        <v>40946</v>
      </c>
      <c r="B7392">
        <v>12.803800000000001</v>
      </c>
    </row>
    <row r="7393" spans="1:2">
      <c r="A7393" s="117">
        <v>40947</v>
      </c>
      <c r="B7393">
        <v>12.712</v>
      </c>
    </row>
    <row r="7394" spans="1:2">
      <c r="A7394" s="117">
        <v>40948</v>
      </c>
      <c r="B7394">
        <v>12.6472</v>
      </c>
    </row>
    <row r="7395" spans="1:2">
      <c r="A7395" s="117">
        <v>40949</v>
      </c>
      <c r="B7395">
        <v>12.683299999999999</v>
      </c>
    </row>
    <row r="7396" spans="1:2">
      <c r="A7396" s="117">
        <v>40950</v>
      </c>
      <c r="B7396">
        <v>12.72</v>
      </c>
    </row>
    <row r="7397" spans="1:2">
      <c r="A7397" s="117">
        <v>40951</v>
      </c>
      <c r="B7397">
        <v>12.72</v>
      </c>
    </row>
    <row r="7398" spans="1:2">
      <c r="A7398" s="117">
        <v>40952</v>
      </c>
      <c r="B7398">
        <v>12.72</v>
      </c>
    </row>
    <row r="7399" spans="1:2">
      <c r="A7399" s="117">
        <v>40953</v>
      </c>
      <c r="B7399">
        <v>12.7857</v>
      </c>
    </row>
    <row r="7400" spans="1:2">
      <c r="A7400" s="117">
        <v>40954</v>
      </c>
      <c r="B7400">
        <v>12.7392</v>
      </c>
    </row>
    <row r="7401" spans="1:2">
      <c r="A7401" s="117">
        <v>40955</v>
      </c>
      <c r="B7401">
        <v>12.7753</v>
      </c>
    </row>
    <row r="7402" spans="1:2">
      <c r="A7402" s="117">
        <v>40956</v>
      </c>
      <c r="B7402">
        <v>12.7658</v>
      </c>
    </row>
    <row r="7403" spans="1:2">
      <c r="A7403" s="117">
        <v>40957</v>
      </c>
      <c r="B7403">
        <v>12.882199999999999</v>
      </c>
    </row>
    <row r="7404" spans="1:2">
      <c r="A7404" s="117">
        <v>40958</v>
      </c>
      <c r="B7404">
        <v>12.882199999999999</v>
      </c>
    </row>
    <row r="7405" spans="1:2">
      <c r="A7405" s="117">
        <v>40959</v>
      </c>
      <c r="B7405">
        <v>12.882199999999999</v>
      </c>
    </row>
    <row r="7406" spans="1:2">
      <c r="A7406" s="117">
        <v>40960</v>
      </c>
      <c r="B7406">
        <v>12.785600000000001</v>
      </c>
    </row>
    <row r="7407" spans="1:2">
      <c r="A7407" s="117">
        <v>40961</v>
      </c>
      <c r="B7407">
        <v>12.6793</v>
      </c>
    </row>
    <row r="7408" spans="1:2">
      <c r="A7408" s="117">
        <v>40962</v>
      </c>
      <c r="B7408">
        <v>12.7408</v>
      </c>
    </row>
    <row r="7409" spans="1:2">
      <c r="A7409" s="117">
        <v>40963</v>
      </c>
      <c r="B7409">
        <v>12.829599999999999</v>
      </c>
    </row>
    <row r="7410" spans="1:2">
      <c r="A7410" s="117">
        <v>40964</v>
      </c>
      <c r="B7410">
        <v>12.8294</v>
      </c>
    </row>
    <row r="7411" spans="1:2">
      <c r="A7411" s="117">
        <v>40965</v>
      </c>
      <c r="B7411">
        <v>12.8294</v>
      </c>
    </row>
    <row r="7412" spans="1:2">
      <c r="A7412" s="117">
        <v>40966</v>
      </c>
      <c r="B7412">
        <v>12.8294</v>
      </c>
    </row>
    <row r="7413" spans="1:2">
      <c r="A7413" s="117">
        <v>40967</v>
      </c>
      <c r="B7413">
        <v>12.8675</v>
      </c>
    </row>
    <row r="7414" spans="1:2">
      <c r="A7414" s="117">
        <v>40968</v>
      </c>
      <c r="B7414">
        <v>12.8779</v>
      </c>
    </row>
    <row r="7415" spans="1:2">
      <c r="A7415" s="117">
        <v>40969</v>
      </c>
      <c r="B7415">
        <v>12.8575</v>
      </c>
    </row>
    <row r="7416" spans="1:2">
      <c r="A7416" s="117">
        <v>40970</v>
      </c>
      <c r="B7416">
        <v>12.789099999999999</v>
      </c>
    </row>
    <row r="7417" spans="1:2">
      <c r="A7417" s="117">
        <v>40971</v>
      </c>
      <c r="B7417">
        <v>12.776400000000001</v>
      </c>
    </row>
    <row r="7418" spans="1:2">
      <c r="A7418" s="117">
        <v>40972</v>
      </c>
      <c r="B7418">
        <v>12.776400000000001</v>
      </c>
    </row>
    <row r="7419" spans="1:2">
      <c r="A7419" s="117">
        <v>40973</v>
      </c>
      <c r="B7419">
        <v>12.776400000000001</v>
      </c>
    </row>
    <row r="7420" spans="1:2">
      <c r="A7420" s="117">
        <v>40974</v>
      </c>
      <c r="B7420">
        <v>12.7723</v>
      </c>
    </row>
    <row r="7421" spans="1:2">
      <c r="A7421" s="117">
        <v>40975</v>
      </c>
      <c r="B7421">
        <v>12.8339</v>
      </c>
    </row>
    <row r="7422" spans="1:2">
      <c r="A7422" s="117">
        <v>40976</v>
      </c>
      <c r="B7422">
        <v>12.9777</v>
      </c>
    </row>
    <row r="7423" spans="1:2">
      <c r="A7423" s="117">
        <v>40977</v>
      </c>
      <c r="B7423">
        <v>12.946899999999999</v>
      </c>
    </row>
    <row r="7424" spans="1:2">
      <c r="A7424" s="117">
        <v>40978</v>
      </c>
      <c r="B7424">
        <v>12.784000000000001</v>
      </c>
    </row>
    <row r="7425" spans="1:2">
      <c r="A7425" s="117">
        <v>40979</v>
      </c>
      <c r="B7425">
        <v>12.784000000000001</v>
      </c>
    </row>
    <row r="7426" spans="1:2">
      <c r="A7426" s="117">
        <v>40980</v>
      </c>
      <c r="B7426">
        <v>12.784000000000001</v>
      </c>
    </row>
    <row r="7427" spans="1:2">
      <c r="A7427" s="117">
        <v>40981</v>
      </c>
      <c r="B7427">
        <v>12.629899999999999</v>
      </c>
    </row>
    <row r="7428" spans="1:2">
      <c r="A7428" s="117">
        <v>40982</v>
      </c>
      <c r="B7428">
        <v>12.715</v>
      </c>
    </row>
    <row r="7429" spans="1:2">
      <c r="A7429" s="117">
        <v>40983</v>
      </c>
      <c r="B7429">
        <v>12.633599999999999</v>
      </c>
    </row>
    <row r="7430" spans="1:2">
      <c r="A7430" s="117">
        <v>40984</v>
      </c>
      <c r="B7430">
        <v>12.671900000000001</v>
      </c>
    </row>
    <row r="7431" spans="1:2">
      <c r="A7431" s="117">
        <v>40985</v>
      </c>
      <c r="B7431">
        <v>12.6591</v>
      </c>
    </row>
    <row r="7432" spans="1:2">
      <c r="A7432" s="117">
        <v>40986</v>
      </c>
      <c r="B7432">
        <v>12.6591</v>
      </c>
    </row>
    <row r="7433" spans="1:2">
      <c r="A7433" s="117">
        <v>40987</v>
      </c>
      <c r="B7433">
        <v>12.6591</v>
      </c>
    </row>
    <row r="7434" spans="1:2">
      <c r="A7434" s="117">
        <v>40988</v>
      </c>
      <c r="B7434">
        <v>12.6591</v>
      </c>
    </row>
    <row r="7435" spans="1:2">
      <c r="A7435" s="117">
        <v>40989</v>
      </c>
      <c r="B7435">
        <v>12.6645</v>
      </c>
    </row>
    <row r="7436" spans="1:2">
      <c r="A7436" s="117">
        <v>40990</v>
      </c>
      <c r="B7436">
        <v>12.6935</v>
      </c>
    </row>
    <row r="7437" spans="1:2">
      <c r="A7437" s="117">
        <v>40991</v>
      </c>
      <c r="B7437">
        <v>12.683299999999999</v>
      </c>
    </row>
    <row r="7438" spans="1:2">
      <c r="A7438" s="117">
        <v>40992</v>
      </c>
      <c r="B7438">
        <v>12.833</v>
      </c>
    </row>
    <row r="7439" spans="1:2">
      <c r="A7439" s="117">
        <v>40993</v>
      </c>
      <c r="B7439">
        <v>12.833</v>
      </c>
    </row>
    <row r="7440" spans="1:2">
      <c r="A7440" s="117">
        <v>40994</v>
      </c>
      <c r="B7440">
        <v>12.833</v>
      </c>
    </row>
    <row r="7441" spans="1:2">
      <c r="A7441" s="117">
        <v>40995</v>
      </c>
      <c r="B7441">
        <v>12.8035</v>
      </c>
    </row>
    <row r="7442" spans="1:2">
      <c r="A7442" s="117">
        <v>40996</v>
      </c>
      <c r="B7442">
        <v>12.679500000000001</v>
      </c>
    </row>
    <row r="7443" spans="1:2">
      <c r="A7443" s="117">
        <v>40997</v>
      </c>
      <c r="B7443">
        <v>12.6706</v>
      </c>
    </row>
    <row r="7444" spans="1:2">
      <c r="A7444" s="117">
        <v>40998</v>
      </c>
      <c r="B7444">
        <v>12.803900000000001</v>
      </c>
    </row>
    <row r="7445" spans="1:2">
      <c r="A7445" s="117">
        <v>40999</v>
      </c>
      <c r="B7445">
        <v>12.8489</v>
      </c>
    </row>
    <row r="7446" spans="1:2">
      <c r="A7446" s="117">
        <v>41000</v>
      </c>
      <c r="B7446">
        <v>12.8489</v>
      </c>
    </row>
    <row r="7447" spans="1:2">
      <c r="A7447" s="117">
        <v>41001</v>
      </c>
      <c r="B7447">
        <v>12.8489</v>
      </c>
    </row>
    <row r="7448" spans="1:2">
      <c r="A7448" s="117">
        <v>41002</v>
      </c>
      <c r="B7448">
        <v>12.8093</v>
      </c>
    </row>
    <row r="7449" spans="1:2">
      <c r="A7449" s="117">
        <v>41003</v>
      </c>
      <c r="B7449">
        <v>12.7691</v>
      </c>
    </row>
    <row r="7450" spans="1:2">
      <c r="A7450" s="117">
        <v>41004</v>
      </c>
      <c r="B7450">
        <v>12.7317</v>
      </c>
    </row>
    <row r="7451" spans="1:2">
      <c r="A7451" s="117">
        <v>41005</v>
      </c>
      <c r="B7451">
        <v>12.7317</v>
      </c>
    </row>
    <row r="7452" spans="1:2">
      <c r="A7452" s="117">
        <v>41006</v>
      </c>
      <c r="B7452">
        <v>12.7317</v>
      </c>
    </row>
    <row r="7453" spans="1:2">
      <c r="A7453" s="117">
        <v>41007</v>
      </c>
      <c r="B7453">
        <v>12.7317</v>
      </c>
    </row>
    <row r="7454" spans="1:2">
      <c r="A7454" s="117">
        <v>41008</v>
      </c>
      <c r="B7454">
        <v>12.7317</v>
      </c>
    </row>
    <row r="7455" spans="1:2">
      <c r="A7455" s="117">
        <v>41009</v>
      </c>
      <c r="B7455">
        <v>12.8155</v>
      </c>
    </row>
    <row r="7456" spans="1:2">
      <c r="A7456" s="117">
        <v>41010</v>
      </c>
      <c r="B7456">
        <v>12.9902</v>
      </c>
    </row>
    <row r="7457" spans="1:2">
      <c r="A7457" s="117">
        <v>41011</v>
      </c>
      <c r="B7457">
        <v>13.1568</v>
      </c>
    </row>
    <row r="7458" spans="1:2">
      <c r="A7458" s="117">
        <v>41012</v>
      </c>
      <c r="B7458">
        <v>13.132400000000001</v>
      </c>
    </row>
    <row r="7459" spans="1:2">
      <c r="A7459" s="117">
        <v>41013</v>
      </c>
      <c r="B7459">
        <v>13.073600000000001</v>
      </c>
    </row>
    <row r="7460" spans="1:2">
      <c r="A7460" s="117">
        <v>41014</v>
      </c>
      <c r="B7460">
        <v>13.073600000000001</v>
      </c>
    </row>
    <row r="7461" spans="1:2">
      <c r="A7461" s="117">
        <v>41015</v>
      </c>
      <c r="B7461">
        <v>13.073600000000001</v>
      </c>
    </row>
    <row r="7462" spans="1:2">
      <c r="A7462" s="117">
        <v>41016</v>
      </c>
      <c r="B7462">
        <v>13.145799999999999</v>
      </c>
    </row>
    <row r="7463" spans="1:2">
      <c r="A7463" s="117">
        <v>41017</v>
      </c>
      <c r="B7463">
        <v>13.216799999999999</v>
      </c>
    </row>
    <row r="7464" spans="1:2">
      <c r="A7464" s="117">
        <v>41018</v>
      </c>
      <c r="B7464">
        <v>13.0816</v>
      </c>
    </row>
    <row r="7465" spans="1:2">
      <c r="A7465" s="117">
        <v>41019</v>
      </c>
      <c r="B7465">
        <v>13.132199999999999</v>
      </c>
    </row>
    <row r="7466" spans="1:2">
      <c r="A7466" s="117">
        <v>41020</v>
      </c>
      <c r="B7466">
        <v>13.2288</v>
      </c>
    </row>
    <row r="7467" spans="1:2">
      <c r="A7467" s="117">
        <v>41021</v>
      </c>
      <c r="B7467">
        <v>13.2288</v>
      </c>
    </row>
    <row r="7468" spans="1:2">
      <c r="A7468" s="117">
        <v>41022</v>
      </c>
      <c r="B7468">
        <v>13.2288</v>
      </c>
    </row>
    <row r="7469" spans="1:2">
      <c r="A7469" s="117">
        <v>41023</v>
      </c>
      <c r="B7469">
        <v>13.117100000000001</v>
      </c>
    </row>
    <row r="7470" spans="1:2">
      <c r="A7470" s="117">
        <v>41024</v>
      </c>
      <c r="B7470">
        <v>13.2087</v>
      </c>
    </row>
    <row r="7471" spans="1:2">
      <c r="A7471" s="117">
        <v>41025</v>
      </c>
      <c r="B7471">
        <v>13.139200000000001</v>
      </c>
    </row>
    <row r="7472" spans="1:2">
      <c r="A7472" s="117">
        <v>41026</v>
      </c>
      <c r="B7472">
        <v>13.166700000000001</v>
      </c>
    </row>
    <row r="7473" spans="1:2">
      <c r="A7473" s="117">
        <v>41027</v>
      </c>
      <c r="B7473">
        <v>13.209300000000001</v>
      </c>
    </row>
    <row r="7474" spans="1:2">
      <c r="A7474" s="117">
        <v>41028</v>
      </c>
      <c r="B7474">
        <v>13.209300000000001</v>
      </c>
    </row>
    <row r="7475" spans="1:2">
      <c r="A7475" s="117">
        <v>41029</v>
      </c>
      <c r="B7475">
        <v>13.209300000000001</v>
      </c>
    </row>
    <row r="7476" spans="1:2">
      <c r="A7476" s="117">
        <v>41030</v>
      </c>
      <c r="B7476">
        <v>13.014099999999999</v>
      </c>
    </row>
    <row r="7477" spans="1:2">
      <c r="A7477" s="117">
        <v>41031</v>
      </c>
      <c r="B7477">
        <v>13.014099999999999</v>
      </c>
    </row>
    <row r="7478" spans="1:2">
      <c r="A7478" s="117">
        <v>41032</v>
      </c>
      <c r="B7478">
        <v>12.994199999999999</v>
      </c>
    </row>
    <row r="7479" spans="1:2">
      <c r="A7479" s="117">
        <v>41033</v>
      </c>
      <c r="B7479">
        <v>12.962899999999999</v>
      </c>
    </row>
    <row r="7480" spans="1:2">
      <c r="A7480" s="117">
        <v>41034</v>
      </c>
      <c r="B7480">
        <v>12.9725</v>
      </c>
    </row>
    <row r="7481" spans="1:2">
      <c r="A7481" s="117">
        <v>41035</v>
      </c>
      <c r="B7481">
        <v>12.9725</v>
      </c>
    </row>
    <row r="7482" spans="1:2">
      <c r="A7482" s="117">
        <v>41036</v>
      </c>
      <c r="B7482">
        <v>12.9725</v>
      </c>
    </row>
    <row r="7483" spans="1:2">
      <c r="A7483" s="117">
        <v>41037</v>
      </c>
      <c r="B7483">
        <v>13.134399999999999</v>
      </c>
    </row>
    <row r="7484" spans="1:2">
      <c r="A7484" s="117">
        <v>41038</v>
      </c>
      <c r="B7484">
        <v>13.165900000000001</v>
      </c>
    </row>
    <row r="7485" spans="1:2">
      <c r="A7485" s="117">
        <v>41039</v>
      </c>
      <c r="B7485">
        <v>13.337400000000001</v>
      </c>
    </row>
    <row r="7486" spans="1:2">
      <c r="A7486" s="117">
        <v>41040</v>
      </c>
      <c r="B7486">
        <v>13.515000000000001</v>
      </c>
    </row>
    <row r="7487" spans="1:2">
      <c r="A7487" s="117">
        <v>41041</v>
      </c>
      <c r="B7487">
        <v>13.446999999999999</v>
      </c>
    </row>
    <row r="7488" spans="1:2">
      <c r="A7488" s="117">
        <v>41042</v>
      </c>
      <c r="B7488">
        <v>13.446999999999999</v>
      </c>
    </row>
    <row r="7489" spans="1:2">
      <c r="A7489" s="117">
        <v>41043</v>
      </c>
      <c r="B7489">
        <v>13.446999999999999</v>
      </c>
    </row>
    <row r="7490" spans="1:2">
      <c r="A7490" s="117">
        <v>41044</v>
      </c>
      <c r="B7490">
        <v>13.492900000000001</v>
      </c>
    </row>
    <row r="7491" spans="1:2">
      <c r="A7491" s="117">
        <v>41045</v>
      </c>
      <c r="B7491">
        <v>13.6739</v>
      </c>
    </row>
    <row r="7492" spans="1:2">
      <c r="A7492" s="117">
        <v>41046</v>
      </c>
      <c r="B7492">
        <v>13.7302</v>
      </c>
    </row>
    <row r="7493" spans="1:2">
      <c r="A7493" s="117">
        <v>41047</v>
      </c>
      <c r="B7493">
        <v>13.774699999999999</v>
      </c>
    </row>
    <row r="7494" spans="1:2">
      <c r="A7494" s="117">
        <v>41048</v>
      </c>
      <c r="B7494">
        <v>13.7994</v>
      </c>
    </row>
    <row r="7495" spans="1:2">
      <c r="A7495" s="117">
        <v>41049</v>
      </c>
      <c r="B7495">
        <v>13.7994</v>
      </c>
    </row>
    <row r="7496" spans="1:2">
      <c r="A7496" s="117">
        <v>41050</v>
      </c>
      <c r="B7496">
        <v>13.7994</v>
      </c>
    </row>
    <row r="7497" spans="1:2">
      <c r="A7497" s="117">
        <v>41051</v>
      </c>
      <c r="B7497">
        <v>13.780900000000001</v>
      </c>
    </row>
    <row r="7498" spans="1:2">
      <c r="A7498" s="117">
        <v>41052</v>
      </c>
      <c r="B7498">
        <v>13.7935</v>
      </c>
    </row>
    <row r="7499" spans="1:2">
      <c r="A7499" s="117">
        <v>41053</v>
      </c>
      <c r="B7499">
        <v>13.7203</v>
      </c>
    </row>
    <row r="7500" spans="1:2">
      <c r="A7500" s="117">
        <v>41054</v>
      </c>
      <c r="B7500">
        <v>14.0335</v>
      </c>
    </row>
    <row r="7501" spans="1:2">
      <c r="A7501" s="117">
        <v>41055</v>
      </c>
      <c r="B7501">
        <v>14.004</v>
      </c>
    </row>
    <row r="7502" spans="1:2">
      <c r="A7502" s="117">
        <v>41056</v>
      </c>
      <c r="B7502">
        <v>14.004</v>
      </c>
    </row>
    <row r="7503" spans="1:2">
      <c r="A7503" s="117">
        <v>41057</v>
      </c>
      <c r="B7503">
        <v>14.004</v>
      </c>
    </row>
    <row r="7504" spans="1:2">
      <c r="A7504" s="117">
        <v>41058</v>
      </c>
      <c r="B7504">
        <v>14.015599999999999</v>
      </c>
    </row>
    <row r="7505" spans="1:2">
      <c r="A7505" s="117">
        <v>41059</v>
      </c>
      <c r="B7505">
        <v>13.943899999999999</v>
      </c>
    </row>
    <row r="7506" spans="1:2">
      <c r="A7506" s="117">
        <v>41060</v>
      </c>
      <c r="B7506">
        <v>13.9169</v>
      </c>
    </row>
    <row r="7507" spans="1:2">
      <c r="A7507" s="117">
        <v>41061</v>
      </c>
      <c r="B7507">
        <v>14.0749</v>
      </c>
    </row>
    <row r="7508" spans="1:2">
      <c r="A7508" s="117">
        <v>41062</v>
      </c>
      <c r="B7508">
        <v>14.3047</v>
      </c>
    </row>
    <row r="7509" spans="1:2">
      <c r="A7509" s="117">
        <v>41063</v>
      </c>
      <c r="B7509">
        <v>14.3047</v>
      </c>
    </row>
    <row r="7510" spans="1:2">
      <c r="A7510" s="117">
        <v>41064</v>
      </c>
      <c r="B7510">
        <v>14.3047</v>
      </c>
    </row>
    <row r="7511" spans="1:2">
      <c r="A7511" s="117">
        <v>41065</v>
      </c>
      <c r="B7511">
        <v>14.3949</v>
      </c>
    </row>
    <row r="7512" spans="1:2">
      <c r="A7512" s="117">
        <v>41066</v>
      </c>
      <c r="B7512">
        <v>14.244300000000001</v>
      </c>
    </row>
    <row r="7513" spans="1:2">
      <c r="A7513" s="117">
        <v>41067</v>
      </c>
      <c r="B7513">
        <v>14.2319</v>
      </c>
    </row>
    <row r="7514" spans="1:2">
      <c r="A7514" s="117">
        <v>41068</v>
      </c>
      <c r="B7514">
        <v>14.111599999999999</v>
      </c>
    </row>
    <row r="7515" spans="1:2">
      <c r="A7515" s="117">
        <v>41069</v>
      </c>
      <c r="B7515">
        <v>13.935499999999999</v>
      </c>
    </row>
    <row r="7516" spans="1:2">
      <c r="A7516" s="117">
        <v>41070</v>
      </c>
      <c r="B7516">
        <v>13.935499999999999</v>
      </c>
    </row>
    <row r="7517" spans="1:2">
      <c r="A7517" s="117">
        <v>41071</v>
      </c>
      <c r="B7517">
        <v>13.935499999999999</v>
      </c>
    </row>
    <row r="7518" spans="1:2">
      <c r="A7518" s="117">
        <v>41072</v>
      </c>
      <c r="B7518">
        <v>14.0351</v>
      </c>
    </row>
    <row r="7519" spans="1:2">
      <c r="A7519" s="117">
        <v>41073</v>
      </c>
      <c r="B7519">
        <v>13.9625</v>
      </c>
    </row>
    <row r="7520" spans="1:2">
      <c r="A7520" s="117">
        <v>41074</v>
      </c>
      <c r="B7520">
        <v>14.006</v>
      </c>
    </row>
    <row r="7521" spans="1:2">
      <c r="A7521" s="117">
        <v>41075</v>
      </c>
      <c r="B7521">
        <v>13.97</v>
      </c>
    </row>
    <row r="7522" spans="1:2">
      <c r="A7522" s="117">
        <v>41076</v>
      </c>
      <c r="B7522">
        <v>13.997400000000001</v>
      </c>
    </row>
    <row r="7523" spans="1:2">
      <c r="A7523" s="117">
        <v>41077</v>
      </c>
      <c r="B7523">
        <v>13.997400000000001</v>
      </c>
    </row>
    <row r="7524" spans="1:2">
      <c r="A7524" s="117">
        <v>41078</v>
      </c>
      <c r="B7524">
        <v>13.997400000000001</v>
      </c>
    </row>
    <row r="7525" spans="1:2">
      <c r="A7525" s="117">
        <v>41079</v>
      </c>
      <c r="B7525">
        <v>13.9115</v>
      </c>
    </row>
    <row r="7526" spans="1:2">
      <c r="A7526" s="117">
        <v>41080</v>
      </c>
      <c r="B7526">
        <v>13.9154</v>
      </c>
    </row>
    <row r="7527" spans="1:2">
      <c r="A7527" s="117">
        <v>41081</v>
      </c>
      <c r="B7527">
        <v>13.7033</v>
      </c>
    </row>
    <row r="7528" spans="1:2">
      <c r="A7528" s="117">
        <v>41082</v>
      </c>
      <c r="B7528">
        <v>13.7257</v>
      </c>
    </row>
    <row r="7529" spans="1:2">
      <c r="A7529" s="117">
        <v>41083</v>
      </c>
      <c r="B7529">
        <v>13.7668</v>
      </c>
    </row>
    <row r="7530" spans="1:2">
      <c r="A7530" s="117">
        <v>41084</v>
      </c>
      <c r="B7530">
        <v>13.7668</v>
      </c>
    </row>
    <row r="7531" spans="1:2">
      <c r="A7531" s="117">
        <v>41085</v>
      </c>
      <c r="B7531">
        <v>13.7668</v>
      </c>
    </row>
    <row r="7532" spans="1:2">
      <c r="A7532" s="117">
        <v>41086</v>
      </c>
      <c r="B7532">
        <v>13.849</v>
      </c>
    </row>
    <row r="7533" spans="1:2">
      <c r="A7533" s="117">
        <v>41087</v>
      </c>
      <c r="B7533">
        <v>13.9542</v>
      </c>
    </row>
    <row r="7534" spans="1:2">
      <c r="A7534" s="117">
        <v>41088</v>
      </c>
      <c r="B7534">
        <v>13.861599999999999</v>
      </c>
    </row>
    <row r="7535" spans="1:2">
      <c r="A7535" s="117">
        <v>41089</v>
      </c>
      <c r="B7535">
        <v>13.6652</v>
      </c>
    </row>
    <row r="7536" spans="1:2">
      <c r="A7536" s="117">
        <v>41090</v>
      </c>
      <c r="B7536">
        <v>13.653</v>
      </c>
    </row>
    <row r="7537" spans="1:2">
      <c r="A7537" s="117">
        <v>41091</v>
      </c>
      <c r="B7537">
        <v>13.653</v>
      </c>
    </row>
    <row r="7538" spans="1:2">
      <c r="A7538" s="117">
        <v>41092</v>
      </c>
      <c r="B7538">
        <v>13.653</v>
      </c>
    </row>
    <row r="7539" spans="1:2">
      <c r="A7539" s="117">
        <v>41093</v>
      </c>
      <c r="B7539">
        <v>13.4084</v>
      </c>
    </row>
    <row r="7540" spans="1:2">
      <c r="A7540" s="117">
        <v>41094</v>
      </c>
      <c r="B7540">
        <v>13.397</v>
      </c>
    </row>
    <row r="7541" spans="1:2">
      <c r="A7541" s="117">
        <v>41095</v>
      </c>
      <c r="B7541">
        <v>13.317399999999999</v>
      </c>
    </row>
    <row r="7542" spans="1:2">
      <c r="A7542" s="117">
        <v>41096</v>
      </c>
      <c r="B7542">
        <v>13.361700000000001</v>
      </c>
    </row>
    <row r="7543" spans="1:2">
      <c r="A7543" s="117">
        <v>41097</v>
      </c>
      <c r="B7543">
        <v>13.3508</v>
      </c>
    </row>
    <row r="7544" spans="1:2">
      <c r="A7544" s="117">
        <v>41098</v>
      </c>
      <c r="B7544">
        <v>13.3508</v>
      </c>
    </row>
    <row r="7545" spans="1:2">
      <c r="A7545" s="117">
        <v>41099</v>
      </c>
      <c r="B7545">
        <v>13.3508</v>
      </c>
    </row>
    <row r="7546" spans="1:2">
      <c r="A7546" s="117">
        <v>41100</v>
      </c>
      <c r="B7546">
        <v>13.4925</v>
      </c>
    </row>
    <row r="7547" spans="1:2">
      <c r="A7547" s="117">
        <v>41101</v>
      </c>
      <c r="B7547">
        <v>13.4533</v>
      </c>
    </row>
    <row r="7548" spans="1:2">
      <c r="A7548" s="117">
        <v>41102</v>
      </c>
      <c r="B7548">
        <v>13.292400000000001</v>
      </c>
    </row>
    <row r="7549" spans="1:2">
      <c r="A7549" s="117">
        <v>41103</v>
      </c>
      <c r="B7549">
        <v>13.3241</v>
      </c>
    </row>
    <row r="7550" spans="1:2">
      <c r="A7550" s="117">
        <v>41104</v>
      </c>
      <c r="B7550">
        <v>13.4795</v>
      </c>
    </row>
    <row r="7551" spans="1:2">
      <c r="A7551" s="117">
        <v>41105</v>
      </c>
      <c r="B7551">
        <v>13.4795</v>
      </c>
    </row>
    <row r="7552" spans="1:2">
      <c r="A7552" s="117">
        <v>41106</v>
      </c>
      <c r="B7552">
        <v>13.4795</v>
      </c>
    </row>
    <row r="7553" spans="1:2">
      <c r="A7553" s="117">
        <v>41107</v>
      </c>
      <c r="B7553">
        <v>13.344900000000001</v>
      </c>
    </row>
    <row r="7554" spans="1:2">
      <c r="A7554" s="117">
        <v>41108</v>
      </c>
      <c r="B7554">
        <v>13.283200000000001</v>
      </c>
    </row>
    <row r="7555" spans="1:2">
      <c r="A7555" s="117">
        <v>41109</v>
      </c>
      <c r="B7555">
        <v>13.2226</v>
      </c>
    </row>
    <row r="7556" spans="1:2">
      <c r="A7556" s="117">
        <v>41110</v>
      </c>
      <c r="B7556">
        <v>13.120100000000001</v>
      </c>
    </row>
    <row r="7557" spans="1:2">
      <c r="A7557" s="117">
        <v>41111</v>
      </c>
      <c r="B7557">
        <v>13.1921</v>
      </c>
    </row>
    <row r="7558" spans="1:2">
      <c r="A7558" s="117">
        <v>41112</v>
      </c>
      <c r="B7558">
        <v>13.1921</v>
      </c>
    </row>
    <row r="7559" spans="1:2">
      <c r="A7559" s="117">
        <v>41113</v>
      </c>
      <c r="B7559">
        <v>13.1921</v>
      </c>
    </row>
    <row r="7560" spans="1:2">
      <c r="A7560" s="117">
        <v>41114</v>
      </c>
      <c r="B7560">
        <v>13.2928</v>
      </c>
    </row>
    <row r="7561" spans="1:2">
      <c r="A7561" s="117">
        <v>41115</v>
      </c>
      <c r="B7561">
        <v>13.521800000000001</v>
      </c>
    </row>
    <row r="7562" spans="1:2">
      <c r="A7562" s="117">
        <v>41116</v>
      </c>
      <c r="B7562">
        <v>13.679600000000001</v>
      </c>
    </row>
    <row r="7563" spans="1:2">
      <c r="A7563" s="117">
        <v>41117</v>
      </c>
      <c r="B7563">
        <v>13.6541</v>
      </c>
    </row>
    <row r="7564" spans="1:2">
      <c r="A7564" s="117">
        <v>41118</v>
      </c>
      <c r="B7564">
        <v>13.442500000000001</v>
      </c>
    </row>
    <row r="7565" spans="1:2">
      <c r="A7565" s="117">
        <v>41119</v>
      </c>
      <c r="B7565">
        <v>13.442500000000001</v>
      </c>
    </row>
    <row r="7566" spans="1:2">
      <c r="A7566" s="117">
        <v>41120</v>
      </c>
      <c r="B7566">
        <v>13.442500000000001</v>
      </c>
    </row>
    <row r="7567" spans="1:2">
      <c r="A7567" s="117">
        <v>41121</v>
      </c>
      <c r="B7567">
        <v>13.2837</v>
      </c>
    </row>
    <row r="7568" spans="1:2">
      <c r="A7568" s="117">
        <v>41122</v>
      </c>
      <c r="B7568">
        <v>13.2644</v>
      </c>
    </row>
    <row r="7569" spans="1:2">
      <c r="A7569" s="117">
        <v>41123</v>
      </c>
      <c r="B7569">
        <v>13.283300000000001</v>
      </c>
    </row>
    <row r="7570" spans="1:2">
      <c r="A7570" s="117">
        <v>41124</v>
      </c>
      <c r="B7570">
        <v>13.2867</v>
      </c>
    </row>
    <row r="7571" spans="1:2">
      <c r="A7571" s="117">
        <v>41125</v>
      </c>
      <c r="B7571">
        <v>13.3927</v>
      </c>
    </row>
    <row r="7572" spans="1:2">
      <c r="A7572" s="117">
        <v>41126</v>
      </c>
      <c r="B7572">
        <v>13.3927</v>
      </c>
    </row>
    <row r="7573" spans="1:2">
      <c r="A7573" s="117">
        <v>41127</v>
      </c>
      <c r="B7573">
        <v>13.3927</v>
      </c>
    </row>
    <row r="7574" spans="1:2">
      <c r="A7574" s="117">
        <v>41128</v>
      </c>
      <c r="B7574">
        <v>13.1357</v>
      </c>
    </row>
    <row r="7575" spans="1:2">
      <c r="A7575" s="117">
        <v>41129</v>
      </c>
      <c r="B7575">
        <v>13.0708</v>
      </c>
    </row>
    <row r="7576" spans="1:2">
      <c r="A7576" s="117">
        <v>41130</v>
      </c>
      <c r="B7576">
        <v>13.184900000000001</v>
      </c>
    </row>
    <row r="7577" spans="1:2">
      <c r="A7577" s="117">
        <v>41131</v>
      </c>
      <c r="B7577">
        <v>13.1891</v>
      </c>
    </row>
    <row r="7578" spans="1:2">
      <c r="A7578" s="117">
        <v>41132</v>
      </c>
      <c r="B7578">
        <v>13.1188</v>
      </c>
    </row>
    <row r="7579" spans="1:2">
      <c r="A7579" s="117">
        <v>41133</v>
      </c>
      <c r="B7579">
        <v>13.1188</v>
      </c>
    </row>
    <row r="7580" spans="1:2">
      <c r="A7580" s="117">
        <v>41134</v>
      </c>
      <c r="B7580">
        <v>13.1188</v>
      </c>
    </row>
    <row r="7581" spans="1:2">
      <c r="A7581" s="117">
        <v>41135</v>
      </c>
      <c r="B7581">
        <v>13.109400000000001</v>
      </c>
    </row>
    <row r="7582" spans="1:2">
      <c r="A7582" s="117">
        <v>41136</v>
      </c>
      <c r="B7582">
        <v>13.147399999999999</v>
      </c>
    </row>
    <row r="7583" spans="1:2">
      <c r="A7583" s="117">
        <v>41137</v>
      </c>
      <c r="B7583">
        <v>13.1311</v>
      </c>
    </row>
    <row r="7584" spans="1:2">
      <c r="A7584" s="117">
        <v>41138</v>
      </c>
      <c r="B7584">
        <v>13.1639</v>
      </c>
    </row>
    <row r="7585" spans="1:2">
      <c r="A7585" s="117">
        <v>41139</v>
      </c>
      <c r="B7585">
        <v>13.143000000000001</v>
      </c>
    </row>
    <row r="7586" spans="1:2">
      <c r="A7586" s="117">
        <v>41140</v>
      </c>
      <c r="B7586">
        <v>13.143000000000001</v>
      </c>
    </row>
    <row r="7587" spans="1:2">
      <c r="A7587" s="117">
        <v>41141</v>
      </c>
      <c r="B7587">
        <v>13.143000000000001</v>
      </c>
    </row>
    <row r="7588" spans="1:2">
      <c r="A7588" s="117">
        <v>41142</v>
      </c>
      <c r="B7588">
        <v>13.1745</v>
      </c>
    </row>
    <row r="7589" spans="1:2">
      <c r="A7589" s="117">
        <v>41143</v>
      </c>
      <c r="B7589">
        <v>13.126099999999999</v>
      </c>
    </row>
    <row r="7590" spans="1:2">
      <c r="A7590" s="117">
        <v>41144</v>
      </c>
      <c r="B7590">
        <v>13.0854</v>
      </c>
    </row>
    <row r="7591" spans="1:2">
      <c r="A7591" s="117">
        <v>41145</v>
      </c>
      <c r="B7591">
        <v>13.1762</v>
      </c>
    </row>
    <row r="7592" spans="1:2">
      <c r="A7592" s="117">
        <v>41146</v>
      </c>
      <c r="B7592">
        <v>13.128399999999999</v>
      </c>
    </row>
    <row r="7593" spans="1:2">
      <c r="A7593" s="117">
        <v>41147</v>
      </c>
      <c r="B7593">
        <v>13.128399999999999</v>
      </c>
    </row>
    <row r="7594" spans="1:2">
      <c r="A7594" s="117">
        <v>41148</v>
      </c>
      <c r="B7594">
        <v>13.128399999999999</v>
      </c>
    </row>
    <row r="7595" spans="1:2">
      <c r="A7595" s="117">
        <v>41149</v>
      </c>
      <c r="B7595">
        <v>13.176</v>
      </c>
    </row>
    <row r="7596" spans="1:2">
      <c r="A7596" s="117">
        <v>41150</v>
      </c>
      <c r="B7596">
        <v>13.170299999999999</v>
      </c>
    </row>
    <row r="7597" spans="1:2">
      <c r="A7597" s="117">
        <v>41151</v>
      </c>
      <c r="B7597">
        <v>13.184699999999999</v>
      </c>
    </row>
    <row r="7598" spans="1:2">
      <c r="A7598" s="117">
        <v>41152</v>
      </c>
      <c r="B7598">
        <v>13.2746</v>
      </c>
    </row>
    <row r="7599" spans="1:2">
      <c r="A7599" s="117">
        <v>41153</v>
      </c>
      <c r="B7599">
        <v>13.417199999999999</v>
      </c>
    </row>
    <row r="7600" spans="1:2">
      <c r="A7600" s="117">
        <v>41154</v>
      </c>
      <c r="B7600">
        <v>13.417199999999999</v>
      </c>
    </row>
    <row r="7601" spans="1:2">
      <c r="A7601" s="117">
        <v>41155</v>
      </c>
      <c r="B7601">
        <v>13.417199999999999</v>
      </c>
    </row>
    <row r="7602" spans="1:2">
      <c r="A7602" s="117">
        <v>41156</v>
      </c>
      <c r="B7602">
        <v>13.257099999999999</v>
      </c>
    </row>
    <row r="7603" spans="1:2">
      <c r="A7603" s="117">
        <v>41157</v>
      </c>
      <c r="B7603">
        <v>13.191000000000001</v>
      </c>
    </row>
    <row r="7604" spans="1:2">
      <c r="A7604" s="117">
        <v>41158</v>
      </c>
      <c r="B7604">
        <v>13.1793</v>
      </c>
    </row>
    <row r="7605" spans="1:2">
      <c r="A7605" s="117">
        <v>41159</v>
      </c>
      <c r="B7605">
        <v>13.1221</v>
      </c>
    </row>
    <row r="7606" spans="1:2">
      <c r="A7606" s="117">
        <v>41160</v>
      </c>
      <c r="B7606">
        <v>13.048299999999999</v>
      </c>
    </row>
    <row r="7607" spans="1:2">
      <c r="A7607" s="117">
        <v>41161</v>
      </c>
      <c r="B7607">
        <v>13.048299999999999</v>
      </c>
    </row>
    <row r="7608" spans="1:2">
      <c r="A7608" s="117">
        <v>41162</v>
      </c>
      <c r="B7608">
        <v>13.048299999999999</v>
      </c>
    </row>
    <row r="7609" spans="1:2">
      <c r="A7609" s="117">
        <v>41163</v>
      </c>
      <c r="B7609">
        <v>12.9976</v>
      </c>
    </row>
    <row r="7610" spans="1:2">
      <c r="A7610" s="117">
        <v>41164</v>
      </c>
      <c r="B7610">
        <v>12.992100000000001</v>
      </c>
    </row>
    <row r="7611" spans="1:2">
      <c r="A7611" s="117">
        <v>41165</v>
      </c>
      <c r="B7611">
        <v>12.9992</v>
      </c>
    </row>
    <row r="7612" spans="1:2">
      <c r="A7612" s="117">
        <v>41166</v>
      </c>
      <c r="B7612">
        <v>13.0305</v>
      </c>
    </row>
    <row r="7613" spans="1:2">
      <c r="A7613" s="117">
        <v>41167</v>
      </c>
      <c r="B7613">
        <v>12.9749</v>
      </c>
    </row>
    <row r="7614" spans="1:2">
      <c r="A7614" s="117">
        <v>41168</v>
      </c>
      <c r="B7614">
        <v>12.9749</v>
      </c>
    </row>
    <row r="7615" spans="1:2">
      <c r="A7615" s="117">
        <v>41169</v>
      </c>
      <c r="B7615">
        <v>12.9749</v>
      </c>
    </row>
    <row r="7616" spans="1:2">
      <c r="A7616" s="117">
        <v>41170</v>
      </c>
      <c r="B7616">
        <v>12.745799999999999</v>
      </c>
    </row>
    <row r="7617" spans="1:2">
      <c r="A7617" s="117">
        <v>41171</v>
      </c>
      <c r="B7617">
        <v>12.7492</v>
      </c>
    </row>
    <row r="7618" spans="1:2">
      <c r="A7618" s="117">
        <v>41172</v>
      </c>
      <c r="B7618">
        <v>12.8192</v>
      </c>
    </row>
    <row r="7619" spans="1:2">
      <c r="A7619" s="117">
        <v>41173</v>
      </c>
      <c r="B7619">
        <v>12.823499999999999</v>
      </c>
    </row>
    <row r="7620" spans="1:2">
      <c r="A7620" s="117">
        <v>41174</v>
      </c>
      <c r="B7620">
        <v>12.904199999999999</v>
      </c>
    </row>
    <row r="7621" spans="1:2">
      <c r="A7621" s="117">
        <v>41175</v>
      </c>
      <c r="B7621">
        <v>12.904199999999999</v>
      </c>
    </row>
    <row r="7622" spans="1:2">
      <c r="A7622" s="117">
        <v>41176</v>
      </c>
      <c r="B7622">
        <v>12.904199999999999</v>
      </c>
    </row>
    <row r="7623" spans="1:2">
      <c r="A7623" s="117">
        <v>41177</v>
      </c>
      <c r="B7623">
        <v>12.8376</v>
      </c>
    </row>
    <row r="7624" spans="1:2">
      <c r="A7624" s="117">
        <v>41178</v>
      </c>
      <c r="B7624">
        <v>12.9123</v>
      </c>
    </row>
    <row r="7625" spans="1:2">
      <c r="A7625" s="117">
        <v>41179</v>
      </c>
      <c r="B7625">
        <v>12.8233</v>
      </c>
    </row>
    <row r="7626" spans="1:2">
      <c r="A7626" s="117">
        <v>41180</v>
      </c>
      <c r="B7626">
        <v>12.917</v>
      </c>
    </row>
    <row r="7627" spans="1:2">
      <c r="A7627" s="117">
        <v>41181</v>
      </c>
      <c r="B7627">
        <v>12.8521</v>
      </c>
    </row>
    <row r="7628" spans="1:2">
      <c r="A7628" s="117">
        <v>41182</v>
      </c>
      <c r="B7628">
        <v>12.8521</v>
      </c>
    </row>
    <row r="7629" spans="1:2">
      <c r="A7629" s="117">
        <v>41183</v>
      </c>
      <c r="B7629">
        <v>12.8521</v>
      </c>
    </row>
    <row r="7630" spans="1:2">
      <c r="A7630" s="117">
        <v>41184</v>
      </c>
      <c r="B7630">
        <v>12.8695</v>
      </c>
    </row>
    <row r="7631" spans="1:2">
      <c r="A7631" s="117">
        <v>41185</v>
      </c>
      <c r="B7631">
        <v>12.8178</v>
      </c>
    </row>
    <row r="7632" spans="1:2">
      <c r="A7632" s="117">
        <v>41186</v>
      </c>
      <c r="B7632">
        <v>12.8375</v>
      </c>
    </row>
    <row r="7633" spans="1:2">
      <c r="A7633" s="117">
        <v>41187</v>
      </c>
      <c r="B7633">
        <v>12.8528</v>
      </c>
    </row>
    <row r="7634" spans="1:2">
      <c r="A7634" s="117">
        <v>41188</v>
      </c>
      <c r="B7634">
        <v>12.758900000000001</v>
      </c>
    </row>
    <row r="7635" spans="1:2">
      <c r="A7635" s="117">
        <v>41189</v>
      </c>
      <c r="B7635">
        <v>12.758900000000001</v>
      </c>
    </row>
    <row r="7636" spans="1:2">
      <c r="A7636" s="117">
        <v>41190</v>
      </c>
      <c r="B7636">
        <v>12.758900000000001</v>
      </c>
    </row>
    <row r="7637" spans="1:2">
      <c r="A7637" s="117">
        <v>41191</v>
      </c>
      <c r="B7637">
        <v>12.698700000000001</v>
      </c>
    </row>
    <row r="7638" spans="1:2">
      <c r="A7638" s="117">
        <v>41192</v>
      </c>
      <c r="B7638">
        <v>12.842599999999999</v>
      </c>
    </row>
    <row r="7639" spans="1:2">
      <c r="A7639" s="117">
        <v>41193</v>
      </c>
      <c r="B7639">
        <v>12.868</v>
      </c>
    </row>
    <row r="7640" spans="1:2">
      <c r="A7640" s="117">
        <v>41194</v>
      </c>
      <c r="B7640">
        <v>12.911899999999999</v>
      </c>
    </row>
    <row r="7641" spans="1:2">
      <c r="A7641" s="117">
        <v>41195</v>
      </c>
      <c r="B7641">
        <v>12.879200000000001</v>
      </c>
    </row>
    <row r="7642" spans="1:2">
      <c r="A7642" s="117">
        <v>41196</v>
      </c>
      <c r="B7642">
        <v>12.879200000000001</v>
      </c>
    </row>
    <row r="7643" spans="1:2">
      <c r="A7643" s="117">
        <v>41197</v>
      </c>
      <c r="B7643">
        <v>12.879200000000001</v>
      </c>
    </row>
    <row r="7644" spans="1:2">
      <c r="A7644" s="117">
        <v>41198</v>
      </c>
      <c r="B7644">
        <v>12.8901</v>
      </c>
    </row>
    <row r="7645" spans="1:2">
      <c r="A7645" s="117">
        <v>41199</v>
      </c>
      <c r="B7645">
        <v>12.8188</v>
      </c>
    </row>
    <row r="7646" spans="1:2">
      <c r="A7646" s="117">
        <v>41200</v>
      </c>
      <c r="B7646">
        <v>12.807700000000001</v>
      </c>
    </row>
    <row r="7647" spans="1:2">
      <c r="A7647" s="117">
        <v>41201</v>
      </c>
      <c r="B7647">
        <v>12.7981</v>
      </c>
    </row>
    <row r="7648" spans="1:2">
      <c r="A7648" s="117">
        <v>41202</v>
      </c>
      <c r="B7648">
        <v>12.8299</v>
      </c>
    </row>
    <row r="7649" spans="1:2">
      <c r="A7649" s="117">
        <v>41203</v>
      </c>
      <c r="B7649">
        <v>12.8299</v>
      </c>
    </row>
    <row r="7650" spans="1:2">
      <c r="A7650" s="117">
        <v>41204</v>
      </c>
      <c r="B7650">
        <v>12.8299</v>
      </c>
    </row>
    <row r="7651" spans="1:2">
      <c r="A7651" s="117">
        <v>41205</v>
      </c>
      <c r="B7651">
        <v>12.8551</v>
      </c>
    </row>
    <row r="7652" spans="1:2">
      <c r="A7652" s="117">
        <v>41206</v>
      </c>
      <c r="B7652">
        <v>12.857100000000001</v>
      </c>
    </row>
    <row r="7653" spans="1:2">
      <c r="A7653" s="117">
        <v>41207</v>
      </c>
      <c r="B7653">
        <v>12.975899999999999</v>
      </c>
    </row>
    <row r="7654" spans="1:2">
      <c r="A7654" s="117">
        <v>41208</v>
      </c>
      <c r="B7654">
        <v>12.9839</v>
      </c>
    </row>
    <row r="7655" spans="1:2">
      <c r="A7655" s="117">
        <v>41209</v>
      </c>
      <c r="B7655">
        <v>12.966900000000001</v>
      </c>
    </row>
    <row r="7656" spans="1:2">
      <c r="A7656" s="117">
        <v>41210</v>
      </c>
      <c r="B7656">
        <v>12.966900000000001</v>
      </c>
    </row>
    <row r="7657" spans="1:2">
      <c r="A7657" s="117">
        <v>41211</v>
      </c>
      <c r="B7657">
        <v>12.966900000000001</v>
      </c>
    </row>
    <row r="7658" spans="1:2">
      <c r="A7658" s="117">
        <v>41212</v>
      </c>
      <c r="B7658">
        <v>13.011200000000001</v>
      </c>
    </row>
    <row r="7659" spans="1:2">
      <c r="A7659" s="117">
        <v>41213</v>
      </c>
      <c r="B7659">
        <v>13.09</v>
      </c>
    </row>
    <row r="7660" spans="1:2">
      <c r="A7660" s="117">
        <v>41214</v>
      </c>
      <c r="B7660">
        <v>13.049799999999999</v>
      </c>
    </row>
    <row r="7661" spans="1:2">
      <c r="A7661" s="117">
        <v>41215</v>
      </c>
      <c r="B7661">
        <v>13.091100000000001</v>
      </c>
    </row>
    <row r="7662" spans="1:2">
      <c r="A7662" s="117">
        <v>41216</v>
      </c>
      <c r="B7662">
        <v>13.091100000000001</v>
      </c>
    </row>
    <row r="7663" spans="1:2">
      <c r="A7663" s="117">
        <v>41217</v>
      </c>
      <c r="B7663">
        <v>13.091100000000001</v>
      </c>
    </row>
    <row r="7664" spans="1:2">
      <c r="A7664" s="117">
        <v>41218</v>
      </c>
      <c r="B7664">
        <v>13.091100000000001</v>
      </c>
    </row>
    <row r="7665" spans="1:2">
      <c r="A7665" s="117">
        <v>41219</v>
      </c>
      <c r="B7665">
        <v>13.0387</v>
      </c>
    </row>
    <row r="7666" spans="1:2">
      <c r="A7666" s="117">
        <v>41220</v>
      </c>
      <c r="B7666">
        <v>13.0449</v>
      </c>
    </row>
    <row r="7667" spans="1:2">
      <c r="A7667" s="117">
        <v>41221</v>
      </c>
      <c r="B7667">
        <v>12.976900000000001</v>
      </c>
    </row>
    <row r="7668" spans="1:2">
      <c r="A7668" s="117">
        <v>41222</v>
      </c>
      <c r="B7668">
        <v>13.043200000000001</v>
      </c>
    </row>
    <row r="7669" spans="1:2">
      <c r="A7669" s="117">
        <v>41223</v>
      </c>
      <c r="B7669">
        <v>13.1168</v>
      </c>
    </row>
    <row r="7670" spans="1:2">
      <c r="A7670" s="117">
        <v>41224</v>
      </c>
      <c r="B7670">
        <v>13.1168</v>
      </c>
    </row>
    <row r="7671" spans="1:2">
      <c r="A7671" s="117">
        <v>41225</v>
      </c>
      <c r="B7671">
        <v>13.1168</v>
      </c>
    </row>
    <row r="7672" spans="1:2">
      <c r="A7672" s="117">
        <v>41226</v>
      </c>
      <c r="B7672">
        <v>13.178900000000001</v>
      </c>
    </row>
    <row r="7673" spans="1:2">
      <c r="A7673" s="117">
        <v>41227</v>
      </c>
      <c r="B7673">
        <v>13.1975</v>
      </c>
    </row>
    <row r="7674" spans="1:2">
      <c r="A7674" s="117">
        <v>41228</v>
      </c>
      <c r="B7674">
        <v>13.228400000000001</v>
      </c>
    </row>
    <row r="7675" spans="1:2">
      <c r="A7675" s="117">
        <v>41229</v>
      </c>
      <c r="B7675">
        <v>13.235300000000001</v>
      </c>
    </row>
    <row r="7676" spans="1:2">
      <c r="A7676" s="117">
        <v>41230</v>
      </c>
      <c r="B7676">
        <v>13.2522</v>
      </c>
    </row>
    <row r="7677" spans="1:2">
      <c r="A7677" s="117">
        <v>41231</v>
      </c>
      <c r="B7677">
        <v>13.2522</v>
      </c>
    </row>
    <row r="7678" spans="1:2">
      <c r="A7678" s="117">
        <v>41232</v>
      </c>
      <c r="B7678">
        <v>13.2522</v>
      </c>
    </row>
    <row r="7679" spans="1:2">
      <c r="A7679" s="117">
        <v>41233</v>
      </c>
      <c r="B7679">
        <v>13.2522</v>
      </c>
    </row>
    <row r="7680" spans="1:2">
      <c r="A7680" s="117">
        <v>41234</v>
      </c>
      <c r="B7680">
        <v>13.206300000000001</v>
      </c>
    </row>
    <row r="7681" spans="1:2">
      <c r="A7681" s="117">
        <v>41235</v>
      </c>
      <c r="B7681">
        <v>13.0245</v>
      </c>
    </row>
    <row r="7682" spans="1:2">
      <c r="A7682" s="117">
        <v>41236</v>
      </c>
      <c r="B7682">
        <v>13.0395</v>
      </c>
    </row>
    <row r="7683" spans="1:2">
      <c r="A7683" s="117">
        <v>41237</v>
      </c>
      <c r="B7683">
        <v>13.018800000000001</v>
      </c>
    </row>
    <row r="7684" spans="1:2">
      <c r="A7684" s="117">
        <v>41238</v>
      </c>
      <c r="B7684">
        <v>13.018800000000001</v>
      </c>
    </row>
    <row r="7685" spans="1:2">
      <c r="A7685" s="117">
        <v>41239</v>
      </c>
      <c r="B7685">
        <v>13.018800000000001</v>
      </c>
    </row>
    <row r="7686" spans="1:2">
      <c r="A7686" s="117">
        <v>41240</v>
      </c>
      <c r="B7686">
        <v>12.979900000000001</v>
      </c>
    </row>
    <row r="7687" spans="1:2">
      <c r="A7687" s="117">
        <v>41241</v>
      </c>
      <c r="B7687">
        <v>12.9984</v>
      </c>
    </row>
    <row r="7688" spans="1:2">
      <c r="A7688" s="117">
        <v>41242</v>
      </c>
      <c r="B7688">
        <v>12.9861</v>
      </c>
    </row>
    <row r="7689" spans="1:2">
      <c r="A7689" s="117">
        <v>41243</v>
      </c>
      <c r="B7689">
        <v>13.0372</v>
      </c>
    </row>
    <row r="7690" spans="1:2">
      <c r="A7690" s="117">
        <v>41244</v>
      </c>
      <c r="B7690">
        <v>12.9617</v>
      </c>
    </row>
    <row r="7691" spans="1:2">
      <c r="A7691" s="117">
        <v>41245</v>
      </c>
      <c r="B7691">
        <v>12.9617</v>
      </c>
    </row>
    <row r="7692" spans="1:2">
      <c r="A7692" s="117">
        <v>41246</v>
      </c>
      <c r="B7692">
        <v>12.9617</v>
      </c>
    </row>
    <row r="7693" spans="1:2">
      <c r="A7693" s="117">
        <v>41247</v>
      </c>
      <c r="B7693">
        <v>12.9268</v>
      </c>
    </row>
    <row r="7694" spans="1:2">
      <c r="A7694" s="117">
        <v>41248</v>
      </c>
      <c r="B7694">
        <v>12.9335</v>
      </c>
    </row>
    <row r="7695" spans="1:2">
      <c r="A7695" s="117">
        <v>41249</v>
      </c>
      <c r="B7695">
        <v>12.96</v>
      </c>
    </row>
    <row r="7696" spans="1:2">
      <c r="A7696" s="117">
        <v>41250</v>
      </c>
      <c r="B7696">
        <v>12.9284</v>
      </c>
    </row>
    <row r="7697" spans="1:2">
      <c r="A7697" s="117">
        <v>41251</v>
      </c>
      <c r="B7697">
        <v>12.9102</v>
      </c>
    </row>
    <row r="7698" spans="1:2">
      <c r="A7698" s="117">
        <v>41252</v>
      </c>
      <c r="B7698">
        <v>12.9102</v>
      </c>
    </row>
    <row r="7699" spans="1:2">
      <c r="A7699" s="117">
        <v>41253</v>
      </c>
      <c r="B7699">
        <v>12.9102</v>
      </c>
    </row>
    <row r="7700" spans="1:2">
      <c r="A7700" s="117">
        <v>41254</v>
      </c>
      <c r="B7700">
        <v>12.8469</v>
      </c>
    </row>
    <row r="7701" spans="1:2">
      <c r="A7701" s="117">
        <v>41255</v>
      </c>
      <c r="B7701">
        <v>12.7964</v>
      </c>
    </row>
    <row r="7702" spans="1:2">
      <c r="A7702" s="117">
        <v>41256</v>
      </c>
      <c r="B7702">
        <v>12.7964</v>
      </c>
    </row>
    <row r="7703" spans="1:2">
      <c r="A7703" s="117">
        <v>41257</v>
      </c>
      <c r="B7703">
        <v>12.7584</v>
      </c>
    </row>
    <row r="7704" spans="1:2">
      <c r="A7704" s="117">
        <v>41258</v>
      </c>
      <c r="B7704">
        <v>12.786899999999999</v>
      </c>
    </row>
    <row r="7705" spans="1:2">
      <c r="A7705" s="117">
        <v>41259</v>
      </c>
      <c r="B7705">
        <v>12.786899999999999</v>
      </c>
    </row>
    <row r="7706" spans="1:2">
      <c r="A7706" s="117">
        <v>41260</v>
      </c>
      <c r="B7706">
        <v>12.786899999999999</v>
      </c>
    </row>
    <row r="7707" spans="1:2">
      <c r="A7707" s="117">
        <v>41261</v>
      </c>
      <c r="B7707">
        <v>12.7768</v>
      </c>
    </row>
    <row r="7708" spans="1:2">
      <c r="A7708" s="117">
        <v>41262</v>
      </c>
      <c r="B7708">
        <v>12.7624</v>
      </c>
    </row>
    <row r="7709" spans="1:2">
      <c r="A7709" s="117">
        <v>41263</v>
      </c>
      <c r="B7709">
        <v>12.723599999999999</v>
      </c>
    </row>
    <row r="7710" spans="1:2">
      <c r="A7710" s="117">
        <v>41264</v>
      </c>
      <c r="B7710">
        <v>12.732699999999999</v>
      </c>
    </row>
    <row r="7711" spans="1:2">
      <c r="A7711" s="117">
        <v>41265</v>
      </c>
      <c r="B7711">
        <v>12.777699999999999</v>
      </c>
    </row>
    <row r="7712" spans="1:2">
      <c r="A7712" s="117">
        <v>41266</v>
      </c>
      <c r="B7712">
        <v>12.777699999999999</v>
      </c>
    </row>
    <row r="7713" spans="1:2">
      <c r="A7713" s="117">
        <v>41267</v>
      </c>
      <c r="B7713">
        <v>12.777699999999999</v>
      </c>
    </row>
    <row r="7714" spans="1:2">
      <c r="A7714" s="117">
        <v>41268</v>
      </c>
      <c r="B7714">
        <v>12.899100000000001</v>
      </c>
    </row>
    <row r="7715" spans="1:2">
      <c r="A7715" s="117">
        <v>41269</v>
      </c>
      <c r="B7715">
        <v>12.899100000000001</v>
      </c>
    </row>
    <row r="7716" spans="1:2">
      <c r="A7716" s="117">
        <v>41270</v>
      </c>
      <c r="B7716">
        <v>12.9764</v>
      </c>
    </row>
    <row r="7717" spans="1:2">
      <c r="A7717" s="117">
        <v>41271</v>
      </c>
      <c r="B7717">
        <v>13.005800000000001</v>
      </c>
    </row>
    <row r="7718" spans="1:2">
      <c r="A7718" s="117">
        <v>41272</v>
      </c>
      <c r="B7718">
        <v>13.0101</v>
      </c>
    </row>
    <row r="7719" spans="1:2">
      <c r="A7719" s="117">
        <v>41273</v>
      </c>
      <c r="B7719">
        <v>13.0101</v>
      </c>
    </row>
    <row r="7720" spans="1:2">
      <c r="A7720" s="117">
        <v>41274</v>
      </c>
      <c r="B7720">
        <v>13.0101</v>
      </c>
    </row>
    <row r="7721" spans="1:2">
      <c r="A7721" s="117">
        <v>41275</v>
      </c>
      <c r="B7721">
        <v>12.988</v>
      </c>
    </row>
    <row r="7722" spans="1:2">
      <c r="A7722" s="117">
        <v>41276</v>
      </c>
      <c r="B7722">
        <v>12.988</v>
      </c>
    </row>
    <row r="7723" spans="1:2">
      <c r="A7723" s="117">
        <v>41277</v>
      </c>
      <c r="B7723">
        <v>12.9658</v>
      </c>
    </row>
    <row r="7724" spans="1:2">
      <c r="A7724" s="117">
        <v>41278</v>
      </c>
      <c r="B7724">
        <v>12.748799999999999</v>
      </c>
    </row>
    <row r="7725" spans="1:2">
      <c r="A7725" s="117">
        <v>41279</v>
      </c>
      <c r="B7725">
        <v>12.743</v>
      </c>
    </row>
    <row r="7726" spans="1:2">
      <c r="A7726" s="117">
        <v>41280</v>
      </c>
      <c r="B7726">
        <v>12.743</v>
      </c>
    </row>
    <row r="7727" spans="1:2">
      <c r="A7727" s="117">
        <v>41281</v>
      </c>
      <c r="B7727">
        <v>12.743</v>
      </c>
    </row>
    <row r="7728" spans="1:2">
      <c r="A7728" s="117">
        <v>41282</v>
      </c>
      <c r="B7728">
        <v>12.7597</v>
      </c>
    </row>
    <row r="7729" spans="1:2">
      <c r="A7729" s="117">
        <v>41283</v>
      </c>
      <c r="B7729">
        <v>12.767899999999999</v>
      </c>
    </row>
    <row r="7730" spans="1:2">
      <c r="A7730" s="117">
        <v>41284</v>
      </c>
      <c r="B7730">
        <v>12.801500000000001</v>
      </c>
    </row>
    <row r="7731" spans="1:2">
      <c r="A7731" s="117">
        <v>41285</v>
      </c>
      <c r="B7731">
        <v>12.750299999999999</v>
      </c>
    </row>
    <row r="7732" spans="1:2">
      <c r="A7732" s="117">
        <v>41286</v>
      </c>
      <c r="B7732">
        <v>12.6555</v>
      </c>
    </row>
    <row r="7733" spans="1:2">
      <c r="A7733" s="117">
        <v>41287</v>
      </c>
      <c r="B7733">
        <v>12.6555</v>
      </c>
    </row>
    <row r="7734" spans="1:2">
      <c r="A7734" s="117">
        <v>41288</v>
      </c>
      <c r="B7734">
        <v>12.6555</v>
      </c>
    </row>
    <row r="7735" spans="1:2">
      <c r="A7735" s="117">
        <v>41289</v>
      </c>
      <c r="B7735">
        <v>12.6478</v>
      </c>
    </row>
    <row r="7736" spans="1:2">
      <c r="A7736" s="117">
        <v>41290</v>
      </c>
      <c r="B7736">
        <v>12.6533</v>
      </c>
    </row>
    <row r="7737" spans="1:2">
      <c r="A7737" s="117">
        <v>41291</v>
      </c>
      <c r="B7737">
        <v>12.6526</v>
      </c>
    </row>
    <row r="7738" spans="1:2">
      <c r="A7738" s="117">
        <v>41292</v>
      </c>
      <c r="B7738">
        <v>12.6305</v>
      </c>
    </row>
    <row r="7739" spans="1:2">
      <c r="A7739" s="117">
        <v>41293</v>
      </c>
      <c r="B7739">
        <v>12.5868</v>
      </c>
    </row>
    <row r="7740" spans="1:2">
      <c r="A7740" s="117">
        <v>41294</v>
      </c>
      <c r="B7740">
        <v>12.5868</v>
      </c>
    </row>
    <row r="7741" spans="1:2">
      <c r="A7741" s="117">
        <v>41295</v>
      </c>
      <c r="B7741">
        <v>12.5868</v>
      </c>
    </row>
    <row r="7742" spans="1:2">
      <c r="A7742" s="117">
        <v>41296</v>
      </c>
      <c r="B7742">
        <v>12.6555</v>
      </c>
    </row>
    <row r="7743" spans="1:2">
      <c r="A7743" s="117">
        <v>41297</v>
      </c>
      <c r="B7743">
        <v>12.7098</v>
      </c>
    </row>
    <row r="7744" spans="1:2">
      <c r="A7744" s="117">
        <v>41298</v>
      </c>
      <c r="B7744">
        <v>12.681699999999999</v>
      </c>
    </row>
    <row r="7745" spans="1:2">
      <c r="A7745" s="117">
        <v>41299</v>
      </c>
      <c r="B7745">
        <v>12.6616</v>
      </c>
    </row>
    <row r="7746" spans="1:2">
      <c r="A7746" s="117">
        <v>41300</v>
      </c>
      <c r="B7746">
        <v>12.6286</v>
      </c>
    </row>
    <row r="7747" spans="1:2">
      <c r="A7747" s="117">
        <v>41301</v>
      </c>
      <c r="B7747">
        <v>12.6286</v>
      </c>
    </row>
    <row r="7748" spans="1:2">
      <c r="A7748" s="117">
        <v>41302</v>
      </c>
      <c r="B7748">
        <v>12.6286</v>
      </c>
    </row>
    <row r="7749" spans="1:2">
      <c r="A7749" s="117">
        <v>41303</v>
      </c>
      <c r="B7749">
        <v>12.699299999999999</v>
      </c>
    </row>
    <row r="7750" spans="1:2">
      <c r="A7750" s="117">
        <v>41304</v>
      </c>
      <c r="B7750">
        <v>12.780200000000001</v>
      </c>
    </row>
    <row r="7751" spans="1:2">
      <c r="A7751" s="117">
        <v>41305</v>
      </c>
      <c r="B7751">
        <v>12.7134</v>
      </c>
    </row>
    <row r="7752" spans="1:2">
      <c r="A7752" s="117">
        <v>41306</v>
      </c>
      <c r="B7752">
        <v>12.7408</v>
      </c>
    </row>
    <row r="7753" spans="1:2">
      <c r="A7753" s="117">
        <v>41307</v>
      </c>
      <c r="B7753">
        <v>12.7094</v>
      </c>
    </row>
    <row r="7754" spans="1:2">
      <c r="A7754" s="117">
        <v>41308</v>
      </c>
      <c r="B7754">
        <v>12.7094</v>
      </c>
    </row>
    <row r="7755" spans="1:2">
      <c r="A7755" s="117">
        <v>41309</v>
      </c>
      <c r="B7755">
        <v>12.7094</v>
      </c>
    </row>
    <row r="7756" spans="1:2">
      <c r="A7756" s="117">
        <v>41310</v>
      </c>
      <c r="B7756">
        <v>12.7094</v>
      </c>
    </row>
    <row r="7757" spans="1:2">
      <c r="A7757" s="117">
        <v>41311</v>
      </c>
      <c r="B7757">
        <v>12.637700000000001</v>
      </c>
    </row>
    <row r="7758" spans="1:2">
      <c r="A7758" s="117">
        <v>41312</v>
      </c>
      <c r="B7758">
        <v>12.6294</v>
      </c>
    </row>
    <row r="7759" spans="1:2">
      <c r="A7759" s="117">
        <v>41313</v>
      </c>
      <c r="B7759">
        <v>12.666399999999999</v>
      </c>
    </row>
    <row r="7760" spans="1:2">
      <c r="A7760" s="117">
        <v>41314</v>
      </c>
      <c r="B7760">
        <v>12.7105</v>
      </c>
    </row>
    <row r="7761" spans="1:2">
      <c r="A7761" s="117">
        <v>41315</v>
      </c>
      <c r="B7761">
        <v>12.7105</v>
      </c>
    </row>
    <row r="7762" spans="1:2">
      <c r="A7762" s="117">
        <v>41316</v>
      </c>
      <c r="B7762">
        <v>12.7105</v>
      </c>
    </row>
    <row r="7763" spans="1:2">
      <c r="A7763" s="117">
        <v>41317</v>
      </c>
      <c r="B7763">
        <v>12.730700000000001</v>
      </c>
    </row>
    <row r="7764" spans="1:2">
      <c r="A7764" s="117">
        <v>41318</v>
      </c>
      <c r="B7764">
        <v>12.7706</v>
      </c>
    </row>
    <row r="7765" spans="1:2">
      <c r="A7765" s="117">
        <v>41319</v>
      </c>
      <c r="B7765">
        <v>12.7364</v>
      </c>
    </row>
    <row r="7766" spans="1:2">
      <c r="A7766" s="117">
        <v>41320</v>
      </c>
      <c r="B7766">
        <v>12.711600000000001</v>
      </c>
    </row>
    <row r="7767" spans="1:2">
      <c r="A7767" s="117">
        <v>41321</v>
      </c>
      <c r="B7767">
        <v>12.6982</v>
      </c>
    </row>
    <row r="7768" spans="1:2">
      <c r="A7768" s="117">
        <v>41322</v>
      </c>
      <c r="B7768">
        <v>12.6982</v>
      </c>
    </row>
    <row r="7769" spans="1:2">
      <c r="A7769" s="117">
        <v>41323</v>
      </c>
      <c r="B7769">
        <v>12.6982</v>
      </c>
    </row>
    <row r="7770" spans="1:2">
      <c r="A7770" s="117">
        <v>41324</v>
      </c>
      <c r="B7770">
        <v>12.6866</v>
      </c>
    </row>
    <row r="7771" spans="1:2">
      <c r="A7771" s="117">
        <v>41325</v>
      </c>
      <c r="B7771">
        <v>12.6959</v>
      </c>
    </row>
    <row r="7772" spans="1:2">
      <c r="A7772" s="117">
        <v>41326</v>
      </c>
      <c r="B7772">
        <v>12.6873</v>
      </c>
    </row>
    <row r="7773" spans="1:2">
      <c r="A7773" s="117">
        <v>41327</v>
      </c>
      <c r="B7773">
        <v>12.6694</v>
      </c>
    </row>
    <row r="7774" spans="1:2">
      <c r="A7774" s="117">
        <v>41328</v>
      </c>
      <c r="B7774">
        <v>12.7699</v>
      </c>
    </row>
    <row r="7775" spans="1:2">
      <c r="A7775" s="117">
        <v>41329</v>
      </c>
      <c r="B7775">
        <v>12.7699</v>
      </c>
    </row>
    <row r="7776" spans="1:2">
      <c r="A7776" s="117">
        <v>41330</v>
      </c>
      <c r="B7776">
        <v>12.7699</v>
      </c>
    </row>
    <row r="7777" spans="1:2">
      <c r="A7777" s="117">
        <v>41331</v>
      </c>
      <c r="B7777">
        <v>12.7517</v>
      </c>
    </row>
    <row r="7778" spans="1:2">
      <c r="A7778" s="117">
        <v>41332</v>
      </c>
      <c r="B7778">
        <v>12.7028</v>
      </c>
    </row>
    <row r="7779" spans="1:2">
      <c r="A7779" s="117">
        <v>41333</v>
      </c>
      <c r="B7779">
        <v>12.868</v>
      </c>
    </row>
    <row r="7780" spans="1:2">
      <c r="A7780" s="117">
        <v>41334</v>
      </c>
      <c r="B7780">
        <v>12.8322</v>
      </c>
    </row>
    <row r="7781" spans="1:2">
      <c r="A7781" s="117">
        <v>41335</v>
      </c>
      <c r="B7781">
        <v>12.779500000000001</v>
      </c>
    </row>
    <row r="7782" spans="1:2">
      <c r="A7782" s="117">
        <v>41336</v>
      </c>
      <c r="B7782">
        <v>12.779500000000001</v>
      </c>
    </row>
    <row r="7783" spans="1:2">
      <c r="A7783" s="117">
        <v>41337</v>
      </c>
      <c r="B7783">
        <v>12.779500000000001</v>
      </c>
    </row>
    <row r="7784" spans="1:2">
      <c r="A7784" s="117">
        <v>41338</v>
      </c>
      <c r="B7784">
        <v>12.8012</v>
      </c>
    </row>
    <row r="7785" spans="1:2">
      <c r="A7785" s="117">
        <v>41339</v>
      </c>
      <c r="B7785">
        <v>12.7814</v>
      </c>
    </row>
    <row r="7786" spans="1:2">
      <c r="A7786" s="117">
        <v>41340</v>
      </c>
      <c r="B7786">
        <v>12.7355</v>
      </c>
    </row>
    <row r="7787" spans="1:2">
      <c r="A7787" s="117">
        <v>41341</v>
      </c>
      <c r="B7787">
        <v>12.734500000000001</v>
      </c>
    </row>
    <row r="7788" spans="1:2">
      <c r="A7788" s="117">
        <v>41342</v>
      </c>
      <c r="B7788">
        <v>12.783899999999999</v>
      </c>
    </row>
    <row r="7789" spans="1:2">
      <c r="A7789" s="117">
        <v>41343</v>
      </c>
      <c r="B7789">
        <v>12.783899999999999</v>
      </c>
    </row>
    <row r="7790" spans="1:2">
      <c r="A7790" s="117">
        <v>41344</v>
      </c>
      <c r="B7790">
        <v>12.783899999999999</v>
      </c>
    </row>
    <row r="7791" spans="1:2">
      <c r="A7791" s="117">
        <v>41345</v>
      </c>
      <c r="B7791">
        <v>12.6684</v>
      </c>
    </row>
    <row r="7792" spans="1:2">
      <c r="A7792" s="117">
        <v>41346</v>
      </c>
      <c r="B7792">
        <v>12.530799999999999</v>
      </c>
    </row>
    <row r="7793" spans="1:2">
      <c r="A7793" s="117">
        <v>41347</v>
      </c>
      <c r="B7793">
        <v>12.4641</v>
      </c>
    </row>
    <row r="7794" spans="1:2">
      <c r="A7794" s="117">
        <v>41348</v>
      </c>
      <c r="B7794">
        <v>12.396699999999999</v>
      </c>
    </row>
    <row r="7795" spans="1:2">
      <c r="A7795" s="117">
        <v>41349</v>
      </c>
      <c r="B7795">
        <v>12.454499999999999</v>
      </c>
    </row>
    <row r="7796" spans="1:2">
      <c r="A7796" s="117">
        <v>41350</v>
      </c>
      <c r="B7796">
        <v>12.454499999999999</v>
      </c>
    </row>
    <row r="7797" spans="1:2">
      <c r="A7797" s="117">
        <v>41351</v>
      </c>
      <c r="B7797">
        <v>12.454499999999999</v>
      </c>
    </row>
    <row r="7798" spans="1:2">
      <c r="A7798" s="117">
        <v>41352</v>
      </c>
      <c r="B7798">
        <v>12.454499999999999</v>
      </c>
    </row>
    <row r="7799" spans="1:2">
      <c r="A7799" s="117">
        <v>41353</v>
      </c>
      <c r="B7799">
        <v>12.439</v>
      </c>
    </row>
    <row r="7800" spans="1:2">
      <c r="A7800" s="117">
        <v>41354</v>
      </c>
      <c r="B7800">
        <v>12.4339</v>
      </c>
    </row>
    <row r="7801" spans="1:2">
      <c r="A7801" s="117">
        <v>41355</v>
      </c>
      <c r="B7801">
        <v>12.3909</v>
      </c>
    </row>
    <row r="7802" spans="1:2">
      <c r="A7802" s="117">
        <v>41356</v>
      </c>
      <c r="B7802">
        <v>12.3841</v>
      </c>
    </row>
    <row r="7803" spans="1:2">
      <c r="A7803" s="117">
        <v>41357</v>
      </c>
      <c r="B7803">
        <v>12.3841</v>
      </c>
    </row>
    <row r="7804" spans="1:2">
      <c r="A7804" s="117">
        <v>41358</v>
      </c>
      <c r="B7804">
        <v>12.3841</v>
      </c>
    </row>
    <row r="7805" spans="1:2">
      <c r="A7805" s="117">
        <v>41359</v>
      </c>
      <c r="B7805">
        <v>12.372400000000001</v>
      </c>
    </row>
    <row r="7806" spans="1:2">
      <c r="A7806" s="117">
        <v>41360</v>
      </c>
      <c r="B7806">
        <v>12.357900000000001</v>
      </c>
    </row>
    <row r="7807" spans="1:2">
      <c r="A7807" s="117">
        <v>41361</v>
      </c>
      <c r="B7807">
        <v>12.3546</v>
      </c>
    </row>
    <row r="7808" spans="1:2">
      <c r="A7808" s="117">
        <v>41362</v>
      </c>
      <c r="B7808">
        <v>12.3546</v>
      </c>
    </row>
    <row r="7809" spans="1:2">
      <c r="A7809" s="117">
        <v>41363</v>
      </c>
      <c r="B7809">
        <v>12.3546</v>
      </c>
    </row>
    <row r="7810" spans="1:2">
      <c r="A7810" s="117">
        <v>41364</v>
      </c>
      <c r="B7810">
        <v>12.3546</v>
      </c>
    </row>
    <row r="7811" spans="1:2">
      <c r="A7811" s="117">
        <v>41365</v>
      </c>
      <c r="B7811">
        <v>12.3546</v>
      </c>
    </row>
    <row r="7812" spans="1:2">
      <c r="A7812" s="117">
        <v>41366</v>
      </c>
      <c r="B7812">
        <v>12.3612</v>
      </c>
    </row>
    <row r="7813" spans="1:2">
      <c r="A7813" s="117">
        <v>41367</v>
      </c>
      <c r="B7813">
        <v>12.3438</v>
      </c>
    </row>
    <row r="7814" spans="1:2">
      <c r="A7814" s="117">
        <v>41368</v>
      </c>
      <c r="B7814">
        <v>12.2728</v>
      </c>
    </row>
    <row r="7815" spans="1:2">
      <c r="A7815" s="117">
        <v>41369</v>
      </c>
      <c r="B7815">
        <v>12.326599999999999</v>
      </c>
    </row>
    <row r="7816" spans="1:2">
      <c r="A7816" s="117">
        <v>41370</v>
      </c>
      <c r="B7816">
        <v>12.319699999999999</v>
      </c>
    </row>
    <row r="7817" spans="1:2">
      <c r="A7817" s="117">
        <v>41371</v>
      </c>
      <c r="B7817">
        <v>12.319699999999999</v>
      </c>
    </row>
    <row r="7818" spans="1:2">
      <c r="A7818" s="117">
        <v>41372</v>
      </c>
      <c r="B7818">
        <v>12.319699999999999</v>
      </c>
    </row>
    <row r="7819" spans="1:2">
      <c r="A7819" s="117">
        <v>41373</v>
      </c>
      <c r="B7819">
        <v>12.238300000000001</v>
      </c>
    </row>
    <row r="7820" spans="1:2">
      <c r="A7820" s="117">
        <v>41374</v>
      </c>
      <c r="B7820">
        <v>12.158799999999999</v>
      </c>
    </row>
    <row r="7821" spans="1:2">
      <c r="A7821" s="117">
        <v>41375</v>
      </c>
      <c r="B7821">
        <v>12.1304</v>
      </c>
    </row>
    <row r="7822" spans="1:2">
      <c r="A7822" s="117">
        <v>41376</v>
      </c>
      <c r="B7822">
        <v>12.114000000000001</v>
      </c>
    </row>
    <row r="7823" spans="1:2">
      <c r="A7823" s="117">
        <v>41377</v>
      </c>
      <c r="B7823">
        <v>12.069100000000001</v>
      </c>
    </row>
    <row r="7824" spans="1:2">
      <c r="A7824" s="117">
        <v>41378</v>
      </c>
      <c r="B7824">
        <v>12.069100000000001</v>
      </c>
    </row>
    <row r="7825" spans="1:2">
      <c r="A7825" s="117">
        <v>41379</v>
      </c>
      <c r="B7825">
        <v>12.069100000000001</v>
      </c>
    </row>
    <row r="7826" spans="1:2">
      <c r="A7826" s="117">
        <v>41380</v>
      </c>
      <c r="B7826">
        <v>12.0824</v>
      </c>
    </row>
    <row r="7827" spans="1:2">
      <c r="A7827" s="117">
        <v>41381</v>
      </c>
      <c r="B7827">
        <v>12.1729</v>
      </c>
    </row>
    <row r="7828" spans="1:2">
      <c r="A7828" s="117">
        <v>41382</v>
      </c>
      <c r="B7828">
        <v>12.1668</v>
      </c>
    </row>
    <row r="7829" spans="1:2">
      <c r="A7829" s="117">
        <v>41383</v>
      </c>
      <c r="B7829">
        <v>12.237</v>
      </c>
    </row>
    <row r="7830" spans="1:2">
      <c r="A7830" s="117">
        <v>41384</v>
      </c>
      <c r="B7830">
        <v>12.2479</v>
      </c>
    </row>
    <row r="7831" spans="1:2">
      <c r="A7831" s="117">
        <v>41385</v>
      </c>
      <c r="B7831">
        <v>12.2479</v>
      </c>
    </row>
    <row r="7832" spans="1:2">
      <c r="A7832" s="117">
        <v>41386</v>
      </c>
      <c r="B7832">
        <v>12.2479</v>
      </c>
    </row>
    <row r="7833" spans="1:2">
      <c r="A7833" s="117">
        <v>41387</v>
      </c>
      <c r="B7833">
        <v>12.2254</v>
      </c>
    </row>
    <row r="7834" spans="1:2">
      <c r="A7834" s="117">
        <v>41388</v>
      </c>
      <c r="B7834">
        <v>12.322699999999999</v>
      </c>
    </row>
    <row r="7835" spans="1:2">
      <c r="A7835" s="117">
        <v>41389</v>
      </c>
      <c r="B7835">
        <v>12.2492</v>
      </c>
    </row>
    <row r="7836" spans="1:2">
      <c r="A7836" s="117">
        <v>41390</v>
      </c>
      <c r="B7836">
        <v>12.2768</v>
      </c>
    </row>
    <row r="7837" spans="1:2">
      <c r="A7837" s="117">
        <v>41391</v>
      </c>
      <c r="B7837">
        <v>12.123100000000001</v>
      </c>
    </row>
    <row r="7838" spans="1:2">
      <c r="A7838" s="117">
        <v>41392</v>
      </c>
      <c r="B7838">
        <v>12.123100000000001</v>
      </c>
    </row>
    <row r="7839" spans="1:2">
      <c r="A7839" s="117">
        <v>41393</v>
      </c>
      <c r="B7839">
        <v>12.123100000000001</v>
      </c>
    </row>
    <row r="7840" spans="1:2">
      <c r="A7840" s="117">
        <v>41394</v>
      </c>
      <c r="B7840">
        <v>12.154999999999999</v>
      </c>
    </row>
    <row r="7841" spans="1:2">
      <c r="A7841" s="117">
        <v>41395</v>
      </c>
      <c r="B7841">
        <v>12.1326</v>
      </c>
    </row>
    <row r="7842" spans="1:2">
      <c r="A7842" s="117">
        <v>41396</v>
      </c>
      <c r="B7842">
        <v>12.1326</v>
      </c>
    </row>
    <row r="7843" spans="1:2">
      <c r="A7843" s="117">
        <v>41397</v>
      </c>
      <c r="B7843">
        <v>12.1456</v>
      </c>
    </row>
    <row r="7844" spans="1:2">
      <c r="A7844" s="117">
        <v>41398</v>
      </c>
      <c r="B7844">
        <v>12.175599999999999</v>
      </c>
    </row>
    <row r="7845" spans="1:2">
      <c r="A7845" s="117">
        <v>41399</v>
      </c>
      <c r="B7845">
        <v>12.175599999999999</v>
      </c>
    </row>
    <row r="7846" spans="1:2">
      <c r="A7846" s="117">
        <v>41400</v>
      </c>
      <c r="B7846">
        <v>12.175599999999999</v>
      </c>
    </row>
    <row r="7847" spans="1:2">
      <c r="A7847" s="117">
        <v>41401</v>
      </c>
      <c r="B7847">
        <v>12.085100000000001</v>
      </c>
    </row>
    <row r="7848" spans="1:2">
      <c r="A7848" s="117">
        <v>41402</v>
      </c>
      <c r="B7848">
        <v>12.1074</v>
      </c>
    </row>
    <row r="7849" spans="1:2">
      <c r="A7849" s="117">
        <v>41403</v>
      </c>
      <c r="B7849">
        <v>12.0733</v>
      </c>
    </row>
    <row r="7850" spans="1:2">
      <c r="A7850" s="117">
        <v>41404</v>
      </c>
      <c r="B7850">
        <v>12.039300000000001</v>
      </c>
    </row>
    <row r="7851" spans="1:2">
      <c r="A7851" s="117">
        <v>41405</v>
      </c>
      <c r="B7851">
        <v>11.980700000000001</v>
      </c>
    </row>
    <row r="7852" spans="1:2">
      <c r="A7852" s="117">
        <v>41406</v>
      </c>
      <c r="B7852">
        <v>11.980700000000001</v>
      </c>
    </row>
    <row r="7853" spans="1:2">
      <c r="A7853" s="117">
        <v>41407</v>
      </c>
      <c r="B7853">
        <v>11.980700000000001</v>
      </c>
    </row>
    <row r="7854" spans="1:2">
      <c r="A7854" s="117">
        <v>41408</v>
      </c>
      <c r="B7854">
        <v>12.109400000000001</v>
      </c>
    </row>
    <row r="7855" spans="1:2">
      <c r="A7855" s="117">
        <v>41409</v>
      </c>
      <c r="B7855">
        <v>12.1448</v>
      </c>
    </row>
    <row r="7856" spans="1:2">
      <c r="A7856" s="117">
        <v>41410</v>
      </c>
      <c r="B7856">
        <v>12.1485</v>
      </c>
    </row>
    <row r="7857" spans="1:2">
      <c r="A7857" s="117">
        <v>41411</v>
      </c>
      <c r="B7857">
        <v>12.231299999999999</v>
      </c>
    </row>
    <row r="7858" spans="1:2">
      <c r="A7858" s="117">
        <v>41412</v>
      </c>
      <c r="B7858">
        <v>12.2378</v>
      </c>
    </row>
    <row r="7859" spans="1:2">
      <c r="A7859" s="117">
        <v>41413</v>
      </c>
      <c r="B7859">
        <v>12.2378</v>
      </c>
    </row>
    <row r="7860" spans="1:2">
      <c r="A7860" s="117">
        <v>41414</v>
      </c>
      <c r="B7860">
        <v>12.2378</v>
      </c>
    </row>
    <row r="7861" spans="1:2">
      <c r="A7861" s="117">
        <v>41415</v>
      </c>
      <c r="B7861">
        <v>12.3177</v>
      </c>
    </row>
    <row r="7862" spans="1:2">
      <c r="A7862" s="117">
        <v>41416</v>
      </c>
      <c r="B7862">
        <v>12.325799999999999</v>
      </c>
    </row>
    <row r="7863" spans="1:2">
      <c r="A7863" s="117">
        <v>41417</v>
      </c>
      <c r="B7863">
        <v>12.3414</v>
      </c>
    </row>
    <row r="7864" spans="1:2">
      <c r="A7864" s="117">
        <v>41418</v>
      </c>
      <c r="B7864">
        <v>12.311299999999999</v>
      </c>
    </row>
    <row r="7865" spans="1:2">
      <c r="A7865" s="117">
        <v>41419</v>
      </c>
      <c r="B7865">
        <v>12.4764</v>
      </c>
    </row>
    <row r="7866" spans="1:2">
      <c r="A7866" s="117">
        <v>41420</v>
      </c>
      <c r="B7866">
        <v>12.4764</v>
      </c>
    </row>
    <row r="7867" spans="1:2">
      <c r="A7867" s="117">
        <v>41421</v>
      </c>
      <c r="B7867">
        <v>12.4764</v>
      </c>
    </row>
    <row r="7868" spans="1:2">
      <c r="A7868" s="117">
        <v>41422</v>
      </c>
      <c r="B7868">
        <v>12.5219</v>
      </c>
    </row>
    <row r="7869" spans="1:2">
      <c r="A7869" s="117">
        <v>41423</v>
      </c>
      <c r="B7869">
        <v>12.4831</v>
      </c>
    </row>
    <row r="7870" spans="1:2">
      <c r="A7870" s="117">
        <v>41424</v>
      </c>
      <c r="B7870">
        <v>12.5275</v>
      </c>
    </row>
    <row r="7871" spans="1:2">
      <c r="A7871" s="117">
        <v>41425</v>
      </c>
      <c r="B7871">
        <v>12.6328</v>
      </c>
    </row>
    <row r="7872" spans="1:2">
      <c r="A7872" s="117">
        <v>41426</v>
      </c>
      <c r="B7872">
        <v>12.7781</v>
      </c>
    </row>
    <row r="7873" spans="1:2">
      <c r="A7873" s="117">
        <v>41427</v>
      </c>
      <c r="B7873">
        <v>12.7781</v>
      </c>
    </row>
    <row r="7874" spans="1:2">
      <c r="A7874" s="117">
        <v>41428</v>
      </c>
      <c r="B7874">
        <v>12.7781</v>
      </c>
    </row>
    <row r="7875" spans="1:2">
      <c r="A7875" s="117">
        <v>41429</v>
      </c>
      <c r="B7875">
        <v>12.8035</v>
      </c>
    </row>
    <row r="7876" spans="1:2">
      <c r="A7876" s="117">
        <v>41430</v>
      </c>
      <c r="B7876">
        <v>12.7882</v>
      </c>
    </row>
    <row r="7877" spans="1:2">
      <c r="A7877" s="117">
        <v>41431</v>
      </c>
      <c r="B7877">
        <v>12.7317</v>
      </c>
    </row>
    <row r="7878" spans="1:2">
      <c r="A7878" s="117">
        <v>41432</v>
      </c>
      <c r="B7878">
        <v>12.816700000000001</v>
      </c>
    </row>
    <row r="7879" spans="1:2">
      <c r="A7879" s="117">
        <v>41433</v>
      </c>
      <c r="B7879">
        <v>12.9079</v>
      </c>
    </row>
    <row r="7880" spans="1:2">
      <c r="A7880" s="117">
        <v>41434</v>
      </c>
      <c r="B7880">
        <v>12.9079</v>
      </c>
    </row>
    <row r="7881" spans="1:2">
      <c r="A7881" s="117">
        <v>41435</v>
      </c>
      <c r="B7881">
        <v>12.9079</v>
      </c>
    </row>
    <row r="7882" spans="1:2">
      <c r="A7882" s="117">
        <v>41436</v>
      </c>
      <c r="B7882">
        <v>12.7173</v>
      </c>
    </row>
    <row r="7883" spans="1:2">
      <c r="A7883" s="117">
        <v>41437</v>
      </c>
      <c r="B7883">
        <v>12.857200000000001</v>
      </c>
    </row>
    <row r="7884" spans="1:2">
      <c r="A7884" s="117">
        <v>41438</v>
      </c>
      <c r="B7884">
        <v>12.884600000000001</v>
      </c>
    </row>
    <row r="7885" spans="1:2">
      <c r="A7885" s="117">
        <v>41439</v>
      </c>
      <c r="B7885">
        <v>12.844200000000001</v>
      </c>
    </row>
    <row r="7886" spans="1:2">
      <c r="A7886" s="117">
        <v>41440</v>
      </c>
      <c r="B7886">
        <v>12.7812</v>
      </c>
    </row>
    <row r="7887" spans="1:2">
      <c r="A7887" s="117">
        <v>41441</v>
      </c>
      <c r="B7887">
        <v>12.7812</v>
      </c>
    </row>
    <row r="7888" spans="1:2">
      <c r="A7888" s="117">
        <v>41442</v>
      </c>
      <c r="B7888">
        <v>12.7812</v>
      </c>
    </row>
    <row r="7889" spans="1:2">
      <c r="A7889" s="117">
        <v>41443</v>
      </c>
      <c r="B7889">
        <v>12.691599999999999</v>
      </c>
    </row>
    <row r="7890" spans="1:2">
      <c r="A7890" s="117">
        <v>41444</v>
      </c>
      <c r="B7890">
        <v>12.737</v>
      </c>
    </row>
    <row r="7891" spans="1:2">
      <c r="A7891" s="117">
        <v>41445</v>
      </c>
      <c r="B7891">
        <v>12.88</v>
      </c>
    </row>
    <row r="7892" spans="1:2">
      <c r="A7892" s="117">
        <v>41446</v>
      </c>
      <c r="B7892">
        <v>12.8695</v>
      </c>
    </row>
    <row r="7893" spans="1:2">
      <c r="A7893" s="117">
        <v>41447</v>
      </c>
      <c r="B7893">
        <v>13.4015</v>
      </c>
    </row>
    <row r="7894" spans="1:2">
      <c r="A7894" s="117">
        <v>41448</v>
      </c>
      <c r="B7894">
        <v>13.4015</v>
      </c>
    </row>
    <row r="7895" spans="1:2">
      <c r="A7895" s="117">
        <v>41449</v>
      </c>
      <c r="B7895">
        <v>13.4015</v>
      </c>
    </row>
    <row r="7896" spans="1:2">
      <c r="A7896" s="117">
        <v>41450</v>
      </c>
      <c r="B7896">
        <v>13.4041</v>
      </c>
    </row>
    <row r="7897" spans="1:2">
      <c r="A7897" s="117">
        <v>41451</v>
      </c>
      <c r="B7897">
        <v>13.396599999999999</v>
      </c>
    </row>
    <row r="7898" spans="1:2">
      <c r="A7898" s="117">
        <v>41452</v>
      </c>
      <c r="B7898">
        <v>13.2424</v>
      </c>
    </row>
    <row r="7899" spans="1:2">
      <c r="A7899" s="117">
        <v>41453</v>
      </c>
      <c r="B7899">
        <v>13.1884</v>
      </c>
    </row>
    <row r="7900" spans="1:2">
      <c r="A7900" s="117">
        <v>41454</v>
      </c>
      <c r="B7900">
        <v>13.0235</v>
      </c>
    </row>
    <row r="7901" spans="1:2">
      <c r="A7901" s="117">
        <v>41455</v>
      </c>
      <c r="B7901">
        <v>13.0235</v>
      </c>
    </row>
    <row r="7902" spans="1:2">
      <c r="A7902" s="117">
        <v>41456</v>
      </c>
      <c r="B7902">
        <v>13.0235</v>
      </c>
    </row>
    <row r="7903" spans="1:2">
      <c r="A7903" s="117">
        <v>41457</v>
      </c>
      <c r="B7903">
        <v>13.027900000000001</v>
      </c>
    </row>
    <row r="7904" spans="1:2">
      <c r="A7904" s="117">
        <v>41458</v>
      </c>
      <c r="B7904">
        <v>12.9131</v>
      </c>
    </row>
    <row r="7905" spans="1:2">
      <c r="A7905" s="117">
        <v>41459</v>
      </c>
      <c r="B7905">
        <v>12.984999999999999</v>
      </c>
    </row>
    <row r="7906" spans="1:2">
      <c r="A7906" s="117">
        <v>41460</v>
      </c>
      <c r="B7906">
        <v>13.037699999999999</v>
      </c>
    </row>
    <row r="7907" spans="1:2">
      <c r="A7907" s="117">
        <v>41461</v>
      </c>
      <c r="B7907">
        <v>12.8902</v>
      </c>
    </row>
    <row r="7908" spans="1:2">
      <c r="A7908" s="117">
        <v>41462</v>
      </c>
      <c r="B7908">
        <v>12.8902</v>
      </c>
    </row>
    <row r="7909" spans="1:2">
      <c r="A7909" s="117">
        <v>41463</v>
      </c>
      <c r="B7909">
        <v>12.8902</v>
      </c>
    </row>
    <row r="7910" spans="1:2">
      <c r="A7910" s="117">
        <v>41464</v>
      </c>
      <c r="B7910">
        <v>13.056699999999999</v>
      </c>
    </row>
    <row r="7911" spans="1:2">
      <c r="A7911" s="117">
        <v>41465</v>
      </c>
      <c r="B7911">
        <v>12.9267</v>
      </c>
    </row>
    <row r="7912" spans="1:2">
      <c r="A7912" s="117">
        <v>41466</v>
      </c>
      <c r="B7912">
        <v>12.865399999999999</v>
      </c>
    </row>
    <row r="7913" spans="1:2">
      <c r="A7913" s="117">
        <v>41467</v>
      </c>
      <c r="B7913">
        <v>12.949400000000001</v>
      </c>
    </row>
    <row r="7914" spans="1:2">
      <c r="A7914" s="117">
        <v>41468</v>
      </c>
      <c r="B7914">
        <v>12.8599</v>
      </c>
    </row>
    <row r="7915" spans="1:2">
      <c r="A7915" s="117">
        <v>41469</v>
      </c>
      <c r="B7915">
        <v>12.8599</v>
      </c>
    </row>
    <row r="7916" spans="1:2">
      <c r="A7916" s="117">
        <v>41470</v>
      </c>
      <c r="B7916">
        <v>12.8599</v>
      </c>
    </row>
    <row r="7917" spans="1:2">
      <c r="A7917" s="117">
        <v>41471</v>
      </c>
      <c r="B7917">
        <v>12.823399999999999</v>
      </c>
    </row>
    <row r="7918" spans="1:2">
      <c r="A7918" s="117">
        <v>41472</v>
      </c>
      <c r="B7918">
        <v>12.7387</v>
      </c>
    </row>
    <row r="7919" spans="1:2">
      <c r="A7919" s="117">
        <v>41473</v>
      </c>
      <c r="B7919">
        <v>12.629899999999999</v>
      </c>
    </row>
    <row r="7920" spans="1:2">
      <c r="A7920" s="117">
        <v>41474</v>
      </c>
      <c r="B7920">
        <v>12.545500000000001</v>
      </c>
    </row>
    <row r="7921" spans="1:2">
      <c r="A7921" s="117">
        <v>41475</v>
      </c>
      <c r="B7921">
        <v>12.4976</v>
      </c>
    </row>
    <row r="7922" spans="1:2">
      <c r="A7922" s="117">
        <v>41476</v>
      </c>
      <c r="B7922">
        <v>12.4976</v>
      </c>
    </row>
    <row r="7923" spans="1:2">
      <c r="A7923" s="117">
        <v>41477</v>
      </c>
      <c r="B7923">
        <v>12.4976</v>
      </c>
    </row>
    <row r="7924" spans="1:2">
      <c r="A7924" s="117">
        <v>41478</v>
      </c>
      <c r="B7924">
        <v>12.549899999999999</v>
      </c>
    </row>
    <row r="7925" spans="1:2">
      <c r="A7925" s="117">
        <v>41479</v>
      </c>
      <c r="B7925">
        <v>12.5054</v>
      </c>
    </row>
    <row r="7926" spans="1:2">
      <c r="A7926" s="117">
        <v>41480</v>
      </c>
      <c r="B7926">
        <v>12.5093</v>
      </c>
    </row>
    <row r="7927" spans="1:2">
      <c r="A7927" s="117">
        <v>41481</v>
      </c>
      <c r="B7927">
        <v>12.632999999999999</v>
      </c>
    </row>
    <row r="7928" spans="1:2">
      <c r="A7928" s="117">
        <v>41482</v>
      </c>
      <c r="B7928">
        <v>12.646800000000001</v>
      </c>
    </row>
    <row r="7929" spans="1:2">
      <c r="A7929" s="117">
        <v>41483</v>
      </c>
      <c r="B7929">
        <v>12.646800000000001</v>
      </c>
    </row>
    <row r="7930" spans="1:2">
      <c r="A7930" s="117">
        <v>41484</v>
      </c>
      <c r="B7930">
        <v>12.646800000000001</v>
      </c>
    </row>
    <row r="7931" spans="1:2">
      <c r="A7931" s="117">
        <v>41485</v>
      </c>
      <c r="B7931">
        <v>12.709099999999999</v>
      </c>
    </row>
    <row r="7932" spans="1:2">
      <c r="A7932" s="117">
        <v>41486</v>
      </c>
      <c r="B7932">
        <v>12.732100000000001</v>
      </c>
    </row>
    <row r="7933" spans="1:2">
      <c r="A7933" s="117">
        <v>41487</v>
      </c>
      <c r="B7933">
        <v>12.763500000000001</v>
      </c>
    </row>
    <row r="7934" spans="1:2">
      <c r="A7934" s="117">
        <v>41488</v>
      </c>
      <c r="B7934">
        <v>12.846399999999999</v>
      </c>
    </row>
    <row r="7935" spans="1:2">
      <c r="A7935" s="117">
        <v>41489</v>
      </c>
      <c r="B7935">
        <v>12.806800000000001</v>
      </c>
    </row>
    <row r="7936" spans="1:2">
      <c r="A7936" s="117">
        <v>41490</v>
      </c>
      <c r="B7936">
        <v>12.806800000000001</v>
      </c>
    </row>
    <row r="7937" spans="1:2">
      <c r="A7937" s="117">
        <v>41491</v>
      </c>
      <c r="B7937">
        <v>12.806800000000001</v>
      </c>
    </row>
    <row r="7938" spans="1:2">
      <c r="A7938" s="117">
        <v>41492</v>
      </c>
      <c r="B7938">
        <v>12.6904</v>
      </c>
    </row>
    <row r="7939" spans="1:2">
      <c r="A7939" s="117">
        <v>41493</v>
      </c>
      <c r="B7939">
        <v>12.6759</v>
      </c>
    </row>
    <row r="7940" spans="1:2">
      <c r="A7940" s="117">
        <v>41494</v>
      </c>
      <c r="B7940">
        <v>12.644500000000001</v>
      </c>
    </row>
    <row r="7941" spans="1:2">
      <c r="A7941" s="117">
        <v>41495</v>
      </c>
      <c r="B7941">
        <v>12.6989</v>
      </c>
    </row>
    <row r="7942" spans="1:2">
      <c r="A7942" s="117">
        <v>41496</v>
      </c>
      <c r="B7942">
        <v>12.646000000000001</v>
      </c>
    </row>
    <row r="7943" spans="1:2">
      <c r="A7943" s="117">
        <v>41497</v>
      </c>
      <c r="B7943">
        <v>12.646000000000001</v>
      </c>
    </row>
    <row r="7944" spans="1:2">
      <c r="A7944" s="117">
        <v>41498</v>
      </c>
      <c r="B7944">
        <v>12.646000000000001</v>
      </c>
    </row>
    <row r="7945" spans="1:2">
      <c r="A7945" s="117">
        <v>41499</v>
      </c>
      <c r="B7945">
        <v>12.588900000000001</v>
      </c>
    </row>
    <row r="7946" spans="1:2">
      <c r="A7946" s="117">
        <v>41500</v>
      </c>
      <c r="B7946">
        <v>12.566599999999999</v>
      </c>
    </row>
    <row r="7947" spans="1:2">
      <c r="A7947" s="117">
        <v>41501</v>
      </c>
      <c r="B7947">
        <v>12.7545</v>
      </c>
    </row>
    <row r="7948" spans="1:2">
      <c r="A7948" s="117">
        <v>41502</v>
      </c>
      <c r="B7948">
        <v>12.7255</v>
      </c>
    </row>
    <row r="7949" spans="1:2">
      <c r="A7949" s="117">
        <v>41503</v>
      </c>
      <c r="B7949">
        <v>12.862500000000001</v>
      </c>
    </row>
    <row r="7950" spans="1:2">
      <c r="A7950" s="117">
        <v>41504</v>
      </c>
      <c r="B7950">
        <v>12.862500000000001</v>
      </c>
    </row>
    <row r="7951" spans="1:2">
      <c r="A7951" s="117">
        <v>41505</v>
      </c>
      <c r="B7951">
        <v>12.862500000000001</v>
      </c>
    </row>
    <row r="7952" spans="1:2">
      <c r="A7952" s="117">
        <v>41506</v>
      </c>
      <c r="B7952">
        <v>12.872199999999999</v>
      </c>
    </row>
    <row r="7953" spans="1:2">
      <c r="A7953" s="117">
        <v>41507</v>
      </c>
      <c r="B7953">
        <v>13.0124</v>
      </c>
    </row>
    <row r="7954" spans="1:2">
      <c r="A7954" s="117">
        <v>41508</v>
      </c>
      <c r="B7954">
        <v>13.006399999999999</v>
      </c>
    </row>
    <row r="7955" spans="1:2">
      <c r="A7955" s="117">
        <v>41509</v>
      </c>
      <c r="B7955">
        <v>13.1424</v>
      </c>
    </row>
    <row r="7956" spans="1:2">
      <c r="A7956" s="117">
        <v>41510</v>
      </c>
      <c r="B7956">
        <v>13.1486</v>
      </c>
    </row>
    <row r="7957" spans="1:2">
      <c r="A7957" s="117">
        <v>41511</v>
      </c>
      <c r="B7957">
        <v>13.1486</v>
      </c>
    </row>
    <row r="7958" spans="1:2">
      <c r="A7958" s="117">
        <v>41512</v>
      </c>
      <c r="B7958">
        <v>13.1486</v>
      </c>
    </row>
    <row r="7959" spans="1:2">
      <c r="A7959" s="117">
        <v>41513</v>
      </c>
      <c r="B7959">
        <v>12.9979</v>
      </c>
    </row>
    <row r="7960" spans="1:2">
      <c r="A7960" s="117">
        <v>41514</v>
      </c>
      <c r="B7960">
        <v>13.109</v>
      </c>
    </row>
    <row r="7961" spans="1:2">
      <c r="A7961" s="117">
        <v>41515</v>
      </c>
      <c r="B7961">
        <v>13.336600000000001</v>
      </c>
    </row>
    <row r="7962" spans="1:2">
      <c r="A7962" s="117">
        <v>41516</v>
      </c>
      <c r="B7962">
        <v>13.2539</v>
      </c>
    </row>
    <row r="7963" spans="1:2">
      <c r="A7963" s="117">
        <v>41517</v>
      </c>
      <c r="B7963">
        <v>13.3104</v>
      </c>
    </row>
    <row r="7964" spans="1:2">
      <c r="A7964" s="117">
        <v>41518</v>
      </c>
      <c r="B7964">
        <v>13.3104</v>
      </c>
    </row>
    <row r="7965" spans="1:2">
      <c r="A7965" s="117">
        <v>41519</v>
      </c>
      <c r="B7965">
        <v>13.3104</v>
      </c>
    </row>
    <row r="7966" spans="1:2">
      <c r="A7966" s="117">
        <v>41520</v>
      </c>
      <c r="B7966">
        <v>13.3415</v>
      </c>
    </row>
    <row r="7967" spans="1:2">
      <c r="A7967" s="117">
        <v>41521</v>
      </c>
      <c r="B7967">
        <v>13.307</v>
      </c>
    </row>
    <row r="7968" spans="1:2">
      <c r="A7968" s="117">
        <v>41522</v>
      </c>
      <c r="B7968">
        <v>13.439399999999999</v>
      </c>
    </row>
    <row r="7969" spans="1:2">
      <c r="A7969" s="117">
        <v>41523</v>
      </c>
      <c r="B7969">
        <v>13.3065</v>
      </c>
    </row>
    <row r="7970" spans="1:2">
      <c r="A7970" s="117">
        <v>41524</v>
      </c>
      <c r="B7970">
        <v>13.4079</v>
      </c>
    </row>
    <row r="7971" spans="1:2">
      <c r="A7971" s="117">
        <v>41525</v>
      </c>
      <c r="B7971">
        <v>13.4079</v>
      </c>
    </row>
    <row r="7972" spans="1:2">
      <c r="A7972" s="117">
        <v>41526</v>
      </c>
      <c r="B7972">
        <v>13.4079</v>
      </c>
    </row>
    <row r="7973" spans="1:2">
      <c r="A7973" s="117">
        <v>41527</v>
      </c>
      <c r="B7973">
        <v>13.241300000000001</v>
      </c>
    </row>
    <row r="7974" spans="1:2">
      <c r="A7974" s="117">
        <v>41528</v>
      </c>
      <c r="B7974">
        <v>13.1471</v>
      </c>
    </row>
    <row r="7975" spans="1:2">
      <c r="A7975" s="117">
        <v>41529</v>
      </c>
      <c r="B7975">
        <v>13.1119</v>
      </c>
    </row>
    <row r="7976" spans="1:2">
      <c r="A7976" s="117">
        <v>41530</v>
      </c>
      <c r="B7976">
        <v>13.0938</v>
      </c>
    </row>
    <row r="7977" spans="1:2">
      <c r="A7977" s="117">
        <v>41531</v>
      </c>
      <c r="B7977">
        <v>13.0854</v>
      </c>
    </row>
    <row r="7978" spans="1:2">
      <c r="A7978" s="117">
        <v>41532</v>
      </c>
      <c r="B7978">
        <v>13.0854</v>
      </c>
    </row>
    <row r="7979" spans="1:2">
      <c r="A7979" s="117">
        <v>41533</v>
      </c>
      <c r="B7979">
        <v>13.0854</v>
      </c>
    </row>
    <row r="7980" spans="1:2">
      <c r="A7980" s="117">
        <v>41534</v>
      </c>
      <c r="B7980">
        <v>13.0854</v>
      </c>
    </row>
    <row r="7981" spans="1:2">
      <c r="A7981" s="117">
        <v>41535</v>
      </c>
      <c r="B7981">
        <v>13.054</v>
      </c>
    </row>
    <row r="7982" spans="1:2">
      <c r="A7982" s="117">
        <v>41536</v>
      </c>
      <c r="B7982">
        <v>12.924099999999999</v>
      </c>
    </row>
    <row r="7983" spans="1:2">
      <c r="A7983" s="117">
        <v>41537</v>
      </c>
      <c r="B7983">
        <v>12.9687</v>
      </c>
    </row>
    <row r="7984" spans="1:2">
      <c r="A7984" s="117">
        <v>41538</v>
      </c>
      <c r="B7984">
        <v>12.7179</v>
      </c>
    </row>
    <row r="7985" spans="1:2">
      <c r="A7985" s="117">
        <v>41539</v>
      </c>
      <c r="B7985">
        <v>12.7179</v>
      </c>
    </row>
    <row r="7986" spans="1:2">
      <c r="A7986" s="117">
        <v>41540</v>
      </c>
      <c r="B7986">
        <v>12.7179</v>
      </c>
    </row>
    <row r="7987" spans="1:2">
      <c r="A7987" s="117">
        <v>41541</v>
      </c>
      <c r="B7987">
        <v>12.7685</v>
      </c>
    </row>
    <row r="7988" spans="1:2">
      <c r="A7988" s="117">
        <v>41542</v>
      </c>
      <c r="B7988">
        <v>12.784599999999999</v>
      </c>
    </row>
    <row r="7989" spans="1:2">
      <c r="A7989" s="117">
        <v>41543</v>
      </c>
      <c r="B7989">
        <v>12.875400000000001</v>
      </c>
    </row>
    <row r="7990" spans="1:2">
      <c r="A7990" s="117">
        <v>41544</v>
      </c>
      <c r="B7990">
        <v>12.952999999999999</v>
      </c>
    </row>
    <row r="7991" spans="1:2">
      <c r="A7991" s="117">
        <v>41545</v>
      </c>
      <c r="B7991">
        <v>13.011900000000001</v>
      </c>
    </row>
    <row r="7992" spans="1:2">
      <c r="A7992" s="117">
        <v>41546</v>
      </c>
      <c r="B7992">
        <v>13.011900000000001</v>
      </c>
    </row>
    <row r="7993" spans="1:2">
      <c r="A7993" s="117">
        <v>41547</v>
      </c>
      <c r="B7993">
        <v>13.011900000000001</v>
      </c>
    </row>
    <row r="7994" spans="1:2">
      <c r="A7994" s="117">
        <v>41548</v>
      </c>
      <c r="B7994">
        <v>13.145</v>
      </c>
    </row>
    <row r="7995" spans="1:2">
      <c r="A7995" s="117">
        <v>41549</v>
      </c>
      <c r="B7995">
        <v>13.1747</v>
      </c>
    </row>
    <row r="7996" spans="1:2">
      <c r="A7996" s="117">
        <v>41550</v>
      </c>
      <c r="B7996">
        <v>13.1294</v>
      </c>
    </row>
    <row r="7997" spans="1:2">
      <c r="A7997" s="117">
        <v>41551</v>
      </c>
      <c r="B7997">
        <v>13.1593</v>
      </c>
    </row>
    <row r="7998" spans="1:2">
      <c r="A7998" s="117">
        <v>41552</v>
      </c>
      <c r="B7998">
        <v>13.266299999999999</v>
      </c>
    </row>
    <row r="7999" spans="1:2">
      <c r="A7999" s="117">
        <v>41553</v>
      </c>
      <c r="B7999">
        <v>13.266299999999999</v>
      </c>
    </row>
    <row r="8000" spans="1:2">
      <c r="A8000" s="117">
        <v>41554</v>
      </c>
      <c r="B8000">
        <v>13.266299999999999</v>
      </c>
    </row>
    <row r="8001" spans="1:2">
      <c r="A8001" s="117">
        <v>41555</v>
      </c>
      <c r="B8001">
        <v>13.0976</v>
      </c>
    </row>
    <row r="8002" spans="1:2">
      <c r="A8002" s="117">
        <v>41556</v>
      </c>
      <c r="B8002">
        <v>13.0959</v>
      </c>
    </row>
    <row r="8003" spans="1:2">
      <c r="A8003" s="117">
        <v>41557</v>
      </c>
      <c r="B8003">
        <v>13.1417</v>
      </c>
    </row>
    <row r="8004" spans="1:2">
      <c r="A8004" s="117">
        <v>41558</v>
      </c>
      <c r="B8004">
        <v>13.2126</v>
      </c>
    </row>
    <row r="8005" spans="1:2">
      <c r="A8005" s="117">
        <v>41559</v>
      </c>
      <c r="B8005">
        <v>13.0913</v>
      </c>
    </row>
    <row r="8006" spans="1:2">
      <c r="A8006" s="117">
        <v>41560</v>
      </c>
      <c r="B8006">
        <v>13.0913</v>
      </c>
    </row>
    <row r="8007" spans="1:2">
      <c r="A8007" s="117">
        <v>41561</v>
      </c>
      <c r="B8007">
        <v>13.0913</v>
      </c>
    </row>
    <row r="8008" spans="1:2">
      <c r="A8008" s="117">
        <v>41562</v>
      </c>
      <c r="B8008">
        <v>13.051399999999999</v>
      </c>
    </row>
    <row r="8009" spans="1:2">
      <c r="A8009" s="117">
        <v>41563</v>
      </c>
      <c r="B8009">
        <v>13.049200000000001</v>
      </c>
    </row>
    <row r="8010" spans="1:2">
      <c r="A8010" s="117">
        <v>41564</v>
      </c>
      <c r="B8010">
        <v>12.9725</v>
      </c>
    </row>
    <row r="8011" spans="1:2">
      <c r="A8011" s="117">
        <v>41565</v>
      </c>
      <c r="B8011">
        <v>12.881600000000001</v>
      </c>
    </row>
    <row r="8012" spans="1:2">
      <c r="A8012" s="117">
        <v>41566</v>
      </c>
      <c r="B8012">
        <v>12.771699999999999</v>
      </c>
    </row>
    <row r="8013" spans="1:2">
      <c r="A8013" s="117">
        <v>41567</v>
      </c>
      <c r="B8013">
        <v>12.771699999999999</v>
      </c>
    </row>
    <row r="8014" spans="1:2">
      <c r="A8014" s="117">
        <v>41568</v>
      </c>
      <c r="B8014">
        <v>12.771699999999999</v>
      </c>
    </row>
    <row r="8015" spans="1:2">
      <c r="A8015" s="117">
        <v>41569</v>
      </c>
      <c r="B8015">
        <v>12.7988</v>
      </c>
    </row>
    <row r="8016" spans="1:2">
      <c r="A8016" s="117">
        <v>41570</v>
      </c>
      <c r="B8016">
        <v>12.9314</v>
      </c>
    </row>
    <row r="8017" spans="1:2">
      <c r="A8017" s="117">
        <v>41571</v>
      </c>
      <c r="B8017">
        <v>12.8713</v>
      </c>
    </row>
    <row r="8018" spans="1:2">
      <c r="A8018" s="117">
        <v>41572</v>
      </c>
      <c r="B8018">
        <v>12.943300000000001</v>
      </c>
    </row>
    <row r="8019" spans="1:2">
      <c r="A8019" s="117">
        <v>41573</v>
      </c>
      <c r="B8019">
        <v>12.9916</v>
      </c>
    </row>
    <row r="8020" spans="1:2">
      <c r="A8020" s="117">
        <v>41574</v>
      </c>
      <c r="B8020">
        <v>12.9916</v>
      </c>
    </row>
    <row r="8021" spans="1:2">
      <c r="A8021" s="117">
        <v>41575</v>
      </c>
      <c r="B8021">
        <v>12.9916</v>
      </c>
    </row>
    <row r="8022" spans="1:2">
      <c r="A8022" s="117">
        <v>41576</v>
      </c>
      <c r="B8022">
        <v>12.869300000000001</v>
      </c>
    </row>
    <row r="8023" spans="1:2">
      <c r="A8023" s="117">
        <v>41577</v>
      </c>
      <c r="B8023">
        <v>12.8948</v>
      </c>
    </row>
    <row r="8024" spans="1:2">
      <c r="A8024" s="117">
        <v>41578</v>
      </c>
      <c r="B8024">
        <v>12.8903</v>
      </c>
    </row>
    <row r="8025" spans="1:2">
      <c r="A8025" s="117">
        <v>41579</v>
      </c>
      <c r="B8025">
        <v>12.864000000000001</v>
      </c>
    </row>
    <row r="8026" spans="1:2">
      <c r="A8026" s="117">
        <v>41580</v>
      </c>
      <c r="B8026">
        <v>13.0067</v>
      </c>
    </row>
    <row r="8027" spans="1:2">
      <c r="A8027" s="117">
        <v>41581</v>
      </c>
      <c r="B8027">
        <v>13.0067</v>
      </c>
    </row>
    <row r="8028" spans="1:2">
      <c r="A8028" s="117">
        <v>41582</v>
      </c>
      <c r="B8028">
        <v>13.0067</v>
      </c>
    </row>
    <row r="8029" spans="1:2">
      <c r="A8029" s="117">
        <v>41583</v>
      </c>
      <c r="B8029">
        <v>13.078900000000001</v>
      </c>
    </row>
    <row r="8030" spans="1:2">
      <c r="A8030" s="117">
        <v>41584</v>
      </c>
      <c r="B8030">
        <v>12.9869</v>
      </c>
    </row>
    <row r="8031" spans="1:2">
      <c r="A8031" s="117">
        <v>41585</v>
      </c>
      <c r="B8031">
        <v>13.1341</v>
      </c>
    </row>
    <row r="8032" spans="1:2">
      <c r="A8032" s="117">
        <v>41586</v>
      </c>
      <c r="B8032">
        <v>13.1388</v>
      </c>
    </row>
    <row r="8033" spans="1:2">
      <c r="A8033" s="117">
        <v>41587</v>
      </c>
      <c r="B8033">
        <v>13.1912</v>
      </c>
    </row>
    <row r="8034" spans="1:2">
      <c r="A8034" s="117">
        <v>41588</v>
      </c>
      <c r="B8034">
        <v>13.1912</v>
      </c>
    </row>
    <row r="8035" spans="1:2">
      <c r="A8035" s="117">
        <v>41589</v>
      </c>
      <c r="B8035">
        <v>13.1912</v>
      </c>
    </row>
    <row r="8036" spans="1:2">
      <c r="A8036" s="117">
        <v>41590</v>
      </c>
      <c r="B8036">
        <v>13.241199999999999</v>
      </c>
    </row>
    <row r="8037" spans="1:2">
      <c r="A8037" s="117">
        <v>41591</v>
      </c>
      <c r="B8037">
        <v>13.231400000000001</v>
      </c>
    </row>
    <row r="8038" spans="1:2">
      <c r="A8038" s="117">
        <v>41592</v>
      </c>
      <c r="B8038">
        <v>13.187900000000001</v>
      </c>
    </row>
    <row r="8039" spans="1:2">
      <c r="A8039" s="117">
        <v>41593</v>
      </c>
      <c r="B8039">
        <v>13.103</v>
      </c>
    </row>
    <row r="8040" spans="1:2">
      <c r="A8040" s="117">
        <v>41594</v>
      </c>
      <c r="B8040">
        <v>13.017300000000001</v>
      </c>
    </row>
    <row r="8041" spans="1:2">
      <c r="A8041" s="117">
        <v>41595</v>
      </c>
      <c r="B8041">
        <v>13.017300000000001</v>
      </c>
    </row>
    <row r="8042" spans="1:2">
      <c r="A8042" s="117">
        <v>41596</v>
      </c>
      <c r="B8042">
        <v>13.017300000000001</v>
      </c>
    </row>
    <row r="8043" spans="1:2">
      <c r="A8043" s="117">
        <v>41597</v>
      </c>
      <c r="B8043">
        <v>13.017300000000001</v>
      </c>
    </row>
    <row r="8044" spans="1:2">
      <c r="A8044" s="117">
        <v>41598</v>
      </c>
      <c r="B8044">
        <v>12.952400000000001</v>
      </c>
    </row>
    <row r="8045" spans="1:2">
      <c r="A8045" s="117">
        <v>41599</v>
      </c>
      <c r="B8045">
        <v>12.886900000000001</v>
      </c>
    </row>
    <row r="8046" spans="1:2">
      <c r="A8046" s="117">
        <v>41600</v>
      </c>
      <c r="B8046">
        <v>12.9697</v>
      </c>
    </row>
    <row r="8047" spans="1:2">
      <c r="A8047" s="117">
        <v>41601</v>
      </c>
      <c r="B8047">
        <v>13.0617</v>
      </c>
    </row>
    <row r="8048" spans="1:2">
      <c r="A8048" s="117">
        <v>41602</v>
      </c>
      <c r="B8048">
        <v>13.0617</v>
      </c>
    </row>
    <row r="8049" spans="1:2">
      <c r="A8049" s="117">
        <v>41603</v>
      </c>
      <c r="B8049">
        <v>13.0617</v>
      </c>
    </row>
    <row r="8050" spans="1:2">
      <c r="A8050" s="117">
        <v>41604</v>
      </c>
      <c r="B8050">
        <v>13.0223</v>
      </c>
    </row>
    <row r="8051" spans="1:2">
      <c r="A8051" s="117">
        <v>41605</v>
      </c>
      <c r="B8051">
        <v>13.0267</v>
      </c>
    </row>
    <row r="8052" spans="1:2">
      <c r="A8052" s="117">
        <v>41606</v>
      </c>
      <c r="B8052">
        <v>13.0745</v>
      </c>
    </row>
    <row r="8053" spans="1:2">
      <c r="A8053" s="117">
        <v>41607</v>
      </c>
      <c r="B8053">
        <v>13.092499999999999</v>
      </c>
    </row>
    <row r="8054" spans="1:2">
      <c r="A8054" s="117">
        <v>41608</v>
      </c>
      <c r="B8054">
        <v>13.083600000000001</v>
      </c>
    </row>
    <row r="8055" spans="1:2">
      <c r="A8055" s="117">
        <v>41609</v>
      </c>
      <c r="B8055">
        <v>13.083600000000001</v>
      </c>
    </row>
    <row r="8056" spans="1:2">
      <c r="A8056" s="117">
        <v>41610</v>
      </c>
      <c r="B8056">
        <v>13.083600000000001</v>
      </c>
    </row>
    <row r="8057" spans="1:2">
      <c r="A8057" s="117">
        <v>41611</v>
      </c>
      <c r="B8057">
        <v>13.110099999999999</v>
      </c>
    </row>
    <row r="8058" spans="1:2">
      <c r="A8058" s="117">
        <v>41612</v>
      </c>
      <c r="B8058">
        <v>13.2041</v>
      </c>
    </row>
    <row r="8059" spans="1:2">
      <c r="A8059" s="117">
        <v>41613</v>
      </c>
      <c r="B8059">
        <v>13.2372</v>
      </c>
    </row>
    <row r="8060" spans="1:2">
      <c r="A8060" s="117">
        <v>41614</v>
      </c>
      <c r="B8060">
        <v>13.082599999999999</v>
      </c>
    </row>
    <row r="8061" spans="1:2">
      <c r="A8061" s="117">
        <v>41615</v>
      </c>
      <c r="B8061">
        <v>13.005699999999999</v>
      </c>
    </row>
    <row r="8062" spans="1:2">
      <c r="A8062" s="117">
        <v>41616</v>
      </c>
      <c r="B8062">
        <v>13.005699999999999</v>
      </c>
    </row>
    <row r="8063" spans="1:2">
      <c r="A8063" s="117">
        <v>41617</v>
      </c>
      <c r="B8063">
        <v>13.005699999999999</v>
      </c>
    </row>
    <row r="8064" spans="1:2">
      <c r="A8064" s="117">
        <v>41618</v>
      </c>
      <c r="B8064">
        <v>12.9299</v>
      </c>
    </row>
    <row r="8065" spans="1:2">
      <c r="A8065" s="117">
        <v>41619</v>
      </c>
      <c r="B8065">
        <v>12.8612</v>
      </c>
    </row>
    <row r="8066" spans="1:2">
      <c r="A8066" s="117">
        <v>41620</v>
      </c>
      <c r="B8066">
        <v>12.8574</v>
      </c>
    </row>
    <row r="8067" spans="1:2">
      <c r="A8067" s="117">
        <v>41621</v>
      </c>
      <c r="B8067">
        <v>12.8574</v>
      </c>
    </row>
    <row r="8068" spans="1:2">
      <c r="A8068" s="117">
        <v>41622</v>
      </c>
      <c r="B8068">
        <v>12.934200000000001</v>
      </c>
    </row>
    <row r="8069" spans="1:2">
      <c r="A8069" s="117">
        <v>41623</v>
      </c>
      <c r="B8069">
        <v>12.934200000000001</v>
      </c>
    </row>
    <row r="8070" spans="1:2">
      <c r="A8070" s="117">
        <v>41624</v>
      </c>
      <c r="B8070">
        <v>12.934200000000001</v>
      </c>
    </row>
    <row r="8071" spans="1:2">
      <c r="A8071" s="117">
        <v>41625</v>
      </c>
      <c r="B8071">
        <v>12.951499999999999</v>
      </c>
    </row>
    <row r="8072" spans="1:2">
      <c r="A8072" s="117">
        <v>41626</v>
      </c>
      <c r="B8072">
        <v>12.943899999999999</v>
      </c>
    </row>
    <row r="8073" spans="1:2">
      <c r="A8073" s="117">
        <v>41627</v>
      </c>
      <c r="B8073">
        <v>12.9575</v>
      </c>
    </row>
    <row r="8074" spans="1:2">
      <c r="A8074" s="117">
        <v>41628</v>
      </c>
      <c r="B8074">
        <v>12.9937</v>
      </c>
    </row>
    <row r="8075" spans="1:2">
      <c r="A8075" s="117">
        <v>41629</v>
      </c>
      <c r="B8075">
        <v>12.973000000000001</v>
      </c>
    </row>
    <row r="8076" spans="1:2">
      <c r="A8076" s="117">
        <v>41630</v>
      </c>
      <c r="B8076">
        <v>12.973000000000001</v>
      </c>
    </row>
    <row r="8077" spans="1:2">
      <c r="A8077" s="117">
        <v>41631</v>
      </c>
      <c r="B8077">
        <v>12.973000000000001</v>
      </c>
    </row>
    <row r="8078" spans="1:2">
      <c r="A8078" s="117">
        <v>41632</v>
      </c>
      <c r="B8078">
        <v>12.9574</v>
      </c>
    </row>
    <row r="8079" spans="1:2">
      <c r="A8079" s="117">
        <v>41633</v>
      </c>
      <c r="B8079">
        <v>12.961</v>
      </c>
    </row>
    <row r="8080" spans="1:2">
      <c r="A8080" s="117">
        <v>41634</v>
      </c>
      <c r="B8080">
        <v>12.961</v>
      </c>
    </row>
    <row r="8081" spans="1:2">
      <c r="A8081" s="117">
        <v>41635</v>
      </c>
      <c r="B8081">
        <v>13.02</v>
      </c>
    </row>
    <row r="8082" spans="1:2">
      <c r="A8082" s="117">
        <v>41636</v>
      </c>
      <c r="B8082">
        <v>13.0547</v>
      </c>
    </row>
    <row r="8083" spans="1:2">
      <c r="A8083" s="117">
        <v>41637</v>
      </c>
      <c r="B8083">
        <v>13.0547</v>
      </c>
    </row>
    <row r="8084" spans="1:2">
      <c r="A8084" s="117">
        <v>41638</v>
      </c>
      <c r="B8084">
        <v>13.0547</v>
      </c>
    </row>
    <row r="8085" spans="1:2">
      <c r="A8085" s="117">
        <v>41639</v>
      </c>
      <c r="B8085">
        <v>13.076499999999999</v>
      </c>
    </row>
    <row r="8086" spans="1:2">
      <c r="A8086" s="117">
        <v>41640</v>
      </c>
      <c r="B8086">
        <v>13.065200000000001</v>
      </c>
    </row>
    <row r="8087" spans="1:2">
      <c r="A8087" s="117">
        <v>41641</v>
      </c>
      <c r="B8087">
        <v>13.065200000000001</v>
      </c>
    </row>
    <row r="8088" spans="1:2">
      <c r="A8088" s="117">
        <v>41642</v>
      </c>
      <c r="B8088">
        <v>13.084300000000001</v>
      </c>
    </row>
    <row r="8089" spans="1:2">
      <c r="A8089" s="117">
        <v>41643</v>
      </c>
      <c r="B8089">
        <v>13.101100000000001</v>
      </c>
    </row>
    <row r="8090" spans="1:2">
      <c r="A8090" s="117">
        <v>41644</v>
      </c>
      <c r="B8090">
        <v>13.101100000000001</v>
      </c>
    </row>
    <row r="8091" spans="1:2">
      <c r="A8091" s="117">
        <v>41645</v>
      </c>
      <c r="B8091">
        <v>13.101100000000001</v>
      </c>
    </row>
    <row r="8092" spans="1:2">
      <c r="A8092" s="117">
        <v>41646</v>
      </c>
      <c r="B8092">
        <v>13.091100000000001</v>
      </c>
    </row>
    <row r="8093" spans="1:2">
      <c r="A8093" s="117">
        <v>41647</v>
      </c>
      <c r="B8093">
        <v>13.0905</v>
      </c>
    </row>
    <row r="8094" spans="1:2">
      <c r="A8094" s="117">
        <v>41648</v>
      </c>
      <c r="B8094">
        <v>13.0337</v>
      </c>
    </row>
    <row r="8095" spans="1:2">
      <c r="A8095" s="117">
        <v>41649</v>
      </c>
      <c r="B8095">
        <v>13.0846</v>
      </c>
    </row>
    <row r="8096" spans="1:2">
      <c r="A8096" s="117">
        <v>41650</v>
      </c>
      <c r="B8096">
        <v>13.1403</v>
      </c>
    </row>
    <row r="8097" spans="1:2">
      <c r="A8097" s="117">
        <v>41651</v>
      </c>
      <c r="B8097">
        <v>13.1403</v>
      </c>
    </row>
    <row r="8098" spans="1:2">
      <c r="A8098" s="117">
        <v>41652</v>
      </c>
      <c r="B8098">
        <v>13.1403</v>
      </c>
    </row>
    <row r="8099" spans="1:2">
      <c r="A8099" s="117">
        <v>41653</v>
      </c>
      <c r="B8099">
        <v>13.006500000000001</v>
      </c>
    </row>
    <row r="8100" spans="1:2">
      <c r="A8100" s="117">
        <v>41654</v>
      </c>
      <c r="B8100">
        <v>12.988899999999999</v>
      </c>
    </row>
    <row r="8101" spans="1:2">
      <c r="A8101" s="117">
        <v>41655</v>
      </c>
      <c r="B8101">
        <v>13.095599999999999</v>
      </c>
    </row>
    <row r="8102" spans="1:2">
      <c r="A8102" s="117">
        <v>41656</v>
      </c>
      <c r="B8102">
        <v>13.168900000000001</v>
      </c>
    </row>
    <row r="8103" spans="1:2">
      <c r="A8103" s="117">
        <v>41657</v>
      </c>
      <c r="B8103">
        <v>13.290699999999999</v>
      </c>
    </row>
    <row r="8104" spans="1:2">
      <c r="A8104" s="117">
        <v>41658</v>
      </c>
      <c r="B8104">
        <v>13.290699999999999</v>
      </c>
    </row>
    <row r="8105" spans="1:2">
      <c r="A8105" s="117">
        <v>41659</v>
      </c>
      <c r="B8105">
        <v>13.290699999999999</v>
      </c>
    </row>
    <row r="8106" spans="1:2">
      <c r="A8106" s="117">
        <v>41660</v>
      </c>
      <c r="B8106">
        <v>13.2737</v>
      </c>
    </row>
    <row r="8107" spans="1:2">
      <c r="A8107" s="117">
        <v>41661</v>
      </c>
      <c r="B8107">
        <v>13.242000000000001</v>
      </c>
    </row>
    <row r="8108" spans="1:2">
      <c r="A8108" s="117">
        <v>41662</v>
      </c>
      <c r="B8108">
        <v>13.298400000000001</v>
      </c>
    </row>
    <row r="8109" spans="1:2">
      <c r="A8109" s="117">
        <v>41663</v>
      </c>
      <c r="B8109">
        <v>13.3194</v>
      </c>
    </row>
    <row r="8110" spans="1:2">
      <c r="A8110" s="117">
        <v>41664</v>
      </c>
      <c r="B8110">
        <v>13.372199999999999</v>
      </c>
    </row>
    <row r="8111" spans="1:2">
      <c r="A8111" s="117">
        <v>41665</v>
      </c>
      <c r="B8111">
        <v>13.372199999999999</v>
      </c>
    </row>
    <row r="8112" spans="1:2">
      <c r="A8112" s="117">
        <v>41666</v>
      </c>
      <c r="B8112">
        <v>13.372199999999999</v>
      </c>
    </row>
    <row r="8113" spans="1:2">
      <c r="A8113" s="117">
        <v>41667</v>
      </c>
      <c r="B8113">
        <v>13.493</v>
      </c>
    </row>
    <row r="8114" spans="1:2">
      <c r="A8114" s="117">
        <v>41668</v>
      </c>
      <c r="B8114">
        <v>13.440799999999999</v>
      </c>
    </row>
    <row r="8115" spans="1:2">
      <c r="A8115" s="117">
        <v>41669</v>
      </c>
      <c r="B8115">
        <v>13.3104</v>
      </c>
    </row>
    <row r="8116" spans="1:2">
      <c r="A8116" s="117">
        <v>41670</v>
      </c>
      <c r="B8116">
        <v>13.367100000000001</v>
      </c>
    </row>
    <row r="8117" spans="1:2">
      <c r="A8117" s="117">
        <v>41671</v>
      </c>
      <c r="B8117">
        <v>13.3207</v>
      </c>
    </row>
    <row r="8118" spans="1:2">
      <c r="A8118" s="117">
        <v>41672</v>
      </c>
      <c r="B8118">
        <v>13.3207</v>
      </c>
    </row>
    <row r="8119" spans="1:2">
      <c r="A8119" s="117">
        <v>41673</v>
      </c>
      <c r="B8119">
        <v>13.3207</v>
      </c>
    </row>
    <row r="8120" spans="1:2">
      <c r="A8120" s="117">
        <v>41674</v>
      </c>
      <c r="B8120">
        <v>13.3207</v>
      </c>
    </row>
    <row r="8121" spans="1:2">
      <c r="A8121" s="117">
        <v>41675</v>
      </c>
      <c r="B8121">
        <v>13.376899999999999</v>
      </c>
    </row>
    <row r="8122" spans="1:2">
      <c r="A8122" s="117">
        <v>41676</v>
      </c>
      <c r="B8122">
        <v>13.392799999999999</v>
      </c>
    </row>
    <row r="8123" spans="1:2">
      <c r="A8123" s="117">
        <v>41677</v>
      </c>
      <c r="B8123">
        <v>13.3705</v>
      </c>
    </row>
    <row r="8124" spans="1:2">
      <c r="A8124" s="117">
        <v>41678</v>
      </c>
      <c r="B8124">
        <v>13.2211</v>
      </c>
    </row>
    <row r="8125" spans="1:2">
      <c r="A8125" s="117">
        <v>41679</v>
      </c>
      <c r="B8125">
        <v>13.2211</v>
      </c>
    </row>
    <row r="8126" spans="1:2">
      <c r="A8126" s="117">
        <v>41680</v>
      </c>
      <c r="B8126">
        <v>13.2211</v>
      </c>
    </row>
    <row r="8127" spans="1:2">
      <c r="A8127" s="117">
        <v>41681</v>
      </c>
      <c r="B8127">
        <v>13.3285</v>
      </c>
    </row>
    <row r="8128" spans="1:2">
      <c r="A8128" s="117">
        <v>41682</v>
      </c>
      <c r="B8128">
        <v>13.3134</v>
      </c>
    </row>
    <row r="8129" spans="1:2">
      <c r="A8129" s="117">
        <v>41683</v>
      </c>
      <c r="B8129">
        <v>13.291600000000001</v>
      </c>
    </row>
    <row r="8130" spans="1:2">
      <c r="A8130" s="117">
        <v>41684</v>
      </c>
      <c r="B8130">
        <v>13.3056</v>
      </c>
    </row>
    <row r="8131" spans="1:2">
      <c r="A8131" s="117">
        <v>41685</v>
      </c>
      <c r="B8131">
        <v>13.332000000000001</v>
      </c>
    </row>
    <row r="8132" spans="1:2">
      <c r="A8132" s="117">
        <v>41686</v>
      </c>
      <c r="B8132">
        <v>13.332000000000001</v>
      </c>
    </row>
    <row r="8133" spans="1:2">
      <c r="A8133" s="117">
        <v>41687</v>
      </c>
      <c r="B8133">
        <v>13.332000000000001</v>
      </c>
    </row>
    <row r="8134" spans="1:2">
      <c r="A8134" s="117">
        <v>41688</v>
      </c>
      <c r="B8134">
        <v>13.2477</v>
      </c>
    </row>
    <row r="8135" spans="1:2">
      <c r="A8135" s="117">
        <v>41689</v>
      </c>
      <c r="B8135">
        <v>13.194900000000001</v>
      </c>
    </row>
    <row r="8136" spans="1:2">
      <c r="A8136" s="117">
        <v>41690</v>
      </c>
      <c r="B8136">
        <v>13.226100000000001</v>
      </c>
    </row>
    <row r="8137" spans="1:2">
      <c r="A8137" s="117">
        <v>41691</v>
      </c>
      <c r="B8137">
        <v>13.2714</v>
      </c>
    </row>
    <row r="8138" spans="1:2">
      <c r="A8138" s="117">
        <v>41692</v>
      </c>
      <c r="B8138">
        <v>13.2913</v>
      </c>
    </row>
    <row r="8139" spans="1:2">
      <c r="A8139" s="117">
        <v>41693</v>
      </c>
      <c r="B8139">
        <v>13.2913</v>
      </c>
    </row>
    <row r="8140" spans="1:2">
      <c r="A8140" s="117">
        <v>41694</v>
      </c>
      <c r="B8140">
        <v>13.2913</v>
      </c>
    </row>
    <row r="8141" spans="1:2">
      <c r="A8141" s="117">
        <v>41695</v>
      </c>
      <c r="B8141">
        <v>13.2704</v>
      </c>
    </row>
    <row r="8142" spans="1:2">
      <c r="A8142" s="117">
        <v>41696</v>
      </c>
      <c r="B8142">
        <v>13.209</v>
      </c>
    </row>
    <row r="8143" spans="1:2">
      <c r="A8143" s="117">
        <v>41697</v>
      </c>
      <c r="B8143">
        <v>13.2248</v>
      </c>
    </row>
    <row r="8144" spans="1:2">
      <c r="A8144" s="117">
        <v>41698</v>
      </c>
      <c r="B8144">
        <v>13.299200000000001</v>
      </c>
    </row>
    <row r="8145" spans="1:2">
      <c r="A8145" s="117">
        <v>41699</v>
      </c>
      <c r="B8145">
        <v>13.3066</v>
      </c>
    </row>
    <row r="8146" spans="1:2">
      <c r="A8146" s="117">
        <v>41700</v>
      </c>
      <c r="B8146">
        <v>13.3066</v>
      </c>
    </row>
    <row r="8147" spans="1:2">
      <c r="A8147" s="117">
        <v>41701</v>
      </c>
      <c r="B8147">
        <v>13.3066</v>
      </c>
    </row>
    <row r="8148" spans="1:2">
      <c r="A8148" s="117">
        <v>41702</v>
      </c>
      <c r="B8148">
        <v>13.2379</v>
      </c>
    </row>
    <row r="8149" spans="1:2">
      <c r="A8149" s="117">
        <v>41703</v>
      </c>
      <c r="B8149">
        <v>13.3201</v>
      </c>
    </row>
    <row r="8150" spans="1:2">
      <c r="A8150" s="117">
        <v>41704</v>
      </c>
      <c r="B8150">
        <v>13.2752</v>
      </c>
    </row>
    <row r="8151" spans="1:2">
      <c r="A8151" s="117">
        <v>41705</v>
      </c>
      <c r="B8151">
        <v>13.251899999999999</v>
      </c>
    </row>
    <row r="8152" spans="1:2">
      <c r="A8152" s="117">
        <v>41706</v>
      </c>
      <c r="B8152">
        <v>13.147600000000001</v>
      </c>
    </row>
    <row r="8153" spans="1:2">
      <c r="A8153" s="117">
        <v>41707</v>
      </c>
      <c r="B8153">
        <v>13.147600000000001</v>
      </c>
    </row>
    <row r="8154" spans="1:2">
      <c r="A8154" s="117">
        <v>41708</v>
      </c>
      <c r="B8154">
        <v>13.147600000000001</v>
      </c>
    </row>
    <row r="8155" spans="1:2">
      <c r="A8155" s="117">
        <v>41709</v>
      </c>
      <c r="B8155">
        <v>13.179500000000001</v>
      </c>
    </row>
    <row r="8156" spans="1:2">
      <c r="A8156" s="117">
        <v>41710</v>
      </c>
      <c r="B8156">
        <v>13.2248</v>
      </c>
    </row>
    <row r="8157" spans="1:2">
      <c r="A8157" s="117">
        <v>41711</v>
      </c>
      <c r="B8157">
        <v>13.243</v>
      </c>
    </row>
    <row r="8158" spans="1:2">
      <c r="A8158" s="117">
        <v>41712</v>
      </c>
      <c r="B8158">
        <v>13.2659</v>
      </c>
    </row>
    <row r="8159" spans="1:2">
      <c r="A8159" s="117">
        <v>41713</v>
      </c>
      <c r="B8159">
        <v>13.2456</v>
      </c>
    </row>
    <row r="8160" spans="1:2">
      <c r="A8160" s="117">
        <v>41714</v>
      </c>
      <c r="B8160">
        <v>13.2456</v>
      </c>
    </row>
    <row r="8161" spans="1:2">
      <c r="A8161" s="117">
        <v>41715</v>
      </c>
      <c r="B8161">
        <v>13.2456</v>
      </c>
    </row>
    <row r="8162" spans="1:2">
      <c r="A8162" s="117">
        <v>41716</v>
      </c>
      <c r="B8162">
        <v>13.2456</v>
      </c>
    </row>
    <row r="8163" spans="1:2">
      <c r="A8163" s="117">
        <v>41717</v>
      </c>
      <c r="B8163">
        <v>13.234</v>
      </c>
    </row>
    <row r="8164" spans="1:2">
      <c r="A8164" s="117">
        <v>41718</v>
      </c>
      <c r="B8164">
        <v>13.1675</v>
      </c>
    </row>
    <row r="8165" spans="1:2">
      <c r="A8165" s="117">
        <v>41719</v>
      </c>
      <c r="B8165">
        <v>13.169499999999999</v>
      </c>
    </row>
    <row r="8166" spans="1:2">
      <c r="A8166" s="117">
        <v>41720</v>
      </c>
      <c r="B8166">
        <v>13.270300000000001</v>
      </c>
    </row>
    <row r="8167" spans="1:2">
      <c r="A8167" s="117">
        <v>41721</v>
      </c>
      <c r="B8167">
        <v>13.270300000000001</v>
      </c>
    </row>
    <row r="8168" spans="1:2">
      <c r="A8168" s="117">
        <v>41722</v>
      </c>
      <c r="B8168">
        <v>13.270300000000001</v>
      </c>
    </row>
    <row r="8169" spans="1:2">
      <c r="A8169" s="117">
        <v>41723</v>
      </c>
      <c r="B8169">
        <v>13.22</v>
      </c>
    </row>
    <row r="8170" spans="1:2">
      <c r="A8170" s="117">
        <v>41724</v>
      </c>
      <c r="B8170">
        <v>13.2019</v>
      </c>
    </row>
    <row r="8171" spans="1:2">
      <c r="A8171" s="117">
        <v>41725</v>
      </c>
      <c r="B8171">
        <v>13.1349</v>
      </c>
    </row>
    <row r="8172" spans="1:2">
      <c r="A8172" s="117">
        <v>41726</v>
      </c>
      <c r="B8172">
        <v>13.1273</v>
      </c>
    </row>
    <row r="8173" spans="1:2">
      <c r="A8173" s="117">
        <v>41727</v>
      </c>
      <c r="B8173">
        <v>13.0837</v>
      </c>
    </row>
    <row r="8174" spans="1:2">
      <c r="A8174" s="117">
        <v>41728</v>
      </c>
      <c r="B8174">
        <v>13.0837</v>
      </c>
    </row>
    <row r="8175" spans="1:2">
      <c r="A8175" s="117">
        <v>41729</v>
      </c>
      <c r="B8175">
        <v>13.0837</v>
      </c>
    </row>
    <row r="8176" spans="1:2">
      <c r="A8176" s="117">
        <v>41730</v>
      </c>
      <c r="B8176">
        <v>13.084099999999999</v>
      </c>
    </row>
    <row r="8177" spans="1:2">
      <c r="A8177" s="117">
        <v>41731</v>
      </c>
      <c r="B8177">
        <v>13.0549</v>
      </c>
    </row>
    <row r="8178" spans="1:2">
      <c r="A8178" s="117">
        <v>41732</v>
      </c>
      <c r="B8178">
        <v>13.0313</v>
      </c>
    </row>
    <row r="8179" spans="1:2">
      <c r="A8179" s="117">
        <v>41733</v>
      </c>
      <c r="B8179">
        <v>13.0991</v>
      </c>
    </row>
    <row r="8180" spans="1:2">
      <c r="A8180" s="117">
        <v>41734</v>
      </c>
      <c r="B8180">
        <v>13.132400000000001</v>
      </c>
    </row>
    <row r="8181" spans="1:2">
      <c r="A8181" s="117">
        <v>41735</v>
      </c>
      <c r="B8181">
        <v>13.132400000000001</v>
      </c>
    </row>
    <row r="8182" spans="1:2">
      <c r="A8182" s="117">
        <v>41736</v>
      </c>
      <c r="B8182">
        <v>13.132400000000001</v>
      </c>
    </row>
    <row r="8183" spans="1:2">
      <c r="A8183" s="117">
        <v>41737</v>
      </c>
      <c r="B8183">
        <v>13.0345</v>
      </c>
    </row>
    <row r="8184" spans="1:2">
      <c r="A8184" s="117">
        <v>41738</v>
      </c>
      <c r="B8184">
        <v>13.017899999999999</v>
      </c>
    </row>
    <row r="8185" spans="1:2">
      <c r="A8185" s="117">
        <v>41739</v>
      </c>
      <c r="B8185">
        <v>12.9642</v>
      </c>
    </row>
    <row r="8186" spans="1:2">
      <c r="A8186" s="117">
        <v>41740</v>
      </c>
      <c r="B8186">
        <v>13.0604</v>
      </c>
    </row>
    <row r="8187" spans="1:2">
      <c r="A8187" s="117">
        <v>41741</v>
      </c>
      <c r="B8187">
        <v>13.045299999999999</v>
      </c>
    </row>
    <row r="8188" spans="1:2">
      <c r="A8188" s="117">
        <v>41742</v>
      </c>
      <c r="B8188">
        <v>13.045299999999999</v>
      </c>
    </row>
    <row r="8189" spans="1:2">
      <c r="A8189" s="117">
        <v>41743</v>
      </c>
      <c r="B8189">
        <v>13.045299999999999</v>
      </c>
    </row>
    <row r="8190" spans="1:2">
      <c r="A8190" s="117">
        <v>41744</v>
      </c>
      <c r="B8190">
        <v>13.078799999999999</v>
      </c>
    </row>
    <row r="8191" spans="1:2">
      <c r="A8191" s="117">
        <v>41745</v>
      </c>
      <c r="B8191">
        <v>13.049300000000001</v>
      </c>
    </row>
    <row r="8192" spans="1:2">
      <c r="A8192" s="117">
        <v>41746</v>
      </c>
      <c r="B8192">
        <v>13.098599999999999</v>
      </c>
    </row>
    <row r="8193" spans="1:2">
      <c r="A8193" s="117">
        <v>41747</v>
      </c>
      <c r="B8193">
        <v>13.098599999999999</v>
      </c>
    </row>
    <row r="8194" spans="1:2">
      <c r="A8194" s="117">
        <v>41748</v>
      </c>
      <c r="B8194">
        <v>13.098599999999999</v>
      </c>
    </row>
    <row r="8195" spans="1:2">
      <c r="A8195" s="117">
        <v>41749</v>
      </c>
      <c r="B8195">
        <v>13.098599999999999</v>
      </c>
    </row>
    <row r="8196" spans="1:2">
      <c r="A8196" s="117">
        <v>41750</v>
      </c>
      <c r="B8196">
        <v>13.098599999999999</v>
      </c>
    </row>
    <row r="8197" spans="1:2">
      <c r="A8197" s="117">
        <v>41751</v>
      </c>
      <c r="B8197">
        <v>13.0603</v>
      </c>
    </row>
    <row r="8198" spans="1:2">
      <c r="A8198" s="117">
        <v>41752</v>
      </c>
      <c r="B8198">
        <v>13.0413</v>
      </c>
    </row>
    <row r="8199" spans="1:2">
      <c r="A8199" s="117">
        <v>41753</v>
      </c>
      <c r="B8199">
        <v>13.0448</v>
      </c>
    </row>
    <row r="8200" spans="1:2">
      <c r="A8200" s="117">
        <v>41754</v>
      </c>
      <c r="B8200">
        <v>13.0908</v>
      </c>
    </row>
    <row r="8201" spans="1:2">
      <c r="A8201" s="117">
        <v>41755</v>
      </c>
      <c r="B8201">
        <v>13.101000000000001</v>
      </c>
    </row>
    <row r="8202" spans="1:2">
      <c r="A8202" s="117">
        <v>41756</v>
      </c>
      <c r="B8202">
        <v>13.101000000000001</v>
      </c>
    </row>
    <row r="8203" spans="1:2">
      <c r="A8203" s="117">
        <v>41757</v>
      </c>
      <c r="B8203">
        <v>13.101000000000001</v>
      </c>
    </row>
    <row r="8204" spans="1:2">
      <c r="A8204" s="117">
        <v>41758</v>
      </c>
      <c r="B8204">
        <v>13.1371</v>
      </c>
    </row>
    <row r="8205" spans="1:2">
      <c r="A8205" s="117">
        <v>41759</v>
      </c>
      <c r="B8205">
        <v>13.1356</v>
      </c>
    </row>
    <row r="8206" spans="1:2">
      <c r="A8206" s="117">
        <v>41760</v>
      </c>
      <c r="B8206">
        <v>13.103899999999999</v>
      </c>
    </row>
    <row r="8207" spans="1:2">
      <c r="A8207" s="117">
        <v>41761</v>
      </c>
      <c r="B8207">
        <v>13.103899999999999</v>
      </c>
    </row>
    <row r="8208" spans="1:2">
      <c r="A8208" s="117">
        <v>41762</v>
      </c>
      <c r="B8208">
        <v>13.0901</v>
      </c>
    </row>
    <row r="8209" spans="1:2">
      <c r="A8209" s="117">
        <v>41763</v>
      </c>
      <c r="B8209">
        <v>13.0901</v>
      </c>
    </row>
    <row r="8210" spans="1:2">
      <c r="A8210" s="117">
        <v>41764</v>
      </c>
      <c r="B8210">
        <v>13.0901</v>
      </c>
    </row>
    <row r="8211" spans="1:2">
      <c r="A8211" s="117">
        <v>41765</v>
      </c>
      <c r="B8211">
        <v>12.998100000000001</v>
      </c>
    </row>
    <row r="8212" spans="1:2">
      <c r="A8212" s="117">
        <v>41766</v>
      </c>
      <c r="B8212">
        <v>13.010199999999999</v>
      </c>
    </row>
    <row r="8213" spans="1:2">
      <c r="A8213" s="117">
        <v>41767</v>
      </c>
      <c r="B8213">
        <v>13.0129</v>
      </c>
    </row>
    <row r="8214" spans="1:2">
      <c r="A8214" s="117">
        <v>41768</v>
      </c>
      <c r="B8214">
        <v>12.9876</v>
      </c>
    </row>
    <row r="8215" spans="1:2">
      <c r="A8215" s="117">
        <v>41769</v>
      </c>
      <c r="B8215">
        <v>12.947699999999999</v>
      </c>
    </row>
    <row r="8216" spans="1:2">
      <c r="A8216" s="117">
        <v>41770</v>
      </c>
      <c r="B8216">
        <v>12.947699999999999</v>
      </c>
    </row>
    <row r="8217" spans="1:2">
      <c r="A8217" s="117">
        <v>41771</v>
      </c>
      <c r="B8217">
        <v>12.947699999999999</v>
      </c>
    </row>
    <row r="8218" spans="1:2">
      <c r="A8218" s="117">
        <v>41772</v>
      </c>
      <c r="B8218">
        <v>12.984299999999999</v>
      </c>
    </row>
    <row r="8219" spans="1:2">
      <c r="A8219" s="117">
        <v>41773</v>
      </c>
      <c r="B8219">
        <v>12.9534</v>
      </c>
    </row>
    <row r="8220" spans="1:2">
      <c r="A8220" s="117">
        <v>41774</v>
      </c>
      <c r="B8220">
        <v>12.923400000000001</v>
      </c>
    </row>
    <row r="8221" spans="1:2">
      <c r="A8221" s="117">
        <v>41775</v>
      </c>
      <c r="B8221">
        <v>12.8993</v>
      </c>
    </row>
    <row r="8222" spans="1:2">
      <c r="A8222" s="117">
        <v>41776</v>
      </c>
      <c r="B8222">
        <v>12.9755</v>
      </c>
    </row>
    <row r="8223" spans="1:2">
      <c r="A8223" s="117">
        <v>41777</v>
      </c>
      <c r="B8223">
        <v>12.9755</v>
      </c>
    </row>
    <row r="8224" spans="1:2">
      <c r="A8224" s="117">
        <v>41778</v>
      </c>
      <c r="B8224">
        <v>12.9755</v>
      </c>
    </row>
    <row r="8225" spans="1:2">
      <c r="A8225" s="117">
        <v>41779</v>
      </c>
      <c r="B8225">
        <v>12.9193</v>
      </c>
    </row>
    <row r="8226" spans="1:2">
      <c r="A8226" s="117">
        <v>41780</v>
      </c>
      <c r="B8226">
        <v>12.894399999999999</v>
      </c>
    </row>
    <row r="8227" spans="1:2">
      <c r="A8227" s="117">
        <v>41781</v>
      </c>
      <c r="B8227">
        <v>12.942500000000001</v>
      </c>
    </row>
    <row r="8228" spans="1:2">
      <c r="A8228" s="117">
        <v>41782</v>
      </c>
      <c r="B8228">
        <v>12.9132</v>
      </c>
    </row>
    <row r="8229" spans="1:2">
      <c r="A8229" s="117">
        <v>41783</v>
      </c>
      <c r="B8229">
        <v>12.880100000000001</v>
      </c>
    </row>
    <row r="8230" spans="1:2">
      <c r="A8230" s="117">
        <v>41784</v>
      </c>
      <c r="B8230">
        <v>12.880100000000001</v>
      </c>
    </row>
    <row r="8231" spans="1:2">
      <c r="A8231" s="117">
        <v>41785</v>
      </c>
      <c r="B8231">
        <v>12.880100000000001</v>
      </c>
    </row>
    <row r="8232" spans="1:2">
      <c r="A8232" s="117">
        <v>41786</v>
      </c>
      <c r="B8232">
        <v>12.865600000000001</v>
      </c>
    </row>
    <row r="8233" spans="1:2">
      <c r="A8233" s="117">
        <v>41787</v>
      </c>
      <c r="B8233">
        <v>12.861599999999999</v>
      </c>
    </row>
    <row r="8234" spans="1:2">
      <c r="A8234" s="117">
        <v>41788</v>
      </c>
      <c r="B8234">
        <v>12.8772</v>
      </c>
    </row>
    <row r="8235" spans="1:2">
      <c r="A8235" s="117">
        <v>41789</v>
      </c>
      <c r="B8235">
        <v>12.866</v>
      </c>
    </row>
    <row r="8236" spans="1:2">
      <c r="A8236" s="117">
        <v>41790</v>
      </c>
      <c r="B8236">
        <v>12.8462</v>
      </c>
    </row>
    <row r="8237" spans="1:2">
      <c r="A8237" s="117">
        <v>41791</v>
      </c>
      <c r="B8237">
        <v>12.8462</v>
      </c>
    </row>
    <row r="8238" spans="1:2">
      <c r="A8238" s="117">
        <v>41792</v>
      </c>
      <c r="B8238">
        <v>12.8462</v>
      </c>
    </row>
    <row r="8239" spans="1:2">
      <c r="A8239" s="117">
        <v>41793</v>
      </c>
      <c r="B8239">
        <v>12.860900000000001</v>
      </c>
    </row>
    <row r="8240" spans="1:2">
      <c r="A8240" s="117">
        <v>41794</v>
      </c>
      <c r="B8240">
        <v>12.9108</v>
      </c>
    </row>
    <row r="8241" spans="1:2">
      <c r="A8241" s="117">
        <v>41795</v>
      </c>
      <c r="B8241">
        <v>12.944699999999999</v>
      </c>
    </row>
    <row r="8242" spans="1:2">
      <c r="A8242" s="117">
        <v>41796</v>
      </c>
      <c r="B8242">
        <v>12.9527</v>
      </c>
    </row>
    <row r="8243" spans="1:2">
      <c r="A8243" s="117">
        <v>41797</v>
      </c>
      <c r="B8243">
        <v>12.886799999999999</v>
      </c>
    </row>
    <row r="8244" spans="1:2">
      <c r="A8244" s="117">
        <v>41798</v>
      </c>
      <c r="B8244">
        <v>12.886799999999999</v>
      </c>
    </row>
    <row r="8245" spans="1:2">
      <c r="A8245" s="117">
        <v>41799</v>
      </c>
      <c r="B8245">
        <v>12.886799999999999</v>
      </c>
    </row>
    <row r="8246" spans="1:2">
      <c r="A8246" s="117">
        <v>41800</v>
      </c>
      <c r="B8246">
        <v>12.898099999999999</v>
      </c>
    </row>
    <row r="8247" spans="1:2">
      <c r="A8247" s="117">
        <v>41801</v>
      </c>
      <c r="B8247">
        <v>12.991199999999999</v>
      </c>
    </row>
    <row r="8248" spans="1:2">
      <c r="A8248" s="117">
        <v>41802</v>
      </c>
      <c r="B8248">
        <v>13.0486</v>
      </c>
    </row>
    <row r="8249" spans="1:2">
      <c r="A8249" s="117">
        <v>41803</v>
      </c>
      <c r="B8249">
        <v>13.0306</v>
      </c>
    </row>
    <row r="8250" spans="1:2">
      <c r="A8250" s="117">
        <v>41804</v>
      </c>
      <c r="B8250">
        <v>12.9815</v>
      </c>
    </row>
    <row r="8251" spans="1:2">
      <c r="A8251" s="117">
        <v>41805</v>
      </c>
      <c r="B8251">
        <v>12.9815</v>
      </c>
    </row>
    <row r="8252" spans="1:2">
      <c r="A8252" s="117">
        <v>41806</v>
      </c>
      <c r="B8252">
        <v>12.9815</v>
      </c>
    </row>
    <row r="8253" spans="1:2">
      <c r="A8253" s="117">
        <v>41807</v>
      </c>
      <c r="B8253">
        <v>13.016400000000001</v>
      </c>
    </row>
    <row r="8254" spans="1:2">
      <c r="A8254" s="117">
        <v>41808</v>
      </c>
      <c r="B8254">
        <v>13.032299999999999</v>
      </c>
    </row>
    <row r="8255" spans="1:2">
      <c r="A8255" s="117">
        <v>41809</v>
      </c>
      <c r="B8255">
        <v>13.1007</v>
      </c>
    </row>
    <row r="8256" spans="1:2">
      <c r="A8256" s="117">
        <v>41810</v>
      </c>
      <c r="B8256">
        <v>13.0672</v>
      </c>
    </row>
    <row r="8257" spans="1:2">
      <c r="A8257" s="117">
        <v>41811</v>
      </c>
      <c r="B8257">
        <v>12.9885</v>
      </c>
    </row>
    <row r="8258" spans="1:2">
      <c r="A8258" s="117">
        <v>41812</v>
      </c>
      <c r="B8258">
        <v>12.9885</v>
      </c>
    </row>
    <row r="8259" spans="1:2">
      <c r="A8259" s="117">
        <v>41813</v>
      </c>
      <c r="B8259">
        <v>12.9885</v>
      </c>
    </row>
    <row r="8260" spans="1:2">
      <c r="A8260" s="117">
        <v>41814</v>
      </c>
      <c r="B8260">
        <v>13.0124</v>
      </c>
    </row>
    <row r="8261" spans="1:2">
      <c r="A8261" s="117">
        <v>41815</v>
      </c>
      <c r="B8261">
        <v>13.005599999999999</v>
      </c>
    </row>
    <row r="8262" spans="1:2">
      <c r="A8262" s="117">
        <v>41816</v>
      </c>
      <c r="B8262">
        <v>13.021800000000001</v>
      </c>
    </row>
    <row r="8263" spans="1:2">
      <c r="A8263" s="117">
        <v>41817</v>
      </c>
      <c r="B8263">
        <v>13.0174</v>
      </c>
    </row>
    <row r="8264" spans="1:2">
      <c r="A8264" s="117">
        <v>41818</v>
      </c>
      <c r="B8264">
        <v>13.032299999999999</v>
      </c>
    </row>
    <row r="8265" spans="1:2">
      <c r="A8265" s="117">
        <v>41819</v>
      </c>
      <c r="B8265">
        <v>13.032299999999999</v>
      </c>
    </row>
    <row r="8266" spans="1:2">
      <c r="A8266" s="117">
        <v>41820</v>
      </c>
      <c r="B8266">
        <v>13.032299999999999</v>
      </c>
    </row>
    <row r="8267" spans="1:2">
      <c r="A8267" s="117">
        <v>41821</v>
      </c>
      <c r="B8267">
        <v>13.0002</v>
      </c>
    </row>
    <row r="8268" spans="1:2">
      <c r="A8268" s="117">
        <v>41822</v>
      </c>
      <c r="B8268">
        <v>12.9712</v>
      </c>
    </row>
    <row r="8269" spans="1:2">
      <c r="A8269" s="117">
        <v>41823</v>
      </c>
      <c r="B8269">
        <v>12.9605</v>
      </c>
    </row>
    <row r="8270" spans="1:2">
      <c r="A8270" s="117">
        <v>41824</v>
      </c>
      <c r="B8270">
        <v>12.9673</v>
      </c>
    </row>
    <row r="8271" spans="1:2">
      <c r="A8271" s="117">
        <v>41825</v>
      </c>
      <c r="B8271">
        <v>12.982900000000001</v>
      </c>
    </row>
    <row r="8272" spans="1:2">
      <c r="A8272" s="117">
        <v>41826</v>
      </c>
      <c r="B8272">
        <v>12.982900000000001</v>
      </c>
    </row>
    <row r="8273" spans="1:2">
      <c r="A8273" s="117">
        <v>41827</v>
      </c>
      <c r="B8273">
        <v>12.982900000000001</v>
      </c>
    </row>
    <row r="8274" spans="1:2">
      <c r="A8274" s="117">
        <v>41828</v>
      </c>
      <c r="B8274">
        <v>12.976800000000001</v>
      </c>
    </row>
    <row r="8275" spans="1:2">
      <c r="A8275" s="117">
        <v>41829</v>
      </c>
      <c r="B8275">
        <v>12.994899999999999</v>
      </c>
    </row>
    <row r="8276" spans="1:2">
      <c r="A8276" s="117">
        <v>41830</v>
      </c>
      <c r="B8276">
        <v>13.0006</v>
      </c>
    </row>
    <row r="8277" spans="1:2">
      <c r="A8277" s="117">
        <v>41831</v>
      </c>
      <c r="B8277">
        <v>12.978</v>
      </c>
    </row>
    <row r="8278" spans="1:2">
      <c r="A8278" s="117">
        <v>41832</v>
      </c>
      <c r="B8278">
        <v>13.0015</v>
      </c>
    </row>
    <row r="8279" spans="1:2">
      <c r="A8279" s="117">
        <v>41833</v>
      </c>
      <c r="B8279">
        <v>13.0015</v>
      </c>
    </row>
    <row r="8280" spans="1:2">
      <c r="A8280" s="117">
        <v>41834</v>
      </c>
      <c r="B8280">
        <v>13.0015</v>
      </c>
    </row>
    <row r="8281" spans="1:2">
      <c r="A8281" s="117">
        <v>41835</v>
      </c>
      <c r="B8281">
        <v>12.984999999999999</v>
      </c>
    </row>
    <row r="8282" spans="1:2">
      <c r="A8282" s="117">
        <v>41836</v>
      </c>
      <c r="B8282">
        <v>12.9755</v>
      </c>
    </row>
    <row r="8283" spans="1:2">
      <c r="A8283" s="117">
        <v>41837</v>
      </c>
      <c r="B8283">
        <v>12.9611</v>
      </c>
    </row>
    <row r="8284" spans="1:2">
      <c r="A8284" s="117">
        <v>41838</v>
      </c>
      <c r="B8284">
        <v>12.939</v>
      </c>
    </row>
    <row r="8285" spans="1:2">
      <c r="A8285" s="117">
        <v>41839</v>
      </c>
      <c r="B8285">
        <v>12.945399999999999</v>
      </c>
    </row>
    <row r="8286" spans="1:2">
      <c r="A8286" s="117">
        <v>41840</v>
      </c>
      <c r="B8286">
        <v>12.945399999999999</v>
      </c>
    </row>
    <row r="8287" spans="1:2">
      <c r="A8287" s="117">
        <v>41841</v>
      </c>
      <c r="B8287">
        <v>12.945399999999999</v>
      </c>
    </row>
    <row r="8288" spans="1:2">
      <c r="A8288" s="117">
        <v>41842</v>
      </c>
      <c r="B8288">
        <v>12.9588</v>
      </c>
    </row>
    <row r="8289" spans="1:2">
      <c r="A8289" s="117">
        <v>41843</v>
      </c>
      <c r="B8289">
        <v>12.975099999999999</v>
      </c>
    </row>
    <row r="8290" spans="1:2">
      <c r="A8290" s="117">
        <v>41844</v>
      </c>
      <c r="B8290">
        <v>12.939299999999999</v>
      </c>
    </row>
    <row r="8291" spans="1:2">
      <c r="A8291" s="117">
        <v>41845</v>
      </c>
      <c r="B8291">
        <v>12.928599999999999</v>
      </c>
    </row>
    <row r="8292" spans="1:2">
      <c r="A8292" s="117">
        <v>41846</v>
      </c>
      <c r="B8292">
        <v>12.9572</v>
      </c>
    </row>
    <row r="8293" spans="1:2">
      <c r="A8293" s="117">
        <v>41847</v>
      </c>
      <c r="B8293">
        <v>12.9572</v>
      </c>
    </row>
    <row r="8294" spans="1:2">
      <c r="A8294" s="117">
        <v>41848</v>
      </c>
      <c r="B8294">
        <v>12.9572</v>
      </c>
    </row>
    <row r="8295" spans="1:2">
      <c r="A8295" s="117">
        <v>41849</v>
      </c>
      <c r="B8295">
        <v>12.9445</v>
      </c>
    </row>
    <row r="8296" spans="1:2">
      <c r="A8296" s="117">
        <v>41850</v>
      </c>
      <c r="B8296">
        <v>12.9878</v>
      </c>
    </row>
    <row r="8297" spans="1:2">
      <c r="A8297" s="117">
        <v>41851</v>
      </c>
      <c r="B8297">
        <v>13.0578</v>
      </c>
    </row>
    <row r="8298" spans="1:2">
      <c r="A8298" s="117">
        <v>41852</v>
      </c>
      <c r="B8298">
        <v>13.1357</v>
      </c>
    </row>
    <row r="8299" spans="1:2">
      <c r="A8299" s="117">
        <v>41853</v>
      </c>
      <c r="B8299">
        <v>13.226900000000001</v>
      </c>
    </row>
    <row r="8300" spans="1:2">
      <c r="A8300" s="117">
        <v>41854</v>
      </c>
      <c r="B8300">
        <v>13.226900000000001</v>
      </c>
    </row>
    <row r="8301" spans="1:2">
      <c r="A8301" s="117">
        <v>41855</v>
      </c>
      <c r="B8301">
        <v>13.226900000000001</v>
      </c>
    </row>
    <row r="8302" spans="1:2">
      <c r="A8302" s="117">
        <v>41856</v>
      </c>
      <c r="B8302">
        <v>13.193199999999999</v>
      </c>
    </row>
    <row r="8303" spans="1:2">
      <c r="A8303" s="117">
        <v>41857</v>
      </c>
      <c r="B8303">
        <v>13.196199999999999</v>
      </c>
    </row>
    <row r="8304" spans="1:2">
      <c r="A8304" s="117">
        <v>41858</v>
      </c>
      <c r="B8304">
        <v>13.271599999999999</v>
      </c>
    </row>
    <row r="8305" spans="1:2">
      <c r="A8305" s="117">
        <v>41859</v>
      </c>
      <c r="B8305">
        <v>13.257999999999999</v>
      </c>
    </row>
    <row r="8306" spans="1:2">
      <c r="A8306" s="117">
        <v>41860</v>
      </c>
      <c r="B8306">
        <v>13.255100000000001</v>
      </c>
    </row>
    <row r="8307" spans="1:2">
      <c r="A8307" s="117">
        <v>41861</v>
      </c>
      <c r="B8307">
        <v>13.255100000000001</v>
      </c>
    </row>
    <row r="8308" spans="1:2">
      <c r="A8308" s="117">
        <v>41862</v>
      </c>
      <c r="B8308">
        <v>13.255100000000001</v>
      </c>
    </row>
    <row r="8309" spans="1:2">
      <c r="A8309" s="117">
        <v>41863</v>
      </c>
      <c r="B8309">
        <v>13.236000000000001</v>
      </c>
    </row>
    <row r="8310" spans="1:2">
      <c r="A8310" s="117">
        <v>41864</v>
      </c>
      <c r="B8310">
        <v>13.1998</v>
      </c>
    </row>
    <row r="8311" spans="1:2">
      <c r="A8311" s="117">
        <v>41865</v>
      </c>
      <c r="B8311">
        <v>13.159000000000001</v>
      </c>
    </row>
    <row r="8312" spans="1:2">
      <c r="A8312" s="117">
        <v>41866</v>
      </c>
      <c r="B8312">
        <v>13.1113</v>
      </c>
    </row>
    <row r="8313" spans="1:2">
      <c r="A8313" s="117">
        <v>41867</v>
      </c>
      <c r="B8313">
        <v>13.0717</v>
      </c>
    </row>
    <row r="8314" spans="1:2">
      <c r="A8314" s="117">
        <v>41868</v>
      </c>
      <c r="B8314">
        <v>13.0717</v>
      </c>
    </row>
    <row r="8315" spans="1:2">
      <c r="A8315" s="117">
        <v>41869</v>
      </c>
      <c r="B8315">
        <v>13.0717</v>
      </c>
    </row>
    <row r="8316" spans="1:2">
      <c r="A8316" s="117">
        <v>41870</v>
      </c>
      <c r="B8316">
        <v>13.0748</v>
      </c>
    </row>
    <row r="8317" spans="1:2">
      <c r="A8317" s="117">
        <v>41871</v>
      </c>
      <c r="B8317">
        <v>13.0505</v>
      </c>
    </row>
    <row r="8318" spans="1:2">
      <c r="A8318" s="117">
        <v>41872</v>
      </c>
      <c r="B8318">
        <v>13.0532</v>
      </c>
    </row>
    <row r="8319" spans="1:2">
      <c r="A8319" s="117">
        <v>41873</v>
      </c>
      <c r="B8319">
        <v>13.0814</v>
      </c>
    </row>
    <row r="8320" spans="1:2">
      <c r="A8320" s="117">
        <v>41874</v>
      </c>
      <c r="B8320">
        <v>13.096299999999999</v>
      </c>
    </row>
    <row r="8321" spans="1:2">
      <c r="A8321" s="117">
        <v>41875</v>
      </c>
      <c r="B8321">
        <v>13.096299999999999</v>
      </c>
    </row>
    <row r="8322" spans="1:2">
      <c r="A8322" s="117">
        <v>41876</v>
      </c>
      <c r="B8322">
        <v>13.096299999999999</v>
      </c>
    </row>
    <row r="8323" spans="1:2">
      <c r="A8323" s="117">
        <v>41877</v>
      </c>
      <c r="B8323">
        <v>13.1328</v>
      </c>
    </row>
    <row r="8324" spans="1:2">
      <c r="A8324" s="117">
        <v>41878</v>
      </c>
      <c r="B8324">
        <v>13.138299999999999</v>
      </c>
    </row>
    <row r="8325" spans="1:2">
      <c r="A8325" s="117">
        <v>41879</v>
      </c>
      <c r="B8325">
        <v>13.1059</v>
      </c>
    </row>
    <row r="8326" spans="1:2">
      <c r="A8326" s="117">
        <v>41880</v>
      </c>
      <c r="B8326">
        <v>13.081099999999999</v>
      </c>
    </row>
    <row r="8327" spans="1:2">
      <c r="A8327" s="117">
        <v>41881</v>
      </c>
      <c r="B8327">
        <v>13.110900000000001</v>
      </c>
    </row>
    <row r="8328" spans="1:2">
      <c r="A8328" s="117">
        <v>41882</v>
      </c>
      <c r="B8328">
        <v>13.110900000000001</v>
      </c>
    </row>
    <row r="8329" spans="1:2">
      <c r="A8329" s="117">
        <v>41883</v>
      </c>
      <c r="B8329">
        <v>13.110900000000001</v>
      </c>
    </row>
    <row r="8330" spans="1:2">
      <c r="A8330" s="117">
        <v>41884</v>
      </c>
      <c r="B8330">
        <v>13.0763</v>
      </c>
    </row>
    <row r="8331" spans="1:2">
      <c r="A8331" s="117">
        <v>41885</v>
      </c>
      <c r="B8331">
        <v>13.083299999999999</v>
      </c>
    </row>
    <row r="8332" spans="1:2">
      <c r="A8332" s="117">
        <v>41886</v>
      </c>
      <c r="B8332">
        <v>13.129899999999999</v>
      </c>
    </row>
    <row r="8333" spans="1:2">
      <c r="A8333" s="117">
        <v>41887</v>
      </c>
      <c r="B8333">
        <v>13.0892</v>
      </c>
    </row>
    <row r="8334" spans="1:2">
      <c r="A8334" s="117">
        <v>41888</v>
      </c>
      <c r="B8334">
        <v>13.0959</v>
      </c>
    </row>
    <row r="8335" spans="1:2">
      <c r="A8335" s="117">
        <v>41889</v>
      </c>
      <c r="B8335">
        <v>13.0959</v>
      </c>
    </row>
    <row r="8336" spans="1:2">
      <c r="A8336" s="117">
        <v>41890</v>
      </c>
      <c r="B8336">
        <v>13.0959</v>
      </c>
    </row>
    <row r="8337" spans="1:2">
      <c r="A8337" s="117">
        <v>41891</v>
      </c>
      <c r="B8337">
        <v>13.078799999999999</v>
      </c>
    </row>
    <row r="8338" spans="1:2">
      <c r="A8338" s="117">
        <v>41892</v>
      </c>
      <c r="B8338">
        <v>13.081300000000001</v>
      </c>
    </row>
    <row r="8339" spans="1:2">
      <c r="A8339" s="117">
        <v>41893</v>
      </c>
      <c r="B8339">
        <v>13.216200000000001</v>
      </c>
    </row>
    <row r="8340" spans="1:2">
      <c r="A8340" s="117">
        <v>41894</v>
      </c>
      <c r="B8340">
        <v>13.214399999999999</v>
      </c>
    </row>
    <row r="8341" spans="1:2">
      <c r="A8341" s="117">
        <v>41895</v>
      </c>
      <c r="B8341">
        <v>13.214399999999999</v>
      </c>
    </row>
    <row r="8342" spans="1:2">
      <c r="A8342" s="117">
        <v>41896</v>
      </c>
      <c r="B8342">
        <v>13.214399999999999</v>
      </c>
    </row>
    <row r="8343" spans="1:2">
      <c r="A8343" s="117">
        <v>41897</v>
      </c>
      <c r="B8343">
        <v>13.214399999999999</v>
      </c>
    </row>
    <row r="8344" spans="1:2">
      <c r="A8344" s="117">
        <v>41898</v>
      </c>
      <c r="B8344">
        <v>13.2644</v>
      </c>
    </row>
    <row r="8345" spans="1:2">
      <c r="A8345" s="117">
        <v>41899</v>
      </c>
      <c r="B8345">
        <v>13.2644</v>
      </c>
    </row>
    <row r="8346" spans="1:2">
      <c r="A8346" s="117">
        <v>41900</v>
      </c>
      <c r="B8346">
        <v>13.222300000000001</v>
      </c>
    </row>
    <row r="8347" spans="1:2">
      <c r="A8347" s="117">
        <v>41901</v>
      </c>
      <c r="B8347">
        <v>13.1762</v>
      </c>
    </row>
    <row r="8348" spans="1:2">
      <c r="A8348" s="117">
        <v>41902</v>
      </c>
      <c r="B8348">
        <v>13.2402</v>
      </c>
    </row>
    <row r="8349" spans="1:2">
      <c r="A8349" s="117">
        <v>41903</v>
      </c>
      <c r="B8349">
        <v>13.2402</v>
      </c>
    </row>
    <row r="8350" spans="1:2">
      <c r="A8350" s="117">
        <v>41904</v>
      </c>
      <c r="B8350">
        <v>13.2402</v>
      </c>
    </row>
    <row r="8351" spans="1:2">
      <c r="A8351" s="117">
        <v>41905</v>
      </c>
      <c r="B8351">
        <v>13.2369</v>
      </c>
    </row>
    <row r="8352" spans="1:2">
      <c r="A8352" s="117">
        <v>41906</v>
      </c>
      <c r="B8352">
        <v>13.256600000000001</v>
      </c>
    </row>
    <row r="8353" spans="1:2">
      <c r="A8353" s="117">
        <v>41907</v>
      </c>
      <c r="B8353">
        <v>13.2768</v>
      </c>
    </row>
    <row r="8354" spans="1:2">
      <c r="A8354" s="117">
        <v>41908</v>
      </c>
      <c r="B8354">
        <v>13.301500000000001</v>
      </c>
    </row>
    <row r="8355" spans="1:2">
      <c r="A8355" s="117">
        <v>41909</v>
      </c>
      <c r="B8355">
        <v>13.3848</v>
      </c>
    </row>
    <row r="8356" spans="1:2">
      <c r="A8356" s="117">
        <v>41910</v>
      </c>
      <c r="B8356">
        <v>13.3848</v>
      </c>
    </row>
    <row r="8357" spans="1:2">
      <c r="A8357" s="117">
        <v>41911</v>
      </c>
      <c r="B8357">
        <v>13.3848</v>
      </c>
    </row>
    <row r="8358" spans="1:2">
      <c r="A8358" s="117">
        <v>41912</v>
      </c>
      <c r="B8358">
        <v>13.4541</v>
      </c>
    </row>
    <row r="8359" spans="1:2">
      <c r="A8359" s="117">
        <v>41913</v>
      </c>
      <c r="B8359">
        <v>13.489100000000001</v>
      </c>
    </row>
    <row r="8360" spans="1:2">
      <c r="A8360" s="117">
        <v>41914</v>
      </c>
      <c r="B8360">
        <v>13.433</v>
      </c>
    </row>
    <row r="8361" spans="1:2">
      <c r="A8361" s="117">
        <v>41915</v>
      </c>
      <c r="B8361">
        <v>13.445499999999999</v>
      </c>
    </row>
    <row r="8362" spans="1:2">
      <c r="A8362" s="117">
        <v>41916</v>
      </c>
      <c r="B8362">
        <v>13.4026</v>
      </c>
    </row>
    <row r="8363" spans="1:2">
      <c r="A8363" s="117">
        <v>41917</v>
      </c>
      <c r="B8363">
        <v>13.4026</v>
      </c>
    </row>
    <row r="8364" spans="1:2">
      <c r="A8364" s="117">
        <v>41918</v>
      </c>
      <c r="B8364">
        <v>13.4026</v>
      </c>
    </row>
    <row r="8365" spans="1:2">
      <c r="A8365" s="117">
        <v>41919</v>
      </c>
      <c r="B8365">
        <v>13.483499999999999</v>
      </c>
    </row>
    <row r="8366" spans="1:2">
      <c r="A8366" s="117">
        <v>41920</v>
      </c>
      <c r="B8366">
        <v>13.408899999999999</v>
      </c>
    </row>
    <row r="8367" spans="1:2">
      <c r="A8367" s="117">
        <v>41921</v>
      </c>
      <c r="B8367">
        <v>13.433199999999999</v>
      </c>
    </row>
    <row r="8368" spans="1:2">
      <c r="A8368" s="117">
        <v>41922</v>
      </c>
      <c r="B8368">
        <v>13.4786</v>
      </c>
    </row>
    <row r="8369" spans="1:2">
      <c r="A8369" s="117">
        <v>41923</v>
      </c>
      <c r="B8369">
        <v>13.3789</v>
      </c>
    </row>
    <row r="8370" spans="1:2">
      <c r="A8370" s="117">
        <v>41924</v>
      </c>
      <c r="B8370">
        <v>13.3789</v>
      </c>
    </row>
    <row r="8371" spans="1:2">
      <c r="A8371" s="117">
        <v>41925</v>
      </c>
      <c r="B8371">
        <v>13.3789</v>
      </c>
    </row>
    <row r="8372" spans="1:2">
      <c r="A8372" s="117">
        <v>41926</v>
      </c>
      <c r="B8372">
        <v>13.4331</v>
      </c>
    </row>
    <row r="8373" spans="1:2">
      <c r="A8373" s="117">
        <v>41927</v>
      </c>
      <c r="B8373">
        <v>13.420299999999999</v>
      </c>
    </row>
    <row r="8374" spans="1:2">
      <c r="A8374" s="117">
        <v>41928</v>
      </c>
      <c r="B8374">
        <v>13.4094</v>
      </c>
    </row>
    <row r="8375" spans="1:2">
      <c r="A8375" s="117">
        <v>41929</v>
      </c>
      <c r="B8375">
        <v>13.542299999999999</v>
      </c>
    </row>
    <row r="8376" spans="1:2">
      <c r="A8376" s="117">
        <v>41930</v>
      </c>
      <c r="B8376">
        <v>13.5616</v>
      </c>
    </row>
    <row r="8377" spans="1:2">
      <c r="A8377" s="117">
        <v>41931</v>
      </c>
      <c r="B8377">
        <v>13.5616</v>
      </c>
    </row>
    <row r="8378" spans="1:2">
      <c r="A8378" s="117">
        <v>41932</v>
      </c>
      <c r="B8378">
        <v>13.5616</v>
      </c>
    </row>
    <row r="8379" spans="1:2">
      <c r="A8379" s="117">
        <v>41933</v>
      </c>
      <c r="B8379">
        <v>13.523099999999999</v>
      </c>
    </row>
    <row r="8380" spans="1:2">
      <c r="A8380" s="117">
        <v>41934</v>
      </c>
      <c r="B8380">
        <v>13.5357</v>
      </c>
    </row>
    <row r="8381" spans="1:2">
      <c r="A8381" s="117">
        <v>41935</v>
      </c>
      <c r="B8381">
        <v>13.498900000000001</v>
      </c>
    </row>
    <row r="8382" spans="1:2">
      <c r="A8382" s="117">
        <v>41936</v>
      </c>
      <c r="B8382">
        <v>13.555899999999999</v>
      </c>
    </row>
    <row r="8383" spans="1:2">
      <c r="A8383" s="117">
        <v>41937</v>
      </c>
      <c r="B8383">
        <v>13.5288</v>
      </c>
    </row>
    <row r="8384" spans="1:2">
      <c r="A8384" s="117">
        <v>41938</v>
      </c>
      <c r="B8384">
        <v>13.5288</v>
      </c>
    </row>
    <row r="8385" spans="1:2">
      <c r="A8385" s="117">
        <v>41939</v>
      </c>
      <c r="B8385">
        <v>13.5288</v>
      </c>
    </row>
    <row r="8386" spans="1:2">
      <c r="A8386" s="117">
        <v>41940</v>
      </c>
      <c r="B8386">
        <v>13.526300000000001</v>
      </c>
    </row>
    <row r="8387" spans="1:2">
      <c r="A8387" s="117">
        <v>41941</v>
      </c>
      <c r="B8387">
        <v>13.5701</v>
      </c>
    </row>
    <row r="8388" spans="1:2">
      <c r="A8388" s="117">
        <v>41942</v>
      </c>
      <c r="B8388">
        <v>13.484299999999999</v>
      </c>
    </row>
    <row r="8389" spans="1:2">
      <c r="A8389" s="117">
        <v>41943</v>
      </c>
      <c r="B8389">
        <v>13.4239</v>
      </c>
    </row>
    <row r="8390" spans="1:2">
      <c r="A8390" s="117">
        <v>41944</v>
      </c>
      <c r="B8390">
        <v>13.4316</v>
      </c>
    </row>
    <row r="8391" spans="1:2">
      <c r="A8391" s="117">
        <v>41945</v>
      </c>
      <c r="B8391">
        <v>13.4316</v>
      </c>
    </row>
    <row r="8392" spans="1:2">
      <c r="A8392" s="117">
        <v>41946</v>
      </c>
      <c r="B8392">
        <v>13.4316</v>
      </c>
    </row>
    <row r="8393" spans="1:2">
      <c r="A8393" s="117">
        <v>41947</v>
      </c>
      <c r="B8393">
        <v>13.4773</v>
      </c>
    </row>
    <row r="8394" spans="1:2">
      <c r="A8394" s="117">
        <v>41948</v>
      </c>
      <c r="B8394">
        <v>13.5503</v>
      </c>
    </row>
    <row r="8395" spans="1:2">
      <c r="A8395" s="117">
        <v>41949</v>
      </c>
      <c r="B8395">
        <v>13.592499999999999</v>
      </c>
    </row>
    <row r="8396" spans="1:2">
      <c r="A8396" s="117">
        <v>41950</v>
      </c>
      <c r="B8396">
        <v>13.606999999999999</v>
      </c>
    </row>
    <row r="8397" spans="1:2">
      <c r="A8397" s="117">
        <v>41951</v>
      </c>
      <c r="B8397">
        <v>13.6173</v>
      </c>
    </row>
    <row r="8398" spans="1:2">
      <c r="A8398" s="117">
        <v>41952</v>
      </c>
      <c r="B8398">
        <v>13.6173</v>
      </c>
    </row>
    <row r="8399" spans="1:2">
      <c r="A8399" s="117">
        <v>41953</v>
      </c>
      <c r="B8399">
        <v>13.6173</v>
      </c>
    </row>
    <row r="8400" spans="1:2">
      <c r="A8400" s="117">
        <v>41954</v>
      </c>
      <c r="B8400">
        <v>13.5573</v>
      </c>
    </row>
    <row r="8401" spans="1:2">
      <c r="A8401" s="117">
        <v>41955</v>
      </c>
      <c r="B8401">
        <v>13.5528</v>
      </c>
    </row>
    <row r="8402" spans="1:2">
      <c r="A8402" s="117">
        <v>41956</v>
      </c>
      <c r="B8402">
        <v>13.587400000000001</v>
      </c>
    </row>
    <row r="8403" spans="1:2">
      <c r="A8403" s="117">
        <v>41957</v>
      </c>
      <c r="B8403">
        <v>13.561299999999999</v>
      </c>
    </row>
    <row r="8404" spans="1:2">
      <c r="A8404" s="117">
        <v>41958</v>
      </c>
      <c r="B8404">
        <v>13.599500000000001</v>
      </c>
    </row>
    <row r="8405" spans="1:2">
      <c r="A8405" s="117">
        <v>41959</v>
      </c>
      <c r="B8405">
        <v>13.599500000000001</v>
      </c>
    </row>
    <row r="8406" spans="1:2">
      <c r="A8406" s="117">
        <v>41960</v>
      </c>
      <c r="B8406">
        <v>13.599500000000001</v>
      </c>
    </row>
    <row r="8407" spans="1:2">
      <c r="A8407" s="117">
        <v>41961</v>
      </c>
      <c r="B8407">
        <v>13.599500000000001</v>
      </c>
    </row>
    <row r="8408" spans="1:2">
      <c r="A8408" s="117">
        <v>41962</v>
      </c>
      <c r="B8408">
        <v>13.534800000000001</v>
      </c>
    </row>
    <row r="8409" spans="1:2">
      <c r="A8409" s="117">
        <v>41963</v>
      </c>
      <c r="B8409">
        <v>13.544499999999999</v>
      </c>
    </row>
    <row r="8410" spans="1:2">
      <c r="A8410" s="117">
        <v>41964</v>
      </c>
      <c r="B8410">
        <v>13.614599999999999</v>
      </c>
    </row>
    <row r="8411" spans="1:2">
      <c r="A8411" s="117">
        <v>41965</v>
      </c>
      <c r="B8411">
        <v>13.611499999999999</v>
      </c>
    </row>
    <row r="8412" spans="1:2">
      <c r="A8412" s="117">
        <v>41966</v>
      </c>
      <c r="B8412">
        <v>13.611499999999999</v>
      </c>
    </row>
    <row r="8413" spans="1:2">
      <c r="A8413" s="117">
        <v>41967</v>
      </c>
      <c r="B8413">
        <v>13.611499999999999</v>
      </c>
    </row>
    <row r="8414" spans="1:2">
      <c r="A8414" s="117">
        <v>41968</v>
      </c>
      <c r="B8414">
        <v>13.6152</v>
      </c>
    </row>
    <row r="8415" spans="1:2">
      <c r="A8415" s="117">
        <v>41969</v>
      </c>
      <c r="B8415">
        <v>13.6374</v>
      </c>
    </row>
    <row r="8416" spans="1:2">
      <c r="A8416" s="117">
        <v>41970</v>
      </c>
      <c r="B8416">
        <v>13.641999999999999</v>
      </c>
    </row>
    <row r="8417" spans="1:2">
      <c r="A8417" s="117">
        <v>41971</v>
      </c>
      <c r="B8417">
        <v>13.7219</v>
      </c>
    </row>
    <row r="8418" spans="1:2">
      <c r="A8418" s="117">
        <v>41972</v>
      </c>
      <c r="B8418">
        <v>13.7667</v>
      </c>
    </row>
    <row r="8419" spans="1:2">
      <c r="A8419" s="117">
        <v>41973</v>
      </c>
      <c r="B8419">
        <v>13.7667</v>
      </c>
    </row>
    <row r="8420" spans="1:2">
      <c r="A8420" s="117">
        <v>41974</v>
      </c>
      <c r="B8420">
        <v>13.7667</v>
      </c>
    </row>
    <row r="8421" spans="1:2">
      <c r="A8421" s="117">
        <v>41975</v>
      </c>
      <c r="B8421">
        <v>13.8965</v>
      </c>
    </row>
    <row r="8422" spans="1:2">
      <c r="A8422" s="117">
        <v>41976</v>
      </c>
      <c r="B8422">
        <v>13.9262</v>
      </c>
    </row>
    <row r="8423" spans="1:2">
      <c r="A8423" s="117">
        <v>41977</v>
      </c>
      <c r="B8423">
        <v>14.076000000000001</v>
      </c>
    </row>
    <row r="8424" spans="1:2">
      <c r="A8424" s="117">
        <v>41978</v>
      </c>
      <c r="B8424">
        <v>14.091799999999999</v>
      </c>
    </row>
    <row r="8425" spans="1:2">
      <c r="A8425" s="117">
        <v>41979</v>
      </c>
      <c r="B8425">
        <v>14.1165</v>
      </c>
    </row>
    <row r="8426" spans="1:2">
      <c r="A8426" s="117">
        <v>41980</v>
      </c>
      <c r="B8426">
        <v>14.1165</v>
      </c>
    </row>
    <row r="8427" spans="1:2">
      <c r="A8427" s="117">
        <v>41981</v>
      </c>
      <c r="B8427">
        <v>14.1165</v>
      </c>
    </row>
    <row r="8428" spans="1:2">
      <c r="A8428" s="117">
        <v>41982</v>
      </c>
      <c r="B8428">
        <v>14.304500000000001</v>
      </c>
    </row>
    <row r="8429" spans="1:2">
      <c r="A8429" s="117">
        <v>41983</v>
      </c>
      <c r="B8429">
        <v>14.404199999999999</v>
      </c>
    </row>
    <row r="8430" spans="1:2">
      <c r="A8430" s="117">
        <v>41984</v>
      </c>
      <c r="B8430">
        <v>14.3674</v>
      </c>
    </row>
    <row r="8431" spans="1:2">
      <c r="A8431" s="117">
        <v>41985</v>
      </c>
      <c r="B8431">
        <v>14.5181</v>
      </c>
    </row>
    <row r="8432" spans="1:2">
      <c r="A8432" s="117">
        <v>41986</v>
      </c>
      <c r="B8432">
        <v>14.5181</v>
      </c>
    </row>
    <row r="8433" spans="1:2">
      <c r="A8433" s="117">
        <v>41987</v>
      </c>
      <c r="B8433">
        <v>14.5181</v>
      </c>
    </row>
    <row r="8434" spans="1:2">
      <c r="A8434" s="117">
        <v>41988</v>
      </c>
      <c r="B8434">
        <v>14.5181</v>
      </c>
    </row>
    <row r="8435" spans="1:2">
      <c r="A8435" s="117">
        <v>41989</v>
      </c>
      <c r="B8435">
        <v>14.6648</v>
      </c>
    </row>
    <row r="8436" spans="1:2">
      <c r="A8436" s="117">
        <v>41990</v>
      </c>
      <c r="B8436">
        <v>14.785299999999999</v>
      </c>
    </row>
    <row r="8437" spans="1:2">
      <c r="A8437" s="117">
        <v>41991</v>
      </c>
      <c r="B8437">
        <v>14.7499</v>
      </c>
    </row>
    <row r="8438" spans="1:2">
      <c r="A8438" s="117">
        <v>41992</v>
      </c>
      <c r="B8438">
        <v>14.6028</v>
      </c>
    </row>
    <row r="8439" spans="1:2">
      <c r="A8439" s="117">
        <v>41993</v>
      </c>
      <c r="B8439">
        <v>14.5562</v>
      </c>
    </row>
    <row r="8440" spans="1:2">
      <c r="A8440" s="117">
        <v>41994</v>
      </c>
      <c r="B8440">
        <v>14.5562</v>
      </c>
    </row>
    <row r="8441" spans="1:2">
      <c r="A8441" s="117">
        <v>41995</v>
      </c>
      <c r="B8441">
        <v>14.5562</v>
      </c>
    </row>
    <row r="8442" spans="1:2">
      <c r="A8442" s="117">
        <v>41996</v>
      </c>
      <c r="B8442">
        <v>14.6378</v>
      </c>
    </row>
    <row r="8443" spans="1:2">
      <c r="A8443" s="117">
        <v>41997</v>
      </c>
      <c r="B8443">
        <v>14.635899999999999</v>
      </c>
    </row>
    <row r="8444" spans="1:2">
      <c r="A8444" s="117">
        <v>41998</v>
      </c>
      <c r="B8444">
        <v>14.700799999999999</v>
      </c>
    </row>
    <row r="8445" spans="1:2">
      <c r="A8445" s="117">
        <v>41999</v>
      </c>
      <c r="B8445">
        <v>14.700799999999999</v>
      </c>
    </row>
    <row r="8446" spans="1:2">
      <c r="A8446" s="117">
        <v>42000</v>
      </c>
      <c r="B8446">
        <v>14.742900000000001</v>
      </c>
    </row>
    <row r="8447" spans="1:2">
      <c r="A8447" s="117">
        <v>42001</v>
      </c>
      <c r="B8447">
        <v>14.742900000000001</v>
      </c>
    </row>
    <row r="8448" spans="1:2">
      <c r="A8448" s="117">
        <v>42002</v>
      </c>
      <c r="B8448">
        <v>14.742900000000001</v>
      </c>
    </row>
    <row r="8449" spans="1:2">
      <c r="A8449" s="117">
        <v>42003</v>
      </c>
      <c r="B8449">
        <v>14.695499999999999</v>
      </c>
    </row>
    <row r="8450" spans="1:2">
      <c r="A8450" s="117">
        <v>42004</v>
      </c>
      <c r="B8450">
        <v>14.718</v>
      </c>
    </row>
    <row r="8451" spans="1:2">
      <c r="A8451" s="117">
        <v>42005</v>
      </c>
      <c r="B8451">
        <v>14.7348</v>
      </c>
    </row>
    <row r="8452" spans="1:2">
      <c r="A8452" s="117">
        <v>42006</v>
      </c>
      <c r="B8452">
        <v>14.7348</v>
      </c>
    </row>
    <row r="8453" spans="1:2">
      <c r="A8453" s="117">
        <v>42007</v>
      </c>
      <c r="B8453">
        <v>14.741400000000001</v>
      </c>
    </row>
    <row r="8454" spans="1:2">
      <c r="A8454" s="117">
        <v>42008</v>
      </c>
      <c r="B8454">
        <v>14.741400000000001</v>
      </c>
    </row>
    <row r="8455" spans="1:2">
      <c r="A8455" s="117">
        <v>42009</v>
      </c>
      <c r="B8455">
        <v>14.741400000000001</v>
      </c>
    </row>
    <row r="8456" spans="1:2">
      <c r="A8456" s="117">
        <v>42010</v>
      </c>
      <c r="B8456">
        <v>14.829000000000001</v>
      </c>
    </row>
    <row r="8457" spans="1:2">
      <c r="A8457" s="117">
        <v>42011</v>
      </c>
      <c r="B8457">
        <v>14.946899999999999</v>
      </c>
    </row>
    <row r="8458" spans="1:2">
      <c r="A8458" s="117">
        <v>42012</v>
      </c>
      <c r="B8458">
        <v>14.847899999999999</v>
      </c>
    </row>
    <row r="8459" spans="1:2">
      <c r="A8459" s="117">
        <v>42013</v>
      </c>
      <c r="B8459">
        <v>14.7936</v>
      </c>
    </row>
    <row r="8460" spans="1:2">
      <c r="A8460" s="117">
        <v>42014</v>
      </c>
      <c r="B8460">
        <v>14.6274</v>
      </c>
    </row>
    <row r="8461" spans="1:2">
      <c r="A8461" s="117">
        <v>42015</v>
      </c>
      <c r="B8461">
        <v>14.6274</v>
      </c>
    </row>
    <row r="8462" spans="1:2">
      <c r="A8462" s="117">
        <v>42016</v>
      </c>
      <c r="B8462">
        <v>14.6274</v>
      </c>
    </row>
    <row r="8463" spans="1:2">
      <c r="A8463" s="117">
        <v>42017</v>
      </c>
      <c r="B8463">
        <v>14.580399999999999</v>
      </c>
    </row>
    <row r="8464" spans="1:2">
      <c r="A8464" s="117">
        <v>42018</v>
      </c>
      <c r="B8464">
        <v>14.639799999999999</v>
      </c>
    </row>
    <row r="8465" spans="1:2">
      <c r="A8465" s="117">
        <v>42019</v>
      </c>
      <c r="B8465">
        <v>14.555899999999999</v>
      </c>
    </row>
    <row r="8466" spans="1:2">
      <c r="A8466" s="117">
        <v>42020</v>
      </c>
      <c r="B8466">
        <v>14.564399999999999</v>
      </c>
    </row>
    <row r="8467" spans="1:2">
      <c r="A8467" s="117">
        <v>42021</v>
      </c>
      <c r="B8467">
        <v>14.582100000000001</v>
      </c>
    </row>
    <row r="8468" spans="1:2">
      <c r="A8468" s="117">
        <v>42022</v>
      </c>
      <c r="B8468">
        <v>14.582100000000001</v>
      </c>
    </row>
    <row r="8469" spans="1:2">
      <c r="A8469" s="117">
        <v>42023</v>
      </c>
      <c r="B8469">
        <v>14.582100000000001</v>
      </c>
    </row>
    <row r="8470" spans="1:2">
      <c r="A8470" s="117">
        <v>42024</v>
      </c>
      <c r="B8470">
        <v>14.622299999999999</v>
      </c>
    </row>
    <row r="8471" spans="1:2">
      <c r="A8471" s="117">
        <v>42025</v>
      </c>
      <c r="B8471">
        <v>14.6524</v>
      </c>
    </row>
    <row r="8472" spans="1:2">
      <c r="A8472" s="117">
        <v>42026</v>
      </c>
      <c r="B8472">
        <v>14.648400000000001</v>
      </c>
    </row>
    <row r="8473" spans="1:2">
      <c r="A8473" s="117">
        <v>42027</v>
      </c>
      <c r="B8473">
        <v>14.6983</v>
      </c>
    </row>
    <row r="8474" spans="1:2">
      <c r="A8474" s="117">
        <v>42028</v>
      </c>
      <c r="B8474">
        <v>14.612</v>
      </c>
    </row>
    <row r="8475" spans="1:2">
      <c r="A8475" s="117">
        <v>42029</v>
      </c>
      <c r="B8475">
        <v>14.612</v>
      </c>
    </row>
    <row r="8476" spans="1:2">
      <c r="A8476" s="117">
        <v>42030</v>
      </c>
      <c r="B8476">
        <v>14.612</v>
      </c>
    </row>
    <row r="8477" spans="1:2">
      <c r="A8477" s="117">
        <v>42031</v>
      </c>
      <c r="B8477">
        <v>14.649900000000001</v>
      </c>
    </row>
    <row r="8478" spans="1:2">
      <c r="A8478" s="117">
        <v>42032</v>
      </c>
      <c r="B8478">
        <v>14.588699999999999</v>
      </c>
    </row>
    <row r="8479" spans="1:2">
      <c r="A8479" s="117">
        <v>42033</v>
      </c>
      <c r="B8479">
        <v>14.587199999999999</v>
      </c>
    </row>
    <row r="8480" spans="1:2">
      <c r="A8480" s="117">
        <v>42034</v>
      </c>
      <c r="B8480">
        <v>14.687799999999999</v>
      </c>
    </row>
    <row r="8481" spans="1:2">
      <c r="A8481" s="117">
        <v>42035</v>
      </c>
      <c r="B8481">
        <v>14.8414</v>
      </c>
    </row>
    <row r="8482" spans="1:2">
      <c r="A8482" s="117">
        <v>42036</v>
      </c>
      <c r="B8482">
        <v>14.8414</v>
      </c>
    </row>
    <row r="8483" spans="1:2">
      <c r="A8483" s="117">
        <v>42037</v>
      </c>
      <c r="B8483">
        <v>14.8414</v>
      </c>
    </row>
    <row r="8484" spans="1:2">
      <c r="A8484" s="117">
        <v>42038</v>
      </c>
      <c r="B8484">
        <v>14.8414</v>
      </c>
    </row>
    <row r="8485" spans="1:2">
      <c r="A8485" s="117">
        <v>42039</v>
      </c>
      <c r="B8485">
        <v>14.9885</v>
      </c>
    </row>
    <row r="8486" spans="1:2">
      <c r="A8486" s="117">
        <v>42040</v>
      </c>
      <c r="B8486">
        <v>14.756600000000001</v>
      </c>
    </row>
    <row r="8487" spans="1:2">
      <c r="A8487" s="117">
        <v>42041</v>
      </c>
      <c r="B8487">
        <v>14.8011</v>
      </c>
    </row>
    <row r="8488" spans="1:2">
      <c r="A8488" s="117">
        <v>42042</v>
      </c>
      <c r="B8488">
        <v>14.754799999999999</v>
      </c>
    </row>
    <row r="8489" spans="1:2">
      <c r="A8489" s="117">
        <v>42043</v>
      </c>
      <c r="B8489">
        <v>14.754799999999999</v>
      </c>
    </row>
    <row r="8490" spans="1:2">
      <c r="A8490" s="117">
        <v>42044</v>
      </c>
      <c r="B8490">
        <v>14.754799999999999</v>
      </c>
    </row>
    <row r="8491" spans="1:2">
      <c r="A8491" s="117">
        <v>42045</v>
      </c>
      <c r="B8491">
        <v>14.9024</v>
      </c>
    </row>
    <row r="8492" spans="1:2">
      <c r="A8492" s="117">
        <v>42046</v>
      </c>
      <c r="B8492">
        <v>14.801399999999999</v>
      </c>
    </row>
    <row r="8493" spans="1:2">
      <c r="A8493" s="117">
        <v>42047</v>
      </c>
      <c r="B8493">
        <v>14.930899999999999</v>
      </c>
    </row>
    <row r="8494" spans="1:2">
      <c r="A8494" s="117">
        <v>42048</v>
      </c>
      <c r="B8494">
        <v>15.1099</v>
      </c>
    </row>
    <row r="8495" spans="1:2">
      <c r="A8495" s="117">
        <v>42049</v>
      </c>
      <c r="B8495">
        <v>14.916700000000001</v>
      </c>
    </row>
    <row r="8496" spans="1:2">
      <c r="A8496" s="117">
        <v>42050</v>
      </c>
      <c r="B8496">
        <v>14.916700000000001</v>
      </c>
    </row>
    <row r="8497" spans="1:2">
      <c r="A8497" s="117">
        <v>42051</v>
      </c>
      <c r="B8497">
        <v>14.916700000000001</v>
      </c>
    </row>
    <row r="8498" spans="1:2">
      <c r="A8498" s="117">
        <v>42052</v>
      </c>
      <c r="B8498">
        <v>14.8605</v>
      </c>
    </row>
    <row r="8499" spans="1:2">
      <c r="A8499" s="117">
        <v>42053</v>
      </c>
      <c r="B8499">
        <v>14.8979</v>
      </c>
    </row>
    <row r="8500" spans="1:2">
      <c r="A8500" s="117">
        <v>42054</v>
      </c>
      <c r="B8500">
        <v>14.8971</v>
      </c>
    </row>
    <row r="8501" spans="1:2">
      <c r="A8501" s="117">
        <v>42055</v>
      </c>
      <c r="B8501">
        <v>14.9473</v>
      </c>
    </row>
    <row r="8502" spans="1:2">
      <c r="A8502" s="117">
        <v>42056</v>
      </c>
      <c r="B8502">
        <v>14.958299999999999</v>
      </c>
    </row>
    <row r="8503" spans="1:2">
      <c r="A8503" s="117">
        <v>42057</v>
      </c>
      <c r="B8503">
        <v>14.958299999999999</v>
      </c>
    </row>
    <row r="8504" spans="1:2">
      <c r="A8504" s="117">
        <v>42058</v>
      </c>
      <c r="B8504">
        <v>14.958299999999999</v>
      </c>
    </row>
    <row r="8505" spans="1:2">
      <c r="A8505" s="117">
        <v>42059</v>
      </c>
      <c r="B8505">
        <v>15.075699999999999</v>
      </c>
    </row>
    <row r="8506" spans="1:2">
      <c r="A8506" s="117">
        <v>42060</v>
      </c>
      <c r="B8506">
        <v>15.0832</v>
      </c>
    </row>
    <row r="8507" spans="1:2">
      <c r="A8507" s="117">
        <v>42061</v>
      </c>
      <c r="B8507">
        <v>14.9712</v>
      </c>
    </row>
    <row r="8508" spans="1:2">
      <c r="A8508" s="117">
        <v>42062</v>
      </c>
      <c r="B8508">
        <v>14.922800000000001</v>
      </c>
    </row>
    <row r="8509" spans="1:2">
      <c r="A8509" s="117">
        <v>42063</v>
      </c>
      <c r="B8509">
        <v>14.962400000000001</v>
      </c>
    </row>
    <row r="8510" spans="1:2">
      <c r="A8510" s="117">
        <v>42064</v>
      </c>
      <c r="B8510">
        <v>14.962400000000001</v>
      </c>
    </row>
    <row r="8511" spans="1:2">
      <c r="A8511" s="117">
        <v>42065</v>
      </c>
      <c r="B8511">
        <v>14.962400000000001</v>
      </c>
    </row>
    <row r="8512" spans="1:2">
      <c r="A8512" s="117">
        <v>42066</v>
      </c>
      <c r="B8512">
        <v>14.955299999999999</v>
      </c>
    </row>
    <row r="8513" spans="1:2">
      <c r="A8513" s="117">
        <v>42067</v>
      </c>
      <c r="B8513">
        <v>14.9862</v>
      </c>
    </row>
    <row r="8514" spans="1:2">
      <c r="A8514" s="117">
        <v>42068</v>
      </c>
      <c r="B8514">
        <v>14.9544</v>
      </c>
    </row>
    <row r="8515" spans="1:2">
      <c r="A8515" s="117">
        <v>42069</v>
      </c>
      <c r="B8515">
        <v>15.0756</v>
      </c>
    </row>
    <row r="8516" spans="1:2">
      <c r="A8516" s="117">
        <v>42070</v>
      </c>
      <c r="B8516">
        <v>15.1686</v>
      </c>
    </row>
    <row r="8517" spans="1:2">
      <c r="A8517" s="117">
        <v>42071</v>
      </c>
      <c r="B8517">
        <v>15.1686</v>
      </c>
    </row>
    <row r="8518" spans="1:2">
      <c r="A8518" s="117">
        <v>42072</v>
      </c>
      <c r="B8518">
        <v>15.1686</v>
      </c>
    </row>
    <row r="8519" spans="1:2">
      <c r="A8519" s="117">
        <v>42073</v>
      </c>
      <c r="B8519">
        <v>15.4445</v>
      </c>
    </row>
    <row r="8520" spans="1:2">
      <c r="A8520" s="117">
        <v>42074</v>
      </c>
      <c r="B8520">
        <v>15.4544</v>
      </c>
    </row>
    <row r="8521" spans="1:2">
      <c r="A8521" s="117">
        <v>42075</v>
      </c>
      <c r="B8521">
        <v>15.5837</v>
      </c>
    </row>
    <row r="8522" spans="1:2">
      <c r="A8522" s="117">
        <v>42076</v>
      </c>
      <c r="B8522">
        <v>15.445499999999999</v>
      </c>
    </row>
    <row r="8523" spans="1:2">
      <c r="A8523" s="117">
        <v>42077</v>
      </c>
      <c r="B8523">
        <v>15.4003</v>
      </c>
    </row>
    <row r="8524" spans="1:2">
      <c r="A8524" s="117">
        <v>42078</v>
      </c>
      <c r="B8524">
        <v>15.4003</v>
      </c>
    </row>
    <row r="8525" spans="1:2">
      <c r="A8525" s="117">
        <v>42079</v>
      </c>
      <c r="B8525">
        <v>15.4003</v>
      </c>
    </row>
    <row r="8526" spans="1:2">
      <c r="A8526" s="117">
        <v>42080</v>
      </c>
      <c r="B8526">
        <v>15.4003</v>
      </c>
    </row>
    <row r="8527" spans="1:2">
      <c r="A8527" s="117">
        <v>42081</v>
      </c>
      <c r="B8527">
        <v>15.4892</v>
      </c>
    </row>
    <row r="8528" spans="1:2">
      <c r="A8528" s="117">
        <v>42082</v>
      </c>
      <c r="B8528">
        <v>15.427099999999999</v>
      </c>
    </row>
    <row r="8529" spans="1:2">
      <c r="A8529" s="117">
        <v>42083</v>
      </c>
      <c r="B8529">
        <v>15.4192</v>
      </c>
    </row>
    <row r="8530" spans="1:2">
      <c r="A8530" s="117">
        <v>42084</v>
      </c>
      <c r="B8530">
        <v>15.295999999999999</v>
      </c>
    </row>
    <row r="8531" spans="1:2">
      <c r="A8531" s="117">
        <v>42085</v>
      </c>
      <c r="B8531">
        <v>15.295999999999999</v>
      </c>
    </row>
    <row r="8532" spans="1:2">
      <c r="A8532" s="117">
        <v>42086</v>
      </c>
      <c r="B8532">
        <v>15.295999999999999</v>
      </c>
    </row>
    <row r="8533" spans="1:2">
      <c r="A8533" s="117">
        <v>42087</v>
      </c>
      <c r="B8533">
        <v>15.031700000000001</v>
      </c>
    </row>
    <row r="8534" spans="1:2">
      <c r="A8534" s="117">
        <v>42088</v>
      </c>
      <c r="B8534">
        <v>14.964399999999999</v>
      </c>
    </row>
    <row r="8535" spans="1:2">
      <c r="A8535" s="117">
        <v>42089</v>
      </c>
      <c r="B8535">
        <v>14.934699999999999</v>
      </c>
    </row>
    <row r="8536" spans="1:2">
      <c r="A8536" s="117">
        <v>42090</v>
      </c>
      <c r="B8536">
        <v>14.952400000000001</v>
      </c>
    </row>
    <row r="8537" spans="1:2">
      <c r="A8537" s="117">
        <v>42091</v>
      </c>
      <c r="B8537">
        <v>15.105600000000001</v>
      </c>
    </row>
    <row r="8538" spans="1:2">
      <c r="A8538" s="117">
        <v>42092</v>
      </c>
      <c r="B8538">
        <v>15.105600000000001</v>
      </c>
    </row>
    <row r="8539" spans="1:2">
      <c r="A8539" s="117">
        <v>42093</v>
      </c>
      <c r="B8539">
        <v>15.105600000000001</v>
      </c>
    </row>
    <row r="8540" spans="1:2">
      <c r="A8540" s="117">
        <v>42094</v>
      </c>
      <c r="B8540">
        <v>15.154199999999999</v>
      </c>
    </row>
    <row r="8541" spans="1:2">
      <c r="A8541" s="117">
        <v>42095</v>
      </c>
      <c r="B8541">
        <v>15.242699999999999</v>
      </c>
    </row>
    <row r="8542" spans="1:2">
      <c r="A8542" s="117">
        <v>42096</v>
      </c>
      <c r="B8542">
        <v>15.264699999999999</v>
      </c>
    </row>
    <row r="8543" spans="1:2">
      <c r="A8543" s="117">
        <v>42097</v>
      </c>
      <c r="B8543">
        <v>15.264699999999999</v>
      </c>
    </row>
    <row r="8544" spans="1:2">
      <c r="A8544" s="117">
        <v>42098</v>
      </c>
      <c r="B8544">
        <v>15.264699999999999</v>
      </c>
    </row>
    <row r="8545" spans="1:2">
      <c r="A8545" s="117">
        <v>42099</v>
      </c>
      <c r="B8545">
        <v>15.264699999999999</v>
      </c>
    </row>
    <row r="8546" spans="1:2">
      <c r="A8546" s="117">
        <v>42100</v>
      </c>
      <c r="B8546">
        <v>15.264699999999999</v>
      </c>
    </row>
    <row r="8547" spans="1:2">
      <c r="A8547" s="117">
        <v>42101</v>
      </c>
      <c r="B8547">
        <v>15.1206</v>
      </c>
    </row>
    <row r="8548" spans="1:2">
      <c r="A8548" s="117">
        <v>42102</v>
      </c>
      <c r="B8548">
        <v>14.8003</v>
      </c>
    </row>
    <row r="8549" spans="1:2">
      <c r="A8549" s="117">
        <v>42103</v>
      </c>
      <c r="B8549">
        <v>14.9039</v>
      </c>
    </row>
    <row r="8550" spans="1:2">
      <c r="A8550" s="117">
        <v>42104</v>
      </c>
      <c r="B8550">
        <v>14.9072</v>
      </c>
    </row>
    <row r="8551" spans="1:2">
      <c r="A8551" s="117">
        <v>42105</v>
      </c>
      <c r="B8551">
        <v>15.055400000000001</v>
      </c>
    </row>
    <row r="8552" spans="1:2">
      <c r="A8552" s="117">
        <v>42106</v>
      </c>
      <c r="B8552">
        <v>15.055400000000001</v>
      </c>
    </row>
    <row r="8553" spans="1:2">
      <c r="A8553" s="117">
        <v>42107</v>
      </c>
      <c r="B8553">
        <v>15.055400000000001</v>
      </c>
    </row>
    <row r="8554" spans="1:2">
      <c r="A8554" s="117">
        <v>42108</v>
      </c>
      <c r="B8554">
        <v>15.1706</v>
      </c>
    </row>
    <row r="8555" spans="1:2">
      <c r="A8555" s="117">
        <v>42109</v>
      </c>
      <c r="B8555">
        <v>15.294700000000001</v>
      </c>
    </row>
    <row r="8556" spans="1:2">
      <c r="A8556" s="117">
        <v>42110</v>
      </c>
      <c r="B8556">
        <v>15.2339</v>
      </c>
    </row>
    <row r="8557" spans="1:2">
      <c r="A8557" s="117">
        <v>42111</v>
      </c>
      <c r="B8557">
        <v>15.389099999999999</v>
      </c>
    </row>
    <row r="8558" spans="1:2">
      <c r="A8558" s="117">
        <v>42112</v>
      </c>
      <c r="B8558">
        <v>15.2455</v>
      </c>
    </row>
    <row r="8559" spans="1:2">
      <c r="A8559" s="117">
        <v>42113</v>
      </c>
      <c r="B8559">
        <v>15.2455</v>
      </c>
    </row>
    <row r="8560" spans="1:2">
      <c r="A8560" s="117">
        <v>42114</v>
      </c>
      <c r="B8560">
        <v>15.2455</v>
      </c>
    </row>
    <row r="8561" spans="1:2">
      <c r="A8561" s="117">
        <v>42115</v>
      </c>
      <c r="B8561">
        <v>15.312799999999999</v>
      </c>
    </row>
    <row r="8562" spans="1:2">
      <c r="A8562" s="117">
        <v>42116</v>
      </c>
      <c r="B8562">
        <v>15.3973</v>
      </c>
    </row>
    <row r="8563" spans="1:2">
      <c r="A8563" s="117">
        <v>42117</v>
      </c>
      <c r="B8563">
        <v>15.383699999999999</v>
      </c>
    </row>
    <row r="8564" spans="1:2">
      <c r="A8564" s="117">
        <v>42118</v>
      </c>
      <c r="B8564">
        <v>15.4518</v>
      </c>
    </row>
    <row r="8565" spans="1:2">
      <c r="A8565" s="117">
        <v>42119</v>
      </c>
      <c r="B8565">
        <v>15.353899999999999</v>
      </c>
    </row>
    <row r="8566" spans="1:2">
      <c r="A8566" s="117">
        <v>42120</v>
      </c>
      <c r="B8566">
        <v>15.353899999999999</v>
      </c>
    </row>
    <row r="8567" spans="1:2">
      <c r="A8567" s="117">
        <v>42121</v>
      </c>
      <c r="B8567">
        <v>15.353899999999999</v>
      </c>
    </row>
    <row r="8568" spans="1:2">
      <c r="A8568" s="117">
        <v>42122</v>
      </c>
      <c r="B8568">
        <v>15.3834</v>
      </c>
    </row>
    <row r="8569" spans="1:2">
      <c r="A8569" s="117">
        <v>42123</v>
      </c>
      <c r="B8569">
        <v>15.321300000000001</v>
      </c>
    </row>
    <row r="8570" spans="1:2">
      <c r="A8570" s="117">
        <v>42124</v>
      </c>
      <c r="B8570">
        <v>15.2225</v>
      </c>
    </row>
    <row r="8571" spans="1:2">
      <c r="A8571" s="117">
        <v>42125</v>
      </c>
      <c r="B8571">
        <v>15.2043</v>
      </c>
    </row>
    <row r="8572" spans="1:2">
      <c r="A8572" s="117">
        <v>42126</v>
      </c>
      <c r="B8572">
        <v>15.2043</v>
      </c>
    </row>
    <row r="8573" spans="1:2">
      <c r="A8573" s="117">
        <v>42127</v>
      </c>
      <c r="B8573">
        <v>15.2043</v>
      </c>
    </row>
    <row r="8574" spans="1:2">
      <c r="A8574" s="117">
        <v>42128</v>
      </c>
      <c r="B8574">
        <v>15.2043</v>
      </c>
    </row>
    <row r="8575" spans="1:2">
      <c r="A8575" s="117">
        <v>42129</v>
      </c>
      <c r="B8575">
        <v>15.3714</v>
      </c>
    </row>
    <row r="8576" spans="1:2">
      <c r="A8576" s="117">
        <v>42130</v>
      </c>
      <c r="B8576">
        <v>15.494</v>
      </c>
    </row>
    <row r="8577" spans="1:2">
      <c r="A8577" s="117">
        <v>42131</v>
      </c>
      <c r="B8577">
        <v>15.3225</v>
      </c>
    </row>
    <row r="8578" spans="1:2">
      <c r="A8578" s="117">
        <v>42132</v>
      </c>
      <c r="B8578">
        <v>15.282500000000001</v>
      </c>
    </row>
    <row r="8579" spans="1:2">
      <c r="A8579" s="117">
        <v>42133</v>
      </c>
      <c r="B8579">
        <v>15.339700000000001</v>
      </c>
    </row>
    <row r="8580" spans="1:2">
      <c r="A8580" s="117">
        <v>42134</v>
      </c>
      <c r="B8580">
        <v>15.339700000000001</v>
      </c>
    </row>
    <row r="8581" spans="1:2">
      <c r="A8581" s="117">
        <v>42135</v>
      </c>
      <c r="B8581">
        <v>15.339700000000001</v>
      </c>
    </row>
    <row r="8582" spans="1:2">
      <c r="A8582" s="117">
        <v>42136</v>
      </c>
      <c r="B8582">
        <v>15.1424</v>
      </c>
    </row>
    <row r="8583" spans="1:2">
      <c r="A8583" s="117">
        <v>42137</v>
      </c>
      <c r="B8583">
        <v>15.2624</v>
      </c>
    </row>
    <row r="8584" spans="1:2">
      <c r="A8584" s="117">
        <v>42138</v>
      </c>
      <c r="B8584">
        <v>15.321099999999999</v>
      </c>
    </row>
    <row r="8585" spans="1:2">
      <c r="A8585" s="117">
        <v>42139</v>
      </c>
      <c r="B8585">
        <v>15.221299999999999</v>
      </c>
    </row>
    <row r="8586" spans="1:2">
      <c r="A8586" s="117">
        <v>42140</v>
      </c>
      <c r="B8586">
        <v>15.1235</v>
      </c>
    </row>
    <row r="8587" spans="1:2">
      <c r="A8587" s="117">
        <v>42141</v>
      </c>
      <c r="B8587">
        <v>15.1235</v>
      </c>
    </row>
    <row r="8588" spans="1:2">
      <c r="A8588" s="117">
        <v>42142</v>
      </c>
      <c r="B8588">
        <v>15.1235</v>
      </c>
    </row>
    <row r="8589" spans="1:2">
      <c r="A8589" s="117">
        <v>42143</v>
      </c>
      <c r="B8589">
        <v>15.022500000000001</v>
      </c>
    </row>
    <row r="8590" spans="1:2">
      <c r="A8590" s="117">
        <v>42144</v>
      </c>
      <c r="B8590">
        <v>15.12</v>
      </c>
    </row>
    <row r="8591" spans="1:2">
      <c r="A8591" s="117">
        <v>42145</v>
      </c>
      <c r="B8591">
        <v>15.200799999999999</v>
      </c>
    </row>
    <row r="8592" spans="1:2">
      <c r="A8592" s="117">
        <v>42146</v>
      </c>
      <c r="B8592">
        <v>15.212</v>
      </c>
    </row>
    <row r="8593" spans="1:2">
      <c r="A8593" s="117">
        <v>42147</v>
      </c>
      <c r="B8593">
        <v>15.2326</v>
      </c>
    </row>
    <row r="8594" spans="1:2">
      <c r="A8594" s="117">
        <v>42148</v>
      </c>
      <c r="B8594">
        <v>15.2326</v>
      </c>
    </row>
    <row r="8595" spans="1:2">
      <c r="A8595" s="117">
        <v>42149</v>
      </c>
      <c r="B8595">
        <v>15.2326</v>
      </c>
    </row>
    <row r="8596" spans="1:2">
      <c r="A8596" s="117">
        <v>42150</v>
      </c>
      <c r="B8596">
        <v>15.2918</v>
      </c>
    </row>
    <row r="8597" spans="1:2">
      <c r="A8597" s="117">
        <v>42151</v>
      </c>
      <c r="B8597">
        <v>15.263500000000001</v>
      </c>
    </row>
    <row r="8598" spans="1:2">
      <c r="A8598" s="117">
        <v>42152</v>
      </c>
      <c r="B8598">
        <v>15.323499999999999</v>
      </c>
    </row>
    <row r="8599" spans="1:2">
      <c r="A8599" s="117">
        <v>42153</v>
      </c>
      <c r="B8599">
        <v>15.3581</v>
      </c>
    </row>
    <row r="8600" spans="1:2">
      <c r="A8600" s="117">
        <v>42154</v>
      </c>
      <c r="B8600">
        <v>15.373699999999999</v>
      </c>
    </row>
    <row r="8601" spans="1:2">
      <c r="A8601" s="117">
        <v>42155</v>
      </c>
      <c r="B8601">
        <v>15.373699999999999</v>
      </c>
    </row>
    <row r="8602" spans="1:2">
      <c r="A8602" s="117">
        <v>42156</v>
      </c>
      <c r="B8602">
        <v>15.373699999999999</v>
      </c>
    </row>
    <row r="8603" spans="1:2">
      <c r="A8603" s="117">
        <v>42157</v>
      </c>
      <c r="B8603">
        <v>15.381500000000001</v>
      </c>
    </row>
    <row r="8604" spans="1:2">
      <c r="A8604" s="117">
        <v>42158</v>
      </c>
      <c r="B8604">
        <v>15.484500000000001</v>
      </c>
    </row>
    <row r="8605" spans="1:2">
      <c r="A8605" s="117">
        <v>42159</v>
      </c>
      <c r="B8605">
        <v>15.412800000000001</v>
      </c>
    </row>
    <row r="8606" spans="1:2">
      <c r="A8606" s="117">
        <v>42160</v>
      </c>
      <c r="B8606">
        <v>15.4833</v>
      </c>
    </row>
    <row r="8607" spans="1:2">
      <c r="A8607" s="117">
        <v>42161</v>
      </c>
      <c r="B8607">
        <v>15.534700000000001</v>
      </c>
    </row>
    <row r="8608" spans="1:2">
      <c r="A8608" s="117">
        <v>42162</v>
      </c>
      <c r="B8608">
        <v>15.534700000000001</v>
      </c>
    </row>
    <row r="8609" spans="1:2">
      <c r="A8609" s="117">
        <v>42163</v>
      </c>
      <c r="B8609">
        <v>15.534700000000001</v>
      </c>
    </row>
    <row r="8610" spans="1:2">
      <c r="A8610" s="117">
        <v>42164</v>
      </c>
      <c r="B8610">
        <v>15.6958</v>
      </c>
    </row>
    <row r="8611" spans="1:2">
      <c r="A8611" s="117">
        <v>42165</v>
      </c>
      <c r="B8611">
        <v>15.6715</v>
      </c>
    </row>
    <row r="8612" spans="1:2">
      <c r="A8612" s="117">
        <v>42166</v>
      </c>
      <c r="B8612">
        <v>15.564500000000001</v>
      </c>
    </row>
    <row r="8613" spans="1:2">
      <c r="A8613" s="117">
        <v>42167</v>
      </c>
      <c r="B8613">
        <v>15.4779</v>
      </c>
    </row>
    <row r="8614" spans="1:2">
      <c r="A8614" s="117">
        <v>42168</v>
      </c>
      <c r="B8614">
        <v>15.440899999999999</v>
      </c>
    </row>
    <row r="8615" spans="1:2">
      <c r="A8615" s="117">
        <v>42169</v>
      </c>
      <c r="B8615">
        <v>15.440899999999999</v>
      </c>
    </row>
    <row r="8616" spans="1:2">
      <c r="A8616" s="117">
        <v>42170</v>
      </c>
      <c r="B8616">
        <v>15.440899999999999</v>
      </c>
    </row>
    <row r="8617" spans="1:2">
      <c r="A8617" s="117">
        <v>42171</v>
      </c>
      <c r="B8617">
        <v>15.4129</v>
      </c>
    </row>
    <row r="8618" spans="1:2">
      <c r="A8618" s="117">
        <v>42172</v>
      </c>
      <c r="B8618">
        <v>15.432700000000001</v>
      </c>
    </row>
    <row r="8619" spans="1:2">
      <c r="A8619" s="117">
        <v>42173</v>
      </c>
      <c r="B8619">
        <v>15.4192</v>
      </c>
    </row>
    <row r="8620" spans="1:2">
      <c r="A8620" s="117">
        <v>42174</v>
      </c>
      <c r="B8620">
        <v>15.4199</v>
      </c>
    </row>
    <row r="8621" spans="1:2">
      <c r="A8621" s="117">
        <v>42175</v>
      </c>
      <c r="B8621">
        <v>15.2828</v>
      </c>
    </row>
    <row r="8622" spans="1:2">
      <c r="A8622" s="117">
        <v>42176</v>
      </c>
      <c r="B8622">
        <v>15.2828</v>
      </c>
    </row>
    <row r="8623" spans="1:2">
      <c r="A8623" s="117">
        <v>42177</v>
      </c>
      <c r="B8623">
        <v>15.2828</v>
      </c>
    </row>
    <row r="8624" spans="1:2">
      <c r="A8624" s="117">
        <v>42178</v>
      </c>
      <c r="B8624">
        <v>15.327400000000001</v>
      </c>
    </row>
    <row r="8625" spans="1:2">
      <c r="A8625" s="117">
        <v>42179</v>
      </c>
      <c r="B8625">
        <v>15.3072</v>
      </c>
    </row>
    <row r="8626" spans="1:2">
      <c r="A8626" s="117">
        <v>42180</v>
      </c>
      <c r="B8626">
        <v>15.408799999999999</v>
      </c>
    </row>
    <row r="8627" spans="1:2">
      <c r="A8627" s="117">
        <v>42181</v>
      </c>
      <c r="B8627">
        <v>15.455500000000001</v>
      </c>
    </row>
    <row r="8628" spans="1:2">
      <c r="A8628" s="117">
        <v>42182</v>
      </c>
      <c r="B8628">
        <v>15.4816</v>
      </c>
    </row>
    <row r="8629" spans="1:2">
      <c r="A8629" s="117">
        <v>42183</v>
      </c>
      <c r="B8629">
        <v>15.4816</v>
      </c>
    </row>
    <row r="8630" spans="1:2">
      <c r="A8630" s="117">
        <v>42184</v>
      </c>
      <c r="B8630">
        <v>15.4816</v>
      </c>
    </row>
    <row r="8631" spans="1:2">
      <c r="A8631" s="117">
        <v>42185</v>
      </c>
      <c r="B8631">
        <v>15.567600000000001</v>
      </c>
    </row>
    <row r="8632" spans="1:2">
      <c r="A8632" s="117">
        <v>42186</v>
      </c>
      <c r="B8632">
        <v>15.6599</v>
      </c>
    </row>
    <row r="8633" spans="1:2">
      <c r="A8633" s="117">
        <v>42187</v>
      </c>
      <c r="B8633">
        <v>15.6854</v>
      </c>
    </row>
    <row r="8634" spans="1:2">
      <c r="A8634" s="117">
        <v>42188</v>
      </c>
      <c r="B8634">
        <v>15.7829</v>
      </c>
    </row>
    <row r="8635" spans="1:2">
      <c r="A8635" s="117">
        <v>42189</v>
      </c>
      <c r="B8635">
        <v>15.6821</v>
      </c>
    </row>
    <row r="8636" spans="1:2">
      <c r="A8636" s="117">
        <v>42190</v>
      </c>
      <c r="B8636">
        <v>15.6821</v>
      </c>
    </row>
    <row r="8637" spans="1:2">
      <c r="A8637" s="117">
        <v>42191</v>
      </c>
      <c r="B8637">
        <v>15.6821</v>
      </c>
    </row>
    <row r="8638" spans="1:2">
      <c r="A8638" s="117">
        <v>42192</v>
      </c>
      <c r="B8638">
        <v>15.691800000000001</v>
      </c>
    </row>
    <row r="8639" spans="1:2">
      <c r="A8639" s="117">
        <v>42193</v>
      </c>
      <c r="B8639">
        <v>15.753</v>
      </c>
    </row>
    <row r="8640" spans="1:2">
      <c r="A8640" s="117">
        <v>42194</v>
      </c>
      <c r="B8640">
        <v>15.828099999999999</v>
      </c>
    </row>
    <row r="8641" spans="1:2">
      <c r="A8641" s="117">
        <v>42195</v>
      </c>
      <c r="B8641">
        <v>15.817399999999999</v>
      </c>
    </row>
    <row r="8642" spans="1:2">
      <c r="A8642" s="117">
        <v>42196</v>
      </c>
      <c r="B8642">
        <v>15.785600000000001</v>
      </c>
    </row>
    <row r="8643" spans="1:2">
      <c r="A8643" s="117">
        <v>42197</v>
      </c>
      <c r="B8643">
        <v>15.785600000000001</v>
      </c>
    </row>
    <row r="8644" spans="1:2">
      <c r="A8644" s="117">
        <v>42198</v>
      </c>
      <c r="B8644">
        <v>15.785600000000001</v>
      </c>
    </row>
    <row r="8645" spans="1:2">
      <c r="A8645" s="117">
        <v>42199</v>
      </c>
      <c r="B8645">
        <v>15.732900000000001</v>
      </c>
    </row>
    <row r="8646" spans="1:2">
      <c r="A8646" s="117">
        <v>42200</v>
      </c>
      <c r="B8646">
        <v>15.740399999999999</v>
      </c>
    </row>
    <row r="8647" spans="1:2">
      <c r="A8647" s="117">
        <v>42201</v>
      </c>
      <c r="B8647">
        <v>15.672800000000001</v>
      </c>
    </row>
    <row r="8648" spans="1:2">
      <c r="A8648" s="117">
        <v>42202</v>
      </c>
      <c r="B8648">
        <v>15.747</v>
      </c>
    </row>
    <row r="8649" spans="1:2">
      <c r="A8649" s="117">
        <v>42203</v>
      </c>
      <c r="B8649">
        <v>15.801399999999999</v>
      </c>
    </row>
    <row r="8650" spans="1:2">
      <c r="A8650" s="117">
        <v>42204</v>
      </c>
      <c r="B8650">
        <v>15.801399999999999</v>
      </c>
    </row>
    <row r="8651" spans="1:2">
      <c r="A8651" s="117">
        <v>42205</v>
      </c>
      <c r="B8651">
        <v>15.801399999999999</v>
      </c>
    </row>
    <row r="8652" spans="1:2">
      <c r="A8652" s="117">
        <v>42206</v>
      </c>
      <c r="B8652">
        <v>15.912100000000001</v>
      </c>
    </row>
    <row r="8653" spans="1:2">
      <c r="A8653" s="117">
        <v>42207</v>
      </c>
      <c r="B8653">
        <v>15.9856</v>
      </c>
    </row>
    <row r="8654" spans="1:2">
      <c r="A8654" s="117">
        <v>42208</v>
      </c>
      <c r="B8654">
        <v>15.972799999999999</v>
      </c>
    </row>
    <row r="8655" spans="1:2">
      <c r="A8655" s="117">
        <v>42209</v>
      </c>
      <c r="B8655">
        <v>16.094999999999999</v>
      </c>
    </row>
    <row r="8656" spans="1:2">
      <c r="A8656" s="117">
        <v>42210</v>
      </c>
      <c r="B8656">
        <v>16.098800000000001</v>
      </c>
    </row>
    <row r="8657" spans="1:2">
      <c r="A8657" s="117">
        <v>42211</v>
      </c>
      <c r="B8657">
        <v>16.098800000000001</v>
      </c>
    </row>
    <row r="8658" spans="1:2">
      <c r="A8658" s="117">
        <v>42212</v>
      </c>
      <c r="B8658">
        <v>16.098800000000001</v>
      </c>
    </row>
    <row r="8659" spans="1:2">
      <c r="A8659" s="117">
        <v>42213</v>
      </c>
      <c r="B8659">
        <v>16.2364</v>
      </c>
    </row>
    <row r="8660" spans="1:2">
      <c r="A8660" s="117">
        <v>42214</v>
      </c>
      <c r="B8660">
        <v>16.2681</v>
      </c>
    </row>
    <row r="8661" spans="1:2">
      <c r="A8661" s="117">
        <v>42215</v>
      </c>
      <c r="B8661">
        <v>16.2638</v>
      </c>
    </row>
    <row r="8662" spans="1:2">
      <c r="A8662" s="117">
        <v>42216</v>
      </c>
      <c r="B8662">
        <v>16.213999999999999</v>
      </c>
    </row>
    <row r="8663" spans="1:2">
      <c r="A8663" s="117">
        <v>42217</v>
      </c>
      <c r="B8663">
        <v>16.4512</v>
      </c>
    </row>
    <row r="8664" spans="1:2">
      <c r="A8664" s="117">
        <v>42218</v>
      </c>
      <c r="B8664">
        <v>16.4512</v>
      </c>
    </row>
    <row r="8665" spans="1:2">
      <c r="A8665" s="117">
        <v>42219</v>
      </c>
      <c r="B8665">
        <v>16.4512</v>
      </c>
    </row>
    <row r="8666" spans="1:2">
      <c r="A8666" s="117">
        <v>42220</v>
      </c>
      <c r="B8666">
        <v>16.077200000000001</v>
      </c>
    </row>
    <row r="8667" spans="1:2">
      <c r="A8667" s="117">
        <v>42221</v>
      </c>
      <c r="B8667">
        <v>16.1129</v>
      </c>
    </row>
    <row r="8668" spans="1:2">
      <c r="A8668" s="117">
        <v>42222</v>
      </c>
      <c r="B8668">
        <v>16.1736</v>
      </c>
    </row>
    <row r="8669" spans="1:2">
      <c r="A8669" s="117">
        <v>42223</v>
      </c>
      <c r="B8669">
        <v>16.376200000000001</v>
      </c>
    </row>
    <row r="8670" spans="1:2">
      <c r="A8670" s="117">
        <v>42224</v>
      </c>
      <c r="B8670">
        <v>16.353300000000001</v>
      </c>
    </row>
    <row r="8671" spans="1:2">
      <c r="A8671" s="117">
        <v>42225</v>
      </c>
      <c r="B8671">
        <v>16.353300000000001</v>
      </c>
    </row>
    <row r="8672" spans="1:2">
      <c r="A8672" s="117">
        <v>42226</v>
      </c>
      <c r="B8672">
        <v>16.353300000000001</v>
      </c>
    </row>
    <row r="8673" spans="1:2">
      <c r="A8673" s="117">
        <v>42227</v>
      </c>
      <c r="B8673">
        <v>16.1645</v>
      </c>
    </row>
    <row r="8674" spans="1:2">
      <c r="A8674" s="117">
        <v>42228</v>
      </c>
      <c r="B8674">
        <v>16.165199999999999</v>
      </c>
    </row>
    <row r="8675" spans="1:2">
      <c r="A8675" s="117">
        <v>42229</v>
      </c>
      <c r="B8675">
        <v>16.324100000000001</v>
      </c>
    </row>
    <row r="8676" spans="1:2">
      <c r="A8676" s="117">
        <v>42230</v>
      </c>
      <c r="B8676">
        <v>16.297599999999999</v>
      </c>
    </row>
    <row r="8677" spans="1:2">
      <c r="A8677" s="117">
        <v>42231</v>
      </c>
      <c r="B8677">
        <v>16.354099999999999</v>
      </c>
    </row>
    <row r="8678" spans="1:2">
      <c r="A8678" s="117">
        <v>42232</v>
      </c>
      <c r="B8678">
        <v>16.354099999999999</v>
      </c>
    </row>
    <row r="8679" spans="1:2">
      <c r="A8679" s="117">
        <v>42233</v>
      </c>
      <c r="B8679">
        <v>16.354099999999999</v>
      </c>
    </row>
    <row r="8680" spans="1:2">
      <c r="A8680" s="117">
        <v>42234</v>
      </c>
      <c r="B8680">
        <v>16.3658</v>
      </c>
    </row>
    <row r="8681" spans="1:2">
      <c r="A8681" s="117">
        <v>42235</v>
      </c>
      <c r="B8681">
        <v>16.3993</v>
      </c>
    </row>
    <row r="8682" spans="1:2">
      <c r="A8682" s="117">
        <v>42236</v>
      </c>
      <c r="B8682">
        <v>16.431699999999999</v>
      </c>
    </row>
    <row r="8683" spans="1:2">
      <c r="A8683" s="117">
        <v>42237</v>
      </c>
      <c r="B8683">
        <v>16.4908</v>
      </c>
    </row>
    <row r="8684" spans="1:2">
      <c r="A8684" s="117">
        <v>42238</v>
      </c>
      <c r="B8684">
        <v>16.7182</v>
      </c>
    </row>
    <row r="8685" spans="1:2">
      <c r="A8685" s="117">
        <v>42239</v>
      </c>
      <c r="B8685">
        <v>16.7182</v>
      </c>
    </row>
    <row r="8686" spans="1:2">
      <c r="A8686" s="117">
        <v>42240</v>
      </c>
      <c r="B8686">
        <v>16.7182</v>
      </c>
    </row>
    <row r="8687" spans="1:2">
      <c r="A8687" s="117">
        <v>42241</v>
      </c>
      <c r="B8687">
        <v>16.917100000000001</v>
      </c>
    </row>
    <row r="8688" spans="1:2">
      <c r="A8688" s="117">
        <v>42242</v>
      </c>
      <c r="B8688">
        <v>17.0975</v>
      </c>
    </row>
    <row r="8689" spans="1:2">
      <c r="A8689" s="117">
        <v>42243</v>
      </c>
      <c r="B8689">
        <v>16.985900000000001</v>
      </c>
    </row>
    <row r="8690" spans="1:2">
      <c r="A8690" s="117">
        <v>42244</v>
      </c>
      <c r="B8690">
        <v>17.1065</v>
      </c>
    </row>
    <row r="8691" spans="1:2">
      <c r="A8691" s="117">
        <v>42245</v>
      </c>
      <c r="B8691">
        <v>16.886299999999999</v>
      </c>
    </row>
    <row r="8692" spans="1:2">
      <c r="A8692" s="117">
        <v>42246</v>
      </c>
      <c r="B8692">
        <v>16.886299999999999</v>
      </c>
    </row>
    <row r="8693" spans="1:2">
      <c r="A8693" s="117">
        <v>42247</v>
      </c>
      <c r="B8693">
        <v>16.886299999999999</v>
      </c>
    </row>
    <row r="8694" spans="1:2">
      <c r="A8694" s="117">
        <v>42248</v>
      </c>
      <c r="B8694">
        <v>16.7684</v>
      </c>
    </row>
    <row r="8695" spans="1:2">
      <c r="A8695" s="117">
        <v>42249</v>
      </c>
      <c r="B8695">
        <v>16.782900000000001</v>
      </c>
    </row>
    <row r="8696" spans="1:2">
      <c r="A8696" s="117">
        <v>42250</v>
      </c>
      <c r="B8696">
        <v>16.869199999999999</v>
      </c>
    </row>
    <row r="8697" spans="1:2">
      <c r="A8697" s="117">
        <v>42251</v>
      </c>
      <c r="B8697">
        <v>16.944400000000002</v>
      </c>
    </row>
    <row r="8698" spans="1:2">
      <c r="A8698" s="117">
        <v>42252</v>
      </c>
      <c r="B8698">
        <v>16.791799999999999</v>
      </c>
    </row>
    <row r="8699" spans="1:2">
      <c r="A8699" s="117">
        <v>42253</v>
      </c>
      <c r="B8699">
        <v>16.791799999999999</v>
      </c>
    </row>
    <row r="8700" spans="1:2">
      <c r="A8700" s="117">
        <v>42254</v>
      </c>
      <c r="B8700">
        <v>16.791799999999999</v>
      </c>
    </row>
    <row r="8701" spans="1:2">
      <c r="A8701" s="117">
        <v>42255</v>
      </c>
      <c r="B8701">
        <v>16.845400000000001</v>
      </c>
    </row>
    <row r="8702" spans="1:2">
      <c r="A8702" s="117">
        <v>42256</v>
      </c>
      <c r="B8702">
        <v>16.988</v>
      </c>
    </row>
    <row r="8703" spans="1:2">
      <c r="A8703" s="117">
        <v>42257</v>
      </c>
      <c r="B8703">
        <v>16.797899999999998</v>
      </c>
    </row>
    <row r="8704" spans="1:2">
      <c r="A8704" s="117">
        <v>42258</v>
      </c>
      <c r="B8704">
        <v>16.7773</v>
      </c>
    </row>
    <row r="8705" spans="1:2">
      <c r="A8705" s="117">
        <v>42259</v>
      </c>
      <c r="B8705">
        <v>16.810300000000002</v>
      </c>
    </row>
    <row r="8706" spans="1:2">
      <c r="A8706" s="117">
        <v>42260</v>
      </c>
      <c r="B8706">
        <v>16.810300000000002</v>
      </c>
    </row>
    <row r="8707" spans="1:2">
      <c r="A8707" s="117">
        <v>42261</v>
      </c>
      <c r="B8707">
        <v>16.810300000000002</v>
      </c>
    </row>
    <row r="8708" spans="1:2">
      <c r="A8708" s="117">
        <v>42262</v>
      </c>
      <c r="B8708">
        <v>16.8261</v>
      </c>
    </row>
    <row r="8709" spans="1:2">
      <c r="A8709" s="117">
        <v>42263</v>
      </c>
      <c r="B8709">
        <v>16.816800000000001</v>
      </c>
    </row>
    <row r="8710" spans="1:2">
      <c r="A8710" s="117">
        <v>42264</v>
      </c>
      <c r="B8710">
        <v>16.816800000000001</v>
      </c>
    </row>
    <row r="8711" spans="1:2">
      <c r="A8711" s="117">
        <v>42265</v>
      </c>
      <c r="B8711">
        <v>16.771599999999999</v>
      </c>
    </row>
    <row r="8712" spans="1:2">
      <c r="A8712" s="117">
        <v>42266</v>
      </c>
      <c r="B8712">
        <v>16.568000000000001</v>
      </c>
    </row>
    <row r="8713" spans="1:2">
      <c r="A8713" s="117">
        <v>42267</v>
      </c>
      <c r="B8713">
        <v>16.568000000000001</v>
      </c>
    </row>
    <row r="8714" spans="1:2">
      <c r="A8714" s="117">
        <v>42268</v>
      </c>
      <c r="B8714">
        <v>16.568000000000001</v>
      </c>
    </row>
    <row r="8715" spans="1:2">
      <c r="A8715" s="117">
        <v>42269</v>
      </c>
      <c r="B8715">
        <v>16.539000000000001</v>
      </c>
    </row>
    <row r="8716" spans="1:2">
      <c r="A8716" s="117">
        <v>42270</v>
      </c>
      <c r="B8716">
        <v>16.686499999999999</v>
      </c>
    </row>
    <row r="8717" spans="1:2">
      <c r="A8717" s="117">
        <v>42271</v>
      </c>
      <c r="B8717">
        <v>16.871300000000002</v>
      </c>
    </row>
    <row r="8718" spans="1:2">
      <c r="A8718" s="117">
        <v>42272</v>
      </c>
      <c r="B8718">
        <v>17.045300000000001</v>
      </c>
    </row>
    <row r="8719" spans="1:2">
      <c r="A8719" s="117">
        <v>42273</v>
      </c>
      <c r="B8719">
        <v>17.114899999999999</v>
      </c>
    </row>
    <row r="8720" spans="1:2">
      <c r="A8720" s="117">
        <v>42274</v>
      </c>
      <c r="B8720">
        <v>17.114899999999999</v>
      </c>
    </row>
    <row r="8721" spans="1:2">
      <c r="A8721" s="117">
        <v>42275</v>
      </c>
      <c r="B8721">
        <v>17.114899999999999</v>
      </c>
    </row>
    <row r="8722" spans="1:2">
      <c r="A8722" s="117">
        <v>42276</v>
      </c>
      <c r="B8722">
        <v>16.959499999999998</v>
      </c>
    </row>
    <row r="8723" spans="1:2">
      <c r="A8723" s="117">
        <v>42277</v>
      </c>
      <c r="B8723">
        <v>17.007300000000001</v>
      </c>
    </row>
    <row r="8724" spans="1:2">
      <c r="A8724" s="117">
        <v>42278</v>
      </c>
      <c r="B8724">
        <v>17.077100000000002</v>
      </c>
    </row>
    <row r="8725" spans="1:2">
      <c r="A8725" s="117">
        <v>42279</v>
      </c>
      <c r="B8725">
        <v>16.9053</v>
      </c>
    </row>
    <row r="8726" spans="1:2">
      <c r="A8726" s="117">
        <v>42280</v>
      </c>
      <c r="B8726">
        <v>16.8566</v>
      </c>
    </row>
    <row r="8727" spans="1:2">
      <c r="A8727" s="117">
        <v>42281</v>
      </c>
      <c r="B8727">
        <v>16.8566</v>
      </c>
    </row>
    <row r="8728" spans="1:2">
      <c r="A8728" s="117">
        <v>42282</v>
      </c>
      <c r="B8728">
        <v>16.8566</v>
      </c>
    </row>
    <row r="8729" spans="1:2">
      <c r="A8729" s="117">
        <v>42283</v>
      </c>
      <c r="B8729">
        <v>16.816199999999998</v>
      </c>
    </row>
    <row r="8730" spans="1:2">
      <c r="A8730" s="117">
        <v>42284</v>
      </c>
      <c r="B8730">
        <v>16.694099999999999</v>
      </c>
    </row>
    <row r="8731" spans="1:2">
      <c r="A8731" s="117">
        <v>42285</v>
      </c>
      <c r="B8731">
        <v>16.687799999999999</v>
      </c>
    </row>
    <row r="8732" spans="1:2">
      <c r="A8732" s="117">
        <v>42286</v>
      </c>
      <c r="B8732">
        <v>16.5762</v>
      </c>
    </row>
    <row r="8733" spans="1:2">
      <c r="A8733" s="117">
        <v>42287</v>
      </c>
      <c r="B8733">
        <v>16.546399999999998</v>
      </c>
    </row>
    <row r="8734" spans="1:2">
      <c r="A8734" s="117">
        <v>42288</v>
      </c>
      <c r="B8734">
        <v>16.546399999999998</v>
      </c>
    </row>
    <row r="8735" spans="1:2">
      <c r="A8735" s="117">
        <v>42289</v>
      </c>
      <c r="B8735">
        <v>16.546399999999998</v>
      </c>
    </row>
    <row r="8736" spans="1:2">
      <c r="A8736" s="117">
        <v>42290</v>
      </c>
      <c r="B8736">
        <v>16.417999999999999</v>
      </c>
    </row>
    <row r="8737" spans="1:2">
      <c r="A8737" s="117">
        <v>42291</v>
      </c>
      <c r="B8737">
        <v>16.421900000000001</v>
      </c>
    </row>
    <row r="8738" spans="1:2">
      <c r="A8738" s="117">
        <v>42292</v>
      </c>
      <c r="B8738">
        <v>16.584800000000001</v>
      </c>
    </row>
    <row r="8739" spans="1:2">
      <c r="A8739" s="117">
        <v>42293</v>
      </c>
      <c r="B8739">
        <v>16.580400000000001</v>
      </c>
    </row>
    <row r="8740" spans="1:2">
      <c r="A8740" s="117">
        <v>42294</v>
      </c>
      <c r="B8740">
        <v>16.425000000000001</v>
      </c>
    </row>
    <row r="8741" spans="1:2">
      <c r="A8741" s="117">
        <v>42295</v>
      </c>
      <c r="B8741">
        <v>16.425000000000001</v>
      </c>
    </row>
    <row r="8742" spans="1:2">
      <c r="A8742" s="117">
        <v>42296</v>
      </c>
      <c r="B8742">
        <v>16.425000000000001</v>
      </c>
    </row>
    <row r="8743" spans="1:2">
      <c r="A8743" s="117">
        <v>42297</v>
      </c>
      <c r="B8743">
        <v>16.395900000000001</v>
      </c>
    </row>
    <row r="8744" spans="1:2">
      <c r="A8744" s="117">
        <v>42298</v>
      </c>
      <c r="B8744">
        <v>16.489899999999999</v>
      </c>
    </row>
    <row r="8745" spans="1:2">
      <c r="A8745" s="117">
        <v>42299</v>
      </c>
      <c r="B8745">
        <v>16.561800000000002</v>
      </c>
    </row>
    <row r="8746" spans="1:2">
      <c r="A8746" s="117">
        <v>42300</v>
      </c>
      <c r="B8746">
        <v>16.66</v>
      </c>
    </row>
    <row r="8747" spans="1:2">
      <c r="A8747" s="117">
        <v>42301</v>
      </c>
      <c r="B8747">
        <v>16.528400000000001</v>
      </c>
    </row>
    <row r="8748" spans="1:2">
      <c r="A8748" s="117">
        <v>42302</v>
      </c>
      <c r="B8748">
        <v>16.528400000000001</v>
      </c>
    </row>
    <row r="8749" spans="1:2">
      <c r="A8749" s="117">
        <v>42303</v>
      </c>
      <c r="B8749">
        <v>16.528400000000001</v>
      </c>
    </row>
    <row r="8750" spans="1:2">
      <c r="A8750" s="117">
        <v>42304</v>
      </c>
      <c r="B8750">
        <v>16.5138</v>
      </c>
    </row>
    <row r="8751" spans="1:2">
      <c r="A8751" s="117">
        <v>42305</v>
      </c>
      <c r="B8751">
        <v>16.4998</v>
      </c>
    </row>
    <row r="8752" spans="1:2">
      <c r="A8752" s="117">
        <v>42306</v>
      </c>
      <c r="B8752">
        <v>16.554500000000001</v>
      </c>
    </row>
    <row r="8753" spans="1:2">
      <c r="A8753" s="117">
        <v>42307</v>
      </c>
      <c r="B8753">
        <v>16.450299999999999</v>
      </c>
    </row>
    <row r="8754" spans="1:2">
      <c r="A8754" s="117">
        <v>42308</v>
      </c>
      <c r="B8754">
        <v>16.6219</v>
      </c>
    </row>
    <row r="8755" spans="1:2">
      <c r="A8755" s="117">
        <v>42309</v>
      </c>
      <c r="B8755">
        <v>16.6219</v>
      </c>
    </row>
    <row r="8756" spans="1:2">
      <c r="A8756" s="117">
        <v>42310</v>
      </c>
      <c r="B8756">
        <v>16.6219</v>
      </c>
    </row>
    <row r="8757" spans="1:2">
      <c r="A8757" s="117">
        <v>42311</v>
      </c>
      <c r="B8757">
        <v>16.6219</v>
      </c>
    </row>
    <row r="8758" spans="1:2">
      <c r="A8758" s="117">
        <v>42312</v>
      </c>
      <c r="B8758">
        <v>16.5244</v>
      </c>
    </row>
    <row r="8759" spans="1:2">
      <c r="A8759" s="117">
        <v>42313</v>
      </c>
      <c r="B8759">
        <v>16.419599999999999</v>
      </c>
    </row>
    <row r="8760" spans="1:2">
      <c r="A8760" s="117">
        <v>42314</v>
      </c>
      <c r="B8760">
        <v>16.514700000000001</v>
      </c>
    </row>
    <row r="8761" spans="1:2">
      <c r="A8761" s="117">
        <v>42315</v>
      </c>
      <c r="B8761">
        <v>16.5959</v>
      </c>
    </row>
    <row r="8762" spans="1:2">
      <c r="A8762" s="117">
        <v>42316</v>
      </c>
      <c r="B8762">
        <v>16.5959</v>
      </c>
    </row>
    <row r="8763" spans="1:2">
      <c r="A8763" s="117">
        <v>42317</v>
      </c>
      <c r="B8763">
        <v>16.5959</v>
      </c>
    </row>
    <row r="8764" spans="1:2">
      <c r="A8764" s="117">
        <v>42318</v>
      </c>
      <c r="B8764">
        <v>16.838200000000001</v>
      </c>
    </row>
    <row r="8765" spans="1:2">
      <c r="A8765" s="117">
        <v>42319</v>
      </c>
      <c r="B8765">
        <v>16.87</v>
      </c>
    </row>
    <row r="8766" spans="1:2">
      <c r="A8766" s="117">
        <v>42320</v>
      </c>
      <c r="B8766">
        <v>16.765799999999999</v>
      </c>
    </row>
    <row r="8767" spans="1:2">
      <c r="A8767" s="117">
        <v>42321</v>
      </c>
      <c r="B8767">
        <v>16.717300000000002</v>
      </c>
    </row>
    <row r="8768" spans="1:2">
      <c r="A8768" s="117">
        <v>42322</v>
      </c>
      <c r="B8768">
        <v>16.740600000000001</v>
      </c>
    </row>
    <row r="8769" spans="1:2">
      <c r="A8769" s="117">
        <v>42323</v>
      </c>
      <c r="B8769">
        <v>16.740600000000001</v>
      </c>
    </row>
    <row r="8770" spans="1:2">
      <c r="A8770" s="117">
        <v>42324</v>
      </c>
      <c r="B8770">
        <v>16.740600000000001</v>
      </c>
    </row>
    <row r="8771" spans="1:2">
      <c r="A8771" s="117">
        <v>42325</v>
      </c>
      <c r="B8771">
        <v>16.740600000000001</v>
      </c>
    </row>
    <row r="8772" spans="1:2">
      <c r="A8772" s="117">
        <v>42326</v>
      </c>
      <c r="B8772">
        <v>16.7395</v>
      </c>
    </row>
    <row r="8773" spans="1:2">
      <c r="A8773" s="117">
        <v>42327</v>
      </c>
      <c r="B8773">
        <v>16.757000000000001</v>
      </c>
    </row>
    <row r="8774" spans="1:2">
      <c r="A8774" s="117">
        <v>42328</v>
      </c>
      <c r="B8774">
        <v>16.7636</v>
      </c>
    </row>
    <row r="8775" spans="1:2">
      <c r="A8775" s="117">
        <v>42329</v>
      </c>
      <c r="B8775">
        <v>16.5748</v>
      </c>
    </row>
    <row r="8776" spans="1:2">
      <c r="A8776" s="117">
        <v>42330</v>
      </c>
      <c r="B8776">
        <v>16.5748</v>
      </c>
    </row>
    <row r="8777" spans="1:2">
      <c r="A8777" s="117">
        <v>42331</v>
      </c>
      <c r="B8777">
        <v>16.5748</v>
      </c>
    </row>
    <row r="8778" spans="1:2">
      <c r="A8778" s="117">
        <v>42332</v>
      </c>
      <c r="B8778">
        <v>16.512</v>
      </c>
    </row>
    <row r="8779" spans="1:2">
      <c r="A8779" s="117">
        <v>42333</v>
      </c>
      <c r="B8779">
        <v>16.5306</v>
      </c>
    </row>
    <row r="8780" spans="1:2">
      <c r="A8780" s="117">
        <v>42334</v>
      </c>
      <c r="B8780">
        <v>16.470500000000001</v>
      </c>
    </row>
    <row r="8781" spans="1:2">
      <c r="A8781" s="117">
        <v>42335</v>
      </c>
      <c r="B8781">
        <v>16.5548</v>
      </c>
    </row>
    <row r="8782" spans="1:2">
      <c r="A8782" s="117">
        <v>42336</v>
      </c>
      <c r="B8782">
        <v>16.549199999999999</v>
      </c>
    </row>
    <row r="8783" spans="1:2">
      <c r="A8783" s="117">
        <v>42337</v>
      </c>
      <c r="B8783">
        <v>16.549199999999999</v>
      </c>
    </row>
    <row r="8784" spans="1:2">
      <c r="A8784" s="117">
        <v>42338</v>
      </c>
      <c r="B8784">
        <v>16.549199999999999</v>
      </c>
    </row>
    <row r="8785" spans="1:2">
      <c r="A8785" s="117">
        <v>42339</v>
      </c>
      <c r="B8785">
        <v>16.578399999999998</v>
      </c>
    </row>
    <row r="8786" spans="1:2">
      <c r="A8786" s="117">
        <v>42340</v>
      </c>
      <c r="B8786">
        <v>16.585599999999999</v>
      </c>
    </row>
    <row r="8787" spans="1:2">
      <c r="A8787" s="117">
        <v>42341</v>
      </c>
      <c r="B8787">
        <v>16.510400000000001</v>
      </c>
    </row>
    <row r="8788" spans="1:2">
      <c r="A8788" s="117">
        <v>42342</v>
      </c>
      <c r="B8788">
        <v>16.593299999999999</v>
      </c>
    </row>
    <row r="8789" spans="1:2">
      <c r="A8789" s="117">
        <v>42343</v>
      </c>
      <c r="B8789">
        <v>16.709499999999998</v>
      </c>
    </row>
    <row r="8790" spans="1:2">
      <c r="A8790" s="117">
        <v>42344</v>
      </c>
      <c r="B8790">
        <v>16.709499999999998</v>
      </c>
    </row>
    <row r="8791" spans="1:2">
      <c r="A8791" s="117">
        <v>42345</v>
      </c>
      <c r="B8791">
        <v>16.709499999999998</v>
      </c>
    </row>
    <row r="8792" spans="1:2">
      <c r="A8792" s="117">
        <v>42346</v>
      </c>
      <c r="B8792">
        <v>16.675699999999999</v>
      </c>
    </row>
    <row r="8793" spans="1:2">
      <c r="A8793" s="117">
        <v>42347</v>
      </c>
      <c r="B8793">
        <v>16.904399999999999</v>
      </c>
    </row>
    <row r="8794" spans="1:2">
      <c r="A8794" s="117">
        <v>42348</v>
      </c>
      <c r="B8794">
        <v>17.016400000000001</v>
      </c>
    </row>
    <row r="8795" spans="1:2">
      <c r="A8795" s="117">
        <v>42349</v>
      </c>
      <c r="B8795">
        <v>17.015999999999998</v>
      </c>
    </row>
    <row r="8796" spans="1:2">
      <c r="A8796" s="117">
        <v>42350</v>
      </c>
      <c r="B8796">
        <v>17.074999999999999</v>
      </c>
    </row>
    <row r="8797" spans="1:2">
      <c r="A8797" s="117">
        <v>42351</v>
      </c>
      <c r="B8797">
        <v>17.074999999999999</v>
      </c>
    </row>
    <row r="8798" spans="1:2">
      <c r="A8798" s="117">
        <v>42352</v>
      </c>
      <c r="B8798">
        <v>17.074999999999999</v>
      </c>
    </row>
    <row r="8799" spans="1:2">
      <c r="A8799" s="117">
        <v>42353</v>
      </c>
      <c r="B8799">
        <v>17.359200000000001</v>
      </c>
    </row>
    <row r="8800" spans="1:2">
      <c r="A8800" s="117">
        <v>42354</v>
      </c>
      <c r="B8800">
        <v>17.377600000000001</v>
      </c>
    </row>
    <row r="8801" spans="1:2">
      <c r="A8801" s="117">
        <v>42355</v>
      </c>
      <c r="B8801">
        <v>17.152899999999999</v>
      </c>
    </row>
    <row r="8802" spans="1:2">
      <c r="A8802" s="117">
        <v>42356</v>
      </c>
      <c r="B8802">
        <v>17.135999999999999</v>
      </c>
    </row>
    <row r="8803" spans="1:2">
      <c r="A8803" s="117">
        <v>42357</v>
      </c>
      <c r="B8803">
        <v>17.100000000000001</v>
      </c>
    </row>
    <row r="8804" spans="1:2">
      <c r="A8804" s="117">
        <v>42358</v>
      </c>
      <c r="B8804">
        <v>17.100000000000001</v>
      </c>
    </row>
    <row r="8805" spans="1:2">
      <c r="A8805" s="117">
        <v>42359</v>
      </c>
      <c r="B8805">
        <v>17.100000000000001</v>
      </c>
    </row>
    <row r="8806" spans="1:2">
      <c r="A8806" s="117">
        <v>42360</v>
      </c>
      <c r="B8806">
        <v>17.0139</v>
      </c>
    </row>
    <row r="8807" spans="1:2">
      <c r="A8807" s="117">
        <v>42361</v>
      </c>
      <c r="B8807">
        <v>17.103400000000001</v>
      </c>
    </row>
    <row r="8808" spans="1:2">
      <c r="A8808" s="117">
        <v>42362</v>
      </c>
      <c r="B8808">
        <v>17.184699999999999</v>
      </c>
    </row>
    <row r="8809" spans="1:2">
      <c r="A8809" s="117">
        <v>42363</v>
      </c>
      <c r="B8809">
        <v>17.1953</v>
      </c>
    </row>
    <row r="8810" spans="1:2">
      <c r="A8810" s="117">
        <v>42364</v>
      </c>
      <c r="B8810">
        <v>17.1953</v>
      </c>
    </row>
    <row r="8811" spans="1:2">
      <c r="A8811" s="117">
        <v>42365</v>
      </c>
      <c r="B8811">
        <v>17.1953</v>
      </c>
    </row>
    <row r="8812" spans="1:2">
      <c r="A8812" s="117">
        <v>42366</v>
      </c>
      <c r="B8812">
        <v>17.1953</v>
      </c>
    </row>
    <row r="8813" spans="1:2">
      <c r="A8813" s="117">
        <v>42367</v>
      </c>
      <c r="B8813">
        <v>17.276</v>
      </c>
    </row>
    <row r="8814" spans="1:2">
      <c r="A8814" s="117">
        <v>42368</v>
      </c>
      <c r="B8814">
        <v>17.271000000000001</v>
      </c>
    </row>
    <row r="8815" spans="1:2">
      <c r="A8815" s="117">
        <v>42369</v>
      </c>
      <c r="B8815">
        <v>17.206499999999998</v>
      </c>
    </row>
    <row r="8816" spans="1:2">
      <c r="A8816" s="117">
        <v>42370</v>
      </c>
      <c r="B8816">
        <v>17.3398</v>
      </c>
    </row>
    <row r="8817" spans="1:2">
      <c r="A8817" s="117">
        <v>42371</v>
      </c>
      <c r="B8817">
        <v>17.3398</v>
      </c>
    </row>
    <row r="8818" spans="1:2">
      <c r="A8818" s="117">
        <v>42372</v>
      </c>
      <c r="B8818">
        <v>17.3398</v>
      </c>
    </row>
    <row r="8819" spans="1:2">
      <c r="A8819" s="117">
        <v>42373</v>
      </c>
      <c r="B8819">
        <v>17.3398</v>
      </c>
    </row>
    <row r="8820" spans="1:2">
      <c r="A8820" s="117">
        <v>42374</v>
      </c>
      <c r="B8820">
        <v>17.248699999999999</v>
      </c>
    </row>
    <row r="8821" spans="1:2">
      <c r="A8821" s="117">
        <v>42375</v>
      </c>
      <c r="B8821">
        <v>17.352900000000002</v>
      </c>
    </row>
    <row r="8822" spans="1:2">
      <c r="A8822" s="117">
        <v>42376</v>
      </c>
      <c r="B8822">
        <v>17.345600000000001</v>
      </c>
    </row>
    <row r="8823" spans="1:2">
      <c r="A8823" s="117">
        <v>42377</v>
      </c>
      <c r="B8823">
        <v>17.441099999999999</v>
      </c>
    </row>
    <row r="8824" spans="1:2">
      <c r="A8824" s="117">
        <v>42378</v>
      </c>
      <c r="B8824">
        <v>17.6568</v>
      </c>
    </row>
    <row r="8825" spans="1:2">
      <c r="A8825" s="117">
        <v>42379</v>
      </c>
      <c r="B8825">
        <v>17.6568</v>
      </c>
    </row>
    <row r="8826" spans="1:2">
      <c r="A8826" s="117">
        <v>42380</v>
      </c>
      <c r="B8826">
        <v>17.6568</v>
      </c>
    </row>
    <row r="8827" spans="1:2">
      <c r="A8827" s="117">
        <v>42381</v>
      </c>
      <c r="B8827">
        <v>17.9283</v>
      </c>
    </row>
    <row r="8828" spans="1:2">
      <c r="A8828" s="117">
        <v>42382</v>
      </c>
      <c r="B8828">
        <v>17.930399999999999</v>
      </c>
    </row>
    <row r="8829" spans="1:2">
      <c r="A8829" s="117">
        <v>42383</v>
      </c>
      <c r="B8829">
        <v>17.911899999999999</v>
      </c>
    </row>
    <row r="8830" spans="1:2">
      <c r="A8830" s="117">
        <v>42384</v>
      </c>
      <c r="B8830">
        <v>17.850000000000001</v>
      </c>
    </row>
    <row r="8831" spans="1:2">
      <c r="A8831" s="117">
        <v>42385</v>
      </c>
      <c r="B8831">
        <v>17.912099999999999</v>
      </c>
    </row>
    <row r="8832" spans="1:2">
      <c r="A8832" s="117">
        <v>42386</v>
      </c>
      <c r="B8832">
        <v>17.912099999999999</v>
      </c>
    </row>
    <row r="8833" spans="1:2">
      <c r="A8833" s="117">
        <v>42387</v>
      </c>
      <c r="B8833">
        <v>17.912099999999999</v>
      </c>
    </row>
    <row r="8834" spans="1:2">
      <c r="A8834" s="117">
        <v>42388</v>
      </c>
      <c r="B8834">
        <v>18.210799999999999</v>
      </c>
    </row>
    <row r="8835" spans="1:2">
      <c r="A8835" s="117">
        <v>42389</v>
      </c>
      <c r="B8835">
        <v>18.232700000000001</v>
      </c>
    </row>
    <row r="8836" spans="1:2">
      <c r="A8836" s="117">
        <v>42390</v>
      </c>
      <c r="B8836">
        <v>18.194700000000001</v>
      </c>
    </row>
    <row r="8837" spans="1:2">
      <c r="A8837" s="117">
        <v>42391</v>
      </c>
      <c r="B8837">
        <v>18.608000000000001</v>
      </c>
    </row>
    <row r="8838" spans="1:2">
      <c r="A8838" s="117">
        <v>42392</v>
      </c>
      <c r="B8838">
        <v>18.508400000000002</v>
      </c>
    </row>
    <row r="8839" spans="1:2">
      <c r="A8839" s="117">
        <v>42393</v>
      </c>
      <c r="B8839">
        <v>18.508400000000002</v>
      </c>
    </row>
    <row r="8840" spans="1:2">
      <c r="A8840" s="117">
        <v>42394</v>
      </c>
      <c r="B8840">
        <v>18.508400000000002</v>
      </c>
    </row>
    <row r="8841" spans="1:2">
      <c r="A8841" s="117">
        <v>42395</v>
      </c>
      <c r="B8841">
        <v>18.428000000000001</v>
      </c>
    </row>
    <row r="8842" spans="1:2">
      <c r="A8842" s="117">
        <v>42396</v>
      </c>
      <c r="B8842">
        <v>18.5352</v>
      </c>
    </row>
    <row r="8843" spans="1:2">
      <c r="A8843" s="117">
        <v>42397</v>
      </c>
      <c r="B8843">
        <v>18.471499999999999</v>
      </c>
    </row>
    <row r="8844" spans="1:2">
      <c r="A8844" s="117">
        <v>42398</v>
      </c>
      <c r="B8844">
        <v>18.452999999999999</v>
      </c>
    </row>
    <row r="8845" spans="1:2">
      <c r="A8845" s="117">
        <v>42399</v>
      </c>
      <c r="B8845">
        <v>18.290600000000001</v>
      </c>
    </row>
    <row r="8846" spans="1:2">
      <c r="A8846" s="117">
        <v>42400</v>
      </c>
      <c r="B8846">
        <v>18.290600000000001</v>
      </c>
    </row>
    <row r="8847" spans="1:2">
      <c r="A8847" s="117">
        <v>42401</v>
      </c>
      <c r="B8847">
        <v>18.290600000000001</v>
      </c>
    </row>
    <row r="8848" spans="1:2">
      <c r="A8848" s="117">
        <v>42402</v>
      </c>
      <c r="B8848">
        <v>18.290600000000001</v>
      </c>
    </row>
    <row r="8849" spans="1:2">
      <c r="A8849" s="117">
        <v>42403</v>
      </c>
      <c r="B8849">
        <v>18.1935</v>
      </c>
    </row>
    <row r="8850" spans="1:2">
      <c r="A8850" s="117">
        <v>42404</v>
      </c>
      <c r="B8850">
        <v>18.490200000000002</v>
      </c>
    </row>
    <row r="8851" spans="1:2">
      <c r="A8851" s="117">
        <v>42405</v>
      </c>
      <c r="B8851">
        <v>18.453700000000001</v>
      </c>
    </row>
    <row r="8852" spans="1:2">
      <c r="A8852" s="117">
        <v>42406</v>
      </c>
      <c r="B8852">
        <v>18.1891</v>
      </c>
    </row>
    <row r="8853" spans="1:2">
      <c r="A8853" s="117">
        <v>42407</v>
      </c>
      <c r="B8853">
        <v>18.1891</v>
      </c>
    </row>
    <row r="8854" spans="1:2">
      <c r="A8854" s="117">
        <v>42408</v>
      </c>
      <c r="B8854">
        <v>18.1891</v>
      </c>
    </row>
    <row r="8855" spans="1:2">
      <c r="A8855" s="117">
        <v>42409</v>
      </c>
      <c r="B8855">
        <v>18.3748</v>
      </c>
    </row>
    <row r="8856" spans="1:2">
      <c r="A8856" s="117">
        <v>42410</v>
      </c>
      <c r="B8856">
        <v>18.695900000000002</v>
      </c>
    </row>
    <row r="8857" spans="1:2">
      <c r="A8857" s="117">
        <v>42411</v>
      </c>
      <c r="B8857">
        <v>18.7818</v>
      </c>
    </row>
    <row r="8858" spans="1:2">
      <c r="A8858" s="117">
        <v>42412</v>
      </c>
      <c r="B8858">
        <v>18.808900000000001</v>
      </c>
    </row>
    <row r="8859" spans="1:2">
      <c r="A8859" s="117">
        <v>42413</v>
      </c>
      <c r="B8859">
        <v>19.1754</v>
      </c>
    </row>
    <row r="8860" spans="1:2">
      <c r="A8860" s="117">
        <v>42414</v>
      </c>
      <c r="B8860">
        <v>19.1754</v>
      </c>
    </row>
    <row r="8861" spans="1:2">
      <c r="A8861" s="117">
        <v>42415</v>
      </c>
      <c r="B8861">
        <v>19.1754</v>
      </c>
    </row>
    <row r="8862" spans="1:2">
      <c r="A8862" s="117">
        <v>42416</v>
      </c>
      <c r="B8862">
        <v>19.039200000000001</v>
      </c>
    </row>
    <row r="8863" spans="1:2">
      <c r="A8863" s="117">
        <v>42417</v>
      </c>
      <c r="B8863">
        <v>18.847100000000001</v>
      </c>
    </row>
    <row r="8864" spans="1:2">
      <c r="A8864" s="117">
        <v>42418</v>
      </c>
      <c r="B8864">
        <v>18.814800000000002</v>
      </c>
    </row>
    <row r="8865" spans="1:2">
      <c r="A8865" s="117">
        <v>42419</v>
      </c>
      <c r="B8865">
        <v>18.389500000000002</v>
      </c>
    </row>
    <row r="8866" spans="1:2">
      <c r="A8866" s="117">
        <v>42420</v>
      </c>
      <c r="B8866">
        <v>18.143899999999999</v>
      </c>
    </row>
    <row r="8867" spans="1:2">
      <c r="A8867" s="117">
        <v>42421</v>
      </c>
      <c r="B8867">
        <v>18.143899999999999</v>
      </c>
    </row>
    <row r="8868" spans="1:2">
      <c r="A8868" s="117">
        <v>42422</v>
      </c>
      <c r="B8868">
        <v>18.143899999999999</v>
      </c>
    </row>
    <row r="8869" spans="1:2">
      <c r="A8869" s="117">
        <v>42423</v>
      </c>
      <c r="B8869">
        <v>18.276199999999999</v>
      </c>
    </row>
    <row r="8870" spans="1:2">
      <c r="A8870" s="117">
        <v>42424</v>
      </c>
      <c r="B8870">
        <v>18.056799999999999</v>
      </c>
    </row>
    <row r="8871" spans="1:2">
      <c r="A8871" s="117">
        <v>42425</v>
      </c>
      <c r="B8871">
        <v>18.194800000000001</v>
      </c>
    </row>
    <row r="8872" spans="1:2">
      <c r="A8872" s="117">
        <v>42426</v>
      </c>
      <c r="B8872">
        <v>18.289300000000001</v>
      </c>
    </row>
    <row r="8873" spans="1:2">
      <c r="A8873" s="117">
        <v>42427</v>
      </c>
      <c r="B8873">
        <v>18.167999999999999</v>
      </c>
    </row>
    <row r="8874" spans="1:2">
      <c r="A8874" s="117">
        <v>42428</v>
      </c>
      <c r="B8874">
        <v>18.167999999999999</v>
      </c>
    </row>
    <row r="8875" spans="1:2">
      <c r="A8875" s="117">
        <v>42429</v>
      </c>
      <c r="B8875">
        <v>18.167999999999999</v>
      </c>
    </row>
    <row r="8876" spans="1:2">
      <c r="A8876" s="117">
        <v>42430</v>
      </c>
      <c r="B8876">
        <v>18.1706</v>
      </c>
    </row>
    <row r="8877" spans="1:2">
      <c r="A8877" s="117">
        <v>42431</v>
      </c>
      <c r="B8877">
        <v>18.102</v>
      </c>
    </row>
    <row r="8878" spans="1:2">
      <c r="A8878" s="117">
        <v>42432</v>
      </c>
      <c r="B8878">
        <v>17.943200000000001</v>
      </c>
    </row>
    <row r="8879" spans="1:2">
      <c r="A8879" s="117">
        <v>42433</v>
      </c>
      <c r="B8879">
        <v>17.856100000000001</v>
      </c>
    </row>
    <row r="8880" spans="1:2">
      <c r="A8880" s="117">
        <v>42434</v>
      </c>
      <c r="B8880">
        <v>17.897099999999998</v>
      </c>
    </row>
    <row r="8881" spans="1:2">
      <c r="A8881" s="117">
        <v>42435</v>
      </c>
      <c r="B8881">
        <v>17.897099999999998</v>
      </c>
    </row>
    <row r="8882" spans="1:2">
      <c r="A8882" s="117">
        <v>42436</v>
      </c>
      <c r="B8882">
        <v>17.897099999999998</v>
      </c>
    </row>
    <row r="8883" spans="1:2">
      <c r="A8883" s="117">
        <v>42437</v>
      </c>
      <c r="B8883">
        <v>17.772300000000001</v>
      </c>
    </row>
    <row r="8884" spans="1:2">
      <c r="A8884" s="117">
        <v>42438</v>
      </c>
      <c r="B8884">
        <v>17.752600000000001</v>
      </c>
    </row>
    <row r="8885" spans="1:2">
      <c r="A8885" s="117">
        <v>42439</v>
      </c>
      <c r="B8885">
        <v>17.904399999999999</v>
      </c>
    </row>
    <row r="8886" spans="1:2">
      <c r="A8886" s="117">
        <v>42440</v>
      </c>
      <c r="B8886">
        <v>17.752300000000002</v>
      </c>
    </row>
    <row r="8887" spans="1:2">
      <c r="A8887" s="117">
        <v>42441</v>
      </c>
      <c r="B8887">
        <v>17.860099999999999</v>
      </c>
    </row>
    <row r="8888" spans="1:2">
      <c r="A8888" s="117">
        <v>42442</v>
      </c>
      <c r="B8888">
        <v>17.860099999999999</v>
      </c>
    </row>
    <row r="8889" spans="1:2">
      <c r="A8889" s="117">
        <v>42443</v>
      </c>
      <c r="B8889">
        <v>17.860099999999999</v>
      </c>
    </row>
    <row r="8890" spans="1:2">
      <c r="A8890" s="117">
        <v>42444</v>
      </c>
      <c r="B8890">
        <v>17.700199999999999</v>
      </c>
    </row>
    <row r="8891" spans="1:2">
      <c r="A8891" s="117">
        <v>42445</v>
      </c>
      <c r="B8891">
        <v>17.769100000000002</v>
      </c>
    </row>
    <row r="8892" spans="1:2">
      <c r="A8892" s="117">
        <v>42446</v>
      </c>
      <c r="B8892">
        <v>17.925999999999998</v>
      </c>
    </row>
    <row r="8893" spans="1:2">
      <c r="A8893" s="117">
        <v>42447</v>
      </c>
      <c r="B8893">
        <v>17.930800000000001</v>
      </c>
    </row>
    <row r="8894" spans="1:2">
      <c r="A8894" s="117">
        <v>42448</v>
      </c>
      <c r="B8894">
        <v>17.403400000000001</v>
      </c>
    </row>
    <row r="8895" spans="1:2">
      <c r="A8895" s="117">
        <v>42449</v>
      </c>
      <c r="B8895">
        <v>17.403400000000001</v>
      </c>
    </row>
    <row r="8896" spans="1:2">
      <c r="A8896" s="117">
        <v>42450</v>
      </c>
      <c r="B8896">
        <v>17.403400000000001</v>
      </c>
    </row>
    <row r="8897" spans="1:2">
      <c r="A8897" s="117">
        <v>42451</v>
      </c>
      <c r="B8897">
        <v>17.403400000000001</v>
      </c>
    </row>
    <row r="8898" spans="1:2">
      <c r="A8898" s="117">
        <v>42452</v>
      </c>
      <c r="B8898">
        <v>17.299499999999998</v>
      </c>
    </row>
    <row r="8899" spans="1:2">
      <c r="A8899" s="117">
        <v>42453</v>
      </c>
      <c r="B8899">
        <v>17.336099999999998</v>
      </c>
    </row>
    <row r="8900" spans="1:2">
      <c r="A8900" s="117">
        <v>42454</v>
      </c>
      <c r="B8900">
        <v>17.336099999999998</v>
      </c>
    </row>
    <row r="8901" spans="1:2">
      <c r="A8901" s="117">
        <v>42455</v>
      </c>
      <c r="B8901">
        <v>17.336099999999998</v>
      </c>
    </row>
    <row r="8902" spans="1:2">
      <c r="A8902" s="117">
        <v>42456</v>
      </c>
      <c r="B8902">
        <v>17.336099999999998</v>
      </c>
    </row>
    <row r="8903" spans="1:2">
      <c r="A8903" s="117">
        <v>42457</v>
      </c>
      <c r="B8903">
        <v>17.336099999999998</v>
      </c>
    </row>
    <row r="8904" spans="1:2">
      <c r="A8904" s="117">
        <v>42458</v>
      </c>
      <c r="B8904">
        <v>17.5273</v>
      </c>
    </row>
    <row r="8905" spans="1:2">
      <c r="A8905" s="117">
        <v>42459</v>
      </c>
      <c r="B8905">
        <v>17.460999999999999</v>
      </c>
    </row>
    <row r="8906" spans="1:2">
      <c r="A8906" s="117">
        <v>42460</v>
      </c>
      <c r="B8906">
        <v>17.401499999999999</v>
      </c>
    </row>
    <row r="8907" spans="1:2">
      <c r="A8907" s="117">
        <v>42461</v>
      </c>
      <c r="B8907">
        <v>17.250900000000001</v>
      </c>
    </row>
    <row r="8908" spans="1:2">
      <c r="A8908" s="117">
        <v>42462</v>
      </c>
      <c r="B8908">
        <v>17.236999999999998</v>
      </c>
    </row>
    <row r="8909" spans="1:2">
      <c r="A8909" s="117">
        <v>42463</v>
      </c>
      <c r="B8909">
        <v>17.236999999999998</v>
      </c>
    </row>
    <row r="8910" spans="1:2">
      <c r="A8910" s="117">
        <v>42464</v>
      </c>
      <c r="B8910">
        <v>17.236999999999998</v>
      </c>
    </row>
    <row r="8911" spans="1:2">
      <c r="A8911" s="117">
        <v>42465</v>
      </c>
      <c r="B8911">
        <v>17.3338</v>
      </c>
    </row>
    <row r="8912" spans="1:2">
      <c r="A8912" s="117">
        <v>42466</v>
      </c>
      <c r="B8912">
        <v>17.448399999999999</v>
      </c>
    </row>
    <row r="8913" spans="1:2">
      <c r="A8913" s="117">
        <v>42467</v>
      </c>
      <c r="B8913">
        <v>17.725200000000001</v>
      </c>
    </row>
    <row r="8914" spans="1:2">
      <c r="A8914" s="117">
        <v>42468</v>
      </c>
      <c r="B8914">
        <v>17.7286</v>
      </c>
    </row>
    <row r="8915" spans="1:2">
      <c r="A8915" s="117">
        <v>42469</v>
      </c>
      <c r="B8915">
        <v>17.893000000000001</v>
      </c>
    </row>
    <row r="8916" spans="1:2">
      <c r="A8916" s="117">
        <v>42470</v>
      </c>
      <c r="B8916">
        <v>17.893000000000001</v>
      </c>
    </row>
    <row r="8917" spans="1:2">
      <c r="A8917" s="117">
        <v>42471</v>
      </c>
      <c r="B8917">
        <v>17.893000000000001</v>
      </c>
    </row>
    <row r="8918" spans="1:2">
      <c r="A8918" s="117">
        <v>42472</v>
      </c>
      <c r="B8918">
        <v>17.739100000000001</v>
      </c>
    </row>
    <row r="8919" spans="1:2">
      <c r="A8919" s="117">
        <v>42473</v>
      </c>
      <c r="B8919">
        <v>17.645199999999999</v>
      </c>
    </row>
    <row r="8920" spans="1:2">
      <c r="A8920" s="117">
        <v>42474</v>
      </c>
      <c r="B8920">
        <v>17.571899999999999</v>
      </c>
    </row>
    <row r="8921" spans="1:2">
      <c r="A8921" s="117">
        <v>42475</v>
      </c>
      <c r="B8921">
        <v>17.489999999999998</v>
      </c>
    </row>
    <row r="8922" spans="1:2">
      <c r="A8922" s="117">
        <v>42476</v>
      </c>
      <c r="B8922">
        <v>17.388000000000002</v>
      </c>
    </row>
    <row r="8923" spans="1:2">
      <c r="A8923" s="117">
        <v>42477</v>
      </c>
      <c r="B8923">
        <v>17.388000000000002</v>
      </c>
    </row>
    <row r="8924" spans="1:2">
      <c r="A8924" s="117">
        <v>42478</v>
      </c>
      <c r="B8924">
        <v>17.388000000000002</v>
      </c>
    </row>
    <row r="8925" spans="1:2">
      <c r="A8925" s="117">
        <v>42479</v>
      </c>
      <c r="B8925">
        <v>17.5669</v>
      </c>
    </row>
    <row r="8926" spans="1:2">
      <c r="A8926" s="117">
        <v>42480</v>
      </c>
      <c r="B8926">
        <v>17.459800000000001</v>
      </c>
    </row>
    <row r="8927" spans="1:2">
      <c r="A8927" s="117">
        <v>42481</v>
      </c>
      <c r="B8927">
        <v>17.282499999999999</v>
      </c>
    </row>
    <row r="8928" spans="1:2">
      <c r="A8928" s="117">
        <v>42482</v>
      </c>
      <c r="B8928">
        <v>17.3078</v>
      </c>
    </row>
    <row r="8929" spans="1:2">
      <c r="A8929" s="117">
        <v>42483</v>
      </c>
      <c r="B8929">
        <v>17.420200000000001</v>
      </c>
    </row>
    <row r="8930" spans="1:2">
      <c r="A8930" s="117">
        <v>42484</v>
      </c>
      <c r="B8930">
        <v>17.420200000000001</v>
      </c>
    </row>
    <row r="8931" spans="1:2">
      <c r="A8931" s="117">
        <v>42485</v>
      </c>
      <c r="B8931">
        <v>17.420200000000001</v>
      </c>
    </row>
    <row r="8932" spans="1:2">
      <c r="A8932" s="117">
        <v>42486</v>
      </c>
      <c r="B8932">
        <v>17.4359</v>
      </c>
    </row>
    <row r="8933" spans="1:2">
      <c r="A8933" s="117">
        <v>42487</v>
      </c>
      <c r="B8933">
        <v>17.586600000000001</v>
      </c>
    </row>
    <row r="8934" spans="1:2">
      <c r="A8934" s="117">
        <v>42488</v>
      </c>
      <c r="B8934">
        <v>17.4298</v>
      </c>
    </row>
    <row r="8935" spans="1:2">
      <c r="A8935" s="117">
        <v>42489</v>
      </c>
      <c r="B8935">
        <v>17.3993</v>
      </c>
    </row>
    <row r="8936" spans="1:2">
      <c r="A8936" s="117">
        <v>42490</v>
      </c>
      <c r="B8936">
        <v>17.212499999999999</v>
      </c>
    </row>
    <row r="8937" spans="1:2">
      <c r="A8937" s="117">
        <v>42491</v>
      </c>
      <c r="B8937">
        <v>17.212499999999999</v>
      </c>
    </row>
    <row r="8938" spans="1:2">
      <c r="A8938" s="117">
        <v>42492</v>
      </c>
      <c r="B8938">
        <v>17.212499999999999</v>
      </c>
    </row>
    <row r="8939" spans="1:2">
      <c r="A8939" s="117">
        <v>42493</v>
      </c>
      <c r="B8939">
        <v>17.1767</v>
      </c>
    </row>
    <row r="8940" spans="1:2">
      <c r="A8940" s="117">
        <v>42494</v>
      </c>
      <c r="B8940">
        <v>17.227900000000002</v>
      </c>
    </row>
    <row r="8941" spans="1:2">
      <c r="A8941" s="117">
        <v>42495</v>
      </c>
      <c r="B8941">
        <v>17.523399999999999</v>
      </c>
    </row>
    <row r="8942" spans="1:2">
      <c r="A8942" s="117">
        <v>42496</v>
      </c>
      <c r="B8942">
        <v>17.735800000000001</v>
      </c>
    </row>
    <row r="8943" spans="1:2">
      <c r="A8943" s="117">
        <v>42497</v>
      </c>
      <c r="B8943">
        <v>17.7866</v>
      </c>
    </row>
    <row r="8944" spans="1:2">
      <c r="A8944" s="117">
        <v>42498</v>
      </c>
      <c r="B8944">
        <v>17.7866</v>
      </c>
    </row>
    <row r="8945" spans="1:2">
      <c r="A8945" s="117">
        <v>42499</v>
      </c>
      <c r="B8945">
        <v>17.7866</v>
      </c>
    </row>
    <row r="8946" spans="1:2">
      <c r="A8946" s="117">
        <v>42500</v>
      </c>
      <c r="B8946">
        <v>17.920400000000001</v>
      </c>
    </row>
    <row r="8947" spans="1:2">
      <c r="A8947" s="117">
        <v>42501</v>
      </c>
      <c r="B8947">
        <v>18.103300000000001</v>
      </c>
    </row>
    <row r="8948" spans="1:2">
      <c r="A8948" s="117">
        <v>42502</v>
      </c>
      <c r="B8948">
        <v>18.020499999999998</v>
      </c>
    </row>
    <row r="8949" spans="1:2">
      <c r="A8949" s="117">
        <v>42503</v>
      </c>
      <c r="B8949">
        <v>17.954899999999999</v>
      </c>
    </row>
    <row r="8950" spans="1:2">
      <c r="A8950" s="117">
        <v>42504</v>
      </c>
      <c r="B8950">
        <v>17.991499999999998</v>
      </c>
    </row>
    <row r="8951" spans="1:2">
      <c r="A8951" s="117">
        <v>42505</v>
      </c>
      <c r="B8951">
        <v>17.991499999999998</v>
      </c>
    </row>
    <row r="8952" spans="1:2">
      <c r="A8952" s="117">
        <v>42506</v>
      </c>
      <c r="B8952">
        <v>17.991499999999998</v>
      </c>
    </row>
    <row r="8953" spans="1:2">
      <c r="A8953" s="117">
        <v>42507</v>
      </c>
      <c r="B8953">
        <v>18.156199999999998</v>
      </c>
    </row>
    <row r="8954" spans="1:2">
      <c r="A8954" s="117">
        <v>42508</v>
      </c>
      <c r="B8954">
        <v>18.179500000000001</v>
      </c>
    </row>
    <row r="8955" spans="1:2">
      <c r="A8955" s="117">
        <v>42509</v>
      </c>
      <c r="B8955">
        <v>18.3217</v>
      </c>
    </row>
    <row r="8956" spans="1:2">
      <c r="A8956" s="117">
        <v>42510</v>
      </c>
      <c r="B8956">
        <v>18.376100000000001</v>
      </c>
    </row>
    <row r="8957" spans="1:2">
      <c r="A8957" s="117">
        <v>42511</v>
      </c>
      <c r="B8957">
        <v>18.546500000000002</v>
      </c>
    </row>
    <row r="8958" spans="1:2">
      <c r="A8958" s="117">
        <v>42512</v>
      </c>
      <c r="B8958">
        <v>18.546500000000002</v>
      </c>
    </row>
    <row r="8959" spans="1:2">
      <c r="A8959" s="117">
        <v>42513</v>
      </c>
      <c r="B8959">
        <v>18.546500000000002</v>
      </c>
    </row>
    <row r="8960" spans="1:2">
      <c r="A8960" s="117">
        <v>42514</v>
      </c>
      <c r="B8960">
        <v>18.3826</v>
      </c>
    </row>
    <row r="8961" spans="1:2">
      <c r="A8961" s="117">
        <v>42515</v>
      </c>
      <c r="B8961">
        <v>18.444400000000002</v>
      </c>
    </row>
    <row r="8962" spans="1:2">
      <c r="A8962" s="117">
        <v>42516</v>
      </c>
      <c r="B8962">
        <v>18.4694</v>
      </c>
    </row>
    <row r="8963" spans="1:2">
      <c r="A8963" s="117">
        <v>42517</v>
      </c>
      <c r="B8963">
        <v>18.452000000000002</v>
      </c>
    </row>
    <row r="8964" spans="1:2">
      <c r="A8964" s="117">
        <v>42518</v>
      </c>
      <c r="B8964">
        <v>18.4572</v>
      </c>
    </row>
    <row r="8965" spans="1:2">
      <c r="A8965" s="117">
        <v>42519</v>
      </c>
      <c r="B8965">
        <v>18.4572</v>
      </c>
    </row>
    <row r="8966" spans="1:2">
      <c r="A8966" s="117">
        <v>42520</v>
      </c>
      <c r="B8966">
        <v>18.4572</v>
      </c>
    </row>
    <row r="8967" spans="1:2">
      <c r="A8967" s="117">
        <v>42521</v>
      </c>
      <c r="B8967">
        <v>18.4527</v>
      </c>
    </row>
    <row r="8968" spans="1:2">
      <c r="A8968" s="117">
        <v>42522</v>
      </c>
      <c r="B8968">
        <v>18.477699999999999</v>
      </c>
    </row>
    <row r="8969" spans="1:2">
      <c r="A8969" s="117">
        <v>42523</v>
      </c>
      <c r="B8969">
        <v>18.411799999999999</v>
      </c>
    </row>
    <row r="8970" spans="1:2">
      <c r="A8970" s="117">
        <v>42524</v>
      </c>
      <c r="B8970">
        <v>18.529900000000001</v>
      </c>
    </row>
    <row r="8971" spans="1:2">
      <c r="A8971" s="117">
        <v>42525</v>
      </c>
      <c r="B8971">
        <v>18.6097</v>
      </c>
    </row>
    <row r="8972" spans="1:2">
      <c r="A8972" s="117">
        <v>42526</v>
      </c>
      <c r="B8972">
        <v>18.6097</v>
      </c>
    </row>
    <row r="8973" spans="1:2">
      <c r="A8973" s="117">
        <v>42527</v>
      </c>
      <c r="B8973">
        <v>18.6097</v>
      </c>
    </row>
    <row r="8974" spans="1:2">
      <c r="A8974" s="117">
        <v>42528</v>
      </c>
      <c r="B8974">
        <v>18.628299999999999</v>
      </c>
    </row>
    <row r="8975" spans="1:2">
      <c r="A8975" s="117">
        <v>42529</v>
      </c>
      <c r="B8975">
        <v>18.588899999999999</v>
      </c>
    </row>
    <row r="8976" spans="1:2">
      <c r="A8976" s="117">
        <v>42530</v>
      </c>
      <c r="B8976">
        <v>18.506699999999999</v>
      </c>
    </row>
    <row r="8977" spans="1:2">
      <c r="A8977" s="117">
        <v>42531</v>
      </c>
      <c r="B8977">
        <v>18.149100000000001</v>
      </c>
    </row>
    <row r="8978" spans="1:2">
      <c r="A8978" s="117">
        <v>42532</v>
      </c>
      <c r="B8978">
        <v>18.2742</v>
      </c>
    </row>
    <row r="8979" spans="1:2">
      <c r="A8979" s="117">
        <v>42533</v>
      </c>
      <c r="B8979">
        <v>18.2742</v>
      </c>
    </row>
    <row r="8980" spans="1:2">
      <c r="A8980" s="117">
        <v>42534</v>
      </c>
      <c r="B8980">
        <v>18.2742</v>
      </c>
    </row>
    <row r="8981" spans="1:2">
      <c r="A8981" s="117">
        <v>42535</v>
      </c>
      <c r="B8981">
        <v>18.5046</v>
      </c>
    </row>
    <row r="8982" spans="1:2">
      <c r="A8982" s="117">
        <v>42536</v>
      </c>
      <c r="B8982">
        <v>18.791499999999999</v>
      </c>
    </row>
    <row r="8983" spans="1:2">
      <c r="A8983" s="117">
        <v>42537</v>
      </c>
      <c r="B8983">
        <v>18.981400000000001</v>
      </c>
    </row>
    <row r="8984" spans="1:2">
      <c r="A8984" s="117">
        <v>42538</v>
      </c>
      <c r="B8984">
        <v>18.8672</v>
      </c>
    </row>
    <row r="8985" spans="1:2">
      <c r="A8985" s="117">
        <v>42539</v>
      </c>
      <c r="B8985">
        <v>18.9968</v>
      </c>
    </row>
    <row r="8986" spans="1:2">
      <c r="A8986" s="117">
        <v>42540</v>
      </c>
      <c r="B8986">
        <v>18.9968</v>
      </c>
    </row>
    <row r="8987" spans="1:2">
      <c r="A8987" s="117">
        <v>42541</v>
      </c>
      <c r="B8987">
        <v>18.9968</v>
      </c>
    </row>
    <row r="8988" spans="1:2">
      <c r="A8988" s="117">
        <v>42542</v>
      </c>
      <c r="B8988">
        <v>18.852699999999999</v>
      </c>
    </row>
    <row r="8989" spans="1:2">
      <c r="A8989" s="117">
        <v>42543</v>
      </c>
      <c r="B8989">
        <v>18.655899999999999</v>
      </c>
    </row>
    <row r="8990" spans="1:2">
      <c r="A8990" s="117">
        <v>42544</v>
      </c>
      <c r="B8990">
        <v>18.644400000000001</v>
      </c>
    </row>
    <row r="8991" spans="1:2">
      <c r="A8991" s="117">
        <v>42545</v>
      </c>
      <c r="B8991">
        <v>18.532499999999999</v>
      </c>
    </row>
    <row r="8992" spans="1:2">
      <c r="A8992" s="117">
        <v>42546</v>
      </c>
      <c r="B8992">
        <v>18.320699999999999</v>
      </c>
    </row>
    <row r="8993" spans="1:2">
      <c r="A8993" s="117">
        <v>42547</v>
      </c>
      <c r="B8993">
        <v>18.320699999999999</v>
      </c>
    </row>
    <row r="8994" spans="1:2">
      <c r="A8994" s="117">
        <v>42548</v>
      </c>
      <c r="B8994">
        <v>18.320699999999999</v>
      </c>
    </row>
    <row r="8995" spans="1:2">
      <c r="A8995" s="117">
        <v>42549</v>
      </c>
      <c r="B8995">
        <v>18.871600000000001</v>
      </c>
    </row>
    <row r="8996" spans="1:2">
      <c r="A8996" s="117">
        <v>42550</v>
      </c>
      <c r="B8996">
        <v>19.128299999999999</v>
      </c>
    </row>
    <row r="8997" spans="1:2">
      <c r="A8997" s="117">
        <v>42551</v>
      </c>
      <c r="B8997">
        <v>18.911300000000001</v>
      </c>
    </row>
    <row r="8998" spans="1:2">
      <c r="A8998" s="117">
        <v>42552</v>
      </c>
      <c r="B8998">
        <v>18.555</v>
      </c>
    </row>
    <row r="8999" spans="1:2">
      <c r="A8999" s="117">
        <v>42553</v>
      </c>
      <c r="B8999">
        <v>18.464600000000001</v>
      </c>
    </row>
    <row r="9000" spans="1:2">
      <c r="A9000" s="117">
        <v>42554</v>
      </c>
      <c r="B9000">
        <v>18.464600000000001</v>
      </c>
    </row>
    <row r="9001" spans="1:2">
      <c r="A9001" s="117">
        <v>42555</v>
      </c>
      <c r="B9001">
        <v>18.464600000000001</v>
      </c>
    </row>
    <row r="9002" spans="1:2">
      <c r="A9002" s="117">
        <v>42556</v>
      </c>
      <c r="B9002">
        <v>18.309000000000001</v>
      </c>
    </row>
    <row r="9003" spans="1:2">
      <c r="A9003" s="117">
        <v>42557</v>
      </c>
      <c r="B9003">
        <v>18.3858</v>
      </c>
    </row>
    <row r="9004" spans="1:2">
      <c r="A9004" s="117">
        <v>42558</v>
      </c>
      <c r="B9004">
        <v>18.753599999999999</v>
      </c>
    </row>
    <row r="9005" spans="1:2">
      <c r="A9005" s="117">
        <v>42559</v>
      </c>
      <c r="B9005">
        <v>18.816099999999999</v>
      </c>
    </row>
    <row r="9006" spans="1:2">
      <c r="A9006" s="117">
        <v>42560</v>
      </c>
      <c r="B9006">
        <v>18.860700000000001</v>
      </c>
    </row>
    <row r="9007" spans="1:2">
      <c r="A9007" s="117">
        <v>42561</v>
      </c>
      <c r="B9007">
        <v>18.860700000000001</v>
      </c>
    </row>
    <row r="9008" spans="1:2">
      <c r="A9008" s="117">
        <v>42562</v>
      </c>
      <c r="B9008">
        <v>18.860700000000001</v>
      </c>
    </row>
    <row r="9009" spans="1:2">
      <c r="A9009" s="117">
        <v>42563</v>
      </c>
      <c r="B9009">
        <v>18.5991</v>
      </c>
    </row>
    <row r="9010" spans="1:2">
      <c r="A9010" s="117">
        <v>42564</v>
      </c>
      <c r="B9010">
        <v>18.459700000000002</v>
      </c>
    </row>
    <row r="9011" spans="1:2">
      <c r="A9011" s="117">
        <v>42565</v>
      </c>
      <c r="B9011">
        <v>18.300599999999999</v>
      </c>
    </row>
    <row r="9012" spans="1:2">
      <c r="A9012" s="117">
        <v>42566</v>
      </c>
      <c r="B9012">
        <v>18.393699999999999</v>
      </c>
    </row>
    <row r="9013" spans="1:2">
      <c r="A9013" s="117">
        <v>42567</v>
      </c>
      <c r="B9013">
        <v>18.306100000000001</v>
      </c>
    </row>
    <row r="9014" spans="1:2">
      <c r="A9014" s="117">
        <v>42568</v>
      </c>
      <c r="B9014">
        <v>18.306100000000001</v>
      </c>
    </row>
    <row r="9015" spans="1:2">
      <c r="A9015" s="117">
        <v>42569</v>
      </c>
      <c r="B9015">
        <v>18.306100000000001</v>
      </c>
    </row>
    <row r="9016" spans="1:2">
      <c r="A9016" s="117">
        <v>42570</v>
      </c>
      <c r="B9016">
        <v>18.492000000000001</v>
      </c>
    </row>
    <row r="9017" spans="1:2">
      <c r="A9017" s="117">
        <v>42571</v>
      </c>
      <c r="B9017">
        <v>18.4879</v>
      </c>
    </row>
    <row r="9018" spans="1:2">
      <c r="A9018" s="117">
        <v>42572</v>
      </c>
      <c r="B9018">
        <v>18.571899999999999</v>
      </c>
    </row>
    <row r="9019" spans="1:2">
      <c r="A9019" s="117">
        <v>42573</v>
      </c>
      <c r="B9019">
        <v>18.572900000000001</v>
      </c>
    </row>
    <row r="9020" spans="1:2">
      <c r="A9020" s="117">
        <v>42574</v>
      </c>
      <c r="B9020">
        <v>18.6022</v>
      </c>
    </row>
    <row r="9021" spans="1:2">
      <c r="A9021" s="117">
        <v>42575</v>
      </c>
      <c r="B9021">
        <v>18.6022</v>
      </c>
    </row>
    <row r="9022" spans="1:2">
      <c r="A9022" s="117">
        <v>42576</v>
      </c>
      <c r="B9022">
        <v>18.6022</v>
      </c>
    </row>
    <row r="9023" spans="1:2">
      <c r="A9023" s="117">
        <v>42577</v>
      </c>
      <c r="B9023">
        <v>18.608899999999998</v>
      </c>
    </row>
    <row r="9024" spans="1:2">
      <c r="A9024" s="117">
        <v>42578</v>
      </c>
      <c r="B9024">
        <v>18.756900000000002</v>
      </c>
    </row>
    <row r="9025" spans="1:2">
      <c r="A9025" s="117">
        <v>42579</v>
      </c>
      <c r="B9025">
        <v>18.811399999999999</v>
      </c>
    </row>
    <row r="9026" spans="1:2">
      <c r="A9026" s="117">
        <v>42580</v>
      </c>
      <c r="B9026">
        <v>18.860199999999999</v>
      </c>
    </row>
    <row r="9027" spans="1:2">
      <c r="A9027" s="117">
        <v>42581</v>
      </c>
      <c r="B9027">
        <v>18.8979</v>
      </c>
    </row>
    <row r="9028" spans="1:2">
      <c r="A9028" s="117">
        <v>42582</v>
      </c>
      <c r="B9028">
        <v>18.8979</v>
      </c>
    </row>
    <row r="9029" spans="1:2">
      <c r="A9029" s="117">
        <v>42583</v>
      </c>
      <c r="B9029">
        <v>18.8979</v>
      </c>
    </row>
    <row r="9030" spans="1:2">
      <c r="A9030" s="117">
        <v>42584</v>
      </c>
      <c r="B9030">
        <v>18.7837</v>
      </c>
    </row>
    <row r="9031" spans="1:2">
      <c r="A9031" s="117">
        <v>42585</v>
      </c>
      <c r="B9031">
        <v>18.8504</v>
      </c>
    </row>
    <row r="9032" spans="1:2">
      <c r="A9032" s="117">
        <v>42586</v>
      </c>
      <c r="B9032">
        <v>18.896599999999999</v>
      </c>
    </row>
    <row r="9033" spans="1:2">
      <c r="A9033" s="117">
        <v>42587</v>
      </c>
      <c r="B9033">
        <v>18.9117</v>
      </c>
    </row>
    <row r="9034" spans="1:2">
      <c r="A9034" s="117">
        <v>42588</v>
      </c>
      <c r="B9034">
        <v>18.8612</v>
      </c>
    </row>
    <row r="9035" spans="1:2">
      <c r="A9035" s="117">
        <v>42589</v>
      </c>
      <c r="B9035">
        <v>18.8612</v>
      </c>
    </row>
    <row r="9036" spans="1:2">
      <c r="A9036" s="117">
        <v>42590</v>
      </c>
      <c r="B9036">
        <v>18.8612</v>
      </c>
    </row>
    <row r="9037" spans="1:2">
      <c r="A9037" s="117">
        <v>42591</v>
      </c>
      <c r="B9037">
        <v>18.8691</v>
      </c>
    </row>
    <row r="9038" spans="1:2">
      <c r="A9038" s="117">
        <v>42592</v>
      </c>
      <c r="B9038">
        <v>18.5716</v>
      </c>
    </row>
    <row r="9039" spans="1:2">
      <c r="A9039" s="117">
        <v>42593</v>
      </c>
      <c r="B9039">
        <v>18.3842</v>
      </c>
    </row>
    <row r="9040" spans="1:2">
      <c r="A9040" s="117">
        <v>42594</v>
      </c>
      <c r="B9040">
        <v>18.347899999999999</v>
      </c>
    </row>
    <row r="9041" spans="1:2">
      <c r="A9041" s="117">
        <v>42595</v>
      </c>
      <c r="B9041">
        <v>18.267800000000001</v>
      </c>
    </row>
    <row r="9042" spans="1:2">
      <c r="A9042" s="117">
        <v>42596</v>
      </c>
      <c r="B9042">
        <v>18.267800000000001</v>
      </c>
    </row>
    <row r="9043" spans="1:2">
      <c r="A9043" s="117">
        <v>42597</v>
      </c>
      <c r="B9043">
        <v>18.267800000000001</v>
      </c>
    </row>
    <row r="9044" spans="1:2">
      <c r="A9044" s="117">
        <v>42598</v>
      </c>
      <c r="B9044">
        <v>18.2455</v>
      </c>
    </row>
    <row r="9045" spans="1:2">
      <c r="A9045" s="117">
        <v>42599</v>
      </c>
      <c r="B9045">
        <v>18.036300000000001</v>
      </c>
    </row>
    <row r="9046" spans="1:2">
      <c r="A9046" s="117">
        <v>42600</v>
      </c>
      <c r="B9046">
        <v>17.986899999999999</v>
      </c>
    </row>
    <row r="9047" spans="1:2">
      <c r="A9047" s="117">
        <v>42601</v>
      </c>
      <c r="B9047">
        <v>18.259799999999998</v>
      </c>
    </row>
    <row r="9048" spans="1:2">
      <c r="A9048" s="117">
        <v>42602</v>
      </c>
      <c r="B9048">
        <v>18.083200000000001</v>
      </c>
    </row>
    <row r="9049" spans="1:2">
      <c r="A9049" s="117">
        <v>42603</v>
      </c>
      <c r="B9049">
        <v>18.083200000000001</v>
      </c>
    </row>
    <row r="9050" spans="1:2">
      <c r="A9050" s="117">
        <v>42604</v>
      </c>
      <c r="B9050">
        <v>18.083200000000001</v>
      </c>
    </row>
    <row r="9051" spans="1:2">
      <c r="A9051" s="117">
        <v>42605</v>
      </c>
      <c r="B9051">
        <v>18.267399999999999</v>
      </c>
    </row>
    <row r="9052" spans="1:2">
      <c r="A9052" s="117">
        <v>42606</v>
      </c>
      <c r="B9052">
        <v>18.302299999999999</v>
      </c>
    </row>
    <row r="9053" spans="1:2">
      <c r="A9053" s="117">
        <v>42607</v>
      </c>
      <c r="B9053">
        <v>18.3202</v>
      </c>
    </row>
    <row r="9054" spans="1:2">
      <c r="A9054" s="117">
        <v>42608</v>
      </c>
      <c r="B9054">
        <v>18.4971</v>
      </c>
    </row>
    <row r="9055" spans="1:2">
      <c r="A9055" s="117">
        <v>42609</v>
      </c>
      <c r="B9055">
        <v>18.446000000000002</v>
      </c>
    </row>
    <row r="9056" spans="1:2">
      <c r="A9056" s="117">
        <v>42610</v>
      </c>
      <c r="B9056">
        <v>18.446000000000002</v>
      </c>
    </row>
    <row r="9057" spans="1:2">
      <c r="A9057" s="117">
        <v>42611</v>
      </c>
      <c r="B9057">
        <v>18.446000000000002</v>
      </c>
    </row>
    <row r="9058" spans="1:2">
      <c r="A9058" s="117">
        <v>42612</v>
      </c>
      <c r="B9058">
        <v>18.283000000000001</v>
      </c>
    </row>
    <row r="9059" spans="1:2">
      <c r="A9059" s="117">
        <v>42613</v>
      </c>
      <c r="B9059">
        <v>18.577300000000001</v>
      </c>
    </row>
    <row r="9060" spans="1:2">
      <c r="A9060" s="117">
        <v>42614</v>
      </c>
      <c r="B9060">
        <v>18.795300000000001</v>
      </c>
    </row>
    <row r="9061" spans="1:2">
      <c r="A9061" s="117">
        <v>42615</v>
      </c>
      <c r="B9061">
        <v>18.8611</v>
      </c>
    </row>
    <row r="9062" spans="1:2">
      <c r="A9062" s="117">
        <v>42616</v>
      </c>
      <c r="B9062">
        <v>18.8523</v>
      </c>
    </row>
    <row r="9063" spans="1:2">
      <c r="A9063" s="117">
        <v>42617</v>
      </c>
      <c r="B9063">
        <v>18.8523</v>
      </c>
    </row>
    <row r="9064" spans="1:2">
      <c r="A9064" s="117">
        <v>42618</v>
      </c>
      <c r="B9064">
        <v>18.8523</v>
      </c>
    </row>
    <row r="9065" spans="1:2">
      <c r="A9065" s="117">
        <v>42619</v>
      </c>
      <c r="B9065">
        <v>18.658899999999999</v>
      </c>
    </row>
    <row r="9066" spans="1:2">
      <c r="A9066" s="117">
        <v>42620</v>
      </c>
      <c r="B9066">
        <v>18.5581</v>
      </c>
    </row>
    <row r="9067" spans="1:2">
      <c r="A9067" s="117">
        <v>42621</v>
      </c>
      <c r="B9067">
        <v>18.352399999999999</v>
      </c>
    </row>
    <row r="9068" spans="1:2">
      <c r="A9068" s="117">
        <v>42622</v>
      </c>
      <c r="B9068">
        <v>18.3689</v>
      </c>
    </row>
    <row r="9069" spans="1:2">
      <c r="A9069" s="117">
        <v>42623</v>
      </c>
      <c r="B9069">
        <v>18.5427</v>
      </c>
    </row>
    <row r="9070" spans="1:2">
      <c r="A9070" s="117">
        <v>42624</v>
      </c>
      <c r="B9070">
        <v>18.5427</v>
      </c>
    </row>
    <row r="9071" spans="1:2">
      <c r="A9071" s="117">
        <v>42625</v>
      </c>
      <c r="B9071">
        <v>18.5427</v>
      </c>
    </row>
    <row r="9072" spans="1:2">
      <c r="A9072" s="117">
        <v>42626</v>
      </c>
      <c r="B9072">
        <v>18.845099999999999</v>
      </c>
    </row>
    <row r="9073" spans="1:2">
      <c r="A9073" s="117">
        <v>42627</v>
      </c>
      <c r="B9073">
        <v>19.064599999999999</v>
      </c>
    </row>
    <row r="9074" spans="1:2">
      <c r="A9074" s="117">
        <v>42628</v>
      </c>
      <c r="B9074">
        <v>19.152000000000001</v>
      </c>
    </row>
    <row r="9075" spans="1:2">
      <c r="A9075" s="117">
        <v>42629</v>
      </c>
      <c r="B9075">
        <v>19.227499999999999</v>
      </c>
    </row>
    <row r="9076" spans="1:2">
      <c r="A9076" s="117">
        <v>42630</v>
      </c>
      <c r="B9076">
        <v>19.227499999999999</v>
      </c>
    </row>
    <row r="9077" spans="1:2">
      <c r="A9077" s="117">
        <v>42631</v>
      </c>
      <c r="B9077">
        <v>19.227499999999999</v>
      </c>
    </row>
    <row r="9078" spans="1:2">
      <c r="A9078" s="117">
        <v>42632</v>
      </c>
      <c r="B9078">
        <v>19.227499999999999</v>
      </c>
    </row>
    <row r="9079" spans="1:2">
      <c r="A9079" s="117">
        <v>42633</v>
      </c>
      <c r="B9079">
        <v>19.2514</v>
      </c>
    </row>
    <row r="9080" spans="1:2">
      <c r="A9080" s="117">
        <v>42634</v>
      </c>
      <c r="B9080">
        <v>19.6097</v>
      </c>
    </row>
    <row r="9081" spans="1:2">
      <c r="A9081" s="117">
        <v>42635</v>
      </c>
      <c r="B9081">
        <v>19.777000000000001</v>
      </c>
    </row>
    <row r="9082" spans="1:2">
      <c r="A9082" s="117">
        <v>42636</v>
      </c>
      <c r="B9082">
        <v>19.839400000000001</v>
      </c>
    </row>
    <row r="9083" spans="1:2">
      <c r="A9083" s="117">
        <v>42637</v>
      </c>
      <c r="B9083">
        <v>19.596499999999999</v>
      </c>
    </row>
    <row r="9084" spans="1:2">
      <c r="A9084" s="117">
        <v>42638</v>
      </c>
      <c r="B9084">
        <v>19.596499999999999</v>
      </c>
    </row>
    <row r="9085" spans="1:2">
      <c r="A9085" s="117">
        <v>42639</v>
      </c>
      <c r="B9085">
        <v>19.596499999999999</v>
      </c>
    </row>
    <row r="9086" spans="1:2">
      <c r="A9086" s="117">
        <v>42640</v>
      </c>
      <c r="B9086">
        <v>19.7211</v>
      </c>
    </row>
    <row r="9087" spans="1:2">
      <c r="A9087" s="117">
        <v>42641</v>
      </c>
      <c r="B9087">
        <v>19.8322</v>
      </c>
    </row>
    <row r="9088" spans="1:2">
      <c r="A9088" s="117">
        <v>42642</v>
      </c>
      <c r="B9088">
        <v>19.5044</v>
      </c>
    </row>
    <row r="9089" spans="1:2">
      <c r="A9089" s="117">
        <v>42643</v>
      </c>
      <c r="B9089">
        <v>19.5002</v>
      </c>
    </row>
    <row r="9090" spans="1:2">
      <c r="A9090" s="117">
        <v>42644</v>
      </c>
      <c r="B9090">
        <v>19.4086</v>
      </c>
    </row>
    <row r="9091" spans="1:2">
      <c r="A9091" s="117">
        <v>42645</v>
      </c>
      <c r="B9091">
        <v>19.4086</v>
      </c>
    </row>
    <row r="9092" spans="1:2">
      <c r="A9092" s="117">
        <v>42646</v>
      </c>
      <c r="B9092">
        <v>19.4086</v>
      </c>
    </row>
    <row r="9093" spans="1:2">
      <c r="A9093" s="117">
        <v>42647</v>
      </c>
      <c r="B9093">
        <v>19.377600000000001</v>
      </c>
    </row>
    <row r="9094" spans="1:2">
      <c r="A9094" s="117">
        <v>42648</v>
      </c>
      <c r="B9094">
        <v>19.321100000000001</v>
      </c>
    </row>
    <row r="9095" spans="1:2">
      <c r="A9095" s="117">
        <v>42649</v>
      </c>
      <c r="B9095">
        <v>19.213799999999999</v>
      </c>
    </row>
    <row r="9096" spans="1:2">
      <c r="A9096" s="117">
        <v>42650</v>
      </c>
      <c r="B9096">
        <v>19.255400000000002</v>
      </c>
    </row>
    <row r="9097" spans="1:2">
      <c r="A9097" s="117">
        <v>42651</v>
      </c>
      <c r="B9097">
        <v>19.243300000000001</v>
      </c>
    </row>
    <row r="9098" spans="1:2">
      <c r="A9098" s="117">
        <v>42652</v>
      </c>
      <c r="B9098">
        <v>19.243300000000001</v>
      </c>
    </row>
    <row r="9099" spans="1:2">
      <c r="A9099" s="117">
        <v>42653</v>
      </c>
      <c r="B9099">
        <v>19.243300000000001</v>
      </c>
    </row>
    <row r="9100" spans="1:2">
      <c r="A9100" s="117">
        <v>42654</v>
      </c>
      <c r="B9100">
        <v>19.299399999999999</v>
      </c>
    </row>
    <row r="9101" spans="1:2">
      <c r="A9101" s="117">
        <v>42655</v>
      </c>
      <c r="B9101">
        <v>18.878599999999999</v>
      </c>
    </row>
    <row r="9102" spans="1:2">
      <c r="A9102" s="117">
        <v>42656</v>
      </c>
      <c r="B9102">
        <v>18.953099999999999</v>
      </c>
    </row>
    <row r="9103" spans="1:2">
      <c r="A9103" s="117">
        <v>42657</v>
      </c>
      <c r="B9103">
        <v>18.962199999999999</v>
      </c>
    </row>
    <row r="9104" spans="1:2">
      <c r="A9104" s="117">
        <v>42658</v>
      </c>
      <c r="B9104">
        <v>19.039899999999999</v>
      </c>
    </row>
    <row r="9105" spans="1:2">
      <c r="A9105" s="117">
        <v>42659</v>
      </c>
      <c r="B9105">
        <v>19.039899999999999</v>
      </c>
    </row>
    <row r="9106" spans="1:2">
      <c r="A9106" s="117">
        <v>42660</v>
      </c>
      <c r="B9106">
        <v>19.039899999999999</v>
      </c>
    </row>
    <row r="9107" spans="1:2">
      <c r="A9107" s="117">
        <v>42661</v>
      </c>
      <c r="B9107">
        <v>19.0046</v>
      </c>
    </row>
    <row r="9108" spans="1:2">
      <c r="A9108" s="117">
        <v>42662</v>
      </c>
      <c r="B9108">
        <v>18.872299999999999</v>
      </c>
    </row>
    <row r="9109" spans="1:2">
      <c r="A9109" s="117">
        <v>42663</v>
      </c>
      <c r="B9109">
        <v>18.672599999999999</v>
      </c>
    </row>
    <row r="9110" spans="1:2">
      <c r="A9110" s="117">
        <v>42664</v>
      </c>
      <c r="B9110">
        <v>18.589400000000001</v>
      </c>
    </row>
    <row r="9111" spans="1:2">
      <c r="A9111" s="117">
        <v>42665</v>
      </c>
      <c r="B9111">
        <v>18.5945</v>
      </c>
    </row>
    <row r="9112" spans="1:2">
      <c r="A9112" s="117">
        <v>42666</v>
      </c>
      <c r="B9112">
        <v>18.5945</v>
      </c>
    </row>
    <row r="9113" spans="1:2">
      <c r="A9113" s="117">
        <v>42667</v>
      </c>
      <c r="B9113">
        <v>18.5945</v>
      </c>
    </row>
    <row r="9114" spans="1:2">
      <c r="A9114" s="117">
        <v>42668</v>
      </c>
      <c r="B9114">
        <v>18.648099999999999</v>
      </c>
    </row>
    <row r="9115" spans="1:2">
      <c r="A9115" s="117">
        <v>42669</v>
      </c>
      <c r="B9115">
        <v>18.565799999999999</v>
      </c>
    </row>
    <row r="9116" spans="1:2">
      <c r="A9116" s="117">
        <v>42670</v>
      </c>
      <c r="B9116">
        <v>18.514700000000001</v>
      </c>
    </row>
    <row r="9117" spans="1:2">
      <c r="A9117" s="117">
        <v>42671</v>
      </c>
      <c r="B9117">
        <v>18.648499999999999</v>
      </c>
    </row>
    <row r="9118" spans="1:2">
      <c r="A9118" s="117">
        <v>42672</v>
      </c>
      <c r="B9118">
        <v>18.8443</v>
      </c>
    </row>
    <row r="9119" spans="1:2">
      <c r="A9119" s="117">
        <v>42673</v>
      </c>
      <c r="B9119">
        <v>18.8443</v>
      </c>
    </row>
    <row r="9120" spans="1:2">
      <c r="A9120" s="117">
        <v>42674</v>
      </c>
      <c r="B9120">
        <v>18.8443</v>
      </c>
    </row>
    <row r="9121" spans="1:2">
      <c r="A9121" s="117">
        <v>42675</v>
      </c>
      <c r="B9121">
        <v>18.730399999999999</v>
      </c>
    </row>
    <row r="9122" spans="1:2">
      <c r="A9122" s="117">
        <v>42676</v>
      </c>
      <c r="B9122">
        <v>18.8887</v>
      </c>
    </row>
    <row r="9123" spans="1:2">
      <c r="A9123" s="117">
        <v>42677</v>
      </c>
      <c r="B9123">
        <v>18.8887</v>
      </c>
    </row>
    <row r="9124" spans="1:2">
      <c r="A9124" s="117">
        <v>42678</v>
      </c>
      <c r="B9124">
        <v>19.130600000000001</v>
      </c>
    </row>
    <row r="9125" spans="1:2">
      <c r="A9125" s="117">
        <v>42679</v>
      </c>
      <c r="B9125">
        <v>19.2014</v>
      </c>
    </row>
    <row r="9126" spans="1:2">
      <c r="A9126" s="117">
        <v>42680</v>
      </c>
      <c r="B9126">
        <v>19.2014</v>
      </c>
    </row>
    <row r="9127" spans="1:2">
      <c r="A9127" s="117">
        <v>42681</v>
      </c>
      <c r="B9127">
        <v>19.2014</v>
      </c>
    </row>
    <row r="9128" spans="1:2">
      <c r="A9128" s="117">
        <v>42682</v>
      </c>
      <c r="B9128">
        <v>19.0792</v>
      </c>
    </row>
    <row r="9129" spans="1:2">
      <c r="A9129" s="117">
        <v>42683</v>
      </c>
      <c r="B9129">
        <v>18.619199999999999</v>
      </c>
    </row>
    <row r="9130" spans="1:2">
      <c r="A9130" s="117">
        <v>42684</v>
      </c>
      <c r="B9130">
        <v>18.508900000000001</v>
      </c>
    </row>
    <row r="9131" spans="1:2">
      <c r="A9131" s="117">
        <v>42685</v>
      </c>
      <c r="B9131">
        <v>19.925000000000001</v>
      </c>
    </row>
    <row r="9132" spans="1:2">
      <c r="A9132" s="117">
        <v>42686</v>
      </c>
      <c r="B9132">
        <v>20.481200000000001</v>
      </c>
    </row>
    <row r="9133" spans="1:2">
      <c r="A9133" s="117">
        <v>42687</v>
      </c>
      <c r="B9133">
        <v>20.481200000000001</v>
      </c>
    </row>
    <row r="9134" spans="1:2">
      <c r="A9134" s="117">
        <v>42688</v>
      </c>
      <c r="B9134">
        <v>20.481200000000001</v>
      </c>
    </row>
    <row r="9135" spans="1:2">
      <c r="A9135" s="117">
        <v>42689</v>
      </c>
      <c r="B9135">
        <v>21.051100000000002</v>
      </c>
    </row>
    <row r="9136" spans="1:2">
      <c r="A9136" s="117">
        <v>42690</v>
      </c>
      <c r="B9136">
        <v>20.872900000000001</v>
      </c>
    </row>
    <row r="9137" spans="1:2">
      <c r="A9137" s="117">
        <v>42691</v>
      </c>
      <c r="B9137">
        <v>20.349</v>
      </c>
    </row>
    <row r="9138" spans="1:2">
      <c r="A9138" s="117">
        <v>42692</v>
      </c>
      <c r="B9138">
        <v>20.288399999999999</v>
      </c>
    </row>
    <row r="9139" spans="1:2">
      <c r="A9139" s="117">
        <v>42693</v>
      </c>
      <c r="B9139">
        <v>20.189800000000002</v>
      </c>
    </row>
    <row r="9140" spans="1:2">
      <c r="A9140" s="117">
        <v>42694</v>
      </c>
      <c r="B9140">
        <v>20.189800000000002</v>
      </c>
    </row>
    <row r="9141" spans="1:2">
      <c r="A9141" s="117">
        <v>42695</v>
      </c>
      <c r="B9141">
        <v>20.189800000000002</v>
      </c>
    </row>
    <row r="9142" spans="1:2">
      <c r="A9142" s="117">
        <v>42696</v>
      </c>
      <c r="B9142">
        <v>20.189800000000002</v>
      </c>
    </row>
    <row r="9143" spans="1:2">
      <c r="A9143" s="117">
        <v>42697</v>
      </c>
      <c r="B9143">
        <v>20.4193</v>
      </c>
    </row>
    <row r="9144" spans="1:2">
      <c r="A9144" s="117">
        <v>42698</v>
      </c>
      <c r="B9144">
        <v>20.520499999999998</v>
      </c>
    </row>
    <row r="9145" spans="1:2">
      <c r="A9145" s="117">
        <v>42699</v>
      </c>
      <c r="B9145">
        <v>20.690100000000001</v>
      </c>
    </row>
    <row r="9146" spans="1:2">
      <c r="A9146" s="117">
        <v>42700</v>
      </c>
      <c r="B9146">
        <v>20.705100000000002</v>
      </c>
    </row>
    <row r="9147" spans="1:2">
      <c r="A9147" s="117">
        <v>42701</v>
      </c>
      <c r="B9147">
        <v>20.705100000000002</v>
      </c>
    </row>
    <row r="9148" spans="1:2">
      <c r="A9148" s="117">
        <v>42702</v>
      </c>
      <c r="B9148">
        <v>20.705100000000002</v>
      </c>
    </row>
    <row r="9149" spans="1:2">
      <c r="A9149" s="117">
        <v>42703</v>
      </c>
      <c r="B9149">
        <v>20.647500000000001</v>
      </c>
    </row>
    <row r="9150" spans="1:2">
      <c r="A9150" s="117">
        <v>42704</v>
      </c>
      <c r="B9150">
        <v>20.552099999999999</v>
      </c>
    </row>
    <row r="9151" spans="1:2">
      <c r="A9151" s="117">
        <v>42705</v>
      </c>
      <c r="B9151">
        <v>20.622499999999999</v>
      </c>
    </row>
    <row r="9152" spans="1:2">
      <c r="A9152" s="117">
        <v>42706</v>
      </c>
      <c r="B9152">
        <v>20.515499999999999</v>
      </c>
    </row>
    <row r="9153" spans="1:2">
      <c r="A9153" s="117">
        <v>42707</v>
      </c>
      <c r="B9153">
        <v>20.748799999999999</v>
      </c>
    </row>
    <row r="9154" spans="1:2">
      <c r="A9154" s="117">
        <v>42708</v>
      </c>
      <c r="B9154">
        <v>20.748799999999999</v>
      </c>
    </row>
    <row r="9155" spans="1:2">
      <c r="A9155" s="117">
        <v>42709</v>
      </c>
      <c r="B9155">
        <v>20.748799999999999</v>
      </c>
    </row>
    <row r="9156" spans="1:2">
      <c r="A9156" s="117">
        <v>42710</v>
      </c>
      <c r="B9156">
        <v>20.614899999999999</v>
      </c>
    </row>
    <row r="9157" spans="1:2">
      <c r="A9157" s="117">
        <v>42711</v>
      </c>
      <c r="B9157">
        <v>20.592700000000001</v>
      </c>
    </row>
    <row r="9158" spans="1:2">
      <c r="A9158" s="117">
        <v>42712</v>
      </c>
      <c r="B9158">
        <v>20.386299999999999</v>
      </c>
    </row>
    <row r="9159" spans="1:2">
      <c r="A9159" s="117">
        <v>42713</v>
      </c>
      <c r="B9159">
        <v>20.296700000000001</v>
      </c>
    </row>
    <row r="9160" spans="1:2">
      <c r="A9160" s="117">
        <v>42714</v>
      </c>
      <c r="B9160">
        <v>20.4162</v>
      </c>
    </row>
    <row r="9161" spans="1:2">
      <c r="A9161" s="117">
        <v>42715</v>
      </c>
      <c r="B9161">
        <v>20.4162</v>
      </c>
    </row>
    <row r="9162" spans="1:2">
      <c r="A9162" s="117">
        <v>42716</v>
      </c>
      <c r="B9162">
        <v>20.4162</v>
      </c>
    </row>
    <row r="9163" spans="1:2">
      <c r="A9163" s="117">
        <v>42717</v>
      </c>
      <c r="B9163">
        <v>20.4162</v>
      </c>
    </row>
    <row r="9164" spans="1:2">
      <c r="A9164" s="117">
        <v>42718</v>
      </c>
      <c r="B9164">
        <v>20.330500000000001</v>
      </c>
    </row>
    <row r="9165" spans="1:2">
      <c r="A9165" s="117">
        <v>42719</v>
      </c>
      <c r="B9165">
        <v>20.256699999999999</v>
      </c>
    </row>
    <row r="9166" spans="1:2">
      <c r="A9166" s="117">
        <v>42720</v>
      </c>
      <c r="B9166">
        <v>20.2226</v>
      </c>
    </row>
    <row r="9167" spans="1:2">
      <c r="A9167" s="117">
        <v>42721</v>
      </c>
      <c r="B9167">
        <v>20.597300000000001</v>
      </c>
    </row>
    <row r="9168" spans="1:2">
      <c r="A9168" s="117">
        <v>42722</v>
      </c>
      <c r="B9168">
        <v>20.597300000000001</v>
      </c>
    </row>
    <row r="9169" spans="1:2">
      <c r="A9169" s="117">
        <v>42723</v>
      </c>
      <c r="B9169">
        <v>20.597300000000001</v>
      </c>
    </row>
    <row r="9170" spans="1:2">
      <c r="A9170" s="117">
        <v>42724</v>
      </c>
      <c r="B9170">
        <v>20.428000000000001</v>
      </c>
    </row>
    <row r="9171" spans="1:2">
      <c r="A9171" s="117">
        <v>42725</v>
      </c>
      <c r="B9171">
        <v>20.409800000000001</v>
      </c>
    </row>
    <row r="9172" spans="1:2">
      <c r="A9172" s="117">
        <v>42726</v>
      </c>
      <c r="B9172">
        <v>20.43</v>
      </c>
    </row>
    <row r="9173" spans="1:2">
      <c r="A9173" s="117">
        <v>42727</v>
      </c>
      <c r="B9173">
        <v>20.492100000000001</v>
      </c>
    </row>
    <row r="9174" spans="1:2">
      <c r="A9174" s="117">
        <v>42728</v>
      </c>
      <c r="B9174">
        <v>20.7179</v>
      </c>
    </row>
    <row r="9175" spans="1:2">
      <c r="A9175" s="117">
        <v>42729</v>
      </c>
      <c r="B9175">
        <v>20.7179</v>
      </c>
    </row>
    <row r="9176" spans="1:2">
      <c r="A9176" s="117">
        <v>42730</v>
      </c>
      <c r="B9176">
        <v>20.7179</v>
      </c>
    </row>
    <row r="9177" spans="1:2">
      <c r="A9177" s="117">
        <v>42731</v>
      </c>
      <c r="B9177">
        <v>20.627099999999999</v>
      </c>
    </row>
    <row r="9178" spans="1:2">
      <c r="A9178" s="117">
        <v>42732</v>
      </c>
      <c r="B9178">
        <v>20.644500000000001</v>
      </c>
    </row>
    <row r="9179" spans="1:2">
      <c r="A9179" s="117">
        <v>42733</v>
      </c>
      <c r="B9179">
        <v>20.705200000000001</v>
      </c>
    </row>
    <row r="9180" spans="1:2">
      <c r="A9180" s="117">
        <v>42734</v>
      </c>
      <c r="B9180">
        <v>20.731400000000001</v>
      </c>
    </row>
    <row r="9181" spans="1:2">
      <c r="A9181" s="117">
        <v>42735</v>
      </c>
      <c r="B9181">
        <v>20.664000000000001</v>
      </c>
    </row>
    <row r="9182" spans="1:2">
      <c r="A9182" s="117">
        <v>42736</v>
      </c>
      <c r="B9182">
        <v>20.664000000000001</v>
      </c>
    </row>
    <row r="9183" spans="1:2">
      <c r="A9183" s="117">
        <v>42737</v>
      </c>
      <c r="B9183">
        <v>20.664000000000001</v>
      </c>
    </row>
    <row r="9184" spans="1:2">
      <c r="A9184" s="117">
        <v>42738</v>
      </c>
      <c r="B9184">
        <v>20.619399999999999</v>
      </c>
    </row>
    <row r="9185" spans="1:2">
      <c r="A9185" s="117">
        <v>42739</v>
      </c>
      <c r="B9185">
        <v>20.732299999999999</v>
      </c>
    </row>
    <row r="9186" spans="1:2">
      <c r="A9186" s="117">
        <v>42740</v>
      </c>
      <c r="B9186">
        <v>20.852</v>
      </c>
    </row>
    <row r="9187" spans="1:2">
      <c r="A9187" s="117">
        <v>42741</v>
      </c>
      <c r="B9187">
        <v>21.379899999999999</v>
      </c>
    </row>
    <row r="9188" spans="1:2">
      <c r="A9188" s="117">
        <v>42742</v>
      </c>
      <c r="B9188">
        <v>21.366099999999999</v>
      </c>
    </row>
    <row r="9189" spans="1:2">
      <c r="A9189" s="117">
        <v>42743</v>
      </c>
      <c r="B9189">
        <v>21.366099999999999</v>
      </c>
    </row>
    <row r="9190" spans="1:2">
      <c r="A9190" s="117">
        <v>42744</v>
      </c>
      <c r="B9190">
        <v>21.366099999999999</v>
      </c>
    </row>
    <row r="9191" spans="1:2">
      <c r="A9191" s="117">
        <v>42745</v>
      </c>
      <c r="B9191">
        <v>21.314399999999999</v>
      </c>
    </row>
    <row r="9192" spans="1:2">
      <c r="A9192" s="117">
        <v>42746</v>
      </c>
      <c r="B9192">
        <v>21.321899999999999</v>
      </c>
    </row>
    <row r="9193" spans="1:2">
      <c r="A9193" s="117">
        <v>42747</v>
      </c>
      <c r="B9193">
        <v>21.616800000000001</v>
      </c>
    </row>
    <row r="9194" spans="1:2">
      <c r="A9194" s="117">
        <v>42748</v>
      </c>
      <c r="B9194">
        <v>21.907599999999999</v>
      </c>
    </row>
    <row r="9195" spans="1:2">
      <c r="A9195" s="117">
        <v>42749</v>
      </c>
      <c r="B9195">
        <v>21.720400000000001</v>
      </c>
    </row>
    <row r="9196" spans="1:2">
      <c r="A9196" s="117">
        <v>42750</v>
      </c>
      <c r="B9196">
        <v>21.720400000000001</v>
      </c>
    </row>
    <row r="9197" spans="1:2">
      <c r="A9197" s="117">
        <v>42751</v>
      </c>
      <c r="B9197">
        <v>21.720400000000001</v>
      </c>
    </row>
    <row r="9198" spans="1:2">
      <c r="A9198" s="117">
        <v>42752</v>
      </c>
      <c r="B9198">
        <v>21.632999999999999</v>
      </c>
    </row>
    <row r="9199" spans="1:2">
      <c r="A9199" s="117">
        <v>42753</v>
      </c>
      <c r="B9199">
        <v>21.664300000000001</v>
      </c>
    </row>
    <row r="9200" spans="1:2">
      <c r="A9200" s="117">
        <v>42754</v>
      </c>
      <c r="B9200">
        <v>21.573799999999999</v>
      </c>
    </row>
    <row r="9201" spans="1:2">
      <c r="A9201" s="117">
        <v>42755</v>
      </c>
      <c r="B9201">
        <v>21.851400000000002</v>
      </c>
    </row>
    <row r="9202" spans="1:2">
      <c r="A9202" s="117">
        <v>42756</v>
      </c>
      <c r="B9202">
        <v>21.904399999999999</v>
      </c>
    </row>
    <row r="9203" spans="1:2">
      <c r="A9203" s="117">
        <v>42757</v>
      </c>
      <c r="B9203">
        <v>21.904399999999999</v>
      </c>
    </row>
    <row r="9204" spans="1:2">
      <c r="A9204" s="117">
        <v>42758</v>
      </c>
      <c r="B9204">
        <v>21.904399999999999</v>
      </c>
    </row>
    <row r="9205" spans="1:2">
      <c r="A9205" s="117">
        <v>42759</v>
      </c>
      <c r="B9205">
        <v>21.700199999999999</v>
      </c>
    </row>
    <row r="9206" spans="1:2">
      <c r="A9206" s="117">
        <v>42760</v>
      </c>
      <c r="B9206">
        <v>21.4512</v>
      </c>
    </row>
    <row r="9207" spans="1:2">
      <c r="A9207" s="117">
        <v>42761</v>
      </c>
      <c r="B9207">
        <v>21.369199999999999</v>
      </c>
    </row>
    <row r="9208" spans="1:2">
      <c r="A9208" s="117">
        <v>42762</v>
      </c>
      <c r="B9208">
        <v>21.343900000000001</v>
      </c>
    </row>
    <row r="9209" spans="1:2">
      <c r="A9209" s="117">
        <v>42763</v>
      </c>
      <c r="B9209">
        <v>21.202400000000001</v>
      </c>
    </row>
    <row r="9210" spans="1:2">
      <c r="A9210" s="117">
        <v>42764</v>
      </c>
      <c r="B9210">
        <v>21.202400000000001</v>
      </c>
    </row>
    <row r="9211" spans="1:2">
      <c r="A9211" s="117">
        <v>42765</v>
      </c>
      <c r="B9211">
        <v>21.202400000000001</v>
      </c>
    </row>
    <row r="9212" spans="1:2">
      <c r="A9212" s="117">
        <v>42766</v>
      </c>
      <c r="B9212">
        <v>21.0212</v>
      </c>
    </row>
    <row r="9213" spans="1:2">
      <c r="A9213" s="117">
        <v>42767</v>
      </c>
      <c r="B9213">
        <v>20.758800000000001</v>
      </c>
    </row>
    <row r="9214" spans="1:2">
      <c r="A9214" s="117">
        <v>42768</v>
      </c>
      <c r="B9214">
        <v>20.790800000000001</v>
      </c>
    </row>
    <row r="9215" spans="1:2">
      <c r="A9215" s="117">
        <v>42769</v>
      </c>
      <c r="B9215">
        <v>20.775200000000002</v>
      </c>
    </row>
    <row r="9216" spans="1:2">
      <c r="A9216" s="117">
        <v>42770</v>
      </c>
      <c r="B9216">
        <v>20.575700000000001</v>
      </c>
    </row>
    <row r="9217" spans="1:2">
      <c r="A9217" s="117">
        <v>42771</v>
      </c>
      <c r="B9217">
        <v>20.575700000000001</v>
      </c>
    </row>
    <row r="9218" spans="1:2">
      <c r="A9218" s="117">
        <v>42772</v>
      </c>
      <c r="B9218">
        <v>20.575700000000001</v>
      </c>
    </row>
    <row r="9219" spans="1:2">
      <c r="A9219" s="117">
        <v>42773</v>
      </c>
      <c r="B9219">
        <v>20.575700000000001</v>
      </c>
    </row>
    <row r="9220" spans="1:2">
      <c r="A9220" s="117">
        <v>42774</v>
      </c>
      <c r="B9220">
        <v>20.343900000000001</v>
      </c>
    </row>
    <row r="9221" spans="1:2">
      <c r="A9221" s="117">
        <v>42775</v>
      </c>
      <c r="B9221">
        <v>20.637</v>
      </c>
    </row>
    <row r="9222" spans="1:2">
      <c r="A9222" s="117">
        <v>42776</v>
      </c>
      <c r="B9222">
        <v>20.499400000000001</v>
      </c>
    </row>
    <row r="9223" spans="1:2">
      <c r="A9223" s="117">
        <v>42777</v>
      </c>
      <c r="B9223">
        <v>20.4163</v>
      </c>
    </row>
    <row r="9224" spans="1:2">
      <c r="A9224" s="117">
        <v>42778</v>
      </c>
      <c r="B9224">
        <v>20.4163</v>
      </c>
    </row>
    <row r="9225" spans="1:2">
      <c r="A9225" s="117">
        <v>42779</v>
      </c>
      <c r="B9225">
        <v>20.4163</v>
      </c>
    </row>
    <row r="9226" spans="1:2">
      <c r="A9226" s="117">
        <v>42780</v>
      </c>
      <c r="B9226">
        <v>20.3535</v>
      </c>
    </row>
    <row r="9227" spans="1:2">
      <c r="A9227" s="117">
        <v>42781</v>
      </c>
      <c r="B9227">
        <v>20.327999999999999</v>
      </c>
    </row>
    <row r="9228" spans="1:2">
      <c r="A9228" s="117">
        <v>42782</v>
      </c>
      <c r="B9228">
        <v>20.3507</v>
      </c>
    </row>
    <row r="9229" spans="1:2">
      <c r="A9229" s="117">
        <v>42783</v>
      </c>
      <c r="B9229">
        <v>20.325399999999998</v>
      </c>
    </row>
    <row r="9230" spans="1:2">
      <c r="A9230" s="117">
        <v>42784</v>
      </c>
      <c r="B9230">
        <v>20.3325</v>
      </c>
    </row>
    <row r="9231" spans="1:2">
      <c r="A9231" s="117">
        <v>42785</v>
      </c>
      <c r="B9231">
        <v>20.3325</v>
      </c>
    </row>
    <row r="9232" spans="1:2">
      <c r="A9232" s="117">
        <v>42786</v>
      </c>
      <c r="B9232">
        <v>20.3325</v>
      </c>
    </row>
    <row r="9233" spans="1:2">
      <c r="A9233" s="117">
        <v>42787</v>
      </c>
      <c r="B9233">
        <v>20.4526</v>
      </c>
    </row>
    <row r="9234" spans="1:2">
      <c r="A9234" s="117">
        <v>42788</v>
      </c>
      <c r="B9234">
        <v>20.405899999999999</v>
      </c>
    </row>
    <row r="9235" spans="1:2">
      <c r="A9235" s="117">
        <v>42789</v>
      </c>
      <c r="B9235">
        <v>20.448899999999998</v>
      </c>
    </row>
    <row r="9236" spans="1:2">
      <c r="A9236" s="117">
        <v>42790</v>
      </c>
      <c r="B9236">
        <v>19.912700000000001</v>
      </c>
    </row>
    <row r="9237" spans="1:2">
      <c r="A9237" s="117">
        <v>42791</v>
      </c>
      <c r="B9237">
        <v>19.7011</v>
      </c>
    </row>
    <row r="9238" spans="1:2">
      <c r="A9238" s="117">
        <v>42792</v>
      </c>
      <c r="B9238">
        <v>19.7011</v>
      </c>
    </row>
    <row r="9239" spans="1:2">
      <c r="A9239" s="117">
        <v>42793</v>
      </c>
      <c r="B9239">
        <v>19.7011</v>
      </c>
    </row>
    <row r="9240" spans="1:2">
      <c r="A9240" s="117">
        <v>42794</v>
      </c>
      <c r="B9240">
        <v>19.833500000000001</v>
      </c>
    </row>
    <row r="9241" spans="1:2">
      <c r="A9241" s="117">
        <v>42795</v>
      </c>
      <c r="B9241">
        <v>19.8322</v>
      </c>
    </row>
    <row r="9242" spans="1:2">
      <c r="A9242" s="117">
        <v>42796</v>
      </c>
      <c r="B9242">
        <v>19.995699999999999</v>
      </c>
    </row>
    <row r="9243" spans="1:2">
      <c r="A9243" s="117">
        <v>42797</v>
      </c>
      <c r="B9243">
        <v>19.900700000000001</v>
      </c>
    </row>
    <row r="9244" spans="1:2">
      <c r="A9244" s="117">
        <v>42798</v>
      </c>
      <c r="B9244">
        <v>19.9373</v>
      </c>
    </row>
    <row r="9245" spans="1:2">
      <c r="A9245" s="117">
        <v>42799</v>
      </c>
      <c r="B9245">
        <v>19.9373</v>
      </c>
    </row>
    <row r="9246" spans="1:2">
      <c r="A9246" s="117">
        <v>42800</v>
      </c>
      <c r="B9246">
        <v>19.9373</v>
      </c>
    </row>
    <row r="9247" spans="1:2">
      <c r="A9247" s="117">
        <v>42801</v>
      </c>
      <c r="B9247">
        <v>19.614699999999999</v>
      </c>
    </row>
    <row r="9248" spans="1:2">
      <c r="A9248" s="117">
        <v>42802</v>
      </c>
      <c r="B9248">
        <v>19.553799999999999</v>
      </c>
    </row>
    <row r="9249" spans="1:2">
      <c r="A9249" s="117">
        <v>42803</v>
      </c>
      <c r="B9249">
        <v>19.521000000000001</v>
      </c>
    </row>
    <row r="9250" spans="1:2">
      <c r="A9250" s="117">
        <v>42804</v>
      </c>
      <c r="B9250">
        <v>19.6007</v>
      </c>
    </row>
    <row r="9251" spans="1:2">
      <c r="A9251" s="117">
        <v>42805</v>
      </c>
      <c r="B9251">
        <v>19.7974</v>
      </c>
    </row>
    <row r="9252" spans="1:2">
      <c r="A9252" s="117">
        <v>42806</v>
      </c>
      <c r="B9252">
        <v>19.7974</v>
      </c>
    </row>
    <row r="9253" spans="1:2">
      <c r="A9253" s="117">
        <v>42807</v>
      </c>
      <c r="B9253">
        <v>19.7974</v>
      </c>
    </row>
    <row r="9254" spans="1:2">
      <c r="A9254" s="117">
        <v>42808</v>
      </c>
      <c r="B9254">
        <v>19.6279</v>
      </c>
    </row>
    <row r="9255" spans="1:2">
      <c r="A9255" s="117">
        <v>42809</v>
      </c>
      <c r="B9255">
        <v>19.580300000000001</v>
      </c>
    </row>
    <row r="9256" spans="1:2">
      <c r="A9256" s="117">
        <v>42810</v>
      </c>
      <c r="B9256">
        <v>19.654299999999999</v>
      </c>
    </row>
    <row r="9257" spans="1:2">
      <c r="A9257" s="117">
        <v>42811</v>
      </c>
      <c r="B9257">
        <v>19.449300000000001</v>
      </c>
    </row>
    <row r="9258" spans="1:2">
      <c r="A9258" s="117">
        <v>42812</v>
      </c>
      <c r="B9258">
        <v>19.172999999999998</v>
      </c>
    </row>
    <row r="9259" spans="1:2">
      <c r="A9259" s="117">
        <v>42813</v>
      </c>
      <c r="B9259">
        <v>19.172999999999998</v>
      </c>
    </row>
    <row r="9260" spans="1:2">
      <c r="A9260" s="117">
        <v>42814</v>
      </c>
      <c r="B9260">
        <v>19.172999999999998</v>
      </c>
    </row>
    <row r="9261" spans="1:2">
      <c r="A9261" s="117">
        <v>42815</v>
      </c>
      <c r="B9261">
        <v>19.172999999999998</v>
      </c>
    </row>
    <row r="9262" spans="1:2">
      <c r="A9262" s="117">
        <v>42816</v>
      </c>
      <c r="B9262">
        <v>19.117000000000001</v>
      </c>
    </row>
    <row r="9263" spans="1:2">
      <c r="A9263" s="117">
        <v>42817</v>
      </c>
      <c r="B9263">
        <v>19.106999999999999</v>
      </c>
    </row>
    <row r="9264" spans="1:2">
      <c r="A9264" s="117">
        <v>42818</v>
      </c>
      <c r="B9264">
        <v>19.0837</v>
      </c>
    </row>
    <row r="9265" spans="1:2">
      <c r="A9265" s="117">
        <v>42819</v>
      </c>
      <c r="B9265">
        <v>18.9877</v>
      </c>
    </row>
    <row r="9266" spans="1:2">
      <c r="A9266" s="117">
        <v>42820</v>
      </c>
      <c r="B9266">
        <v>18.9877</v>
      </c>
    </row>
    <row r="9267" spans="1:2">
      <c r="A9267" s="117">
        <v>42821</v>
      </c>
      <c r="B9267">
        <v>18.9877</v>
      </c>
    </row>
    <row r="9268" spans="1:2">
      <c r="A9268" s="117">
        <v>42822</v>
      </c>
      <c r="B9268">
        <v>18.852799999999998</v>
      </c>
    </row>
    <row r="9269" spans="1:2">
      <c r="A9269" s="117">
        <v>42823</v>
      </c>
      <c r="B9269">
        <v>18.866099999999999</v>
      </c>
    </row>
    <row r="9270" spans="1:2">
      <c r="A9270" s="117">
        <v>42824</v>
      </c>
      <c r="B9270">
        <v>18.885300000000001</v>
      </c>
    </row>
    <row r="9271" spans="1:2">
      <c r="A9271" s="117">
        <v>42825</v>
      </c>
      <c r="B9271">
        <v>18.809200000000001</v>
      </c>
    </row>
    <row r="9272" spans="1:2">
      <c r="A9272" s="117">
        <v>42826</v>
      </c>
      <c r="B9272">
        <v>18.707899999999999</v>
      </c>
    </row>
    <row r="9273" spans="1:2">
      <c r="A9273" s="117">
        <v>42827</v>
      </c>
      <c r="B9273">
        <v>18.707899999999999</v>
      </c>
    </row>
    <row r="9274" spans="1:2">
      <c r="A9274" s="117">
        <v>42828</v>
      </c>
      <c r="B9274">
        <v>18.707899999999999</v>
      </c>
    </row>
    <row r="9275" spans="1:2">
      <c r="A9275" s="117">
        <v>42829</v>
      </c>
      <c r="B9275">
        <v>18.795500000000001</v>
      </c>
    </row>
    <row r="9276" spans="1:2">
      <c r="A9276" s="117">
        <v>42830</v>
      </c>
      <c r="B9276">
        <v>18.731999999999999</v>
      </c>
    </row>
    <row r="9277" spans="1:2">
      <c r="A9277" s="117">
        <v>42831</v>
      </c>
      <c r="B9277">
        <v>18.833400000000001</v>
      </c>
    </row>
    <row r="9278" spans="1:2">
      <c r="A9278" s="117">
        <v>42832</v>
      </c>
      <c r="B9278">
        <v>18.719200000000001</v>
      </c>
    </row>
    <row r="9279" spans="1:2">
      <c r="A9279" s="117">
        <v>42833</v>
      </c>
      <c r="B9279">
        <v>18.769600000000001</v>
      </c>
    </row>
    <row r="9280" spans="1:2">
      <c r="A9280" s="117">
        <v>42834</v>
      </c>
      <c r="B9280">
        <v>18.769600000000001</v>
      </c>
    </row>
    <row r="9281" spans="1:2">
      <c r="A9281" s="117">
        <v>42835</v>
      </c>
      <c r="B9281">
        <v>18.769600000000001</v>
      </c>
    </row>
    <row r="9282" spans="1:2">
      <c r="A9282" s="117">
        <v>42836</v>
      </c>
      <c r="B9282">
        <v>18.655999999999999</v>
      </c>
    </row>
    <row r="9283" spans="1:2">
      <c r="A9283" s="117">
        <v>42837</v>
      </c>
      <c r="B9283">
        <v>18.692299999999999</v>
      </c>
    </row>
    <row r="9284" spans="1:2">
      <c r="A9284" s="117">
        <v>42838</v>
      </c>
      <c r="B9284">
        <v>18.764600000000002</v>
      </c>
    </row>
    <row r="9285" spans="1:2">
      <c r="A9285" s="117">
        <v>42839</v>
      </c>
      <c r="B9285">
        <v>18.764600000000002</v>
      </c>
    </row>
    <row r="9286" spans="1:2">
      <c r="A9286" s="117">
        <v>42840</v>
      </c>
      <c r="B9286">
        <v>18.764600000000002</v>
      </c>
    </row>
    <row r="9287" spans="1:2">
      <c r="A9287" s="117">
        <v>42841</v>
      </c>
      <c r="B9287">
        <v>18.764600000000002</v>
      </c>
    </row>
    <row r="9288" spans="1:2">
      <c r="A9288" s="117">
        <v>42842</v>
      </c>
      <c r="B9288">
        <v>18.764600000000002</v>
      </c>
    </row>
    <row r="9289" spans="1:2">
      <c r="A9289" s="117">
        <v>42843</v>
      </c>
      <c r="B9289">
        <v>18.752800000000001</v>
      </c>
    </row>
    <row r="9290" spans="1:2">
      <c r="A9290" s="117">
        <v>42844</v>
      </c>
      <c r="B9290">
        <v>18.558199999999999</v>
      </c>
    </row>
    <row r="9291" spans="1:2">
      <c r="A9291" s="117">
        <v>42845</v>
      </c>
      <c r="B9291">
        <v>18.4863</v>
      </c>
    </row>
    <row r="9292" spans="1:2">
      <c r="A9292" s="117">
        <v>42846</v>
      </c>
      <c r="B9292">
        <v>18.837399999999999</v>
      </c>
    </row>
    <row r="9293" spans="1:2">
      <c r="A9293" s="117">
        <v>42847</v>
      </c>
      <c r="B9293">
        <v>18.8187</v>
      </c>
    </row>
    <row r="9294" spans="1:2">
      <c r="A9294" s="117">
        <v>42848</v>
      </c>
      <c r="B9294">
        <v>18.8187</v>
      </c>
    </row>
    <row r="9295" spans="1:2">
      <c r="A9295" s="117">
        <v>42849</v>
      </c>
      <c r="B9295">
        <v>18.8187</v>
      </c>
    </row>
    <row r="9296" spans="1:2">
      <c r="A9296" s="117">
        <v>42850</v>
      </c>
      <c r="B9296">
        <v>18.8413</v>
      </c>
    </row>
    <row r="9297" spans="1:2">
      <c r="A9297" s="117">
        <v>42851</v>
      </c>
      <c r="B9297">
        <v>18.652100000000001</v>
      </c>
    </row>
    <row r="9298" spans="1:2">
      <c r="A9298" s="117">
        <v>42852</v>
      </c>
      <c r="B9298">
        <v>18.922499999999999</v>
      </c>
    </row>
    <row r="9299" spans="1:2">
      <c r="A9299" s="117">
        <v>42853</v>
      </c>
      <c r="B9299">
        <v>19.111899999999999</v>
      </c>
    </row>
    <row r="9300" spans="1:2">
      <c r="A9300" s="117">
        <v>42854</v>
      </c>
      <c r="B9300">
        <v>19.067</v>
      </c>
    </row>
    <row r="9301" spans="1:2">
      <c r="A9301" s="117">
        <v>42855</v>
      </c>
      <c r="B9301">
        <v>19.067</v>
      </c>
    </row>
    <row r="9302" spans="1:2">
      <c r="A9302" s="117">
        <v>42856</v>
      </c>
      <c r="B9302">
        <v>19.067</v>
      </c>
    </row>
    <row r="9303" spans="1:2">
      <c r="A9303" s="117">
        <v>42857</v>
      </c>
      <c r="B9303">
        <v>19.067</v>
      </c>
    </row>
    <row r="9304" spans="1:2">
      <c r="A9304" s="117">
        <v>42858</v>
      </c>
      <c r="B9304">
        <v>18.959399999999999</v>
      </c>
    </row>
    <row r="9305" spans="1:2">
      <c r="A9305" s="117">
        <v>42859</v>
      </c>
      <c r="B9305">
        <v>18.773099999999999</v>
      </c>
    </row>
    <row r="9306" spans="1:2">
      <c r="A9306" s="117">
        <v>42860</v>
      </c>
      <c r="B9306">
        <v>18.803100000000001</v>
      </c>
    </row>
    <row r="9307" spans="1:2">
      <c r="A9307" s="117">
        <v>42861</v>
      </c>
      <c r="B9307">
        <v>19.001899999999999</v>
      </c>
    </row>
    <row r="9308" spans="1:2">
      <c r="A9308" s="117">
        <v>42862</v>
      </c>
      <c r="B9308">
        <v>19.001899999999999</v>
      </c>
    </row>
    <row r="9309" spans="1:2">
      <c r="A9309" s="117">
        <v>42863</v>
      </c>
      <c r="B9309">
        <v>19.001899999999999</v>
      </c>
    </row>
    <row r="9310" spans="1:2">
      <c r="A9310" s="117">
        <v>42864</v>
      </c>
      <c r="B9310">
        <v>19.0137</v>
      </c>
    </row>
    <row r="9311" spans="1:2">
      <c r="A9311" s="117">
        <v>42865</v>
      </c>
      <c r="B9311">
        <v>19.116399999999999</v>
      </c>
    </row>
    <row r="9312" spans="1:2">
      <c r="A9312" s="117">
        <v>42866</v>
      </c>
      <c r="B9312">
        <v>19.136399999999998</v>
      </c>
    </row>
    <row r="9313" spans="1:2">
      <c r="A9313" s="117">
        <v>42867</v>
      </c>
      <c r="B9313">
        <v>18.9587</v>
      </c>
    </row>
    <row r="9314" spans="1:2">
      <c r="A9314" s="117">
        <v>42868</v>
      </c>
      <c r="B9314">
        <v>18.9039</v>
      </c>
    </row>
    <row r="9315" spans="1:2">
      <c r="A9315" s="117">
        <v>42869</v>
      </c>
      <c r="B9315">
        <v>18.9039</v>
      </c>
    </row>
    <row r="9316" spans="1:2">
      <c r="A9316" s="117">
        <v>42870</v>
      </c>
      <c r="B9316">
        <v>18.9039</v>
      </c>
    </row>
    <row r="9317" spans="1:2">
      <c r="A9317" s="117">
        <v>42871</v>
      </c>
      <c r="B9317">
        <v>18.759399999999999</v>
      </c>
    </row>
    <row r="9318" spans="1:2">
      <c r="A9318" s="117">
        <v>42872</v>
      </c>
      <c r="B9318">
        <v>18.670000000000002</v>
      </c>
    </row>
    <row r="9319" spans="1:2">
      <c r="A9319" s="117">
        <v>42873</v>
      </c>
      <c r="B9319">
        <v>18.618300000000001</v>
      </c>
    </row>
    <row r="9320" spans="1:2">
      <c r="A9320" s="117">
        <v>42874</v>
      </c>
      <c r="B9320">
        <v>18.676100000000002</v>
      </c>
    </row>
    <row r="9321" spans="1:2">
      <c r="A9321" s="117">
        <v>42875</v>
      </c>
      <c r="B9321">
        <v>18.889800000000001</v>
      </c>
    </row>
    <row r="9322" spans="1:2">
      <c r="A9322" s="117">
        <v>42876</v>
      </c>
      <c r="B9322">
        <v>18.889800000000001</v>
      </c>
    </row>
    <row r="9323" spans="1:2">
      <c r="A9323" s="117">
        <v>42877</v>
      </c>
      <c r="B9323">
        <v>18.889800000000001</v>
      </c>
    </row>
    <row r="9324" spans="1:2">
      <c r="A9324" s="117">
        <v>42878</v>
      </c>
      <c r="B9324">
        <v>18.6859</v>
      </c>
    </row>
    <row r="9325" spans="1:2">
      <c r="A9325" s="117">
        <v>42879</v>
      </c>
      <c r="B9325">
        <v>18.6633</v>
      </c>
    </row>
    <row r="9326" spans="1:2">
      <c r="A9326" s="117">
        <v>42880</v>
      </c>
      <c r="B9326">
        <v>18.614999999999998</v>
      </c>
    </row>
    <row r="9327" spans="1:2">
      <c r="A9327" s="117">
        <v>42881</v>
      </c>
      <c r="B9327">
        <v>18.568899999999999</v>
      </c>
    </row>
    <row r="9328" spans="1:2">
      <c r="A9328" s="117">
        <v>42882</v>
      </c>
      <c r="B9328">
        <v>18.418500000000002</v>
      </c>
    </row>
    <row r="9329" spans="1:2">
      <c r="A9329" s="117">
        <v>42883</v>
      </c>
      <c r="B9329">
        <v>18.418500000000002</v>
      </c>
    </row>
    <row r="9330" spans="1:2">
      <c r="A9330" s="117">
        <v>42884</v>
      </c>
      <c r="B9330">
        <v>18.418500000000002</v>
      </c>
    </row>
    <row r="9331" spans="1:2">
      <c r="A9331" s="117">
        <v>42885</v>
      </c>
      <c r="B9331">
        <v>18.4849</v>
      </c>
    </row>
    <row r="9332" spans="1:2">
      <c r="A9332" s="117">
        <v>42886</v>
      </c>
      <c r="B9332">
        <v>18.5121</v>
      </c>
    </row>
    <row r="9333" spans="1:2">
      <c r="A9333" s="117">
        <v>42887</v>
      </c>
      <c r="B9333">
        <v>18.664300000000001</v>
      </c>
    </row>
    <row r="9334" spans="1:2">
      <c r="A9334" s="117">
        <v>42888</v>
      </c>
      <c r="B9334">
        <v>18.690899999999999</v>
      </c>
    </row>
    <row r="9335" spans="1:2">
      <c r="A9335" s="117">
        <v>42889</v>
      </c>
      <c r="B9335">
        <v>18.594100000000001</v>
      </c>
    </row>
    <row r="9336" spans="1:2">
      <c r="A9336" s="117">
        <v>42890</v>
      </c>
      <c r="B9336">
        <v>18.594100000000001</v>
      </c>
    </row>
    <row r="9337" spans="1:2">
      <c r="A9337" s="117">
        <v>42891</v>
      </c>
      <c r="B9337">
        <v>18.594100000000001</v>
      </c>
    </row>
    <row r="9338" spans="1:2">
      <c r="A9338" s="117">
        <v>42892</v>
      </c>
      <c r="B9338">
        <v>18.6204</v>
      </c>
    </row>
    <row r="9339" spans="1:2">
      <c r="A9339" s="117">
        <v>42893</v>
      </c>
      <c r="B9339">
        <v>18.381900000000002</v>
      </c>
    </row>
    <row r="9340" spans="1:2">
      <c r="A9340" s="117">
        <v>42894</v>
      </c>
      <c r="B9340">
        <v>18.276199999999999</v>
      </c>
    </row>
    <row r="9341" spans="1:2">
      <c r="A9341" s="117">
        <v>42895</v>
      </c>
      <c r="B9341">
        <v>18.227799999999998</v>
      </c>
    </row>
    <row r="9342" spans="1:2">
      <c r="A9342" s="117">
        <v>42896</v>
      </c>
      <c r="B9342">
        <v>18.194600000000001</v>
      </c>
    </row>
    <row r="9343" spans="1:2">
      <c r="A9343" s="117">
        <v>42897</v>
      </c>
      <c r="B9343">
        <v>18.194600000000001</v>
      </c>
    </row>
    <row r="9344" spans="1:2">
      <c r="A9344" s="117">
        <v>42898</v>
      </c>
      <c r="B9344">
        <v>18.194600000000001</v>
      </c>
    </row>
    <row r="9345" spans="1:2">
      <c r="A9345" s="117">
        <v>42899</v>
      </c>
      <c r="B9345">
        <v>18.193899999999999</v>
      </c>
    </row>
    <row r="9346" spans="1:2">
      <c r="A9346" s="117">
        <v>42900</v>
      </c>
      <c r="B9346">
        <v>18.180199999999999</v>
      </c>
    </row>
    <row r="9347" spans="1:2">
      <c r="A9347" s="117">
        <v>42901</v>
      </c>
      <c r="B9347">
        <v>18.072500000000002</v>
      </c>
    </row>
    <row r="9348" spans="1:2">
      <c r="A9348" s="117">
        <v>42902</v>
      </c>
      <c r="B9348">
        <v>17.9343</v>
      </c>
    </row>
    <row r="9349" spans="1:2">
      <c r="A9349" s="117">
        <v>42903</v>
      </c>
      <c r="B9349">
        <v>18.115400000000001</v>
      </c>
    </row>
    <row r="9350" spans="1:2">
      <c r="A9350" s="117">
        <v>42904</v>
      </c>
      <c r="B9350">
        <v>18.115400000000001</v>
      </c>
    </row>
    <row r="9351" spans="1:2">
      <c r="A9351" s="117">
        <v>42905</v>
      </c>
      <c r="B9351">
        <v>18.115400000000001</v>
      </c>
    </row>
    <row r="9352" spans="1:2">
      <c r="A9352" s="117">
        <v>42906</v>
      </c>
      <c r="B9352">
        <v>17.932099999999998</v>
      </c>
    </row>
    <row r="9353" spans="1:2">
      <c r="A9353" s="117">
        <v>42907</v>
      </c>
      <c r="B9353">
        <v>17.951899999999998</v>
      </c>
    </row>
    <row r="9354" spans="1:2">
      <c r="A9354" s="117">
        <v>42908</v>
      </c>
      <c r="B9354">
        <v>18.116700000000002</v>
      </c>
    </row>
    <row r="9355" spans="1:2">
      <c r="A9355" s="117">
        <v>42909</v>
      </c>
      <c r="B9355">
        <v>18.157</v>
      </c>
    </row>
    <row r="9356" spans="1:2">
      <c r="A9356" s="117">
        <v>42910</v>
      </c>
      <c r="B9356">
        <v>18.126999999999999</v>
      </c>
    </row>
    <row r="9357" spans="1:2">
      <c r="A9357" s="117">
        <v>42911</v>
      </c>
      <c r="B9357">
        <v>18.126999999999999</v>
      </c>
    </row>
    <row r="9358" spans="1:2">
      <c r="A9358" s="117">
        <v>42912</v>
      </c>
      <c r="B9358">
        <v>18.126999999999999</v>
      </c>
    </row>
    <row r="9359" spans="1:2">
      <c r="A9359" s="117">
        <v>42913</v>
      </c>
      <c r="B9359">
        <v>17.989999999999998</v>
      </c>
    </row>
    <row r="9360" spans="1:2">
      <c r="A9360" s="117">
        <v>42914</v>
      </c>
      <c r="B9360">
        <v>17.877500000000001</v>
      </c>
    </row>
    <row r="9361" spans="1:2">
      <c r="A9361" s="117">
        <v>42915</v>
      </c>
      <c r="B9361">
        <v>17.9862</v>
      </c>
    </row>
    <row r="9362" spans="1:2">
      <c r="A9362" s="117">
        <v>42916</v>
      </c>
      <c r="B9362">
        <v>17.897300000000001</v>
      </c>
    </row>
    <row r="9363" spans="1:2">
      <c r="A9363" s="117">
        <v>42917</v>
      </c>
      <c r="B9363">
        <v>18.027899999999999</v>
      </c>
    </row>
    <row r="9364" spans="1:2">
      <c r="A9364" s="117">
        <v>42918</v>
      </c>
      <c r="B9364">
        <v>18.027899999999999</v>
      </c>
    </row>
    <row r="9365" spans="1:2">
      <c r="A9365" s="117">
        <v>42919</v>
      </c>
      <c r="B9365">
        <v>18.027899999999999</v>
      </c>
    </row>
    <row r="9366" spans="1:2">
      <c r="A9366" s="117">
        <v>42920</v>
      </c>
      <c r="B9366">
        <v>18.0626</v>
      </c>
    </row>
    <row r="9367" spans="1:2">
      <c r="A9367" s="117">
        <v>42921</v>
      </c>
      <c r="B9367">
        <v>18.206399999999999</v>
      </c>
    </row>
    <row r="9368" spans="1:2">
      <c r="A9368" s="117">
        <v>42922</v>
      </c>
      <c r="B9368">
        <v>18.203600000000002</v>
      </c>
    </row>
    <row r="9369" spans="1:2">
      <c r="A9369" s="117">
        <v>42923</v>
      </c>
      <c r="B9369">
        <v>18.355599999999999</v>
      </c>
    </row>
    <row r="9370" spans="1:2">
      <c r="A9370" s="117">
        <v>42924</v>
      </c>
      <c r="B9370">
        <v>18.322700000000001</v>
      </c>
    </row>
    <row r="9371" spans="1:2">
      <c r="A9371" s="117">
        <v>42925</v>
      </c>
      <c r="B9371">
        <v>18.322700000000001</v>
      </c>
    </row>
    <row r="9372" spans="1:2">
      <c r="A9372" s="117">
        <v>42926</v>
      </c>
      <c r="B9372">
        <v>18.322700000000001</v>
      </c>
    </row>
    <row r="9373" spans="1:2">
      <c r="A9373" s="117">
        <v>42927</v>
      </c>
      <c r="B9373">
        <v>18.139399999999998</v>
      </c>
    </row>
    <row r="9374" spans="1:2">
      <c r="A9374" s="117">
        <v>42928</v>
      </c>
      <c r="B9374">
        <v>17.975100000000001</v>
      </c>
    </row>
    <row r="9375" spans="1:2">
      <c r="A9375" s="117">
        <v>42929</v>
      </c>
      <c r="B9375">
        <v>17.9482</v>
      </c>
    </row>
    <row r="9376" spans="1:2">
      <c r="A9376" s="117">
        <v>42930</v>
      </c>
      <c r="B9376">
        <v>17.770800000000001</v>
      </c>
    </row>
    <row r="9377" spans="1:2">
      <c r="A9377" s="117">
        <v>42931</v>
      </c>
      <c r="B9377">
        <v>17.7422</v>
      </c>
    </row>
    <row r="9378" spans="1:2">
      <c r="A9378" s="117">
        <v>42932</v>
      </c>
      <c r="B9378">
        <v>17.7422</v>
      </c>
    </row>
    <row r="9379" spans="1:2">
      <c r="A9379" s="117">
        <v>42933</v>
      </c>
      <c r="B9379">
        <v>17.7422</v>
      </c>
    </row>
    <row r="9380" spans="1:2">
      <c r="A9380" s="117">
        <v>42934</v>
      </c>
      <c r="B9380">
        <v>17.561299999999999</v>
      </c>
    </row>
    <row r="9381" spans="1:2">
      <c r="A9381" s="117">
        <v>42935</v>
      </c>
      <c r="B9381">
        <v>17.583600000000001</v>
      </c>
    </row>
    <row r="9382" spans="1:2">
      <c r="A9382" s="117">
        <v>42936</v>
      </c>
      <c r="B9382">
        <v>17.513400000000001</v>
      </c>
    </row>
    <row r="9383" spans="1:2">
      <c r="A9383" s="117">
        <v>42937</v>
      </c>
      <c r="B9383">
        <v>17.4937</v>
      </c>
    </row>
    <row r="9384" spans="1:2">
      <c r="A9384" s="117">
        <v>42938</v>
      </c>
      <c r="B9384">
        <v>17.526</v>
      </c>
    </row>
    <row r="9385" spans="1:2">
      <c r="A9385" s="117">
        <v>42939</v>
      </c>
      <c r="B9385">
        <v>17.526</v>
      </c>
    </row>
    <row r="9386" spans="1:2">
      <c r="A9386" s="117">
        <v>42940</v>
      </c>
      <c r="B9386">
        <v>17.526</v>
      </c>
    </row>
    <row r="9387" spans="1:2">
      <c r="A9387" s="117">
        <v>42941</v>
      </c>
      <c r="B9387">
        <v>17.561800000000002</v>
      </c>
    </row>
    <row r="9388" spans="1:2">
      <c r="A9388" s="117">
        <v>42942</v>
      </c>
      <c r="B9388">
        <v>17.689299999999999</v>
      </c>
    </row>
    <row r="9389" spans="1:2">
      <c r="A9389" s="117">
        <v>42943</v>
      </c>
      <c r="B9389">
        <v>17.749199999999998</v>
      </c>
    </row>
    <row r="9390" spans="1:2">
      <c r="A9390" s="117">
        <v>42944</v>
      </c>
      <c r="B9390">
        <v>17.7561</v>
      </c>
    </row>
    <row r="9391" spans="1:2">
      <c r="A9391" s="117">
        <v>42945</v>
      </c>
      <c r="B9391">
        <v>17.688600000000001</v>
      </c>
    </row>
    <row r="9392" spans="1:2">
      <c r="A9392" s="117">
        <v>42946</v>
      </c>
      <c r="B9392">
        <v>17.688600000000001</v>
      </c>
    </row>
    <row r="9393" spans="1:2">
      <c r="A9393" s="117">
        <v>42947</v>
      </c>
      <c r="B9393">
        <v>17.688600000000001</v>
      </c>
    </row>
    <row r="9394" spans="1:2">
      <c r="A9394" s="117">
        <v>42948</v>
      </c>
      <c r="B9394">
        <v>17.743500000000001</v>
      </c>
    </row>
    <row r="9395" spans="1:2">
      <c r="A9395" s="117">
        <v>42949</v>
      </c>
      <c r="B9395">
        <v>17.864599999999999</v>
      </c>
    </row>
    <row r="9396" spans="1:2">
      <c r="A9396" s="117">
        <v>42950</v>
      </c>
      <c r="B9396">
        <v>17.8108</v>
      </c>
    </row>
    <row r="9397" spans="1:2">
      <c r="A9397" s="117">
        <v>42951</v>
      </c>
      <c r="B9397">
        <v>17.869599999999998</v>
      </c>
    </row>
    <row r="9398" spans="1:2">
      <c r="A9398" s="117">
        <v>42952</v>
      </c>
      <c r="B9398">
        <v>17.8733</v>
      </c>
    </row>
    <row r="9399" spans="1:2">
      <c r="A9399" s="117">
        <v>42953</v>
      </c>
      <c r="B9399">
        <v>17.8733</v>
      </c>
    </row>
    <row r="9400" spans="1:2">
      <c r="A9400" s="117">
        <v>42954</v>
      </c>
      <c r="B9400">
        <v>17.8733</v>
      </c>
    </row>
    <row r="9401" spans="1:2">
      <c r="A9401" s="117">
        <v>42955</v>
      </c>
      <c r="B9401">
        <v>17.879799999999999</v>
      </c>
    </row>
    <row r="9402" spans="1:2">
      <c r="A9402" s="117">
        <v>42956</v>
      </c>
      <c r="B9402">
        <v>17.964099999999998</v>
      </c>
    </row>
    <row r="9403" spans="1:2">
      <c r="A9403" s="117">
        <v>42957</v>
      </c>
      <c r="B9403">
        <v>17.916</v>
      </c>
    </row>
    <row r="9404" spans="1:2">
      <c r="A9404" s="117">
        <v>42958</v>
      </c>
      <c r="B9404">
        <v>17.967099999999999</v>
      </c>
    </row>
    <row r="9405" spans="1:2">
      <c r="A9405" s="117">
        <v>42959</v>
      </c>
      <c r="B9405">
        <v>17.907299999999999</v>
      </c>
    </row>
    <row r="9406" spans="1:2">
      <c r="A9406" s="117">
        <v>42960</v>
      </c>
      <c r="B9406">
        <v>17.907299999999999</v>
      </c>
    </row>
    <row r="9407" spans="1:2">
      <c r="A9407" s="117">
        <v>42961</v>
      </c>
      <c r="B9407">
        <v>17.907299999999999</v>
      </c>
    </row>
    <row r="9408" spans="1:2">
      <c r="A9408" s="117">
        <v>42962</v>
      </c>
      <c r="B9408">
        <v>17.847000000000001</v>
      </c>
    </row>
    <row r="9409" spans="1:2">
      <c r="A9409" s="117">
        <v>42963</v>
      </c>
      <c r="B9409">
        <v>17.775500000000001</v>
      </c>
    </row>
    <row r="9410" spans="1:2">
      <c r="A9410" s="117">
        <v>42964</v>
      </c>
      <c r="B9410">
        <v>17.848299999999998</v>
      </c>
    </row>
    <row r="9411" spans="1:2">
      <c r="A9411" s="117">
        <v>42965</v>
      </c>
      <c r="B9411">
        <v>17.716000000000001</v>
      </c>
    </row>
    <row r="9412" spans="1:2">
      <c r="A9412" s="117">
        <v>42966</v>
      </c>
      <c r="B9412">
        <v>17.732399999999998</v>
      </c>
    </row>
    <row r="9413" spans="1:2">
      <c r="A9413" s="117">
        <v>42967</v>
      </c>
      <c r="B9413">
        <v>17.732399999999998</v>
      </c>
    </row>
    <row r="9414" spans="1:2">
      <c r="A9414" s="117">
        <v>42968</v>
      </c>
      <c r="B9414">
        <v>17.732399999999998</v>
      </c>
    </row>
    <row r="9415" spans="1:2">
      <c r="A9415" s="117">
        <v>42969</v>
      </c>
      <c r="B9415">
        <v>17.8584</v>
      </c>
    </row>
    <row r="9416" spans="1:2">
      <c r="A9416" s="117">
        <v>42970</v>
      </c>
      <c r="B9416">
        <v>17.650099999999998</v>
      </c>
    </row>
    <row r="9417" spans="1:2">
      <c r="A9417" s="117">
        <v>42971</v>
      </c>
      <c r="B9417">
        <v>17.645800000000001</v>
      </c>
    </row>
    <row r="9418" spans="1:2">
      <c r="A9418" s="117">
        <v>42972</v>
      </c>
      <c r="B9418">
        <v>17.711300000000001</v>
      </c>
    </row>
    <row r="9419" spans="1:2">
      <c r="A9419" s="117">
        <v>42973</v>
      </c>
      <c r="B9419">
        <v>17.697700000000001</v>
      </c>
    </row>
    <row r="9420" spans="1:2">
      <c r="A9420" s="117">
        <v>42974</v>
      </c>
      <c r="B9420">
        <v>17.697700000000001</v>
      </c>
    </row>
    <row r="9421" spans="1:2">
      <c r="A9421" s="117">
        <v>42975</v>
      </c>
      <c r="B9421">
        <v>17.697700000000001</v>
      </c>
    </row>
    <row r="9422" spans="1:2">
      <c r="A9422" s="117">
        <v>42976</v>
      </c>
      <c r="B9422">
        <v>17.6205</v>
      </c>
    </row>
    <row r="9423" spans="1:2">
      <c r="A9423" s="117">
        <v>42977</v>
      </c>
      <c r="B9423">
        <v>17.8049</v>
      </c>
    </row>
    <row r="9424" spans="1:2">
      <c r="A9424" s="117">
        <v>42978</v>
      </c>
      <c r="B9424">
        <v>17.876000000000001</v>
      </c>
    </row>
    <row r="9425" spans="1:2">
      <c r="A9425" s="117">
        <v>42979</v>
      </c>
      <c r="B9425">
        <v>17.775300000000001</v>
      </c>
    </row>
    <row r="9426" spans="1:2">
      <c r="A9426" s="117">
        <v>42980</v>
      </c>
      <c r="B9426">
        <v>17.814499999999999</v>
      </c>
    </row>
    <row r="9427" spans="1:2">
      <c r="A9427" s="117">
        <v>42981</v>
      </c>
      <c r="B9427">
        <v>17.814499999999999</v>
      </c>
    </row>
    <row r="9428" spans="1:2">
      <c r="A9428" s="117">
        <v>42982</v>
      </c>
      <c r="B9428">
        <v>17.814499999999999</v>
      </c>
    </row>
    <row r="9429" spans="1:2">
      <c r="A9429" s="117">
        <v>42983</v>
      </c>
      <c r="B9429">
        <v>17.786100000000001</v>
      </c>
    </row>
    <row r="9430" spans="1:2">
      <c r="A9430" s="117">
        <v>42984</v>
      </c>
      <c r="B9430">
        <v>17.868300000000001</v>
      </c>
    </row>
    <row r="9431" spans="1:2">
      <c r="A9431" s="117">
        <v>42985</v>
      </c>
      <c r="B9431">
        <v>17.835999999999999</v>
      </c>
    </row>
    <row r="9432" spans="1:2">
      <c r="A9432" s="117">
        <v>42986</v>
      </c>
      <c r="B9432">
        <v>17.813600000000001</v>
      </c>
    </row>
    <row r="9433" spans="1:2">
      <c r="A9433" s="117">
        <v>42987</v>
      </c>
      <c r="B9433">
        <v>17.6965</v>
      </c>
    </row>
    <row r="9434" spans="1:2">
      <c r="A9434" s="117">
        <v>42988</v>
      </c>
      <c r="B9434">
        <v>17.6965</v>
      </c>
    </row>
    <row r="9435" spans="1:2">
      <c r="A9435" s="117">
        <v>42989</v>
      </c>
      <c r="B9435">
        <v>17.6965</v>
      </c>
    </row>
    <row r="9436" spans="1:2">
      <c r="A9436" s="117">
        <v>42990</v>
      </c>
      <c r="B9436">
        <v>17.7331</v>
      </c>
    </row>
    <row r="9437" spans="1:2">
      <c r="A9437" s="117">
        <v>42991</v>
      </c>
      <c r="B9437">
        <v>17.644300000000001</v>
      </c>
    </row>
    <row r="9438" spans="1:2">
      <c r="A9438" s="117">
        <v>42992</v>
      </c>
      <c r="B9438">
        <v>17.780999999999999</v>
      </c>
    </row>
    <row r="9439" spans="1:2">
      <c r="A9439" s="117">
        <v>42993</v>
      </c>
      <c r="B9439">
        <v>17.7836</v>
      </c>
    </row>
    <row r="9440" spans="1:2">
      <c r="A9440" s="117">
        <v>42994</v>
      </c>
      <c r="B9440">
        <v>17.727799999999998</v>
      </c>
    </row>
    <row r="9441" spans="1:2">
      <c r="A9441" s="117">
        <v>42995</v>
      </c>
      <c r="B9441">
        <v>17.727799999999998</v>
      </c>
    </row>
    <row r="9442" spans="1:2">
      <c r="A9442" s="117">
        <v>42996</v>
      </c>
      <c r="B9442">
        <v>17.727799999999998</v>
      </c>
    </row>
    <row r="9443" spans="1:2">
      <c r="A9443" s="117">
        <v>42997</v>
      </c>
      <c r="B9443">
        <v>17.685700000000001</v>
      </c>
    </row>
    <row r="9444" spans="1:2">
      <c r="A9444" s="117">
        <v>42998</v>
      </c>
      <c r="B9444">
        <v>17.760999999999999</v>
      </c>
    </row>
    <row r="9445" spans="1:2">
      <c r="A9445" s="117">
        <v>42999</v>
      </c>
      <c r="B9445">
        <v>17.764299999999999</v>
      </c>
    </row>
    <row r="9446" spans="1:2">
      <c r="A9446" s="117">
        <v>43000</v>
      </c>
      <c r="B9446">
        <v>17.700900000000001</v>
      </c>
    </row>
    <row r="9447" spans="1:2">
      <c r="A9447" s="117">
        <v>43001</v>
      </c>
      <c r="B9447">
        <v>17.854500000000002</v>
      </c>
    </row>
    <row r="9448" spans="1:2">
      <c r="A9448" s="117">
        <v>43002</v>
      </c>
      <c r="B9448">
        <v>17.854500000000002</v>
      </c>
    </row>
    <row r="9449" spans="1:2">
      <c r="A9449" s="117">
        <v>43003</v>
      </c>
      <c r="B9449">
        <v>17.854500000000002</v>
      </c>
    </row>
    <row r="9450" spans="1:2">
      <c r="A9450" s="117">
        <v>43004</v>
      </c>
      <c r="B9450">
        <v>17.748699999999999</v>
      </c>
    </row>
    <row r="9451" spans="1:2">
      <c r="A9451" s="117">
        <v>43005</v>
      </c>
      <c r="B9451">
        <v>17.883099999999999</v>
      </c>
    </row>
    <row r="9452" spans="1:2">
      <c r="A9452" s="117">
        <v>43006</v>
      </c>
      <c r="B9452">
        <v>17.993300000000001</v>
      </c>
    </row>
    <row r="9453" spans="1:2">
      <c r="A9453" s="117">
        <v>43007</v>
      </c>
      <c r="B9453">
        <v>18.13</v>
      </c>
    </row>
    <row r="9454" spans="1:2">
      <c r="A9454" s="117">
        <v>43008</v>
      </c>
      <c r="B9454">
        <v>18.197900000000001</v>
      </c>
    </row>
    <row r="9455" spans="1:2">
      <c r="A9455" s="117">
        <v>43009</v>
      </c>
      <c r="B9455">
        <v>18.197900000000001</v>
      </c>
    </row>
    <row r="9456" spans="1:2">
      <c r="A9456" s="117">
        <v>43010</v>
      </c>
      <c r="B9456">
        <v>18.197900000000001</v>
      </c>
    </row>
    <row r="9457" spans="1:2">
      <c r="A9457" s="117">
        <v>43011</v>
      </c>
      <c r="B9457">
        <v>18.158999999999999</v>
      </c>
    </row>
    <row r="9458" spans="1:2">
      <c r="A9458" s="117">
        <v>43012</v>
      </c>
      <c r="B9458">
        <v>18.233699999999999</v>
      </c>
    </row>
    <row r="9459" spans="1:2">
      <c r="A9459" s="117">
        <v>43013</v>
      </c>
      <c r="B9459">
        <v>18.211300000000001</v>
      </c>
    </row>
    <row r="9460" spans="1:2">
      <c r="A9460" s="117">
        <v>43014</v>
      </c>
      <c r="B9460">
        <v>18.228200000000001</v>
      </c>
    </row>
    <row r="9461" spans="1:2">
      <c r="A9461" s="117">
        <v>43015</v>
      </c>
      <c r="B9461">
        <v>18.306000000000001</v>
      </c>
    </row>
    <row r="9462" spans="1:2">
      <c r="A9462" s="117">
        <v>43016</v>
      </c>
      <c r="B9462">
        <v>18.306000000000001</v>
      </c>
    </row>
    <row r="9463" spans="1:2">
      <c r="A9463" s="117">
        <v>43017</v>
      </c>
      <c r="B9463">
        <v>18.306000000000001</v>
      </c>
    </row>
    <row r="9464" spans="1:2">
      <c r="A9464" s="117">
        <v>43018</v>
      </c>
      <c r="B9464">
        <v>18.552199999999999</v>
      </c>
    </row>
    <row r="9465" spans="1:2">
      <c r="A9465" s="117">
        <v>43019</v>
      </c>
      <c r="B9465">
        <v>18.6646</v>
      </c>
    </row>
    <row r="9466" spans="1:2">
      <c r="A9466" s="117">
        <v>43020</v>
      </c>
      <c r="B9466">
        <v>18.6327</v>
      </c>
    </row>
    <row r="9467" spans="1:2">
      <c r="A9467" s="117">
        <v>43021</v>
      </c>
      <c r="B9467">
        <v>18.718</v>
      </c>
    </row>
    <row r="9468" spans="1:2">
      <c r="A9468" s="117">
        <v>43022</v>
      </c>
      <c r="B9468">
        <v>18.763100000000001</v>
      </c>
    </row>
    <row r="9469" spans="1:2">
      <c r="A9469" s="117">
        <v>43023</v>
      </c>
      <c r="B9469">
        <v>18.763100000000001</v>
      </c>
    </row>
    <row r="9470" spans="1:2">
      <c r="A9470" s="117">
        <v>43024</v>
      </c>
      <c r="B9470">
        <v>18.763100000000001</v>
      </c>
    </row>
    <row r="9471" spans="1:2">
      <c r="A9471" s="117">
        <v>43025</v>
      </c>
      <c r="B9471">
        <v>18.9008</v>
      </c>
    </row>
    <row r="9472" spans="1:2">
      <c r="A9472" s="117">
        <v>43026</v>
      </c>
      <c r="B9472">
        <v>19.075299999999999</v>
      </c>
    </row>
    <row r="9473" spans="1:2">
      <c r="A9473" s="117">
        <v>43027</v>
      </c>
      <c r="B9473">
        <v>19.011700000000001</v>
      </c>
    </row>
    <row r="9474" spans="1:2">
      <c r="A9474" s="117">
        <v>43028</v>
      </c>
      <c r="B9474">
        <v>18.886900000000001</v>
      </c>
    </row>
    <row r="9475" spans="1:2">
      <c r="A9475" s="117">
        <v>43029</v>
      </c>
      <c r="B9475">
        <v>18.8248</v>
      </c>
    </row>
    <row r="9476" spans="1:2">
      <c r="A9476" s="117">
        <v>43030</v>
      </c>
      <c r="B9476">
        <v>18.8248</v>
      </c>
    </row>
    <row r="9477" spans="1:2">
      <c r="A9477" s="117">
        <v>43031</v>
      </c>
      <c r="B9477">
        <v>18.8248</v>
      </c>
    </row>
    <row r="9478" spans="1:2">
      <c r="A9478" s="117">
        <v>43032</v>
      </c>
      <c r="B9478">
        <v>19.007999999999999</v>
      </c>
    </row>
    <row r="9479" spans="1:2">
      <c r="A9479" s="117">
        <v>43033</v>
      </c>
      <c r="B9479">
        <v>19.0489</v>
      </c>
    </row>
    <row r="9480" spans="1:2">
      <c r="A9480" s="117">
        <v>43034</v>
      </c>
      <c r="B9480">
        <v>19.200900000000001</v>
      </c>
    </row>
    <row r="9481" spans="1:2">
      <c r="A9481" s="117">
        <v>43035</v>
      </c>
      <c r="B9481">
        <v>19.077000000000002</v>
      </c>
    </row>
    <row r="9482" spans="1:2">
      <c r="A9482" s="117">
        <v>43036</v>
      </c>
      <c r="B9482">
        <v>19.096</v>
      </c>
    </row>
    <row r="9483" spans="1:2">
      <c r="A9483" s="117">
        <v>43037</v>
      </c>
      <c r="B9483">
        <v>19.096</v>
      </c>
    </row>
    <row r="9484" spans="1:2">
      <c r="A9484" s="117">
        <v>43038</v>
      </c>
      <c r="B9484">
        <v>19.096</v>
      </c>
    </row>
    <row r="9485" spans="1:2">
      <c r="A9485" s="117">
        <v>43039</v>
      </c>
      <c r="B9485">
        <v>19.147400000000001</v>
      </c>
    </row>
    <row r="9486" spans="1:2">
      <c r="A9486" s="117">
        <v>43040</v>
      </c>
      <c r="B9486">
        <v>19.218800000000002</v>
      </c>
    </row>
    <row r="9487" spans="1:2">
      <c r="A9487" s="117">
        <v>43041</v>
      </c>
      <c r="B9487">
        <v>19.1478</v>
      </c>
    </row>
    <row r="9488" spans="1:2">
      <c r="A9488" s="117">
        <v>43042</v>
      </c>
      <c r="B9488">
        <v>19.1478</v>
      </c>
    </row>
    <row r="9489" spans="1:2">
      <c r="A9489" s="117">
        <v>43043</v>
      </c>
      <c r="B9489">
        <v>19.124099999999999</v>
      </c>
    </row>
    <row r="9490" spans="1:2">
      <c r="A9490" s="117">
        <v>43044</v>
      </c>
      <c r="B9490">
        <v>19.124099999999999</v>
      </c>
    </row>
    <row r="9491" spans="1:2">
      <c r="A9491" s="117">
        <v>43045</v>
      </c>
      <c r="B9491">
        <v>19.124099999999999</v>
      </c>
    </row>
    <row r="9492" spans="1:2">
      <c r="A9492" s="117">
        <v>43046</v>
      </c>
      <c r="B9492">
        <v>19.184999999999999</v>
      </c>
    </row>
    <row r="9493" spans="1:2">
      <c r="A9493" s="117">
        <v>43047</v>
      </c>
      <c r="B9493">
        <v>19.081399999999999</v>
      </c>
    </row>
    <row r="9494" spans="1:2">
      <c r="A9494" s="117">
        <v>43048</v>
      </c>
      <c r="B9494">
        <v>19.134899999999998</v>
      </c>
    </row>
    <row r="9495" spans="1:2">
      <c r="A9495" s="117">
        <v>43049</v>
      </c>
      <c r="B9495">
        <v>19.0718</v>
      </c>
    </row>
    <row r="9496" spans="1:2">
      <c r="A9496" s="117">
        <v>43050</v>
      </c>
      <c r="B9496">
        <v>19.09</v>
      </c>
    </row>
    <row r="9497" spans="1:2">
      <c r="A9497" s="117">
        <v>43051</v>
      </c>
      <c r="B9497">
        <v>19.09</v>
      </c>
    </row>
    <row r="9498" spans="1:2">
      <c r="A9498" s="117">
        <v>43052</v>
      </c>
      <c r="B9498">
        <v>19.09</v>
      </c>
    </row>
    <row r="9499" spans="1:2">
      <c r="A9499" s="117">
        <v>43053</v>
      </c>
      <c r="B9499">
        <v>19.052600000000002</v>
      </c>
    </row>
    <row r="9500" spans="1:2">
      <c r="A9500" s="117">
        <v>43054</v>
      </c>
      <c r="B9500">
        <v>19.167999999999999</v>
      </c>
    </row>
    <row r="9501" spans="1:2">
      <c r="A9501" s="117">
        <v>43055</v>
      </c>
      <c r="B9501">
        <v>19.133400000000002</v>
      </c>
    </row>
    <row r="9502" spans="1:2">
      <c r="A9502" s="117">
        <v>43056</v>
      </c>
      <c r="B9502">
        <v>19.226800000000001</v>
      </c>
    </row>
    <row r="9503" spans="1:2">
      <c r="A9503" s="117">
        <v>43057</v>
      </c>
      <c r="B9503">
        <v>19.122399999999999</v>
      </c>
    </row>
    <row r="9504" spans="1:2">
      <c r="A9504" s="117">
        <v>43058</v>
      </c>
      <c r="B9504">
        <v>19.122399999999999</v>
      </c>
    </row>
    <row r="9505" spans="1:2">
      <c r="A9505" s="117">
        <v>43059</v>
      </c>
      <c r="B9505">
        <v>19.122399999999999</v>
      </c>
    </row>
    <row r="9506" spans="1:2">
      <c r="A9506" s="117">
        <v>43060</v>
      </c>
      <c r="B9506">
        <v>19.122399999999999</v>
      </c>
    </row>
    <row r="9507" spans="1:2">
      <c r="A9507" s="117">
        <v>43061</v>
      </c>
      <c r="B9507">
        <v>18.9724</v>
      </c>
    </row>
    <row r="9508" spans="1:2">
      <c r="A9508" s="117">
        <v>43062</v>
      </c>
      <c r="B9508">
        <v>18.824200000000001</v>
      </c>
    </row>
    <row r="9509" spans="1:2">
      <c r="A9509" s="117">
        <v>43063</v>
      </c>
      <c r="B9509">
        <v>18.739999999999998</v>
      </c>
    </row>
    <row r="9510" spans="1:2">
      <c r="A9510" s="117">
        <v>43064</v>
      </c>
      <c r="B9510">
        <v>18.604099999999999</v>
      </c>
    </row>
    <row r="9511" spans="1:2">
      <c r="A9511" s="117">
        <v>43065</v>
      </c>
      <c r="B9511">
        <v>18.604099999999999</v>
      </c>
    </row>
    <row r="9512" spans="1:2">
      <c r="A9512" s="117">
        <v>43066</v>
      </c>
      <c r="B9512">
        <v>18.604099999999999</v>
      </c>
    </row>
    <row r="9513" spans="1:2">
      <c r="A9513" s="117">
        <v>43067</v>
      </c>
      <c r="B9513">
        <v>18.5379</v>
      </c>
    </row>
    <row r="9514" spans="1:2">
      <c r="A9514" s="117">
        <v>43068</v>
      </c>
      <c r="B9514">
        <v>18.52</v>
      </c>
    </row>
    <row r="9515" spans="1:2">
      <c r="A9515" s="117">
        <v>43069</v>
      </c>
      <c r="B9515">
        <v>18.584800000000001</v>
      </c>
    </row>
    <row r="9516" spans="1:2">
      <c r="A9516" s="117">
        <v>43070</v>
      </c>
      <c r="B9516">
        <v>18.518999999999998</v>
      </c>
    </row>
    <row r="9517" spans="1:2">
      <c r="A9517" s="117">
        <v>43071</v>
      </c>
      <c r="B9517">
        <v>18.622900000000001</v>
      </c>
    </row>
    <row r="9518" spans="1:2">
      <c r="A9518" s="117">
        <v>43072</v>
      </c>
      <c r="B9518">
        <v>18.622900000000001</v>
      </c>
    </row>
    <row r="9519" spans="1:2">
      <c r="A9519" s="117">
        <v>43073</v>
      </c>
      <c r="B9519">
        <v>18.622900000000001</v>
      </c>
    </row>
    <row r="9520" spans="1:2">
      <c r="A9520" s="117">
        <v>43074</v>
      </c>
      <c r="B9520">
        <v>18.639900000000001</v>
      </c>
    </row>
    <row r="9521" spans="1:2">
      <c r="A9521" s="117">
        <v>43075</v>
      </c>
      <c r="B9521">
        <v>18.641999999999999</v>
      </c>
    </row>
    <row r="9522" spans="1:2">
      <c r="A9522" s="117">
        <v>43076</v>
      </c>
      <c r="B9522">
        <v>18.695799999999998</v>
      </c>
    </row>
    <row r="9523" spans="1:2">
      <c r="A9523" s="117">
        <v>43077</v>
      </c>
      <c r="B9523">
        <v>18.889700000000001</v>
      </c>
    </row>
    <row r="9524" spans="1:2">
      <c r="A9524" s="117">
        <v>43078</v>
      </c>
      <c r="B9524">
        <v>18.9315</v>
      </c>
    </row>
    <row r="9525" spans="1:2">
      <c r="A9525" s="117">
        <v>43079</v>
      </c>
      <c r="B9525">
        <v>18.9315</v>
      </c>
    </row>
    <row r="9526" spans="1:2">
      <c r="A9526" s="117">
        <v>43080</v>
      </c>
      <c r="B9526">
        <v>18.9315</v>
      </c>
    </row>
    <row r="9527" spans="1:2">
      <c r="A9527" s="117">
        <v>43081</v>
      </c>
      <c r="B9527">
        <v>18.944500000000001</v>
      </c>
    </row>
    <row r="9528" spans="1:2">
      <c r="A9528" s="117">
        <v>43082</v>
      </c>
      <c r="B9528">
        <v>18.944500000000001</v>
      </c>
    </row>
    <row r="9529" spans="1:2">
      <c r="A9529" s="117">
        <v>43083</v>
      </c>
      <c r="B9529">
        <v>18.974</v>
      </c>
    </row>
    <row r="9530" spans="1:2">
      <c r="A9530" s="117">
        <v>43084</v>
      </c>
      <c r="B9530">
        <v>19.139099999999999</v>
      </c>
    </row>
    <row r="9531" spans="1:2">
      <c r="A9531" s="117">
        <v>43085</v>
      </c>
      <c r="B9531">
        <v>19.120200000000001</v>
      </c>
    </row>
    <row r="9532" spans="1:2">
      <c r="A9532" s="117">
        <v>43086</v>
      </c>
      <c r="B9532">
        <v>19.120200000000001</v>
      </c>
    </row>
    <row r="9533" spans="1:2">
      <c r="A9533" s="117">
        <v>43087</v>
      </c>
      <c r="B9533">
        <v>19.120200000000001</v>
      </c>
    </row>
    <row r="9534" spans="1:2">
      <c r="A9534" s="117">
        <v>43088</v>
      </c>
      <c r="B9534">
        <v>19.128900000000002</v>
      </c>
    </row>
    <row r="9535" spans="1:2">
      <c r="A9535" s="117">
        <v>43089</v>
      </c>
      <c r="B9535">
        <v>19.0289</v>
      </c>
    </row>
    <row r="9536" spans="1:2">
      <c r="A9536" s="117">
        <v>43090</v>
      </c>
      <c r="B9536">
        <v>19.191299999999998</v>
      </c>
    </row>
    <row r="9537" spans="1:2">
      <c r="A9537" s="117">
        <v>43091</v>
      </c>
      <c r="B9537">
        <v>19.229099999999999</v>
      </c>
    </row>
    <row r="9538" spans="1:2">
      <c r="A9538" s="117">
        <v>43092</v>
      </c>
      <c r="B9538">
        <v>19.3962</v>
      </c>
    </row>
    <row r="9539" spans="1:2">
      <c r="A9539" s="117">
        <v>43093</v>
      </c>
      <c r="B9539">
        <v>19.3962</v>
      </c>
    </row>
    <row r="9540" spans="1:2">
      <c r="A9540" s="117">
        <v>43094</v>
      </c>
      <c r="B9540">
        <v>19.3962</v>
      </c>
    </row>
    <row r="9541" spans="1:2">
      <c r="A9541" s="117">
        <v>43095</v>
      </c>
      <c r="B9541">
        <v>19.3962</v>
      </c>
    </row>
    <row r="9542" spans="1:2">
      <c r="A9542" s="117">
        <v>43096</v>
      </c>
      <c r="B9542">
        <v>19.584800000000001</v>
      </c>
    </row>
    <row r="9543" spans="1:2">
      <c r="A9543" s="117">
        <v>43097</v>
      </c>
      <c r="B9543">
        <v>19.722300000000001</v>
      </c>
    </row>
    <row r="9544" spans="1:2">
      <c r="A9544" s="117">
        <v>43098</v>
      </c>
      <c r="B9544">
        <v>19.7867</v>
      </c>
    </row>
    <row r="9545" spans="1:2">
      <c r="A9545" s="117">
        <v>43099</v>
      </c>
      <c r="B9545">
        <v>19.735399999999998</v>
      </c>
    </row>
    <row r="9546" spans="1:2">
      <c r="A9546" s="117">
        <v>43100</v>
      </c>
      <c r="B9546">
        <v>19.735399999999998</v>
      </c>
    </row>
    <row r="9547" spans="1:2">
      <c r="A9547" s="117">
        <v>43101</v>
      </c>
      <c r="B9547">
        <v>19.735399999999998</v>
      </c>
    </row>
    <row r="9548" spans="1:2">
      <c r="A9548" s="117">
        <v>43102</v>
      </c>
      <c r="B9548">
        <v>19.735399999999998</v>
      </c>
    </row>
    <row r="9549" spans="1:2">
      <c r="A9549" s="117">
        <v>43103</v>
      </c>
      <c r="B9549">
        <v>19.6629</v>
      </c>
    </row>
    <row r="9550" spans="1:2">
      <c r="A9550" s="117">
        <v>43104</v>
      </c>
      <c r="B9550">
        <v>19.489899999999999</v>
      </c>
    </row>
    <row r="9551" spans="1:2">
      <c r="A9551" s="117">
        <v>43105</v>
      </c>
      <c r="B9551">
        <v>19.371700000000001</v>
      </c>
    </row>
    <row r="9552" spans="1:2">
      <c r="A9552" s="117">
        <v>43106</v>
      </c>
      <c r="B9552">
        <v>19.242699999999999</v>
      </c>
    </row>
    <row r="9553" spans="1:2">
      <c r="A9553" s="117">
        <v>43107</v>
      </c>
      <c r="B9553">
        <v>19.242699999999999</v>
      </c>
    </row>
    <row r="9554" spans="1:2">
      <c r="A9554" s="117">
        <v>43108</v>
      </c>
      <c r="B9554">
        <v>19.242699999999999</v>
      </c>
    </row>
    <row r="9555" spans="1:2">
      <c r="A9555" s="117">
        <v>43109</v>
      </c>
      <c r="B9555">
        <v>19.273700000000002</v>
      </c>
    </row>
    <row r="9556" spans="1:2">
      <c r="A9556" s="117">
        <v>43110</v>
      </c>
      <c r="B9556">
        <v>19.232299999999999</v>
      </c>
    </row>
    <row r="9557" spans="1:2">
      <c r="A9557" s="117">
        <v>43111</v>
      </c>
      <c r="B9557">
        <v>19.3065</v>
      </c>
    </row>
    <row r="9558" spans="1:2">
      <c r="A9558" s="117">
        <v>43112</v>
      </c>
      <c r="B9558">
        <v>19.240500000000001</v>
      </c>
    </row>
    <row r="9559" spans="1:2">
      <c r="A9559" s="117">
        <v>43113</v>
      </c>
      <c r="B9559">
        <v>19.343299999999999</v>
      </c>
    </row>
    <row r="9560" spans="1:2">
      <c r="A9560" s="117">
        <v>43114</v>
      </c>
      <c r="B9560">
        <v>19.343299999999999</v>
      </c>
    </row>
    <row r="9561" spans="1:2">
      <c r="A9561" s="117">
        <v>43115</v>
      </c>
      <c r="B9561">
        <v>19.343299999999999</v>
      </c>
    </row>
    <row r="9562" spans="1:2">
      <c r="A9562" s="117">
        <v>43116</v>
      </c>
      <c r="B9562">
        <v>19.044599999999999</v>
      </c>
    </row>
    <row r="9563" spans="1:2">
      <c r="A9563" s="117">
        <v>43117</v>
      </c>
      <c r="B9563">
        <v>18.811299999999999</v>
      </c>
    </row>
    <row r="9564" spans="1:2">
      <c r="A9564" s="117">
        <v>43118</v>
      </c>
      <c r="B9564">
        <v>18.836200000000002</v>
      </c>
    </row>
    <row r="9565" spans="1:2">
      <c r="A9565" s="117">
        <v>43119</v>
      </c>
      <c r="B9565">
        <v>18.655000000000001</v>
      </c>
    </row>
    <row r="9566" spans="1:2">
      <c r="A9566" s="117">
        <v>43120</v>
      </c>
      <c r="B9566">
        <v>18.636099999999999</v>
      </c>
    </row>
    <row r="9567" spans="1:2">
      <c r="A9567" s="117">
        <v>43121</v>
      </c>
      <c r="B9567">
        <v>18.636099999999999</v>
      </c>
    </row>
    <row r="9568" spans="1:2">
      <c r="A9568" s="117">
        <v>43122</v>
      </c>
      <c r="B9568">
        <v>18.636099999999999</v>
      </c>
    </row>
    <row r="9569" spans="1:2">
      <c r="A9569" s="117">
        <v>43123</v>
      </c>
      <c r="B9569">
        <v>18.581299999999999</v>
      </c>
    </row>
    <row r="9570" spans="1:2">
      <c r="A9570" s="117">
        <v>43124</v>
      </c>
      <c r="B9570">
        <v>18.7118</v>
      </c>
    </row>
    <row r="9571" spans="1:2">
      <c r="A9571" s="117">
        <v>43125</v>
      </c>
      <c r="B9571">
        <v>18.797999999999998</v>
      </c>
    </row>
    <row r="9572" spans="1:2">
      <c r="A9572" s="117">
        <v>43126</v>
      </c>
      <c r="B9572">
        <v>18.517800000000001</v>
      </c>
    </row>
    <row r="9573" spans="1:2">
      <c r="A9573" s="117">
        <v>43127</v>
      </c>
      <c r="B9573">
        <v>18.478000000000002</v>
      </c>
    </row>
    <row r="9574" spans="1:2">
      <c r="A9574" s="117">
        <v>43128</v>
      </c>
      <c r="B9574">
        <v>18.478000000000002</v>
      </c>
    </row>
    <row r="9575" spans="1:2">
      <c r="A9575" s="117">
        <v>43129</v>
      </c>
      <c r="B9575">
        <v>18.478000000000002</v>
      </c>
    </row>
    <row r="9576" spans="1:2">
      <c r="A9576" s="117">
        <v>43130</v>
      </c>
      <c r="B9576">
        <v>18.467199999999998</v>
      </c>
    </row>
    <row r="9577" spans="1:2">
      <c r="A9577" s="117">
        <v>43131</v>
      </c>
      <c r="B9577">
        <v>18.619599999999998</v>
      </c>
    </row>
    <row r="9578" spans="1:2">
      <c r="A9578" s="117">
        <v>43132</v>
      </c>
      <c r="B9578">
        <v>18.6982</v>
      </c>
    </row>
    <row r="9579" spans="1:2">
      <c r="A9579" s="117">
        <v>43133</v>
      </c>
      <c r="B9579">
        <v>18.6069</v>
      </c>
    </row>
    <row r="9580" spans="1:2">
      <c r="A9580" s="117">
        <v>43134</v>
      </c>
      <c r="B9580">
        <v>18.400400000000001</v>
      </c>
    </row>
    <row r="9581" spans="1:2">
      <c r="A9581" s="117">
        <v>43135</v>
      </c>
      <c r="B9581">
        <v>18.400400000000001</v>
      </c>
    </row>
    <row r="9582" spans="1:2">
      <c r="A9582" s="117">
        <v>43136</v>
      </c>
      <c r="B9582">
        <v>18.400400000000001</v>
      </c>
    </row>
    <row r="9583" spans="1:2">
      <c r="A9583" s="117">
        <v>43137</v>
      </c>
      <c r="B9583">
        <v>18.400400000000001</v>
      </c>
    </row>
    <row r="9584" spans="1:2">
      <c r="A9584" s="117">
        <v>43138</v>
      </c>
      <c r="B9584">
        <v>18.524799999999999</v>
      </c>
    </row>
    <row r="9585" spans="1:2">
      <c r="A9585" s="117">
        <v>43139</v>
      </c>
      <c r="B9585">
        <v>18.700900000000001</v>
      </c>
    </row>
    <row r="9586" spans="1:2">
      <c r="A9586" s="117">
        <v>43140</v>
      </c>
      <c r="B9586">
        <v>18.6492</v>
      </c>
    </row>
    <row r="9587" spans="1:2">
      <c r="A9587" s="117">
        <v>43141</v>
      </c>
      <c r="B9587">
        <v>18.881499999999999</v>
      </c>
    </row>
    <row r="9588" spans="1:2">
      <c r="A9588" s="117">
        <v>43142</v>
      </c>
      <c r="B9588">
        <v>18.881499999999999</v>
      </c>
    </row>
    <row r="9589" spans="1:2">
      <c r="A9589" s="117">
        <v>43143</v>
      </c>
      <c r="B9589">
        <v>18.881499999999999</v>
      </c>
    </row>
    <row r="9590" spans="1:2">
      <c r="A9590" s="117">
        <v>43144</v>
      </c>
      <c r="B9590">
        <v>18.862300000000001</v>
      </c>
    </row>
    <row r="9591" spans="1:2">
      <c r="A9591" s="117">
        <v>43145</v>
      </c>
      <c r="B9591">
        <v>18.670300000000001</v>
      </c>
    </row>
    <row r="9592" spans="1:2">
      <c r="A9592" s="117">
        <v>43146</v>
      </c>
      <c r="B9592">
        <v>18.626899999999999</v>
      </c>
    </row>
    <row r="9593" spans="1:2">
      <c r="A9593" s="117">
        <v>43147</v>
      </c>
      <c r="B9593">
        <v>18.602499999999999</v>
      </c>
    </row>
    <row r="9594" spans="1:2">
      <c r="A9594" s="117">
        <v>43148</v>
      </c>
      <c r="B9594">
        <v>18.515899999999998</v>
      </c>
    </row>
    <row r="9595" spans="1:2">
      <c r="A9595" s="117">
        <v>43149</v>
      </c>
      <c r="B9595">
        <v>18.515899999999998</v>
      </c>
    </row>
    <row r="9596" spans="1:2">
      <c r="A9596" s="117">
        <v>43150</v>
      </c>
      <c r="B9596">
        <v>18.515899999999998</v>
      </c>
    </row>
    <row r="9597" spans="1:2">
      <c r="A9597" s="117">
        <v>43151</v>
      </c>
      <c r="B9597">
        <v>18.479700000000001</v>
      </c>
    </row>
    <row r="9598" spans="1:2">
      <c r="A9598" s="117">
        <v>43152</v>
      </c>
      <c r="B9598">
        <v>18.536000000000001</v>
      </c>
    </row>
    <row r="9599" spans="1:2">
      <c r="A9599" s="117">
        <v>43153</v>
      </c>
      <c r="B9599">
        <v>18.659400000000002</v>
      </c>
    </row>
    <row r="9600" spans="1:2">
      <c r="A9600" s="117">
        <v>43154</v>
      </c>
      <c r="B9600">
        <v>18.651800000000001</v>
      </c>
    </row>
    <row r="9601" spans="1:2">
      <c r="A9601" s="117">
        <v>43155</v>
      </c>
      <c r="B9601">
        <v>18.657399999999999</v>
      </c>
    </row>
    <row r="9602" spans="1:2">
      <c r="A9602" s="117">
        <v>43156</v>
      </c>
      <c r="B9602">
        <v>18.657399999999999</v>
      </c>
    </row>
    <row r="9603" spans="1:2">
      <c r="A9603" s="117">
        <v>43157</v>
      </c>
      <c r="B9603">
        <v>18.657399999999999</v>
      </c>
    </row>
    <row r="9604" spans="1:2">
      <c r="A9604" s="117">
        <v>43158</v>
      </c>
      <c r="B9604">
        <v>18.565899999999999</v>
      </c>
    </row>
    <row r="9605" spans="1:2">
      <c r="A9605" s="117">
        <v>43159</v>
      </c>
      <c r="B9605">
        <v>18.645600000000002</v>
      </c>
    </row>
    <row r="9606" spans="1:2">
      <c r="A9606" s="117">
        <v>43160</v>
      </c>
      <c r="B9606">
        <v>18.790199999999999</v>
      </c>
    </row>
    <row r="9607" spans="1:2">
      <c r="A9607" s="117">
        <v>43161</v>
      </c>
      <c r="B9607">
        <v>18.833100000000002</v>
      </c>
    </row>
    <row r="9608" spans="1:2">
      <c r="A9608" s="117">
        <v>43162</v>
      </c>
      <c r="B9608">
        <v>18.861000000000001</v>
      </c>
    </row>
    <row r="9609" spans="1:2">
      <c r="A9609" s="117">
        <v>43163</v>
      </c>
      <c r="B9609">
        <v>18.861000000000001</v>
      </c>
    </row>
    <row r="9610" spans="1:2">
      <c r="A9610" s="117">
        <v>43164</v>
      </c>
      <c r="B9610">
        <v>18.861000000000001</v>
      </c>
    </row>
    <row r="9611" spans="1:2">
      <c r="A9611" s="117">
        <v>43165</v>
      </c>
      <c r="B9611">
        <v>18.890899999999998</v>
      </c>
    </row>
    <row r="9612" spans="1:2">
      <c r="A9612" s="117">
        <v>43166</v>
      </c>
      <c r="B9612">
        <v>18.883800000000001</v>
      </c>
    </row>
    <row r="9613" spans="1:2">
      <c r="A9613" s="117">
        <v>43167</v>
      </c>
      <c r="B9613">
        <v>18.724599999999999</v>
      </c>
    </row>
    <row r="9614" spans="1:2">
      <c r="A9614" s="117">
        <v>43168</v>
      </c>
      <c r="B9614">
        <v>18.792200000000001</v>
      </c>
    </row>
    <row r="9615" spans="1:2">
      <c r="A9615" s="117">
        <v>43169</v>
      </c>
      <c r="B9615">
        <v>18.7148</v>
      </c>
    </row>
    <row r="9616" spans="1:2">
      <c r="A9616" s="117">
        <v>43170</v>
      </c>
      <c r="B9616">
        <v>18.7148</v>
      </c>
    </row>
    <row r="9617" spans="1:2">
      <c r="A9617" s="117">
        <v>43171</v>
      </c>
      <c r="B9617">
        <v>18.7148</v>
      </c>
    </row>
    <row r="9618" spans="1:2">
      <c r="A9618" s="117">
        <v>43172</v>
      </c>
      <c r="B9618">
        <v>18.581199999999999</v>
      </c>
    </row>
    <row r="9619" spans="1:2">
      <c r="A9619" s="117">
        <v>43173</v>
      </c>
      <c r="B9619">
        <v>18.619900000000001</v>
      </c>
    </row>
    <row r="9620" spans="1:2">
      <c r="A9620" s="117">
        <v>43174</v>
      </c>
      <c r="B9620">
        <v>18.560400000000001</v>
      </c>
    </row>
    <row r="9621" spans="1:2">
      <c r="A9621" s="117">
        <v>43175</v>
      </c>
      <c r="B9621">
        <v>18.5854</v>
      </c>
    </row>
    <row r="9622" spans="1:2">
      <c r="A9622" s="117">
        <v>43176</v>
      </c>
      <c r="B9622">
        <v>18.702300000000001</v>
      </c>
    </row>
    <row r="9623" spans="1:2">
      <c r="A9623" s="117">
        <v>43177</v>
      </c>
      <c r="B9623">
        <v>18.702300000000001</v>
      </c>
    </row>
    <row r="9624" spans="1:2">
      <c r="A9624" s="117">
        <v>43178</v>
      </c>
      <c r="B9624">
        <v>18.702300000000001</v>
      </c>
    </row>
    <row r="9625" spans="1:2">
      <c r="A9625" s="117">
        <v>43179</v>
      </c>
      <c r="B9625">
        <v>18.702300000000001</v>
      </c>
    </row>
    <row r="9626" spans="1:2">
      <c r="A9626" s="117">
        <v>43180</v>
      </c>
      <c r="B9626">
        <v>18.721599999999999</v>
      </c>
    </row>
    <row r="9627" spans="1:2">
      <c r="A9627" s="117">
        <v>43181</v>
      </c>
      <c r="B9627">
        <v>18.761399999999998</v>
      </c>
    </row>
    <row r="9628" spans="1:2">
      <c r="A9628" s="117">
        <v>43182</v>
      </c>
      <c r="B9628">
        <v>18.600100000000001</v>
      </c>
    </row>
    <row r="9629" spans="1:2">
      <c r="A9629" s="117">
        <v>43183</v>
      </c>
      <c r="B9629">
        <v>18.5078</v>
      </c>
    </row>
    <row r="9630" spans="1:2">
      <c r="A9630" s="117">
        <v>43184</v>
      </c>
      <c r="B9630">
        <v>18.5078</v>
      </c>
    </row>
    <row r="9631" spans="1:2">
      <c r="A9631" s="117">
        <v>43185</v>
      </c>
      <c r="B9631">
        <v>18.5078</v>
      </c>
    </row>
    <row r="9632" spans="1:2">
      <c r="A9632" s="117">
        <v>43186</v>
      </c>
      <c r="B9632">
        <v>18.5364</v>
      </c>
    </row>
    <row r="9633" spans="1:2">
      <c r="A9633" s="117">
        <v>43187</v>
      </c>
      <c r="B9633">
        <v>18.326799999999999</v>
      </c>
    </row>
    <row r="9634" spans="1:2">
      <c r="A9634" s="117">
        <v>43188</v>
      </c>
      <c r="B9634">
        <v>18.3445</v>
      </c>
    </row>
    <row r="9635" spans="1:2">
      <c r="A9635" s="117">
        <v>43189</v>
      </c>
      <c r="B9635">
        <v>18.3445</v>
      </c>
    </row>
    <row r="9636" spans="1:2">
      <c r="A9636" s="117">
        <v>43190</v>
      </c>
      <c r="B9636">
        <v>18.3445</v>
      </c>
    </row>
    <row r="9637" spans="1:2">
      <c r="A9637" s="117">
        <v>43191</v>
      </c>
      <c r="B9637">
        <v>18.3445</v>
      </c>
    </row>
    <row r="9638" spans="1:2">
      <c r="A9638" s="117">
        <v>43192</v>
      </c>
      <c r="B9638">
        <v>18.3445</v>
      </c>
    </row>
    <row r="9639" spans="1:2">
      <c r="A9639" s="117">
        <v>43193</v>
      </c>
      <c r="B9639">
        <v>18.270900000000001</v>
      </c>
    </row>
    <row r="9640" spans="1:2">
      <c r="A9640" s="117">
        <v>43194</v>
      </c>
      <c r="B9640">
        <v>18.296700000000001</v>
      </c>
    </row>
    <row r="9641" spans="1:2">
      <c r="A9641" s="117">
        <v>43195</v>
      </c>
      <c r="B9641">
        <v>18.2044</v>
      </c>
    </row>
    <row r="9642" spans="1:2">
      <c r="A9642" s="117">
        <v>43196</v>
      </c>
      <c r="B9642">
        <v>18.224399999999999</v>
      </c>
    </row>
    <row r="9643" spans="1:2">
      <c r="A9643" s="117">
        <v>43197</v>
      </c>
      <c r="B9643">
        <v>18.1081</v>
      </c>
    </row>
    <row r="9644" spans="1:2">
      <c r="A9644" s="117">
        <v>43198</v>
      </c>
      <c r="B9644">
        <v>18.1081</v>
      </c>
    </row>
    <row r="9645" spans="1:2">
      <c r="A9645" s="117">
        <v>43199</v>
      </c>
      <c r="B9645">
        <v>18.1081</v>
      </c>
    </row>
    <row r="9646" spans="1:2">
      <c r="A9646" s="117">
        <v>43200</v>
      </c>
      <c r="B9646">
        <v>18.288799999999998</v>
      </c>
    </row>
    <row r="9647" spans="1:2">
      <c r="A9647" s="117">
        <v>43201</v>
      </c>
      <c r="B9647">
        <v>18.275300000000001</v>
      </c>
    </row>
    <row r="9648" spans="1:2">
      <c r="A9648" s="117">
        <v>43202</v>
      </c>
      <c r="B9648">
        <v>18.2882</v>
      </c>
    </row>
    <row r="9649" spans="1:2">
      <c r="A9649" s="117">
        <v>43203</v>
      </c>
      <c r="B9649">
        <v>18.201799999999999</v>
      </c>
    </row>
    <row r="9650" spans="1:2">
      <c r="A9650" s="117">
        <v>43204</v>
      </c>
      <c r="B9650">
        <v>18.135300000000001</v>
      </c>
    </row>
    <row r="9651" spans="1:2">
      <c r="A9651" s="117">
        <v>43205</v>
      </c>
      <c r="B9651">
        <v>18.135300000000001</v>
      </c>
    </row>
    <row r="9652" spans="1:2">
      <c r="A9652" s="117">
        <v>43206</v>
      </c>
      <c r="B9652">
        <v>18.135300000000001</v>
      </c>
    </row>
    <row r="9653" spans="1:2">
      <c r="A9653" s="117">
        <v>43207</v>
      </c>
      <c r="B9653">
        <v>18.087</v>
      </c>
    </row>
    <row r="9654" spans="1:2">
      <c r="A9654" s="117">
        <v>43208</v>
      </c>
      <c r="B9654">
        <v>18.039400000000001</v>
      </c>
    </row>
    <row r="9655" spans="1:2">
      <c r="A9655" s="117">
        <v>43209</v>
      </c>
      <c r="B9655">
        <v>17.9787</v>
      </c>
    </row>
    <row r="9656" spans="1:2">
      <c r="A9656" s="117">
        <v>43210</v>
      </c>
      <c r="B9656">
        <v>18.033300000000001</v>
      </c>
    </row>
    <row r="9657" spans="1:2">
      <c r="A9657" s="117">
        <v>43211</v>
      </c>
      <c r="B9657">
        <v>18.2819</v>
      </c>
    </row>
    <row r="9658" spans="1:2">
      <c r="A9658" s="117">
        <v>43212</v>
      </c>
      <c r="B9658">
        <v>18.2819</v>
      </c>
    </row>
    <row r="9659" spans="1:2">
      <c r="A9659" s="117">
        <v>43213</v>
      </c>
      <c r="B9659">
        <v>18.2819</v>
      </c>
    </row>
    <row r="9660" spans="1:2">
      <c r="A9660" s="117">
        <v>43214</v>
      </c>
      <c r="B9660">
        <v>18.620999999999999</v>
      </c>
    </row>
    <row r="9661" spans="1:2">
      <c r="A9661" s="117">
        <v>43215</v>
      </c>
      <c r="B9661">
        <v>18.8628</v>
      </c>
    </row>
    <row r="9662" spans="1:2">
      <c r="A9662" s="117">
        <v>43216</v>
      </c>
      <c r="B9662">
        <v>18.8139</v>
      </c>
    </row>
    <row r="9663" spans="1:2">
      <c r="A9663" s="117">
        <v>43217</v>
      </c>
      <c r="B9663">
        <v>19.053000000000001</v>
      </c>
    </row>
    <row r="9664" spans="1:2">
      <c r="A9664" s="117">
        <v>43218</v>
      </c>
      <c r="B9664">
        <v>18.8644</v>
      </c>
    </row>
    <row r="9665" spans="1:2">
      <c r="A9665" s="117">
        <v>43219</v>
      </c>
      <c r="B9665">
        <v>18.8644</v>
      </c>
    </row>
    <row r="9666" spans="1:2">
      <c r="A9666" s="117">
        <v>43220</v>
      </c>
      <c r="B9666">
        <v>18.8644</v>
      </c>
    </row>
    <row r="9667" spans="1:2">
      <c r="A9667" s="117">
        <v>43221</v>
      </c>
      <c r="B9667">
        <v>18.684699999999999</v>
      </c>
    </row>
    <row r="9668" spans="1:2">
      <c r="A9668" s="117">
        <v>43222</v>
      </c>
      <c r="B9668">
        <v>18.684699999999999</v>
      </c>
    </row>
    <row r="9669" spans="1:2">
      <c r="A9669" s="117">
        <v>43223</v>
      </c>
      <c r="B9669">
        <v>18.787800000000001</v>
      </c>
    </row>
    <row r="9670" spans="1:2">
      <c r="A9670" s="117">
        <v>43224</v>
      </c>
      <c r="B9670">
        <v>19.0943</v>
      </c>
    </row>
    <row r="9671" spans="1:2">
      <c r="A9671" s="117">
        <v>43225</v>
      </c>
      <c r="B9671">
        <v>19.122299999999999</v>
      </c>
    </row>
    <row r="9672" spans="1:2">
      <c r="A9672" s="117">
        <v>43226</v>
      </c>
      <c r="B9672">
        <v>19.122299999999999</v>
      </c>
    </row>
    <row r="9673" spans="1:2">
      <c r="A9673" s="117">
        <v>43227</v>
      </c>
      <c r="B9673">
        <v>19.122299999999999</v>
      </c>
    </row>
    <row r="9674" spans="1:2">
      <c r="A9674" s="117">
        <v>43228</v>
      </c>
      <c r="B9674">
        <v>19.201699999999999</v>
      </c>
    </row>
    <row r="9675" spans="1:2">
      <c r="A9675" s="117">
        <v>43229</v>
      </c>
      <c r="B9675">
        <v>19.423200000000001</v>
      </c>
    </row>
    <row r="9676" spans="1:2">
      <c r="A9676" s="117">
        <v>43230</v>
      </c>
      <c r="B9676">
        <v>19.578099999999999</v>
      </c>
    </row>
    <row r="9677" spans="1:2">
      <c r="A9677" s="117">
        <v>43231</v>
      </c>
      <c r="B9677">
        <v>19.538699999999999</v>
      </c>
    </row>
    <row r="9678" spans="1:2">
      <c r="A9678" s="117">
        <v>43232</v>
      </c>
      <c r="B9678">
        <v>19.2989</v>
      </c>
    </row>
    <row r="9679" spans="1:2">
      <c r="A9679" s="117">
        <v>43233</v>
      </c>
      <c r="B9679">
        <v>19.2989</v>
      </c>
    </row>
    <row r="9680" spans="1:2">
      <c r="A9680" s="117">
        <v>43234</v>
      </c>
      <c r="B9680">
        <v>19.2989</v>
      </c>
    </row>
    <row r="9681" spans="1:2">
      <c r="A9681" s="117">
        <v>43235</v>
      </c>
      <c r="B9681">
        <v>19.353899999999999</v>
      </c>
    </row>
    <row r="9682" spans="1:2">
      <c r="A9682" s="117">
        <v>43236</v>
      </c>
      <c r="B9682">
        <v>19.5214</v>
      </c>
    </row>
    <row r="9683" spans="1:2">
      <c r="A9683" s="117">
        <v>43237</v>
      </c>
      <c r="B9683">
        <v>19.785399999999999</v>
      </c>
    </row>
    <row r="9684" spans="1:2">
      <c r="A9684" s="117">
        <v>43238</v>
      </c>
      <c r="B9684">
        <v>19.709399999999999</v>
      </c>
    </row>
    <row r="9685" spans="1:2">
      <c r="A9685" s="117">
        <v>43239</v>
      </c>
      <c r="B9685">
        <v>19.703299999999999</v>
      </c>
    </row>
    <row r="9686" spans="1:2">
      <c r="A9686" s="117">
        <v>43240</v>
      </c>
      <c r="B9686">
        <v>19.703299999999999</v>
      </c>
    </row>
    <row r="9687" spans="1:2">
      <c r="A9687" s="117">
        <v>43241</v>
      </c>
      <c r="B9687">
        <v>19.703299999999999</v>
      </c>
    </row>
    <row r="9688" spans="1:2">
      <c r="A9688" s="117">
        <v>43242</v>
      </c>
      <c r="B9688">
        <v>19.931899999999999</v>
      </c>
    </row>
    <row r="9689" spans="1:2">
      <c r="A9689" s="117">
        <v>43243</v>
      </c>
      <c r="B9689">
        <v>19.9054</v>
      </c>
    </row>
    <row r="9690" spans="1:2">
      <c r="A9690" s="117">
        <v>43244</v>
      </c>
      <c r="B9690">
        <v>19.752800000000001</v>
      </c>
    </row>
    <row r="9691" spans="1:2">
      <c r="A9691" s="117">
        <v>43245</v>
      </c>
      <c r="B9691">
        <v>19.766100000000002</v>
      </c>
    </row>
    <row r="9692" spans="1:2">
      <c r="A9692" s="117">
        <v>43246</v>
      </c>
      <c r="B9692">
        <v>19.704799999999999</v>
      </c>
    </row>
    <row r="9693" spans="1:2">
      <c r="A9693" s="117">
        <v>43247</v>
      </c>
      <c r="B9693">
        <v>19.704799999999999</v>
      </c>
    </row>
    <row r="9694" spans="1:2">
      <c r="A9694" s="117">
        <v>43248</v>
      </c>
      <c r="B9694">
        <v>19.704799999999999</v>
      </c>
    </row>
    <row r="9695" spans="1:2">
      <c r="A9695" s="117">
        <v>43249</v>
      </c>
      <c r="B9695">
        <v>19.5608</v>
      </c>
    </row>
    <row r="9696" spans="1:2">
      <c r="A9696" s="117">
        <v>43250</v>
      </c>
      <c r="B9696">
        <v>19.5915</v>
      </c>
    </row>
    <row r="9697" spans="1:2">
      <c r="A9697" s="117">
        <v>43251</v>
      </c>
      <c r="B9697">
        <v>19.7499</v>
      </c>
    </row>
    <row r="9698" spans="1:2">
      <c r="A9698" s="117">
        <v>43252</v>
      </c>
      <c r="B9698">
        <v>19.732199999999999</v>
      </c>
    </row>
    <row r="9699" spans="1:2">
      <c r="A9699" s="117">
        <v>43253</v>
      </c>
      <c r="B9699">
        <v>19.975899999999999</v>
      </c>
    </row>
    <row r="9700" spans="1:2">
      <c r="A9700" s="117">
        <v>43254</v>
      </c>
      <c r="B9700">
        <v>19.975899999999999</v>
      </c>
    </row>
    <row r="9701" spans="1:2">
      <c r="A9701" s="117">
        <v>43255</v>
      </c>
      <c r="B9701">
        <v>19.975899999999999</v>
      </c>
    </row>
    <row r="9702" spans="1:2">
      <c r="A9702" s="117">
        <v>43256</v>
      </c>
      <c r="B9702">
        <v>19.866199999999999</v>
      </c>
    </row>
    <row r="9703" spans="1:2">
      <c r="A9703" s="117">
        <v>43257</v>
      </c>
      <c r="B9703">
        <v>19.993400000000001</v>
      </c>
    </row>
    <row r="9704" spans="1:2">
      <c r="A9704" s="117">
        <v>43258</v>
      </c>
      <c r="B9704">
        <v>20.386299999999999</v>
      </c>
    </row>
    <row r="9705" spans="1:2">
      <c r="A9705" s="117">
        <v>43259</v>
      </c>
      <c r="B9705">
        <v>20.312899999999999</v>
      </c>
    </row>
    <row r="9706" spans="1:2">
      <c r="A9706" s="117">
        <v>43260</v>
      </c>
      <c r="B9706">
        <v>20.46</v>
      </c>
    </row>
    <row r="9707" spans="1:2">
      <c r="A9707" s="117">
        <v>43261</v>
      </c>
      <c r="B9707">
        <v>20.46</v>
      </c>
    </row>
    <row r="9708" spans="1:2">
      <c r="A9708" s="117">
        <v>43262</v>
      </c>
      <c r="B9708">
        <v>20.46</v>
      </c>
    </row>
    <row r="9709" spans="1:2">
      <c r="A9709" s="117">
        <v>43263</v>
      </c>
      <c r="B9709">
        <v>20.528099999999998</v>
      </c>
    </row>
    <row r="9710" spans="1:2">
      <c r="A9710" s="117">
        <v>43264</v>
      </c>
      <c r="B9710">
        <v>20.472200000000001</v>
      </c>
    </row>
    <row r="9711" spans="1:2">
      <c r="A9711" s="117">
        <v>43265</v>
      </c>
      <c r="B9711">
        <v>20.596</v>
      </c>
    </row>
    <row r="9712" spans="1:2">
      <c r="A9712" s="117">
        <v>43266</v>
      </c>
      <c r="B9712">
        <v>20.625900000000001</v>
      </c>
    </row>
    <row r="9713" spans="1:2">
      <c r="A9713" s="117">
        <v>43267</v>
      </c>
      <c r="B9713">
        <v>20.6953</v>
      </c>
    </row>
    <row r="9714" spans="1:2">
      <c r="A9714" s="117">
        <v>43268</v>
      </c>
      <c r="B9714">
        <v>20.6953</v>
      </c>
    </row>
    <row r="9715" spans="1:2">
      <c r="A9715" s="117">
        <v>43269</v>
      </c>
      <c r="B9715">
        <v>20.6953</v>
      </c>
    </row>
    <row r="9716" spans="1:2">
      <c r="A9716" s="117">
        <v>43270</v>
      </c>
      <c r="B9716">
        <v>20.716000000000001</v>
      </c>
    </row>
    <row r="9717" spans="1:2">
      <c r="A9717" s="117">
        <v>43271</v>
      </c>
      <c r="B9717">
        <v>20.6968</v>
      </c>
    </row>
    <row r="9718" spans="1:2">
      <c r="A9718" s="117">
        <v>43272</v>
      </c>
      <c r="B9718">
        <v>20.553100000000001</v>
      </c>
    </row>
    <row r="9719" spans="1:2">
      <c r="A9719" s="117">
        <v>43273</v>
      </c>
      <c r="B9719">
        <v>20.393699999999999</v>
      </c>
    </row>
    <row r="9720" spans="1:2">
      <c r="A9720" s="117">
        <v>43274</v>
      </c>
      <c r="B9720">
        <v>20.3689</v>
      </c>
    </row>
    <row r="9721" spans="1:2">
      <c r="A9721" s="117">
        <v>43275</v>
      </c>
      <c r="B9721">
        <v>20.3689</v>
      </c>
    </row>
    <row r="9722" spans="1:2">
      <c r="A9722" s="117">
        <v>43276</v>
      </c>
      <c r="B9722">
        <v>20.3689</v>
      </c>
    </row>
    <row r="9723" spans="1:2">
      <c r="A9723" s="117">
        <v>43277</v>
      </c>
      <c r="B9723">
        <v>20.1264</v>
      </c>
    </row>
    <row r="9724" spans="1:2">
      <c r="A9724" s="117">
        <v>43278</v>
      </c>
      <c r="B9724">
        <v>20.090800000000002</v>
      </c>
    </row>
    <row r="9725" spans="1:2">
      <c r="A9725" s="117">
        <v>43279</v>
      </c>
      <c r="B9725">
        <v>19.875399999999999</v>
      </c>
    </row>
    <row r="9726" spans="1:2">
      <c r="A9726" s="117">
        <v>43280</v>
      </c>
      <c r="B9726">
        <v>20.055299999999999</v>
      </c>
    </row>
    <row r="9727" spans="1:2">
      <c r="A9727" s="117">
        <v>43281</v>
      </c>
      <c r="B9727">
        <v>19.863299999999999</v>
      </c>
    </row>
    <row r="9728" spans="1:2">
      <c r="A9728" s="117">
        <v>43282</v>
      </c>
      <c r="B9728">
        <v>19.863299999999999</v>
      </c>
    </row>
    <row r="9729" spans="1:2">
      <c r="A9729" s="117">
        <v>43283</v>
      </c>
      <c r="B9729">
        <v>19.863299999999999</v>
      </c>
    </row>
    <row r="9730" spans="1:2">
      <c r="A9730" s="117">
        <v>43284</v>
      </c>
      <c r="B9730">
        <v>19.691199999999998</v>
      </c>
    </row>
    <row r="9731" spans="1:2">
      <c r="A9731" s="117">
        <v>43285</v>
      </c>
      <c r="B9731">
        <v>20.145299999999999</v>
      </c>
    </row>
    <row r="9732" spans="1:2">
      <c r="A9732" s="117">
        <v>43286</v>
      </c>
      <c r="B9732">
        <v>19.5974</v>
      </c>
    </row>
    <row r="9733" spans="1:2">
      <c r="A9733" s="117">
        <v>43287</v>
      </c>
      <c r="B9733">
        <v>19.4284</v>
      </c>
    </row>
    <row r="9734" spans="1:2">
      <c r="A9734" s="117">
        <v>43288</v>
      </c>
      <c r="B9734">
        <v>19.251300000000001</v>
      </c>
    </row>
    <row r="9735" spans="1:2">
      <c r="A9735" s="117">
        <v>43289</v>
      </c>
      <c r="B9735">
        <v>19.251300000000001</v>
      </c>
    </row>
    <row r="9736" spans="1:2">
      <c r="A9736" s="117">
        <v>43290</v>
      </c>
      <c r="B9736">
        <v>19.251300000000001</v>
      </c>
    </row>
    <row r="9737" spans="1:2">
      <c r="A9737" s="117">
        <v>43291</v>
      </c>
      <c r="B9737">
        <v>19.071899999999999</v>
      </c>
    </row>
    <row r="9738" spans="1:2">
      <c r="A9738" s="117">
        <v>43292</v>
      </c>
      <c r="B9738">
        <v>19.156300000000002</v>
      </c>
    </row>
    <row r="9739" spans="1:2">
      <c r="A9739" s="117">
        <v>43293</v>
      </c>
      <c r="B9739">
        <v>19.055900000000001</v>
      </c>
    </row>
    <row r="9740" spans="1:2">
      <c r="A9740" s="117">
        <v>43294</v>
      </c>
      <c r="B9740">
        <v>18.963200000000001</v>
      </c>
    </row>
    <row r="9741" spans="1:2">
      <c r="A9741" s="117">
        <v>43295</v>
      </c>
      <c r="B9741">
        <v>18.824100000000001</v>
      </c>
    </row>
    <row r="9742" spans="1:2">
      <c r="A9742" s="117">
        <v>43296</v>
      </c>
      <c r="B9742">
        <v>18.824100000000001</v>
      </c>
    </row>
    <row r="9743" spans="1:2">
      <c r="A9743" s="117">
        <v>43297</v>
      </c>
      <c r="B9743">
        <v>18.824100000000001</v>
      </c>
    </row>
    <row r="9744" spans="1:2">
      <c r="A9744" s="117">
        <v>43298</v>
      </c>
      <c r="B9744">
        <v>18.885400000000001</v>
      </c>
    </row>
    <row r="9745" spans="1:2">
      <c r="A9745" s="117">
        <v>43299</v>
      </c>
      <c r="B9745">
        <v>18.835999999999999</v>
      </c>
    </row>
    <row r="9746" spans="1:2">
      <c r="A9746" s="117">
        <v>43300</v>
      </c>
      <c r="B9746">
        <v>18.876300000000001</v>
      </c>
    </row>
    <row r="9747" spans="1:2">
      <c r="A9747" s="117">
        <v>43301</v>
      </c>
      <c r="B9747">
        <v>18.91</v>
      </c>
    </row>
    <row r="9748" spans="1:2">
      <c r="A9748" s="117">
        <v>43302</v>
      </c>
      <c r="B9748">
        <v>19.079000000000001</v>
      </c>
    </row>
    <row r="9749" spans="1:2">
      <c r="A9749" s="117">
        <v>43303</v>
      </c>
      <c r="B9749">
        <v>19.079000000000001</v>
      </c>
    </row>
    <row r="9750" spans="1:2">
      <c r="A9750" s="117">
        <v>43304</v>
      </c>
      <c r="B9750">
        <v>19.079000000000001</v>
      </c>
    </row>
    <row r="9751" spans="1:2">
      <c r="A9751" s="117">
        <v>43305</v>
      </c>
      <c r="B9751">
        <v>19.069400000000002</v>
      </c>
    </row>
    <row r="9752" spans="1:2">
      <c r="A9752" s="117">
        <v>43306</v>
      </c>
      <c r="B9752">
        <v>19.0761</v>
      </c>
    </row>
    <row r="9753" spans="1:2">
      <c r="A9753" s="117">
        <v>43307</v>
      </c>
      <c r="B9753">
        <v>18.8506</v>
      </c>
    </row>
    <row r="9754" spans="1:2">
      <c r="A9754" s="117">
        <v>43308</v>
      </c>
      <c r="B9754">
        <v>18.770900000000001</v>
      </c>
    </row>
    <row r="9755" spans="1:2">
      <c r="A9755" s="117">
        <v>43309</v>
      </c>
      <c r="B9755">
        <v>18.6234</v>
      </c>
    </row>
    <row r="9756" spans="1:2">
      <c r="A9756" s="117">
        <v>43310</v>
      </c>
      <c r="B9756">
        <v>18.6234</v>
      </c>
    </row>
    <row r="9757" spans="1:2">
      <c r="A9757" s="117">
        <v>43311</v>
      </c>
      <c r="B9757">
        <v>18.6234</v>
      </c>
    </row>
    <row r="9758" spans="1:2">
      <c r="A9758" s="117">
        <v>43312</v>
      </c>
      <c r="B9758">
        <v>18.551500000000001</v>
      </c>
    </row>
    <row r="9759" spans="1:2">
      <c r="A9759" s="117">
        <v>43313</v>
      </c>
      <c r="B9759">
        <v>18.5413</v>
      </c>
    </row>
    <row r="9760" spans="1:2">
      <c r="A9760" s="117">
        <v>43314</v>
      </c>
      <c r="B9760">
        <v>18.645700000000001</v>
      </c>
    </row>
    <row r="9761" spans="1:2">
      <c r="A9761" s="117">
        <v>43315</v>
      </c>
      <c r="B9761">
        <v>18.5899</v>
      </c>
    </row>
    <row r="9762" spans="1:2">
      <c r="A9762" s="117">
        <v>43316</v>
      </c>
      <c r="B9762">
        <v>18.634899999999998</v>
      </c>
    </row>
    <row r="9763" spans="1:2">
      <c r="A9763" s="117">
        <v>43317</v>
      </c>
      <c r="B9763">
        <v>18.634899999999998</v>
      </c>
    </row>
    <row r="9764" spans="1:2">
      <c r="A9764" s="117">
        <v>43318</v>
      </c>
      <c r="B9764">
        <v>18.634899999999998</v>
      </c>
    </row>
    <row r="9765" spans="1:2">
      <c r="A9765" s="117">
        <v>43319</v>
      </c>
      <c r="B9765">
        <v>18.572500000000002</v>
      </c>
    </row>
    <row r="9766" spans="1:2">
      <c r="A9766" s="117">
        <v>43320</v>
      </c>
      <c r="B9766">
        <v>18.543299999999999</v>
      </c>
    </row>
    <row r="9767" spans="1:2">
      <c r="A9767" s="117">
        <v>43321</v>
      </c>
      <c r="B9767">
        <v>18.463100000000001</v>
      </c>
    </row>
    <row r="9768" spans="1:2">
      <c r="A9768" s="117">
        <v>43322</v>
      </c>
      <c r="B9768">
        <v>18.4542</v>
      </c>
    </row>
    <row r="9769" spans="1:2">
      <c r="A9769" s="117">
        <v>43323</v>
      </c>
      <c r="B9769">
        <v>18.6511</v>
      </c>
    </row>
    <row r="9770" spans="1:2">
      <c r="A9770" s="117">
        <v>43324</v>
      </c>
      <c r="B9770">
        <v>18.6511</v>
      </c>
    </row>
    <row r="9771" spans="1:2">
      <c r="A9771" s="117">
        <v>43325</v>
      </c>
      <c r="B9771">
        <v>18.6511</v>
      </c>
    </row>
    <row r="9772" spans="1:2">
      <c r="A9772" s="117">
        <v>43326</v>
      </c>
      <c r="B9772">
        <v>18.927299999999999</v>
      </c>
    </row>
    <row r="9773" spans="1:2">
      <c r="A9773" s="117">
        <v>43327</v>
      </c>
      <c r="B9773">
        <v>19.180099999999999</v>
      </c>
    </row>
    <row r="9774" spans="1:2">
      <c r="A9774" s="117">
        <v>43328</v>
      </c>
      <c r="B9774">
        <v>18.997299999999999</v>
      </c>
    </row>
    <row r="9775" spans="1:2">
      <c r="A9775" s="117">
        <v>43329</v>
      </c>
      <c r="B9775">
        <v>19.233899999999998</v>
      </c>
    </row>
    <row r="9776" spans="1:2">
      <c r="A9776" s="117">
        <v>43330</v>
      </c>
      <c r="B9776">
        <v>19.010000000000002</v>
      </c>
    </row>
    <row r="9777" spans="1:2">
      <c r="A9777" s="117">
        <v>43331</v>
      </c>
      <c r="B9777">
        <v>19.010000000000002</v>
      </c>
    </row>
    <row r="9778" spans="1:2">
      <c r="A9778" s="117">
        <v>43332</v>
      </c>
      <c r="B9778">
        <v>19.010000000000002</v>
      </c>
    </row>
    <row r="9779" spans="1:2">
      <c r="A9779" s="117">
        <v>43333</v>
      </c>
      <c r="B9779">
        <v>19.061499999999999</v>
      </c>
    </row>
    <row r="9780" spans="1:2">
      <c r="A9780" s="117">
        <v>43334</v>
      </c>
      <c r="B9780">
        <v>19.0305</v>
      </c>
    </row>
    <row r="9781" spans="1:2">
      <c r="A9781" s="117">
        <v>43335</v>
      </c>
      <c r="B9781">
        <v>18.878399999999999</v>
      </c>
    </row>
    <row r="9782" spans="1:2">
      <c r="A9782" s="117">
        <v>43336</v>
      </c>
      <c r="B9782">
        <v>18.817599999999999</v>
      </c>
    </row>
    <row r="9783" spans="1:2">
      <c r="A9783" s="117">
        <v>43337</v>
      </c>
      <c r="B9783">
        <v>18.8672</v>
      </c>
    </row>
    <row r="9784" spans="1:2">
      <c r="A9784" s="117">
        <v>43338</v>
      </c>
      <c r="B9784">
        <v>18.8672</v>
      </c>
    </row>
    <row r="9785" spans="1:2">
      <c r="A9785" s="117">
        <v>43339</v>
      </c>
      <c r="B9785">
        <v>18.8672</v>
      </c>
    </row>
    <row r="9786" spans="1:2">
      <c r="A9786" s="117">
        <v>43340</v>
      </c>
      <c r="B9786">
        <v>18.8339</v>
      </c>
    </row>
    <row r="9787" spans="1:2">
      <c r="A9787" s="117">
        <v>43341</v>
      </c>
      <c r="B9787">
        <v>18.669699999999999</v>
      </c>
    </row>
    <row r="9788" spans="1:2">
      <c r="A9788" s="117">
        <v>43342</v>
      </c>
      <c r="B9788">
        <v>18.935400000000001</v>
      </c>
    </row>
    <row r="9789" spans="1:2">
      <c r="A9789" s="117">
        <v>43343</v>
      </c>
      <c r="B9789">
        <v>19.065899999999999</v>
      </c>
    </row>
    <row r="9790" spans="1:2">
      <c r="A9790" s="117">
        <v>43344</v>
      </c>
      <c r="B9790">
        <v>19.125800000000002</v>
      </c>
    </row>
    <row r="9791" spans="1:2">
      <c r="A9791" s="117">
        <v>43345</v>
      </c>
      <c r="B9791">
        <v>19.125800000000002</v>
      </c>
    </row>
    <row r="9792" spans="1:2">
      <c r="A9792" s="117">
        <v>43346</v>
      </c>
      <c r="B9792">
        <v>19.125800000000002</v>
      </c>
    </row>
    <row r="9793" spans="1:2">
      <c r="A9793" s="117">
        <v>43347</v>
      </c>
      <c r="B9793">
        <v>19.179200000000002</v>
      </c>
    </row>
    <row r="9794" spans="1:2">
      <c r="A9794" s="117">
        <v>43348</v>
      </c>
      <c r="B9794">
        <v>19.213699999999999</v>
      </c>
    </row>
    <row r="9795" spans="1:2">
      <c r="A9795" s="117">
        <v>43349</v>
      </c>
      <c r="B9795">
        <v>19.360900000000001</v>
      </c>
    </row>
    <row r="9796" spans="1:2">
      <c r="A9796" s="117">
        <v>43350</v>
      </c>
      <c r="B9796">
        <v>19.443300000000001</v>
      </c>
    </row>
    <row r="9797" spans="1:2">
      <c r="A9797" s="117">
        <v>43351</v>
      </c>
      <c r="B9797">
        <v>19.354600000000001</v>
      </c>
    </row>
    <row r="9798" spans="1:2">
      <c r="A9798" s="117">
        <v>43352</v>
      </c>
      <c r="B9798">
        <v>19.354600000000001</v>
      </c>
    </row>
    <row r="9799" spans="1:2">
      <c r="A9799" s="117">
        <v>43353</v>
      </c>
      <c r="B9799">
        <v>19.354600000000001</v>
      </c>
    </row>
    <row r="9800" spans="1:2">
      <c r="A9800" s="117">
        <v>43354</v>
      </c>
      <c r="B9800">
        <v>19.2394</v>
      </c>
    </row>
    <row r="9801" spans="1:2">
      <c r="A9801" s="117">
        <v>43355</v>
      </c>
      <c r="B9801">
        <v>19.2989</v>
      </c>
    </row>
    <row r="9802" spans="1:2">
      <c r="A9802" s="117">
        <v>43356</v>
      </c>
      <c r="B9802">
        <v>19.268000000000001</v>
      </c>
    </row>
    <row r="9803" spans="1:2">
      <c r="A9803" s="117">
        <v>43357</v>
      </c>
      <c r="B9803">
        <v>19.051100000000002</v>
      </c>
    </row>
    <row r="9804" spans="1:2">
      <c r="A9804" s="117">
        <v>43358</v>
      </c>
      <c r="B9804">
        <v>18.877500000000001</v>
      </c>
    </row>
    <row r="9805" spans="1:2">
      <c r="A9805" s="117">
        <v>43359</v>
      </c>
      <c r="B9805">
        <v>18.877500000000001</v>
      </c>
    </row>
    <row r="9806" spans="1:2">
      <c r="A9806" s="117">
        <v>43360</v>
      </c>
      <c r="B9806">
        <v>18.877500000000001</v>
      </c>
    </row>
    <row r="9807" spans="1:2">
      <c r="A9807" s="117">
        <v>43361</v>
      </c>
      <c r="B9807">
        <v>18.8689</v>
      </c>
    </row>
    <row r="9808" spans="1:2">
      <c r="A9808" s="117">
        <v>43362</v>
      </c>
      <c r="B9808">
        <v>18.8399</v>
      </c>
    </row>
    <row r="9809" spans="1:2">
      <c r="A9809" s="117">
        <v>43363</v>
      </c>
      <c r="B9809">
        <v>18.769400000000001</v>
      </c>
    </row>
    <row r="9810" spans="1:2">
      <c r="A9810" s="117">
        <v>43364</v>
      </c>
      <c r="B9810">
        <v>18.767199999999999</v>
      </c>
    </row>
    <row r="9811" spans="1:2">
      <c r="A9811" s="117">
        <v>43365</v>
      </c>
      <c r="B9811">
        <v>18.829599999999999</v>
      </c>
    </row>
    <row r="9812" spans="1:2">
      <c r="A9812" s="117">
        <v>43366</v>
      </c>
      <c r="B9812">
        <v>18.829599999999999</v>
      </c>
    </row>
    <row r="9813" spans="1:2">
      <c r="A9813" s="117">
        <v>43367</v>
      </c>
      <c r="B9813">
        <v>18.829599999999999</v>
      </c>
    </row>
    <row r="9814" spans="1:2">
      <c r="A9814" s="117">
        <v>43368</v>
      </c>
      <c r="B9814">
        <v>18.853899999999999</v>
      </c>
    </row>
    <row r="9815" spans="1:2">
      <c r="A9815" s="117">
        <v>43369</v>
      </c>
      <c r="B9815">
        <v>18.851600000000001</v>
      </c>
    </row>
    <row r="9816" spans="1:2">
      <c r="A9816" s="117">
        <v>43370</v>
      </c>
      <c r="B9816">
        <v>18.986999999999998</v>
      </c>
    </row>
    <row r="9817" spans="1:2">
      <c r="A9817" s="117">
        <v>43371</v>
      </c>
      <c r="B9817">
        <v>18.898599999999998</v>
      </c>
    </row>
    <row r="9818" spans="1:2">
      <c r="A9818" s="117">
        <v>43372</v>
      </c>
      <c r="B9818">
        <v>18.812000000000001</v>
      </c>
    </row>
    <row r="9819" spans="1:2">
      <c r="A9819" s="117">
        <v>43373</v>
      </c>
      <c r="B9819">
        <v>18.812000000000001</v>
      </c>
    </row>
    <row r="9820" spans="1:2">
      <c r="A9820" s="117">
        <v>43374</v>
      </c>
      <c r="B9820">
        <v>18.812000000000001</v>
      </c>
    </row>
    <row r="9821" spans="1:2">
      <c r="A9821" s="117">
        <v>43375</v>
      </c>
      <c r="B9821">
        <v>18.723099999999999</v>
      </c>
    </row>
    <row r="9822" spans="1:2">
      <c r="A9822" s="117">
        <v>43376</v>
      </c>
      <c r="B9822">
        <v>18.653099999999998</v>
      </c>
    </row>
    <row r="9823" spans="1:2">
      <c r="A9823" s="117">
        <v>43377</v>
      </c>
      <c r="B9823">
        <v>18.750299999999999</v>
      </c>
    </row>
    <row r="9824" spans="1:2">
      <c r="A9824" s="117">
        <v>43378</v>
      </c>
      <c r="B9824">
        <v>18.801400000000001</v>
      </c>
    </row>
    <row r="9825" spans="1:2">
      <c r="A9825" s="117">
        <v>43379</v>
      </c>
      <c r="B9825">
        <v>19.1328</v>
      </c>
    </row>
    <row r="9826" spans="1:2">
      <c r="A9826" s="117">
        <v>43380</v>
      </c>
      <c r="B9826">
        <v>19.1328</v>
      </c>
    </row>
    <row r="9827" spans="1:2">
      <c r="A9827" s="117">
        <v>43381</v>
      </c>
      <c r="B9827">
        <v>19.1328</v>
      </c>
    </row>
    <row r="9828" spans="1:2">
      <c r="A9828" s="117">
        <v>43382</v>
      </c>
      <c r="B9828">
        <v>18.944400000000002</v>
      </c>
    </row>
    <row r="9829" spans="1:2">
      <c r="A9829" s="117">
        <v>43383</v>
      </c>
      <c r="B9829">
        <v>18.923400000000001</v>
      </c>
    </row>
    <row r="9830" spans="1:2">
      <c r="A9830" s="117">
        <v>43384</v>
      </c>
      <c r="B9830">
        <v>19</v>
      </c>
    </row>
    <row r="9831" spans="1:2">
      <c r="A9831" s="117">
        <v>43385</v>
      </c>
      <c r="B9831">
        <v>19.118300000000001</v>
      </c>
    </row>
    <row r="9832" spans="1:2">
      <c r="A9832" s="117">
        <v>43386</v>
      </c>
      <c r="B9832">
        <v>19.021699999999999</v>
      </c>
    </row>
    <row r="9833" spans="1:2">
      <c r="A9833" s="117">
        <v>43387</v>
      </c>
      <c r="B9833">
        <v>19.021699999999999</v>
      </c>
    </row>
    <row r="9834" spans="1:2">
      <c r="A9834" s="117">
        <v>43388</v>
      </c>
      <c r="B9834">
        <v>19.021699999999999</v>
      </c>
    </row>
    <row r="9835" spans="1:2">
      <c r="A9835" s="117">
        <v>43389</v>
      </c>
      <c r="B9835">
        <v>18.920200000000001</v>
      </c>
    </row>
    <row r="9836" spans="1:2">
      <c r="A9836" s="117">
        <v>43390</v>
      </c>
      <c r="B9836">
        <v>18.8096</v>
      </c>
    </row>
    <row r="9837" spans="1:2">
      <c r="A9837" s="117">
        <v>43391</v>
      </c>
      <c r="B9837">
        <v>18.769300000000001</v>
      </c>
    </row>
    <row r="9838" spans="1:2">
      <c r="A9838" s="117">
        <v>43392</v>
      </c>
      <c r="B9838">
        <v>18.801200000000001</v>
      </c>
    </row>
    <row r="9839" spans="1:2">
      <c r="A9839" s="117">
        <v>43393</v>
      </c>
      <c r="B9839">
        <v>19.101800000000001</v>
      </c>
    </row>
    <row r="9840" spans="1:2">
      <c r="A9840" s="117">
        <v>43394</v>
      </c>
      <c r="B9840">
        <v>19.101800000000001</v>
      </c>
    </row>
    <row r="9841" spans="1:2">
      <c r="A9841" s="117">
        <v>43395</v>
      </c>
      <c r="B9841">
        <v>19.101800000000001</v>
      </c>
    </row>
    <row r="9842" spans="1:2">
      <c r="A9842" s="117">
        <v>43396</v>
      </c>
      <c r="B9842">
        <v>19.218299999999999</v>
      </c>
    </row>
    <row r="9843" spans="1:2">
      <c r="A9843" s="117">
        <v>43397</v>
      </c>
      <c r="B9843">
        <v>19.366900000000001</v>
      </c>
    </row>
    <row r="9844" spans="1:2">
      <c r="A9844" s="117">
        <v>43398</v>
      </c>
      <c r="B9844">
        <v>19.416899999999998</v>
      </c>
    </row>
    <row r="9845" spans="1:2">
      <c r="A9845" s="117">
        <v>43399</v>
      </c>
      <c r="B9845">
        <v>19.462299999999999</v>
      </c>
    </row>
    <row r="9846" spans="1:2">
      <c r="A9846" s="117">
        <v>43400</v>
      </c>
      <c r="B9846">
        <v>19.438300000000002</v>
      </c>
    </row>
    <row r="9847" spans="1:2">
      <c r="A9847" s="117">
        <v>43401</v>
      </c>
      <c r="B9847">
        <v>19.438300000000002</v>
      </c>
    </row>
    <row r="9848" spans="1:2">
      <c r="A9848" s="117">
        <v>43402</v>
      </c>
      <c r="B9848">
        <v>19.438300000000002</v>
      </c>
    </row>
    <row r="9849" spans="1:2">
      <c r="A9849" s="117">
        <v>43403</v>
      </c>
      <c r="B9849">
        <v>19.478999999999999</v>
      </c>
    </row>
    <row r="9850" spans="1:2">
      <c r="A9850" s="117">
        <v>43404</v>
      </c>
      <c r="B9850">
        <v>19.802199999999999</v>
      </c>
    </row>
    <row r="9851" spans="1:2">
      <c r="A9851" s="117">
        <v>43405</v>
      </c>
      <c r="B9851">
        <v>20.0258</v>
      </c>
    </row>
    <row r="9852" spans="1:2">
      <c r="A9852" s="117">
        <v>43406</v>
      </c>
      <c r="B9852">
        <v>20.317699999999999</v>
      </c>
    </row>
    <row r="9853" spans="1:2">
      <c r="A9853" s="117">
        <v>43407</v>
      </c>
      <c r="B9853">
        <v>20.317699999999999</v>
      </c>
    </row>
    <row r="9854" spans="1:2">
      <c r="A9854" s="117">
        <v>43408</v>
      </c>
      <c r="B9854">
        <v>20.317699999999999</v>
      </c>
    </row>
    <row r="9855" spans="1:2">
      <c r="A9855" s="117">
        <v>43409</v>
      </c>
      <c r="B9855">
        <v>20.317699999999999</v>
      </c>
    </row>
    <row r="9856" spans="1:2">
      <c r="A9856" s="117">
        <v>43410</v>
      </c>
      <c r="B9856">
        <v>20.132899999999999</v>
      </c>
    </row>
    <row r="9857" spans="1:2">
      <c r="A9857" s="117">
        <v>43411</v>
      </c>
      <c r="B9857">
        <v>19.9636</v>
      </c>
    </row>
    <row r="9858" spans="1:2">
      <c r="A9858" s="117">
        <v>43412</v>
      </c>
      <c r="B9858">
        <v>19.860900000000001</v>
      </c>
    </row>
    <row r="9859" spans="1:2">
      <c r="A9859" s="117">
        <v>43413</v>
      </c>
      <c r="B9859">
        <v>19.8245</v>
      </c>
    </row>
    <row r="9860" spans="1:2">
      <c r="A9860" s="117">
        <v>43414</v>
      </c>
      <c r="B9860">
        <v>20.043800000000001</v>
      </c>
    </row>
    <row r="9861" spans="1:2">
      <c r="A9861" s="117">
        <v>43415</v>
      </c>
      <c r="B9861">
        <v>20.043800000000001</v>
      </c>
    </row>
    <row r="9862" spans="1:2">
      <c r="A9862" s="117">
        <v>43416</v>
      </c>
      <c r="B9862">
        <v>20.043800000000001</v>
      </c>
    </row>
    <row r="9863" spans="1:2">
      <c r="A9863" s="117">
        <v>43417</v>
      </c>
      <c r="B9863">
        <v>20.3614</v>
      </c>
    </row>
    <row r="9864" spans="1:2">
      <c r="A9864" s="117">
        <v>43418</v>
      </c>
      <c r="B9864">
        <v>20.317900000000002</v>
      </c>
    </row>
    <row r="9865" spans="1:2">
      <c r="A9865" s="117">
        <v>43419</v>
      </c>
      <c r="B9865">
        <v>20.515799999999999</v>
      </c>
    </row>
    <row r="9866" spans="1:2">
      <c r="A9866" s="117">
        <v>43420</v>
      </c>
      <c r="B9866">
        <v>20.3979</v>
      </c>
    </row>
    <row r="9867" spans="1:2">
      <c r="A9867" s="117">
        <v>43421</v>
      </c>
      <c r="B9867">
        <v>20.3371</v>
      </c>
    </row>
    <row r="9868" spans="1:2">
      <c r="A9868" s="117">
        <v>43422</v>
      </c>
      <c r="B9868">
        <v>20.3371</v>
      </c>
    </row>
    <row r="9869" spans="1:2">
      <c r="A9869" s="117">
        <v>43423</v>
      </c>
      <c r="B9869">
        <v>20.3371</v>
      </c>
    </row>
    <row r="9870" spans="1:2">
      <c r="A9870" s="117">
        <v>43424</v>
      </c>
      <c r="B9870">
        <v>20.3371</v>
      </c>
    </row>
    <row r="9871" spans="1:2">
      <c r="A9871" s="117">
        <v>43425</v>
      </c>
      <c r="B9871">
        <v>20.155000000000001</v>
      </c>
    </row>
    <row r="9872" spans="1:2">
      <c r="A9872" s="117">
        <v>43426</v>
      </c>
      <c r="B9872">
        <v>20.412299999999998</v>
      </c>
    </row>
    <row r="9873" spans="1:2">
      <c r="A9873" s="117">
        <v>43427</v>
      </c>
      <c r="B9873">
        <v>20.202300000000001</v>
      </c>
    </row>
    <row r="9874" spans="1:2">
      <c r="A9874" s="117">
        <v>43428</v>
      </c>
      <c r="B9874">
        <v>20.298400000000001</v>
      </c>
    </row>
    <row r="9875" spans="1:2">
      <c r="A9875" s="117">
        <v>43429</v>
      </c>
      <c r="B9875">
        <v>20.298400000000001</v>
      </c>
    </row>
    <row r="9876" spans="1:2">
      <c r="A9876" s="117">
        <v>43430</v>
      </c>
      <c r="B9876">
        <v>20.298400000000001</v>
      </c>
    </row>
    <row r="9877" spans="1:2">
      <c r="A9877" s="117">
        <v>43431</v>
      </c>
      <c r="B9877">
        <v>20.3935</v>
      </c>
    </row>
    <row r="9878" spans="1:2">
      <c r="A9878" s="117">
        <v>43432</v>
      </c>
      <c r="B9878">
        <v>20.5304</v>
      </c>
    </row>
    <row r="9879" spans="1:2">
      <c r="A9879" s="117">
        <v>43433</v>
      </c>
      <c r="B9879">
        <v>20.497699999999998</v>
      </c>
    </row>
    <row r="9880" spans="1:2">
      <c r="A9880" s="117">
        <v>43434</v>
      </c>
      <c r="B9880">
        <v>20.410799999999998</v>
      </c>
    </row>
    <row r="9881" spans="1:2">
      <c r="A9881" s="117">
        <v>43435</v>
      </c>
      <c r="B9881">
        <v>20.221699999999998</v>
      </c>
    </row>
    <row r="9882" spans="1:2">
      <c r="A9882" s="117">
        <v>43436</v>
      </c>
      <c r="B9882">
        <v>20.221699999999998</v>
      </c>
    </row>
    <row r="9883" spans="1:2">
      <c r="A9883" s="117">
        <v>43437</v>
      </c>
      <c r="B9883">
        <v>20.221699999999998</v>
      </c>
    </row>
    <row r="9884" spans="1:2">
      <c r="A9884" s="117">
        <v>43438</v>
      </c>
      <c r="B9884">
        <v>20.345500000000001</v>
      </c>
    </row>
    <row r="9885" spans="1:2">
      <c r="A9885" s="117">
        <v>43439</v>
      </c>
      <c r="B9885">
        <v>20.2346</v>
      </c>
    </row>
    <row r="9886" spans="1:2">
      <c r="A9886" s="117">
        <v>43440</v>
      </c>
      <c r="B9886">
        <v>20.5123</v>
      </c>
    </row>
    <row r="9887" spans="1:2">
      <c r="A9887" s="117">
        <v>43441</v>
      </c>
      <c r="B9887">
        <v>20.5672</v>
      </c>
    </row>
    <row r="9888" spans="1:2">
      <c r="A9888" s="117">
        <v>43442</v>
      </c>
      <c r="B9888">
        <v>20.470500000000001</v>
      </c>
    </row>
    <row r="9889" spans="1:2">
      <c r="A9889" s="117">
        <v>43443</v>
      </c>
      <c r="B9889">
        <v>20.470500000000001</v>
      </c>
    </row>
    <row r="9890" spans="1:2">
      <c r="A9890" s="117">
        <v>43444</v>
      </c>
      <c r="B9890">
        <v>20.470500000000001</v>
      </c>
    </row>
    <row r="9891" spans="1:2">
      <c r="A9891" s="117">
        <v>43445</v>
      </c>
      <c r="B9891">
        <v>20.260899999999999</v>
      </c>
    </row>
    <row r="9892" spans="1:2">
      <c r="A9892" s="117">
        <v>43446</v>
      </c>
      <c r="B9892">
        <v>20.362100000000002</v>
      </c>
    </row>
    <row r="9893" spans="1:2">
      <c r="A9893" s="117">
        <v>43447</v>
      </c>
      <c r="B9893">
        <v>20.362100000000002</v>
      </c>
    </row>
    <row r="9894" spans="1:2">
      <c r="A9894" s="117">
        <v>43448</v>
      </c>
      <c r="B9894">
        <v>20.288900000000002</v>
      </c>
    </row>
    <row r="9895" spans="1:2">
      <c r="A9895" s="117">
        <v>43449</v>
      </c>
      <c r="B9895">
        <v>20.256599999999999</v>
      </c>
    </row>
    <row r="9896" spans="1:2">
      <c r="A9896" s="117">
        <v>43450</v>
      </c>
      <c r="B9896">
        <v>20.256599999999999</v>
      </c>
    </row>
    <row r="9897" spans="1:2">
      <c r="A9897" s="117">
        <v>43451</v>
      </c>
      <c r="B9897">
        <v>20.256599999999999</v>
      </c>
    </row>
    <row r="9898" spans="1:2">
      <c r="A9898" s="117">
        <v>43452</v>
      </c>
      <c r="B9898">
        <v>20.3337</v>
      </c>
    </row>
    <row r="9899" spans="1:2">
      <c r="A9899" s="117">
        <v>43453</v>
      </c>
      <c r="B9899">
        <v>20.1126</v>
      </c>
    </row>
    <row r="9900" spans="1:2">
      <c r="A9900" s="117">
        <v>43454</v>
      </c>
      <c r="B9900">
        <v>20.127700000000001</v>
      </c>
    </row>
    <row r="9901" spans="1:2">
      <c r="A9901" s="117">
        <v>43455</v>
      </c>
      <c r="B9901">
        <v>20.029299999999999</v>
      </c>
    </row>
    <row r="9902" spans="1:2">
      <c r="A9902" s="117">
        <v>43456</v>
      </c>
      <c r="B9902">
        <v>19.908200000000001</v>
      </c>
    </row>
    <row r="9903" spans="1:2">
      <c r="A9903" s="117">
        <v>43457</v>
      </c>
      <c r="B9903">
        <v>19.908200000000001</v>
      </c>
    </row>
    <row r="9904" spans="1:2">
      <c r="A9904" s="117">
        <v>43458</v>
      </c>
      <c r="B9904">
        <v>19.908200000000001</v>
      </c>
    </row>
    <row r="9905" spans="1:2">
      <c r="A9905" s="117">
        <v>43459</v>
      </c>
      <c r="B9905">
        <v>19.927499999999998</v>
      </c>
    </row>
    <row r="9906" spans="1:2">
      <c r="A9906" s="117">
        <v>43460</v>
      </c>
      <c r="B9906">
        <v>19.927499999999998</v>
      </c>
    </row>
    <row r="9907" spans="1:2">
      <c r="A9907" s="117">
        <v>43461</v>
      </c>
      <c r="B9907">
        <v>19.847300000000001</v>
      </c>
    </row>
    <row r="9908" spans="1:2">
      <c r="A9908" s="117">
        <v>43462</v>
      </c>
      <c r="B9908">
        <v>19.882300000000001</v>
      </c>
    </row>
    <row r="9909" spans="1:2">
      <c r="A9909" s="117">
        <v>43463</v>
      </c>
      <c r="B9909">
        <v>19.6829</v>
      </c>
    </row>
    <row r="9910" spans="1:2">
      <c r="A9910" s="117">
        <v>43464</v>
      </c>
      <c r="B9910">
        <v>19.6829</v>
      </c>
    </row>
    <row r="9911" spans="1:2">
      <c r="A9911" s="117">
        <v>43465</v>
      </c>
      <c r="B9911">
        <v>19.6829</v>
      </c>
    </row>
    <row r="9912" spans="1:2">
      <c r="A9912" s="117">
        <v>43466</v>
      </c>
      <c r="B9912">
        <v>19.656600000000001</v>
      </c>
    </row>
    <row r="9913" spans="1:2">
      <c r="A9913" s="117">
        <v>43467</v>
      </c>
      <c r="B9913">
        <v>19.656600000000001</v>
      </c>
    </row>
    <row r="9914" spans="1:2">
      <c r="A9914" s="117">
        <v>43468</v>
      </c>
      <c r="B9914">
        <v>19.651199999999999</v>
      </c>
    </row>
    <row r="9915" spans="1:2">
      <c r="A9915" s="117">
        <v>43469</v>
      </c>
      <c r="B9915">
        <v>19.587800000000001</v>
      </c>
    </row>
    <row r="9916" spans="1:2">
      <c r="A9916" s="117">
        <v>43470</v>
      </c>
      <c r="B9916">
        <v>19.607299999999999</v>
      </c>
    </row>
    <row r="9917" spans="1:2">
      <c r="A9917" s="117">
        <v>43471</v>
      </c>
      <c r="B9917">
        <v>19.607299999999999</v>
      </c>
    </row>
    <row r="9918" spans="1:2">
      <c r="A9918" s="117">
        <v>43472</v>
      </c>
      <c r="B9918">
        <v>19.607299999999999</v>
      </c>
    </row>
    <row r="9919" spans="1:2">
      <c r="A9919" s="117">
        <v>43473</v>
      </c>
      <c r="B9919">
        <v>19.490200000000002</v>
      </c>
    </row>
    <row r="9920" spans="1:2">
      <c r="A9920" s="117">
        <v>43474</v>
      </c>
      <c r="B9920">
        <v>19.320799999999998</v>
      </c>
    </row>
    <row r="9921" spans="1:2">
      <c r="A9921" s="117">
        <v>43475</v>
      </c>
      <c r="B9921">
        <v>19.347899999999999</v>
      </c>
    </row>
    <row r="9922" spans="1:2">
      <c r="A9922" s="117">
        <v>43476</v>
      </c>
      <c r="B9922">
        <v>19.2456</v>
      </c>
    </row>
    <row r="9923" spans="1:2">
      <c r="A9923" s="117">
        <v>43477</v>
      </c>
      <c r="B9923">
        <v>19.171399999999998</v>
      </c>
    </row>
    <row r="9924" spans="1:2">
      <c r="A9924" s="117">
        <v>43478</v>
      </c>
      <c r="B9924">
        <v>19.171399999999998</v>
      </c>
    </row>
    <row r="9925" spans="1:2">
      <c r="A9925" s="117">
        <v>43479</v>
      </c>
      <c r="B9925">
        <v>19.171399999999998</v>
      </c>
    </row>
    <row r="9926" spans="1:2">
      <c r="A9926" s="117">
        <v>43480</v>
      </c>
      <c r="B9926">
        <v>19.1236</v>
      </c>
    </row>
    <row r="9927" spans="1:2">
      <c r="A9927" s="117">
        <v>43481</v>
      </c>
      <c r="B9927">
        <v>19.006399999999999</v>
      </c>
    </row>
    <row r="9928" spans="1:2">
      <c r="A9928" s="117">
        <v>43482</v>
      </c>
      <c r="B9928">
        <v>19.0457</v>
      </c>
    </row>
    <row r="9929" spans="1:2">
      <c r="A9929" s="117">
        <v>43483</v>
      </c>
      <c r="B9929">
        <v>18.9908</v>
      </c>
    </row>
    <row r="9930" spans="1:2">
      <c r="A9930" s="117">
        <v>43484</v>
      </c>
      <c r="B9930">
        <v>19.062999999999999</v>
      </c>
    </row>
    <row r="9931" spans="1:2">
      <c r="A9931" s="117">
        <v>43485</v>
      </c>
      <c r="B9931">
        <v>19.062999999999999</v>
      </c>
    </row>
    <row r="9932" spans="1:2">
      <c r="A9932" s="117">
        <v>43486</v>
      </c>
      <c r="B9932">
        <v>19.062999999999999</v>
      </c>
    </row>
    <row r="9933" spans="1:2">
      <c r="A9933" s="117">
        <v>43487</v>
      </c>
      <c r="B9933">
        <v>19.084399999999999</v>
      </c>
    </row>
    <row r="9934" spans="1:2">
      <c r="A9934" s="117">
        <v>43488</v>
      </c>
      <c r="B9934">
        <v>19.190200000000001</v>
      </c>
    </row>
    <row r="9935" spans="1:2">
      <c r="A9935" s="117">
        <v>43489</v>
      </c>
      <c r="B9935">
        <v>19.1297</v>
      </c>
    </row>
    <row r="9936" spans="1:2">
      <c r="A9936" s="117">
        <v>43490</v>
      </c>
      <c r="B9936">
        <v>19.077100000000002</v>
      </c>
    </row>
    <row r="9937" spans="1:2">
      <c r="A9937" s="117">
        <v>43491</v>
      </c>
      <c r="B9937">
        <v>18.985900000000001</v>
      </c>
    </row>
    <row r="9938" spans="1:2">
      <c r="A9938" s="117">
        <v>43492</v>
      </c>
      <c r="B9938">
        <v>18.985900000000001</v>
      </c>
    </row>
    <row r="9939" spans="1:2">
      <c r="A9939" s="117">
        <v>43493</v>
      </c>
      <c r="B9939">
        <v>18.985900000000001</v>
      </c>
    </row>
    <row r="9940" spans="1:2">
      <c r="A9940" s="117">
        <v>43494</v>
      </c>
      <c r="B9940">
        <v>18.928000000000001</v>
      </c>
    </row>
    <row r="9941" spans="1:2">
      <c r="A9941" s="117">
        <v>43495</v>
      </c>
      <c r="B9941">
        <v>19.0381</v>
      </c>
    </row>
    <row r="9942" spans="1:2">
      <c r="A9942" s="117">
        <v>43496</v>
      </c>
      <c r="B9942">
        <v>18.997199999999999</v>
      </c>
    </row>
    <row r="9943" spans="1:2">
      <c r="A9943" s="117">
        <v>43497</v>
      </c>
      <c r="B9943">
        <v>19.162299999999998</v>
      </c>
    </row>
    <row r="9944" spans="1:2">
      <c r="A9944" s="117">
        <v>43498</v>
      </c>
      <c r="B9944">
        <v>19.038799999999998</v>
      </c>
    </row>
    <row r="9945" spans="1:2">
      <c r="A9945" s="117">
        <v>43499</v>
      </c>
      <c r="B9945">
        <v>19.038799999999998</v>
      </c>
    </row>
    <row r="9946" spans="1:2">
      <c r="A9946" s="117">
        <v>43500</v>
      </c>
      <c r="B9946">
        <v>19.038799999999998</v>
      </c>
    </row>
    <row r="9947" spans="1:2">
      <c r="A9947" s="117">
        <v>43501</v>
      </c>
      <c r="B9947">
        <v>19.038799999999998</v>
      </c>
    </row>
    <row r="9948" spans="1:2">
      <c r="A9948" s="117">
        <v>43502</v>
      </c>
      <c r="B9948">
        <v>19.1098</v>
      </c>
    </row>
    <row r="9949" spans="1:2">
      <c r="A9949" s="117">
        <v>43503</v>
      </c>
      <c r="B9949">
        <v>19.0824</v>
      </c>
    </row>
    <row r="9950" spans="1:2">
      <c r="A9950" s="117">
        <v>43504</v>
      </c>
      <c r="B9950">
        <v>19.105799999999999</v>
      </c>
    </row>
    <row r="9951" spans="1:2">
      <c r="A9951" s="117">
        <v>43505</v>
      </c>
      <c r="B9951">
        <v>19.079999999999998</v>
      </c>
    </row>
    <row r="9952" spans="1:2">
      <c r="A9952" s="117">
        <v>43506</v>
      </c>
      <c r="B9952">
        <v>19.079999999999998</v>
      </c>
    </row>
    <row r="9953" spans="1:2">
      <c r="A9953" s="117">
        <v>43507</v>
      </c>
      <c r="B9953">
        <v>19.079999999999998</v>
      </c>
    </row>
    <row r="9954" spans="1:2">
      <c r="A9954" s="117">
        <v>43508</v>
      </c>
      <c r="B9954">
        <v>19.089300000000001</v>
      </c>
    </row>
    <row r="9955" spans="1:2">
      <c r="A9955" s="117">
        <v>43509</v>
      </c>
      <c r="B9955">
        <v>19.252400000000002</v>
      </c>
    </row>
    <row r="9956" spans="1:2">
      <c r="A9956" s="117">
        <v>43510</v>
      </c>
      <c r="B9956">
        <v>19.2592</v>
      </c>
    </row>
    <row r="9957" spans="1:2">
      <c r="A9957" s="117">
        <v>43511</v>
      </c>
      <c r="B9957">
        <v>19.4084</v>
      </c>
    </row>
    <row r="9958" spans="1:2">
      <c r="A9958" s="117">
        <v>43512</v>
      </c>
      <c r="B9958">
        <v>19.3569</v>
      </c>
    </row>
    <row r="9959" spans="1:2">
      <c r="A9959" s="117">
        <v>43513</v>
      </c>
      <c r="B9959">
        <v>19.3569</v>
      </c>
    </row>
    <row r="9960" spans="1:2">
      <c r="A9960" s="117">
        <v>43514</v>
      </c>
      <c r="B9960">
        <v>19.3569</v>
      </c>
    </row>
    <row r="9961" spans="1:2">
      <c r="A9961" s="117">
        <v>43515</v>
      </c>
      <c r="B9961">
        <v>19.362500000000001</v>
      </c>
    </row>
    <row r="9962" spans="1:2">
      <c r="A9962" s="117">
        <v>43516</v>
      </c>
      <c r="B9962">
        <v>19.2578</v>
      </c>
    </row>
    <row r="9963" spans="1:2">
      <c r="A9963" s="117">
        <v>43517</v>
      </c>
      <c r="B9963">
        <v>19.177800000000001</v>
      </c>
    </row>
    <row r="9964" spans="1:2">
      <c r="A9964" s="117">
        <v>43518</v>
      </c>
      <c r="B9964">
        <v>19.183499999999999</v>
      </c>
    </row>
    <row r="9965" spans="1:2">
      <c r="A9965" s="117">
        <v>43519</v>
      </c>
      <c r="B9965">
        <v>19.2652</v>
      </c>
    </row>
    <row r="9966" spans="1:2">
      <c r="A9966" s="117">
        <v>43520</v>
      </c>
      <c r="B9966">
        <v>19.2652</v>
      </c>
    </row>
    <row r="9967" spans="1:2">
      <c r="A9967" s="117">
        <v>43521</v>
      </c>
      <c r="B9967">
        <v>19.2652</v>
      </c>
    </row>
    <row r="9968" spans="1:2">
      <c r="A9968" s="117">
        <v>43522</v>
      </c>
      <c r="B9968">
        <v>19.139399999999998</v>
      </c>
    </row>
    <row r="9969" spans="1:2">
      <c r="A9969" s="117">
        <v>43523</v>
      </c>
      <c r="B9969">
        <v>19.118500000000001</v>
      </c>
    </row>
    <row r="9970" spans="1:2">
      <c r="A9970" s="117">
        <v>43524</v>
      </c>
      <c r="B9970">
        <v>19.163</v>
      </c>
    </row>
    <row r="9971" spans="1:2">
      <c r="A9971" s="117">
        <v>43525</v>
      </c>
      <c r="B9971">
        <v>19.220099999999999</v>
      </c>
    </row>
    <row r="9972" spans="1:2">
      <c r="A9972" s="117">
        <v>43526</v>
      </c>
      <c r="B9972">
        <v>19.2607</v>
      </c>
    </row>
    <row r="9973" spans="1:2">
      <c r="A9973" s="117">
        <v>43527</v>
      </c>
      <c r="B9973">
        <v>19.2607</v>
      </c>
    </row>
    <row r="9974" spans="1:2">
      <c r="A9974" s="117">
        <v>43528</v>
      </c>
      <c r="B9974">
        <v>19.2607</v>
      </c>
    </row>
    <row r="9975" spans="1:2">
      <c r="A9975" s="117">
        <v>43529</v>
      </c>
      <c r="B9975">
        <v>19.297799999999999</v>
      </c>
    </row>
    <row r="9976" spans="1:2">
      <c r="A9976" s="117">
        <v>43530</v>
      </c>
      <c r="B9976">
        <v>19.303899999999999</v>
      </c>
    </row>
    <row r="9977" spans="1:2">
      <c r="A9977" s="117">
        <v>43531</v>
      </c>
      <c r="B9977">
        <v>19.259699999999999</v>
      </c>
    </row>
    <row r="9978" spans="1:2">
      <c r="A9978" s="117">
        <v>43532</v>
      </c>
      <c r="B9978">
        <v>19.370799999999999</v>
      </c>
    </row>
    <row r="9979" spans="1:2">
      <c r="A9979" s="117">
        <v>43533</v>
      </c>
      <c r="B9979">
        <v>19.522500000000001</v>
      </c>
    </row>
    <row r="9980" spans="1:2">
      <c r="A9980" s="117">
        <v>43534</v>
      </c>
      <c r="B9980">
        <v>19.522500000000001</v>
      </c>
    </row>
    <row r="9981" spans="1:2">
      <c r="A9981" s="117">
        <v>43535</v>
      </c>
      <c r="B9981">
        <v>19.522500000000001</v>
      </c>
    </row>
    <row r="9982" spans="1:2">
      <c r="A9982" s="117">
        <v>43536</v>
      </c>
      <c r="B9982">
        <v>19.490200000000002</v>
      </c>
    </row>
    <row r="9983" spans="1:2">
      <c r="A9983" s="117">
        <v>43537</v>
      </c>
      <c r="B9983">
        <v>19.424299999999999</v>
      </c>
    </row>
    <row r="9984" spans="1:2">
      <c r="A9984" s="117">
        <v>43538</v>
      </c>
      <c r="B9984">
        <v>19.3049</v>
      </c>
    </row>
    <row r="9985" spans="1:2">
      <c r="A9985" s="117">
        <v>43539</v>
      </c>
      <c r="B9985">
        <v>19.332000000000001</v>
      </c>
    </row>
    <row r="9986" spans="1:2">
      <c r="A9986" s="117">
        <v>43540</v>
      </c>
      <c r="B9986">
        <v>19.3233</v>
      </c>
    </row>
    <row r="9987" spans="1:2">
      <c r="A9987" s="117">
        <v>43541</v>
      </c>
      <c r="B9987">
        <v>19.3233</v>
      </c>
    </row>
    <row r="9988" spans="1:2">
      <c r="A9988" s="117">
        <v>43542</v>
      </c>
      <c r="B9988">
        <v>19.3233</v>
      </c>
    </row>
    <row r="9989" spans="1:2">
      <c r="A9989" s="117">
        <v>43543</v>
      </c>
      <c r="B9989">
        <v>19.3233</v>
      </c>
    </row>
    <row r="9990" spans="1:2">
      <c r="A9990" s="117">
        <v>43544</v>
      </c>
      <c r="B9990">
        <v>19.217600000000001</v>
      </c>
    </row>
    <row r="9991" spans="1:2">
      <c r="A9991" s="117">
        <v>43545</v>
      </c>
      <c r="B9991">
        <v>19.000399999999999</v>
      </c>
    </row>
    <row r="9992" spans="1:2">
      <c r="A9992" s="117">
        <v>43546</v>
      </c>
      <c r="B9992">
        <v>18.909800000000001</v>
      </c>
    </row>
    <row r="9993" spans="1:2">
      <c r="A9993" s="117">
        <v>43547</v>
      </c>
      <c r="B9993">
        <v>18.869399999999999</v>
      </c>
    </row>
    <row r="9994" spans="1:2">
      <c r="A9994" s="117">
        <v>43548</v>
      </c>
      <c r="B9994">
        <v>18.869399999999999</v>
      </c>
    </row>
    <row r="9995" spans="1:2">
      <c r="A9995" s="117">
        <v>43549</v>
      </c>
      <c r="B9995">
        <v>18.869399999999999</v>
      </c>
    </row>
    <row r="9996" spans="1:2">
      <c r="A9996" s="117">
        <v>43550</v>
      </c>
      <c r="B9996">
        <v>19.136900000000001</v>
      </c>
    </row>
    <row r="9997" spans="1:2">
      <c r="A9997" s="117">
        <v>43551</v>
      </c>
      <c r="B9997">
        <v>19.0151</v>
      </c>
    </row>
    <row r="9998" spans="1:2">
      <c r="A9998" s="117">
        <v>43552</v>
      </c>
      <c r="B9998">
        <v>19.0989</v>
      </c>
    </row>
    <row r="9999" spans="1:2">
      <c r="A9999" s="117">
        <v>43553</v>
      </c>
      <c r="B9999">
        <v>19.3201</v>
      </c>
    </row>
    <row r="10000" spans="1:2">
      <c r="A10000" s="117">
        <v>43554</v>
      </c>
      <c r="B10000">
        <v>19.379300000000001</v>
      </c>
    </row>
    <row r="10001" spans="1:2">
      <c r="A10001" s="117">
        <v>43555</v>
      </c>
      <c r="B10001">
        <v>19.379300000000001</v>
      </c>
    </row>
    <row r="10002" spans="1:2">
      <c r="A10002" s="117">
        <v>43556</v>
      </c>
      <c r="B10002">
        <v>19.379300000000001</v>
      </c>
    </row>
    <row r="10003" spans="1:2">
      <c r="A10003" s="117">
        <v>43557</v>
      </c>
      <c r="B10003">
        <v>19.3779</v>
      </c>
    </row>
    <row r="10004" spans="1:2">
      <c r="A10004" s="117">
        <v>43558</v>
      </c>
      <c r="B10004">
        <v>19.216899999999999</v>
      </c>
    </row>
    <row r="10005" spans="1:2">
      <c r="A10005" s="117">
        <v>43559</v>
      </c>
      <c r="B10005">
        <v>19.227900000000002</v>
      </c>
    </row>
    <row r="10006" spans="1:2">
      <c r="A10006" s="117">
        <v>43560</v>
      </c>
      <c r="B10006">
        <v>19.180499999999999</v>
      </c>
    </row>
    <row r="10007" spans="1:2">
      <c r="A10007" s="117">
        <v>43561</v>
      </c>
      <c r="B10007">
        <v>19.172799999999999</v>
      </c>
    </row>
    <row r="10008" spans="1:2">
      <c r="A10008" s="117">
        <v>43562</v>
      </c>
      <c r="B10008">
        <v>19.172799999999999</v>
      </c>
    </row>
    <row r="10009" spans="1:2">
      <c r="A10009" s="117">
        <v>43563</v>
      </c>
      <c r="B10009">
        <v>19.172799999999999</v>
      </c>
    </row>
    <row r="10010" spans="1:2">
      <c r="A10010" s="117">
        <v>43564</v>
      </c>
      <c r="B10010">
        <v>19.080500000000001</v>
      </c>
    </row>
    <row r="10011" spans="1:2">
      <c r="A10011" s="117">
        <v>43565</v>
      </c>
      <c r="B10011">
        <v>18.970099999999999</v>
      </c>
    </row>
    <row r="10012" spans="1:2">
      <c r="A10012" s="117">
        <v>43566</v>
      </c>
      <c r="B10012">
        <v>18.922899999999998</v>
      </c>
    </row>
    <row r="10013" spans="1:2">
      <c r="A10013" s="117">
        <v>43567</v>
      </c>
      <c r="B10013">
        <v>18.835999999999999</v>
      </c>
    </row>
    <row r="10014" spans="1:2">
      <c r="A10014" s="117">
        <v>43568</v>
      </c>
      <c r="B10014">
        <v>18.8432</v>
      </c>
    </row>
    <row r="10015" spans="1:2">
      <c r="A10015" s="117">
        <v>43569</v>
      </c>
      <c r="B10015">
        <v>18.8432</v>
      </c>
    </row>
    <row r="10016" spans="1:2">
      <c r="A10016" s="117">
        <v>43570</v>
      </c>
      <c r="B10016">
        <v>18.8432</v>
      </c>
    </row>
    <row r="10017" spans="1:2">
      <c r="A10017" s="117">
        <v>43571</v>
      </c>
      <c r="B10017">
        <v>18.771899999999999</v>
      </c>
    </row>
    <row r="10018" spans="1:2">
      <c r="A10018" s="117">
        <v>43572</v>
      </c>
      <c r="B10018">
        <v>18.8489</v>
      </c>
    </row>
    <row r="10019" spans="1:2">
      <c r="A10019" s="117">
        <v>43573</v>
      </c>
      <c r="B10019">
        <v>18.951599999999999</v>
      </c>
    </row>
    <row r="10020" spans="1:2">
      <c r="A10020" s="117">
        <v>43574</v>
      </c>
      <c r="B10020">
        <v>18.951599999999999</v>
      </c>
    </row>
    <row r="10021" spans="1:2">
      <c r="A10021" s="117">
        <v>43575</v>
      </c>
      <c r="B10021">
        <v>18.951599999999999</v>
      </c>
    </row>
    <row r="10022" spans="1:2">
      <c r="A10022" s="117">
        <v>43576</v>
      </c>
      <c r="B10022">
        <v>18.951599999999999</v>
      </c>
    </row>
    <row r="10023" spans="1:2">
      <c r="A10023" s="117">
        <v>43577</v>
      </c>
      <c r="B10023">
        <v>18.951599999999999</v>
      </c>
    </row>
    <row r="10024" spans="1:2">
      <c r="A10024" s="117">
        <v>43578</v>
      </c>
      <c r="B10024">
        <v>18.847999999999999</v>
      </c>
    </row>
    <row r="10025" spans="1:2">
      <c r="A10025" s="117">
        <v>43579</v>
      </c>
      <c r="B10025">
        <v>18.835899999999999</v>
      </c>
    </row>
    <row r="10026" spans="1:2">
      <c r="A10026" s="117">
        <v>43580</v>
      </c>
      <c r="B10026">
        <v>18.957799999999999</v>
      </c>
    </row>
    <row r="10027" spans="1:2">
      <c r="A10027" s="117">
        <v>43581</v>
      </c>
      <c r="B10027">
        <v>19.0046</v>
      </c>
    </row>
    <row r="10028" spans="1:2">
      <c r="A10028" s="117">
        <v>43582</v>
      </c>
      <c r="B10028">
        <v>19.094200000000001</v>
      </c>
    </row>
    <row r="10029" spans="1:2">
      <c r="A10029" s="117">
        <v>43583</v>
      </c>
      <c r="B10029">
        <v>19.094200000000001</v>
      </c>
    </row>
    <row r="10030" spans="1:2">
      <c r="A10030" s="117">
        <v>43584</v>
      </c>
      <c r="B10030">
        <v>19.094200000000001</v>
      </c>
    </row>
    <row r="10031" spans="1:2">
      <c r="A10031" s="117">
        <v>43585</v>
      </c>
      <c r="B10031">
        <v>18.941400000000002</v>
      </c>
    </row>
    <row r="10032" spans="1:2">
      <c r="A10032" s="117">
        <v>43586</v>
      </c>
      <c r="B10032">
        <v>19.012</v>
      </c>
    </row>
    <row r="10033" spans="1:2">
      <c r="A10033" s="117">
        <v>43587</v>
      </c>
      <c r="B10033">
        <v>19.012</v>
      </c>
    </row>
    <row r="10034" spans="1:2">
      <c r="A10034" s="117">
        <v>43588</v>
      </c>
      <c r="B10034">
        <v>19.009899999999998</v>
      </c>
    </row>
    <row r="10035" spans="1:2">
      <c r="A10035" s="117">
        <v>43589</v>
      </c>
      <c r="B10035">
        <v>19.101400000000002</v>
      </c>
    </row>
    <row r="10036" spans="1:2">
      <c r="A10036" s="117">
        <v>43590</v>
      </c>
      <c r="B10036">
        <v>19.101400000000002</v>
      </c>
    </row>
    <row r="10037" spans="1:2">
      <c r="A10037" s="117">
        <v>43591</v>
      </c>
      <c r="B10037">
        <v>19.101400000000002</v>
      </c>
    </row>
    <row r="10038" spans="1:2">
      <c r="A10038" s="117">
        <v>43592</v>
      </c>
      <c r="B10038">
        <v>19.001200000000001</v>
      </c>
    </row>
    <row r="10039" spans="1:2">
      <c r="A10039" s="117">
        <v>43593</v>
      </c>
      <c r="B10039">
        <v>18.978100000000001</v>
      </c>
    </row>
    <row r="10040" spans="1:2">
      <c r="A10040" s="117">
        <v>43594</v>
      </c>
      <c r="B10040">
        <v>19.049900000000001</v>
      </c>
    </row>
    <row r="10041" spans="1:2">
      <c r="A10041" s="117">
        <v>43595</v>
      </c>
      <c r="B10041">
        <v>19.0837</v>
      </c>
    </row>
    <row r="10042" spans="1:2">
      <c r="A10042" s="117">
        <v>43596</v>
      </c>
      <c r="B10042">
        <v>19.2623</v>
      </c>
    </row>
    <row r="10043" spans="1:2">
      <c r="A10043" s="117">
        <v>43597</v>
      </c>
      <c r="B10043">
        <v>19.2623</v>
      </c>
    </row>
    <row r="10044" spans="1:2">
      <c r="A10044" s="117">
        <v>43598</v>
      </c>
      <c r="B10044">
        <v>19.2623</v>
      </c>
    </row>
    <row r="10045" spans="1:2">
      <c r="A10045" s="117">
        <v>43599</v>
      </c>
      <c r="B10045">
        <v>19.1374</v>
      </c>
    </row>
    <row r="10046" spans="1:2">
      <c r="A10046" s="117">
        <v>43600</v>
      </c>
      <c r="B10046">
        <v>19.192799999999998</v>
      </c>
    </row>
    <row r="10047" spans="1:2">
      <c r="A10047" s="117">
        <v>43601</v>
      </c>
      <c r="B10047">
        <v>19.142700000000001</v>
      </c>
    </row>
    <row r="10048" spans="1:2">
      <c r="A10048" s="117">
        <v>43602</v>
      </c>
      <c r="B10048">
        <v>19.1236</v>
      </c>
    </row>
    <row r="10049" spans="1:2">
      <c r="A10049" s="117">
        <v>43603</v>
      </c>
      <c r="B10049">
        <v>19.071000000000002</v>
      </c>
    </row>
    <row r="10050" spans="1:2">
      <c r="A10050" s="117">
        <v>43604</v>
      </c>
      <c r="B10050">
        <v>19.071000000000002</v>
      </c>
    </row>
    <row r="10051" spans="1:2">
      <c r="A10051" s="117">
        <v>43605</v>
      </c>
      <c r="B10051">
        <v>19.071000000000002</v>
      </c>
    </row>
    <row r="10052" spans="1:2">
      <c r="A10052" s="117">
        <v>43606</v>
      </c>
      <c r="B10052">
        <v>19.145399999999999</v>
      </c>
    </row>
    <row r="10053" spans="1:2">
      <c r="A10053" s="117">
        <v>43607</v>
      </c>
      <c r="B10053">
        <v>19.090800000000002</v>
      </c>
    </row>
    <row r="10054" spans="1:2">
      <c r="A10054" s="117">
        <v>43608</v>
      </c>
      <c r="B10054">
        <v>19.030899999999999</v>
      </c>
    </row>
    <row r="10055" spans="1:2">
      <c r="A10055" s="117">
        <v>43609</v>
      </c>
      <c r="B10055">
        <v>18.9755</v>
      </c>
    </row>
    <row r="10056" spans="1:2">
      <c r="A10056" s="117">
        <v>43610</v>
      </c>
      <c r="B10056">
        <v>19.0122</v>
      </c>
    </row>
    <row r="10057" spans="1:2">
      <c r="A10057" s="117">
        <v>43611</v>
      </c>
      <c r="B10057">
        <v>19.0122</v>
      </c>
    </row>
    <row r="10058" spans="1:2">
      <c r="A10058" s="117">
        <v>43612</v>
      </c>
      <c r="B10058">
        <v>19.0122</v>
      </c>
    </row>
    <row r="10059" spans="1:2">
      <c r="A10059" s="117">
        <v>43613</v>
      </c>
      <c r="B10059">
        <v>19.065799999999999</v>
      </c>
    </row>
    <row r="10060" spans="1:2">
      <c r="A10060" s="117">
        <v>43614</v>
      </c>
      <c r="B10060">
        <v>19.052099999999999</v>
      </c>
    </row>
    <row r="10061" spans="1:2">
      <c r="A10061" s="117">
        <v>43615</v>
      </c>
      <c r="B10061">
        <v>19.165199999999999</v>
      </c>
    </row>
    <row r="10062" spans="1:2">
      <c r="A10062" s="117">
        <v>43616</v>
      </c>
      <c r="B10062">
        <v>19.2395</v>
      </c>
    </row>
    <row r="10063" spans="1:2">
      <c r="A10063" s="117">
        <v>43617</v>
      </c>
      <c r="B10063">
        <v>19.068300000000001</v>
      </c>
    </row>
    <row r="10064" spans="1:2">
      <c r="A10064" s="117">
        <v>43618</v>
      </c>
      <c r="B10064">
        <v>19.068300000000001</v>
      </c>
    </row>
    <row r="10065" spans="1:2">
      <c r="A10065" s="117">
        <v>43619</v>
      </c>
      <c r="B10065">
        <v>19.068300000000001</v>
      </c>
    </row>
    <row r="10066" spans="1:2">
      <c r="A10066" s="117">
        <v>43620</v>
      </c>
      <c r="B10066">
        <v>19.642600000000002</v>
      </c>
    </row>
    <row r="10067" spans="1:2">
      <c r="A10067" s="117">
        <v>43621</v>
      </c>
      <c r="B10067">
        <v>19.760899999999999</v>
      </c>
    </row>
    <row r="10068" spans="1:2">
      <c r="A10068" s="117">
        <v>43622</v>
      </c>
      <c r="B10068">
        <v>19.6007</v>
      </c>
    </row>
    <row r="10069" spans="1:2">
      <c r="A10069" s="117">
        <v>43623</v>
      </c>
      <c r="B10069">
        <v>19.541799999999999</v>
      </c>
    </row>
    <row r="10070" spans="1:2">
      <c r="A10070" s="117">
        <v>43624</v>
      </c>
      <c r="B10070">
        <v>19.708400000000001</v>
      </c>
    </row>
    <row r="10071" spans="1:2">
      <c r="A10071" s="117">
        <v>43625</v>
      </c>
      <c r="B10071">
        <v>19.708400000000001</v>
      </c>
    </row>
    <row r="10072" spans="1:2">
      <c r="A10072" s="117">
        <v>43626</v>
      </c>
      <c r="B10072">
        <v>19.708400000000001</v>
      </c>
    </row>
    <row r="10073" spans="1:2">
      <c r="A10073" s="117">
        <v>43627</v>
      </c>
      <c r="B10073">
        <v>19.652799999999999</v>
      </c>
    </row>
    <row r="10074" spans="1:2">
      <c r="A10074" s="117">
        <v>43628</v>
      </c>
      <c r="B10074">
        <v>19.204000000000001</v>
      </c>
    </row>
    <row r="10075" spans="1:2">
      <c r="A10075" s="117">
        <v>43629</v>
      </c>
      <c r="B10075">
        <v>19.122199999999999</v>
      </c>
    </row>
    <row r="10076" spans="1:2">
      <c r="A10076" s="117">
        <v>43630</v>
      </c>
      <c r="B10076">
        <v>19.138300000000001</v>
      </c>
    </row>
    <row r="10077" spans="1:2">
      <c r="A10077" s="117">
        <v>43631</v>
      </c>
      <c r="B10077">
        <v>19.1645</v>
      </c>
    </row>
    <row r="10078" spans="1:2">
      <c r="A10078" s="117">
        <v>43632</v>
      </c>
      <c r="B10078">
        <v>19.1645</v>
      </c>
    </row>
    <row r="10079" spans="1:2">
      <c r="A10079" s="117">
        <v>43633</v>
      </c>
      <c r="B10079">
        <v>19.1645</v>
      </c>
    </row>
    <row r="10080" spans="1:2">
      <c r="A10080" s="117">
        <v>43634</v>
      </c>
      <c r="B10080">
        <v>19.148700000000002</v>
      </c>
    </row>
    <row r="10081" spans="1:2">
      <c r="A10081" s="117">
        <v>43635</v>
      </c>
      <c r="B10081">
        <v>19.192399999999999</v>
      </c>
    </row>
    <row r="10082" spans="1:2">
      <c r="A10082" s="117">
        <v>43636</v>
      </c>
      <c r="B10082">
        <v>19.101099999999999</v>
      </c>
    </row>
    <row r="10083" spans="1:2">
      <c r="A10083" s="117">
        <v>43637</v>
      </c>
      <c r="B10083">
        <v>19.1753</v>
      </c>
    </row>
    <row r="10084" spans="1:2">
      <c r="A10084" s="117">
        <v>43638</v>
      </c>
      <c r="B10084">
        <v>18.980399999999999</v>
      </c>
    </row>
    <row r="10085" spans="1:2">
      <c r="A10085" s="117">
        <v>43639</v>
      </c>
      <c r="B10085">
        <v>18.980399999999999</v>
      </c>
    </row>
    <row r="10086" spans="1:2">
      <c r="A10086" s="117">
        <v>43640</v>
      </c>
      <c r="B10086">
        <v>18.980399999999999</v>
      </c>
    </row>
    <row r="10087" spans="1:2">
      <c r="A10087" s="117">
        <v>43641</v>
      </c>
      <c r="B10087">
        <v>19.066099999999999</v>
      </c>
    </row>
    <row r="10088" spans="1:2">
      <c r="A10088" s="117">
        <v>43642</v>
      </c>
      <c r="B10088">
        <v>19.183299999999999</v>
      </c>
    </row>
    <row r="10089" spans="1:2">
      <c r="A10089" s="117">
        <v>43643</v>
      </c>
      <c r="B10089">
        <v>19.2271</v>
      </c>
    </row>
    <row r="10090" spans="1:2">
      <c r="A10090" s="117">
        <v>43644</v>
      </c>
      <c r="B10090">
        <v>19.144200000000001</v>
      </c>
    </row>
    <row r="10091" spans="1:2">
      <c r="A10091" s="117">
        <v>43645</v>
      </c>
      <c r="B10091">
        <v>19.168500000000002</v>
      </c>
    </row>
    <row r="10092" spans="1:2">
      <c r="A10092" s="117">
        <v>43646</v>
      </c>
      <c r="B10092">
        <v>19.168500000000002</v>
      </c>
    </row>
    <row r="10093" spans="1:2">
      <c r="A10093" s="117">
        <v>43647</v>
      </c>
      <c r="B10093">
        <v>19.168500000000002</v>
      </c>
    </row>
    <row r="10094" spans="1:2">
      <c r="A10094" s="117">
        <v>43648</v>
      </c>
      <c r="B10094">
        <v>19.2087</v>
      </c>
    </row>
    <row r="10095" spans="1:2">
      <c r="A10095" s="117">
        <v>43649</v>
      </c>
      <c r="B10095">
        <v>19.076000000000001</v>
      </c>
    </row>
    <row r="10096" spans="1:2">
      <c r="A10096" s="117">
        <v>43650</v>
      </c>
      <c r="B10096">
        <v>19.069400000000002</v>
      </c>
    </row>
    <row r="10097" spans="1:2">
      <c r="A10097" s="117">
        <v>43651</v>
      </c>
      <c r="B10097">
        <v>19.0502</v>
      </c>
    </row>
    <row r="10098" spans="1:2">
      <c r="A10098" s="117">
        <v>43652</v>
      </c>
      <c r="B10098">
        <v>18.994700000000002</v>
      </c>
    </row>
    <row r="10099" spans="1:2">
      <c r="A10099" s="117">
        <v>43653</v>
      </c>
      <c r="B10099">
        <v>18.994700000000002</v>
      </c>
    </row>
    <row r="10100" spans="1:2">
      <c r="A10100" s="117">
        <v>43654</v>
      </c>
      <c r="B10100">
        <v>18.994700000000002</v>
      </c>
    </row>
    <row r="10101" spans="1:2">
      <c r="A10101" s="117">
        <v>43655</v>
      </c>
      <c r="B10101">
        <v>19.044599999999999</v>
      </c>
    </row>
    <row r="10102" spans="1:2">
      <c r="A10102" s="117">
        <v>43656</v>
      </c>
      <c r="B10102">
        <v>18.9116</v>
      </c>
    </row>
    <row r="10103" spans="1:2">
      <c r="A10103" s="117">
        <v>43657</v>
      </c>
      <c r="B10103">
        <v>19.004300000000001</v>
      </c>
    </row>
    <row r="10104" spans="1:2">
      <c r="A10104" s="117">
        <v>43658</v>
      </c>
      <c r="B10104">
        <v>19.2425</v>
      </c>
    </row>
    <row r="10105" spans="1:2">
      <c r="A10105" s="117">
        <v>43659</v>
      </c>
      <c r="B10105">
        <v>19.122699999999998</v>
      </c>
    </row>
    <row r="10106" spans="1:2">
      <c r="A10106" s="117">
        <v>43660</v>
      </c>
      <c r="B10106">
        <v>19.122699999999998</v>
      </c>
    </row>
    <row r="10107" spans="1:2">
      <c r="A10107" s="117">
        <v>43661</v>
      </c>
      <c r="B10107">
        <v>19.122699999999998</v>
      </c>
    </row>
    <row r="10108" spans="1:2">
      <c r="A10108" s="117">
        <v>43662</v>
      </c>
      <c r="B10108">
        <v>19.0307</v>
      </c>
    </row>
    <row r="10109" spans="1:2">
      <c r="A10109" s="117">
        <v>43663</v>
      </c>
      <c r="B10109">
        <v>18.9803</v>
      </c>
    </row>
    <row r="10110" spans="1:2">
      <c r="A10110" s="117">
        <v>43664</v>
      </c>
      <c r="B10110">
        <v>19.078099999999999</v>
      </c>
    </row>
    <row r="10111" spans="1:2">
      <c r="A10111" s="117">
        <v>43665</v>
      </c>
      <c r="B10111">
        <v>19.023299999999999</v>
      </c>
    </row>
    <row r="10112" spans="1:2">
      <c r="A10112" s="117">
        <v>43666</v>
      </c>
      <c r="B10112">
        <v>19.0108</v>
      </c>
    </row>
    <row r="10113" spans="1:2">
      <c r="A10113" s="117">
        <v>43667</v>
      </c>
      <c r="B10113">
        <v>19.0108</v>
      </c>
    </row>
    <row r="10114" spans="1:2">
      <c r="A10114" s="117">
        <v>43668</v>
      </c>
      <c r="B10114">
        <v>19.0108</v>
      </c>
    </row>
    <row r="10115" spans="1:2">
      <c r="A10115" s="117">
        <v>43669</v>
      </c>
      <c r="B10115">
        <v>19.0123</v>
      </c>
    </row>
    <row r="10116" spans="1:2">
      <c r="A10116" s="117">
        <v>43670</v>
      </c>
      <c r="B10116">
        <v>19.065899999999999</v>
      </c>
    </row>
    <row r="10117" spans="1:2">
      <c r="A10117" s="117">
        <v>43671</v>
      </c>
      <c r="B10117">
        <v>19.131499999999999</v>
      </c>
    </row>
    <row r="10118" spans="1:2">
      <c r="A10118" s="117">
        <v>43672</v>
      </c>
      <c r="B10118">
        <v>19.089400000000001</v>
      </c>
    </row>
    <row r="10119" spans="1:2">
      <c r="A10119" s="117">
        <v>43673</v>
      </c>
      <c r="B10119">
        <v>19.0623</v>
      </c>
    </row>
    <row r="10120" spans="1:2">
      <c r="A10120" s="117">
        <v>43674</v>
      </c>
      <c r="B10120">
        <v>19.0623</v>
      </c>
    </row>
    <row r="10121" spans="1:2">
      <c r="A10121" s="117">
        <v>43675</v>
      </c>
      <c r="B10121">
        <v>19.0623</v>
      </c>
    </row>
    <row r="10122" spans="1:2">
      <c r="A10122" s="117">
        <v>43676</v>
      </c>
      <c r="B10122">
        <v>19.069900000000001</v>
      </c>
    </row>
    <row r="10123" spans="1:2">
      <c r="A10123" s="117">
        <v>43677</v>
      </c>
      <c r="B10123">
        <v>19.09</v>
      </c>
    </row>
    <row r="10124" spans="1:2">
      <c r="A10124" s="117">
        <v>43678</v>
      </c>
      <c r="B10124">
        <v>19.0747</v>
      </c>
    </row>
    <row r="10125" spans="1:2">
      <c r="A10125" s="117">
        <v>43679</v>
      </c>
      <c r="B10125">
        <v>18.992899999999999</v>
      </c>
    </row>
    <row r="10126" spans="1:2">
      <c r="A10126" s="117">
        <v>43680</v>
      </c>
      <c r="B10126">
        <v>19.162700000000001</v>
      </c>
    </row>
    <row r="10127" spans="1:2">
      <c r="A10127" s="117">
        <v>43681</v>
      </c>
      <c r="B10127">
        <v>19.162700000000001</v>
      </c>
    </row>
    <row r="10128" spans="1:2">
      <c r="A10128" s="117">
        <v>43682</v>
      </c>
      <c r="B10128">
        <v>19.162700000000001</v>
      </c>
    </row>
    <row r="10129" spans="1:2">
      <c r="A10129" s="117">
        <v>43683</v>
      </c>
      <c r="B10129">
        <v>19.311599999999999</v>
      </c>
    </row>
    <row r="10130" spans="1:2">
      <c r="A10130" s="117">
        <v>43684</v>
      </c>
      <c r="B10130">
        <v>19.5731</v>
      </c>
    </row>
    <row r="10131" spans="1:2">
      <c r="A10131" s="117">
        <v>43685</v>
      </c>
      <c r="B10131">
        <v>19.629100000000001</v>
      </c>
    </row>
    <row r="10132" spans="1:2">
      <c r="A10132" s="117">
        <v>43686</v>
      </c>
      <c r="B10132">
        <v>19.6953</v>
      </c>
    </row>
    <row r="10133" spans="1:2">
      <c r="A10133" s="117">
        <v>43687</v>
      </c>
      <c r="B10133">
        <v>19.511800000000001</v>
      </c>
    </row>
    <row r="10134" spans="1:2">
      <c r="A10134" s="117">
        <v>43688</v>
      </c>
      <c r="B10134">
        <v>19.511800000000001</v>
      </c>
    </row>
    <row r="10135" spans="1:2">
      <c r="A10135" s="117">
        <v>43689</v>
      </c>
      <c r="B10135">
        <v>19.511800000000001</v>
      </c>
    </row>
    <row r="10136" spans="1:2">
      <c r="A10136" s="117">
        <v>43690</v>
      </c>
      <c r="B10136">
        <v>19.4283</v>
      </c>
    </row>
    <row r="10137" spans="1:2">
      <c r="A10137" s="117">
        <v>43691</v>
      </c>
      <c r="B10137">
        <v>19.580300000000001</v>
      </c>
    </row>
    <row r="10138" spans="1:2">
      <c r="A10138" s="117">
        <v>43692</v>
      </c>
      <c r="B10138">
        <v>19.463000000000001</v>
      </c>
    </row>
    <row r="10139" spans="1:2">
      <c r="A10139" s="117">
        <v>43693</v>
      </c>
      <c r="B10139">
        <v>19.5763</v>
      </c>
    </row>
    <row r="10140" spans="1:2">
      <c r="A10140" s="117">
        <v>43694</v>
      </c>
      <c r="B10140">
        <v>19.636500000000002</v>
      </c>
    </row>
    <row r="10141" spans="1:2">
      <c r="A10141" s="117">
        <v>43695</v>
      </c>
      <c r="B10141">
        <v>19.636500000000002</v>
      </c>
    </row>
    <row r="10142" spans="1:2">
      <c r="A10142" s="117">
        <v>43696</v>
      </c>
      <c r="B10142">
        <v>19.636500000000002</v>
      </c>
    </row>
    <row r="10143" spans="1:2">
      <c r="A10143" s="117">
        <v>43697</v>
      </c>
      <c r="B10143">
        <v>19.5669</v>
      </c>
    </row>
    <row r="10144" spans="1:2">
      <c r="A10144" s="117">
        <v>43698</v>
      </c>
      <c r="B10144">
        <v>19.815300000000001</v>
      </c>
    </row>
    <row r="10145" spans="1:2">
      <c r="A10145" s="117">
        <v>43699</v>
      </c>
      <c r="B10145">
        <v>19.752199999999998</v>
      </c>
    </row>
    <row r="10146" spans="1:2">
      <c r="A10146" s="117">
        <v>43700</v>
      </c>
      <c r="B10146">
        <v>19.6798</v>
      </c>
    </row>
    <row r="10147" spans="1:2">
      <c r="A10147" s="117">
        <v>43701</v>
      </c>
      <c r="B10147">
        <v>19.746700000000001</v>
      </c>
    </row>
    <row r="10148" spans="1:2">
      <c r="A10148" s="117">
        <v>43702</v>
      </c>
      <c r="B10148">
        <v>19.746700000000001</v>
      </c>
    </row>
    <row r="10149" spans="1:2">
      <c r="A10149" s="117">
        <v>43703</v>
      </c>
      <c r="B10149">
        <v>19.746700000000001</v>
      </c>
    </row>
    <row r="10150" spans="1:2">
      <c r="A10150" s="117">
        <v>43704</v>
      </c>
      <c r="B10150">
        <v>19.840199999999999</v>
      </c>
    </row>
    <row r="10151" spans="1:2">
      <c r="A10151" s="117">
        <v>43705</v>
      </c>
      <c r="B10151">
        <v>19.9086</v>
      </c>
    </row>
    <row r="10152" spans="1:2">
      <c r="A10152" s="117">
        <v>43706</v>
      </c>
      <c r="B10152">
        <v>19.993400000000001</v>
      </c>
    </row>
    <row r="10153" spans="1:2">
      <c r="A10153" s="117">
        <v>43707</v>
      </c>
      <c r="B10153">
        <v>20.031400000000001</v>
      </c>
    </row>
    <row r="10154" spans="1:2">
      <c r="A10154" s="117">
        <v>43708</v>
      </c>
      <c r="B10154">
        <v>20.098800000000001</v>
      </c>
    </row>
    <row r="10155" spans="1:2">
      <c r="A10155" s="117">
        <v>43709</v>
      </c>
      <c r="B10155">
        <v>20.098800000000001</v>
      </c>
    </row>
    <row r="10156" spans="1:2">
      <c r="A10156" s="117">
        <v>43710</v>
      </c>
      <c r="B10156">
        <v>20.098800000000001</v>
      </c>
    </row>
    <row r="10157" spans="1:2">
      <c r="A10157" s="117">
        <v>43711</v>
      </c>
      <c r="B10157">
        <v>20.069600000000001</v>
      </c>
    </row>
    <row r="10158" spans="1:2">
      <c r="A10158" s="117">
        <v>43712</v>
      </c>
      <c r="B10158">
        <v>20.125299999999999</v>
      </c>
    </row>
    <row r="10159" spans="1:2">
      <c r="A10159" s="117">
        <v>43713</v>
      </c>
      <c r="B10159">
        <v>20.003900000000002</v>
      </c>
    </row>
    <row r="10160" spans="1:2">
      <c r="A10160" s="117">
        <v>43714</v>
      </c>
      <c r="B10160">
        <v>19.7806</v>
      </c>
    </row>
    <row r="10161" spans="1:2">
      <c r="A10161" s="117">
        <v>43715</v>
      </c>
      <c r="B10161">
        <v>19.683399999999999</v>
      </c>
    </row>
    <row r="10162" spans="1:2">
      <c r="A10162" s="117">
        <v>43716</v>
      </c>
      <c r="B10162">
        <v>19.683399999999999</v>
      </c>
    </row>
    <row r="10163" spans="1:2">
      <c r="A10163" s="117">
        <v>43717</v>
      </c>
      <c r="B10163">
        <v>19.683399999999999</v>
      </c>
    </row>
    <row r="10164" spans="1:2">
      <c r="A10164" s="117">
        <v>43718</v>
      </c>
      <c r="B10164">
        <v>19.5623</v>
      </c>
    </row>
    <row r="10165" spans="1:2">
      <c r="A10165" s="117">
        <v>43719</v>
      </c>
      <c r="B10165">
        <v>19.5398</v>
      </c>
    </row>
    <row r="10166" spans="1:2">
      <c r="A10166" s="117">
        <v>43720</v>
      </c>
      <c r="B10166">
        <v>19.535399999999999</v>
      </c>
    </row>
    <row r="10167" spans="1:2">
      <c r="A10167" s="117">
        <v>43721</v>
      </c>
      <c r="B10167">
        <v>19.547799999999999</v>
      </c>
    </row>
    <row r="10168" spans="1:2">
      <c r="A10168" s="117">
        <v>43722</v>
      </c>
      <c r="B10168">
        <v>19.426500000000001</v>
      </c>
    </row>
    <row r="10169" spans="1:2">
      <c r="A10169" s="117">
        <v>43723</v>
      </c>
      <c r="B10169">
        <v>19.426500000000001</v>
      </c>
    </row>
    <row r="10170" spans="1:2">
      <c r="A10170" s="117">
        <v>43724</v>
      </c>
      <c r="B10170">
        <v>19.426500000000001</v>
      </c>
    </row>
    <row r="10171" spans="1:2">
      <c r="A10171" s="117">
        <v>43725</v>
      </c>
      <c r="B10171">
        <v>19.426500000000001</v>
      </c>
    </row>
    <row r="10172" spans="1:2">
      <c r="A10172" s="117">
        <v>43726</v>
      </c>
      <c r="B10172">
        <v>19.366499999999998</v>
      </c>
    </row>
    <row r="10173" spans="1:2">
      <c r="A10173" s="117">
        <v>43727</v>
      </c>
      <c r="B10173">
        <v>19.426200000000001</v>
      </c>
    </row>
    <row r="10174" spans="1:2">
      <c r="A10174" s="117">
        <v>43728</v>
      </c>
      <c r="B10174">
        <v>19.352799999999998</v>
      </c>
    </row>
    <row r="10175" spans="1:2">
      <c r="A10175" s="117">
        <v>43729</v>
      </c>
      <c r="B10175">
        <v>19.398099999999999</v>
      </c>
    </row>
    <row r="10176" spans="1:2">
      <c r="A10176" s="117">
        <v>43730</v>
      </c>
      <c r="B10176">
        <v>19.398099999999999</v>
      </c>
    </row>
    <row r="10177" spans="1:2">
      <c r="A10177" s="117">
        <v>43731</v>
      </c>
      <c r="B10177">
        <v>19.398099999999999</v>
      </c>
    </row>
    <row r="10178" spans="1:2">
      <c r="A10178" s="117">
        <v>43732</v>
      </c>
      <c r="B10178">
        <v>19.447800000000001</v>
      </c>
    </row>
    <row r="10179" spans="1:2">
      <c r="A10179" s="117">
        <v>43733</v>
      </c>
      <c r="B10179">
        <v>19.445900000000002</v>
      </c>
    </row>
    <row r="10180" spans="1:2">
      <c r="A10180" s="117">
        <v>43734</v>
      </c>
      <c r="B10180">
        <v>19.4587</v>
      </c>
    </row>
    <row r="10181" spans="1:2">
      <c r="A10181" s="117">
        <v>43735</v>
      </c>
      <c r="B10181">
        <v>19.577500000000001</v>
      </c>
    </row>
    <row r="10182" spans="1:2">
      <c r="A10182" s="117">
        <v>43736</v>
      </c>
      <c r="B10182">
        <v>19.636299999999999</v>
      </c>
    </row>
    <row r="10183" spans="1:2">
      <c r="A10183" s="117">
        <v>43737</v>
      </c>
      <c r="B10183">
        <v>19.636299999999999</v>
      </c>
    </row>
    <row r="10184" spans="1:2">
      <c r="A10184" s="117">
        <v>43738</v>
      </c>
      <c r="B10184">
        <v>19.636299999999999</v>
      </c>
    </row>
    <row r="10185" spans="1:2">
      <c r="A10185" s="117">
        <v>43739</v>
      </c>
      <c r="B10185">
        <v>19.680800000000001</v>
      </c>
    </row>
    <row r="10186" spans="1:2">
      <c r="A10186" s="117">
        <v>43740</v>
      </c>
      <c r="B10186">
        <v>19.734500000000001</v>
      </c>
    </row>
    <row r="10187" spans="1:2">
      <c r="A10187" s="117">
        <v>43741</v>
      </c>
      <c r="B10187">
        <v>19.779199999999999</v>
      </c>
    </row>
    <row r="10188" spans="1:2">
      <c r="A10188" s="117">
        <v>43742</v>
      </c>
      <c r="B10188">
        <v>19.798500000000001</v>
      </c>
    </row>
    <row r="10189" spans="1:2">
      <c r="A10189" s="117">
        <v>43743</v>
      </c>
      <c r="B10189">
        <v>19.736799999999999</v>
      </c>
    </row>
    <row r="10190" spans="1:2">
      <c r="A10190" s="117">
        <v>43744</v>
      </c>
      <c r="B10190">
        <v>19.736799999999999</v>
      </c>
    </row>
    <row r="10191" spans="1:2">
      <c r="A10191" s="117">
        <v>43745</v>
      </c>
      <c r="B10191">
        <v>19.736799999999999</v>
      </c>
    </row>
    <row r="10192" spans="1:2">
      <c r="A10192" s="117">
        <v>43746</v>
      </c>
      <c r="B10192">
        <v>19.525500000000001</v>
      </c>
    </row>
    <row r="10193" spans="1:2">
      <c r="A10193" s="117">
        <v>43747</v>
      </c>
      <c r="B10193">
        <v>19.552199999999999</v>
      </c>
    </row>
    <row r="10194" spans="1:2">
      <c r="A10194" s="117">
        <v>43748</v>
      </c>
      <c r="B10194">
        <v>19.584</v>
      </c>
    </row>
    <row r="10195" spans="1:2">
      <c r="A10195" s="117">
        <v>43749</v>
      </c>
      <c r="B10195">
        <v>19.568899999999999</v>
      </c>
    </row>
    <row r="10196" spans="1:2">
      <c r="A10196" s="117">
        <v>43750</v>
      </c>
      <c r="B10196">
        <v>19.476400000000002</v>
      </c>
    </row>
    <row r="10197" spans="1:2">
      <c r="A10197" s="117">
        <v>43751</v>
      </c>
      <c r="B10197">
        <v>19.476400000000002</v>
      </c>
    </row>
    <row r="10198" spans="1:2">
      <c r="A10198" s="117">
        <v>43752</v>
      </c>
      <c r="B10198">
        <v>19.476400000000002</v>
      </c>
    </row>
    <row r="10199" spans="1:2">
      <c r="A10199" s="117">
        <v>43753</v>
      </c>
      <c r="B10199">
        <v>19.3217</v>
      </c>
    </row>
    <row r="10200" spans="1:2">
      <c r="A10200" s="117">
        <v>43754</v>
      </c>
      <c r="B10200">
        <v>19.2652</v>
      </c>
    </row>
    <row r="10201" spans="1:2">
      <c r="A10201" s="117">
        <v>43755</v>
      </c>
      <c r="B10201">
        <v>19.251999999999999</v>
      </c>
    </row>
    <row r="10202" spans="1:2">
      <c r="A10202" s="117">
        <v>43756</v>
      </c>
      <c r="B10202">
        <v>19.2135</v>
      </c>
    </row>
    <row r="10203" spans="1:2">
      <c r="A10203" s="117">
        <v>43757</v>
      </c>
      <c r="B10203">
        <v>19.1602</v>
      </c>
    </row>
    <row r="10204" spans="1:2">
      <c r="A10204" s="117">
        <v>43758</v>
      </c>
      <c r="B10204">
        <v>19.1602</v>
      </c>
    </row>
    <row r="10205" spans="1:2">
      <c r="A10205" s="117">
        <v>43759</v>
      </c>
      <c r="B10205">
        <v>19.1602</v>
      </c>
    </row>
    <row r="10206" spans="1:2">
      <c r="A10206" s="117">
        <v>43760</v>
      </c>
      <c r="B10206">
        <v>19.1492</v>
      </c>
    </row>
    <row r="10207" spans="1:2">
      <c r="A10207" s="117">
        <v>43761</v>
      </c>
      <c r="B10207">
        <v>19.142199999999999</v>
      </c>
    </row>
    <row r="10208" spans="1:2">
      <c r="A10208" s="117">
        <v>43762</v>
      </c>
      <c r="B10208">
        <v>19.105</v>
      </c>
    </row>
    <row r="10209" spans="1:2">
      <c r="A10209" s="117">
        <v>43763</v>
      </c>
      <c r="B10209">
        <v>19.125800000000002</v>
      </c>
    </row>
    <row r="10210" spans="1:2">
      <c r="A10210" s="117">
        <v>43764</v>
      </c>
      <c r="B10210">
        <v>19.087800000000001</v>
      </c>
    </row>
    <row r="10211" spans="1:2">
      <c r="A10211" s="117">
        <v>43765</v>
      </c>
      <c r="B10211">
        <v>19.087800000000001</v>
      </c>
    </row>
    <row r="10212" spans="1:2">
      <c r="A10212" s="117">
        <v>43766</v>
      </c>
      <c r="B10212">
        <v>19.087800000000001</v>
      </c>
    </row>
    <row r="10213" spans="1:2">
      <c r="A10213" s="117">
        <v>43767</v>
      </c>
      <c r="B10213">
        <v>19.082000000000001</v>
      </c>
    </row>
    <row r="10214" spans="1:2">
      <c r="A10214" s="117">
        <v>43768</v>
      </c>
      <c r="B10214">
        <v>19.054300000000001</v>
      </c>
    </row>
    <row r="10215" spans="1:2">
      <c r="A10215" s="117">
        <v>43769</v>
      </c>
      <c r="B10215">
        <v>19.116700000000002</v>
      </c>
    </row>
    <row r="10216" spans="1:2">
      <c r="A10216" s="117">
        <v>43770</v>
      </c>
      <c r="B10216">
        <v>19.164300000000001</v>
      </c>
    </row>
    <row r="10217" spans="1:2">
      <c r="A10217" s="117">
        <v>43771</v>
      </c>
      <c r="B10217">
        <v>19.194800000000001</v>
      </c>
    </row>
    <row r="10218" spans="1:2">
      <c r="A10218" s="117">
        <v>43772</v>
      </c>
      <c r="B10218">
        <v>19.194800000000001</v>
      </c>
    </row>
    <row r="10219" spans="1:2">
      <c r="A10219" s="117">
        <v>43773</v>
      </c>
      <c r="B10219">
        <v>19.194800000000001</v>
      </c>
    </row>
    <row r="10220" spans="1:2">
      <c r="A10220" s="117">
        <v>43774</v>
      </c>
      <c r="B10220">
        <v>19.105799999999999</v>
      </c>
    </row>
    <row r="10221" spans="1:2">
      <c r="A10221" s="117">
        <v>43775</v>
      </c>
      <c r="B10221">
        <v>19.1525</v>
      </c>
    </row>
    <row r="10222" spans="1:2">
      <c r="A10222" s="117">
        <v>43776</v>
      </c>
      <c r="B10222">
        <v>19.212499999999999</v>
      </c>
    </row>
    <row r="10223" spans="1:2">
      <c r="A10223" s="117">
        <v>43777</v>
      </c>
      <c r="B10223">
        <v>19.1953</v>
      </c>
    </row>
    <row r="10224" spans="1:2">
      <c r="A10224" s="117">
        <v>43778</v>
      </c>
      <c r="B10224">
        <v>19.1327</v>
      </c>
    </row>
    <row r="10225" spans="1:2">
      <c r="A10225" s="117">
        <v>43779</v>
      </c>
      <c r="B10225">
        <v>19.1327</v>
      </c>
    </row>
    <row r="10226" spans="1:2">
      <c r="A10226" s="117">
        <v>43780</v>
      </c>
      <c r="B10226">
        <v>19.1327</v>
      </c>
    </row>
    <row r="10227" spans="1:2">
      <c r="A10227" s="117">
        <v>43781</v>
      </c>
      <c r="B10227">
        <v>19.1068</v>
      </c>
    </row>
    <row r="10228" spans="1:2">
      <c r="A10228" s="117">
        <v>43782</v>
      </c>
      <c r="B10228">
        <v>19.109000000000002</v>
      </c>
    </row>
    <row r="10229" spans="1:2">
      <c r="A10229" s="117">
        <v>43783</v>
      </c>
      <c r="B10229">
        <v>19.2178</v>
      </c>
    </row>
    <row r="10230" spans="1:2">
      <c r="A10230" s="117">
        <v>43784</v>
      </c>
      <c r="B10230">
        <v>19.4543</v>
      </c>
    </row>
    <row r="10231" spans="1:2">
      <c r="A10231" s="117">
        <v>43785</v>
      </c>
      <c r="B10231">
        <v>19.422799999999999</v>
      </c>
    </row>
    <row r="10232" spans="1:2">
      <c r="A10232" s="117">
        <v>43786</v>
      </c>
      <c r="B10232">
        <v>19.422799999999999</v>
      </c>
    </row>
    <row r="10233" spans="1:2">
      <c r="A10233" s="117">
        <v>43787</v>
      </c>
      <c r="B10233">
        <v>19.422799999999999</v>
      </c>
    </row>
    <row r="10234" spans="1:2">
      <c r="A10234" s="117">
        <v>43788</v>
      </c>
      <c r="B10234">
        <v>19.422799999999999</v>
      </c>
    </row>
    <row r="10235" spans="1:2">
      <c r="A10235" s="117">
        <v>43789</v>
      </c>
      <c r="B10235">
        <v>19.206299999999999</v>
      </c>
    </row>
    <row r="10236" spans="1:2">
      <c r="A10236" s="117">
        <v>43790</v>
      </c>
      <c r="B10236">
        <v>19.3687</v>
      </c>
    </row>
    <row r="10237" spans="1:2">
      <c r="A10237" s="117">
        <v>43791</v>
      </c>
      <c r="B10237">
        <v>19.48</v>
      </c>
    </row>
    <row r="10238" spans="1:2">
      <c r="A10238" s="117">
        <v>43792</v>
      </c>
      <c r="B10238">
        <v>19.413799999999998</v>
      </c>
    </row>
    <row r="10239" spans="1:2">
      <c r="A10239" s="117">
        <v>43793</v>
      </c>
      <c r="B10239">
        <v>19.413799999999998</v>
      </c>
    </row>
    <row r="10240" spans="1:2">
      <c r="A10240" s="117">
        <v>43794</v>
      </c>
      <c r="B10240">
        <v>19.413799999999998</v>
      </c>
    </row>
    <row r="10241" spans="1:2">
      <c r="A10241" s="117">
        <v>43795</v>
      </c>
      <c r="B10241">
        <v>19.398700000000002</v>
      </c>
    </row>
    <row r="10242" spans="1:2">
      <c r="A10242" s="117">
        <v>43796</v>
      </c>
      <c r="B10242">
        <v>19.4468</v>
      </c>
    </row>
    <row r="10243" spans="1:2">
      <c r="A10243" s="117">
        <v>43797</v>
      </c>
      <c r="B10243">
        <v>19.5185</v>
      </c>
    </row>
    <row r="10244" spans="1:2">
      <c r="A10244" s="117">
        <v>43798</v>
      </c>
      <c r="B10244">
        <v>19.560700000000001</v>
      </c>
    </row>
    <row r="10245" spans="1:2">
      <c r="A10245" s="117">
        <v>43799</v>
      </c>
      <c r="B10245">
        <v>19.6113</v>
      </c>
    </row>
    <row r="10246" spans="1:2">
      <c r="A10246" s="117">
        <v>43800</v>
      </c>
      <c r="B10246">
        <v>19.6113</v>
      </c>
    </row>
    <row r="10247" spans="1:2">
      <c r="A10247" s="117">
        <v>43801</v>
      </c>
      <c r="B10247">
        <v>19.6113</v>
      </c>
    </row>
    <row r="10248" spans="1:2">
      <c r="A10248" s="117">
        <v>43802</v>
      </c>
      <c r="B10248">
        <v>19.5352</v>
      </c>
    </row>
    <row r="10249" spans="1:2">
      <c r="A10249" s="117">
        <v>43803</v>
      </c>
      <c r="B10249">
        <v>19.5717</v>
      </c>
    </row>
    <row r="10250" spans="1:2">
      <c r="A10250" s="117">
        <v>43804</v>
      </c>
      <c r="B10250">
        <v>19.567799999999998</v>
      </c>
    </row>
    <row r="10251" spans="1:2">
      <c r="A10251" s="117">
        <v>43805</v>
      </c>
      <c r="B10251">
        <v>19.470700000000001</v>
      </c>
    </row>
    <row r="10252" spans="1:2">
      <c r="A10252" s="117">
        <v>43806</v>
      </c>
      <c r="B10252">
        <v>19.3688</v>
      </c>
    </row>
    <row r="10253" spans="1:2">
      <c r="A10253" s="117">
        <v>43807</v>
      </c>
      <c r="B10253">
        <v>19.3688</v>
      </c>
    </row>
    <row r="10254" spans="1:2">
      <c r="A10254" s="117">
        <v>43808</v>
      </c>
      <c r="B10254">
        <v>19.3688</v>
      </c>
    </row>
    <row r="10255" spans="1:2">
      <c r="A10255" s="117">
        <v>43809</v>
      </c>
      <c r="B10255">
        <v>19.3247</v>
      </c>
    </row>
    <row r="10256" spans="1:2">
      <c r="A10256" s="117">
        <v>43810</v>
      </c>
      <c r="B10256">
        <v>19.2302</v>
      </c>
    </row>
    <row r="10257" spans="1:2">
      <c r="A10257" s="117">
        <v>43811</v>
      </c>
      <c r="B10257">
        <v>19.2362</v>
      </c>
    </row>
    <row r="10258" spans="1:2">
      <c r="A10258" s="117">
        <v>43812</v>
      </c>
      <c r="B10258">
        <v>19.2362</v>
      </c>
    </row>
    <row r="10259" spans="1:2">
      <c r="A10259" s="117">
        <v>43813</v>
      </c>
      <c r="B10259">
        <v>19.1785</v>
      </c>
    </row>
    <row r="10260" spans="1:2">
      <c r="A10260" s="117">
        <v>43814</v>
      </c>
      <c r="B10260">
        <v>19.1785</v>
      </c>
    </row>
    <row r="10261" spans="1:2">
      <c r="A10261" s="117">
        <v>43815</v>
      </c>
      <c r="B10261">
        <v>19.1785</v>
      </c>
    </row>
    <row r="10262" spans="1:2">
      <c r="A10262" s="117">
        <v>43816</v>
      </c>
      <c r="B10262">
        <v>19.045500000000001</v>
      </c>
    </row>
    <row r="10263" spans="1:2">
      <c r="A10263" s="117">
        <v>43817</v>
      </c>
      <c r="B10263">
        <v>18.970199999999998</v>
      </c>
    </row>
    <row r="10264" spans="1:2">
      <c r="A10264" s="117">
        <v>43818</v>
      </c>
      <c r="B10264">
        <v>18.916499999999999</v>
      </c>
    </row>
    <row r="10265" spans="1:2">
      <c r="A10265" s="117">
        <v>43819</v>
      </c>
      <c r="B10265">
        <v>18.9542</v>
      </c>
    </row>
    <row r="10266" spans="1:2">
      <c r="A10266" s="117">
        <v>43820</v>
      </c>
      <c r="B10266">
        <v>18.963999999999999</v>
      </c>
    </row>
    <row r="10267" spans="1:2">
      <c r="A10267" s="117">
        <v>43821</v>
      </c>
      <c r="B10267">
        <v>18.963999999999999</v>
      </c>
    </row>
    <row r="10268" spans="1:2">
      <c r="A10268" s="117">
        <v>43822</v>
      </c>
      <c r="B10268">
        <v>18.963999999999999</v>
      </c>
    </row>
    <row r="10269" spans="1:2">
      <c r="A10269" s="117">
        <v>43823</v>
      </c>
      <c r="B10269">
        <v>18.9133</v>
      </c>
    </row>
    <row r="10270" spans="1:2">
      <c r="A10270" s="117">
        <v>43824</v>
      </c>
      <c r="B10270">
        <v>18.938500000000001</v>
      </c>
    </row>
    <row r="10271" spans="1:2">
      <c r="A10271" s="117">
        <v>43825</v>
      </c>
      <c r="B10271">
        <v>18.938500000000001</v>
      </c>
    </row>
    <row r="10272" spans="1:2">
      <c r="A10272" s="117">
        <v>43826</v>
      </c>
      <c r="B10272">
        <v>18.964300000000001</v>
      </c>
    </row>
    <row r="10273" spans="1:2">
      <c r="A10273" s="117">
        <v>43827</v>
      </c>
      <c r="B10273">
        <v>18.944500000000001</v>
      </c>
    </row>
    <row r="10274" spans="1:2">
      <c r="A10274" s="117">
        <v>43828</v>
      </c>
      <c r="B10274">
        <v>18.944500000000001</v>
      </c>
    </row>
    <row r="10275" spans="1:2">
      <c r="A10275" s="117">
        <v>43829</v>
      </c>
      <c r="B10275">
        <v>18.944500000000001</v>
      </c>
    </row>
    <row r="10276" spans="1:2">
      <c r="A10276" s="117">
        <v>43830</v>
      </c>
      <c r="B10276">
        <v>18.845199999999998</v>
      </c>
    </row>
    <row r="10277" spans="1:2">
      <c r="A10277" s="117">
        <v>43831</v>
      </c>
      <c r="B10277">
        <v>18.872699999999998</v>
      </c>
    </row>
    <row r="10278" spans="1:2">
      <c r="A10278" s="117">
        <v>43832</v>
      </c>
      <c r="B10278">
        <v>18.872699999999998</v>
      </c>
    </row>
    <row r="10279" spans="1:2">
      <c r="A10279" s="117">
        <v>43833</v>
      </c>
      <c r="B10279">
        <v>18.8642</v>
      </c>
    </row>
    <row r="10280" spans="1:2">
      <c r="A10280" s="117">
        <v>43834</v>
      </c>
      <c r="B10280">
        <v>18.881699999999999</v>
      </c>
    </row>
    <row r="10281" spans="1:2">
      <c r="A10281" s="117">
        <v>43835</v>
      </c>
      <c r="B10281">
        <v>18.881699999999999</v>
      </c>
    </row>
    <row r="10282" spans="1:2">
      <c r="A10282" s="117">
        <v>43836</v>
      </c>
      <c r="B10282">
        <v>18.881699999999999</v>
      </c>
    </row>
    <row r="10283" spans="1:2">
      <c r="A10283" s="117">
        <v>43837</v>
      </c>
      <c r="B10283">
        <v>18.8673</v>
      </c>
    </row>
    <row r="10284" spans="1:2">
      <c r="A10284" s="117">
        <v>43838</v>
      </c>
      <c r="B10284">
        <v>18.827000000000002</v>
      </c>
    </row>
    <row r="10285" spans="1:2">
      <c r="A10285" s="117">
        <v>43839</v>
      </c>
      <c r="B10285">
        <v>18.885200000000001</v>
      </c>
    </row>
    <row r="10286" spans="1:2">
      <c r="A10286" s="117">
        <v>43840</v>
      </c>
      <c r="B10286">
        <v>18.797999999999998</v>
      </c>
    </row>
    <row r="10287" spans="1:2">
      <c r="A10287" s="117">
        <v>43841</v>
      </c>
      <c r="B10287">
        <v>18.845300000000002</v>
      </c>
    </row>
    <row r="10288" spans="1:2">
      <c r="A10288" s="117">
        <v>43842</v>
      </c>
      <c r="B10288">
        <v>18.845300000000002</v>
      </c>
    </row>
    <row r="10289" spans="1:2">
      <c r="A10289" s="117">
        <v>43843</v>
      </c>
      <c r="B10289">
        <v>18.845300000000002</v>
      </c>
    </row>
    <row r="10290" spans="1:2">
      <c r="A10290" s="117">
        <v>43844</v>
      </c>
      <c r="B10290">
        <v>18.773199999999999</v>
      </c>
    </row>
    <row r="10291" spans="1:2">
      <c r="A10291" s="117">
        <v>43845</v>
      </c>
      <c r="B10291">
        <v>18.8215</v>
      </c>
    </row>
    <row r="10292" spans="1:2">
      <c r="A10292" s="117">
        <v>43846</v>
      </c>
      <c r="B10292">
        <v>18.812000000000001</v>
      </c>
    </row>
    <row r="10293" spans="1:2">
      <c r="A10293" s="117">
        <v>43847</v>
      </c>
      <c r="B10293">
        <v>18.807700000000001</v>
      </c>
    </row>
    <row r="10294" spans="1:2">
      <c r="A10294" s="117">
        <v>43848</v>
      </c>
      <c r="B10294">
        <v>18.792999999999999</v>
      </c>
    </row>
    <row r="10295" spans="1:2">
      <c r="A10295" s="117">
        <v>43849</v>
      </c>
      <c r="B10295">
        <v>18.792999999999999</v>
      </c>
    </row>
    <row r="10296" spans="1:2">
      <c r="A10296" s="117">
        <v>43850</v>
      </c>
      <c r="B10296">
        <v>18.792999999999999</v>
      </c>
    </row>
    <row r="10297" spans="1:2">
      <c r="A10297" s="117">
        <v>43851</v>
      </c>
      <c r="B10297">
        <v>18.738800000000001</v>
      </c>
    </row>
    <row r="10298" spans="1:2">
      <c r="A10298" s="117">
        <v>43852</v>
      </c>
      <c r="B10298">
        <v>18.672499999999999</v>
      </c>
    </row>
    <row r="10299" spans="1:2">
      <c r="A10299" s="117">
        <v>43853</v>
      </c>
      <c r="B10299">
        <v>18.700700000000001</v>
      </c>
    </row>
    <row r="10300" spans="1:2">
      <c r="A10300" s="117">
        <v>43854</v>
      </c>
      <c r="B10300">
        <v>18.688300000000002</v>
      </c>
    </row>
    <row r="10301" spans="1:2">
      <c r="A10301" s="117">
        <v>43855</v>
      </c>
      <c r="B10301">
        <v>18.8018</v>
      </c>
    </row>
    <row r="10302" spans="1:2">
      <c r="A10302" s="117">
        <v>43856</v>
      </c>
      <c r="B10302">
        <v>18.8018</v>
      </c>
    </row>
    <row r="10303" spans="1:2">
      <c r="A10303" s="117">
        <v>43857</v>
      </c>
      <c r="B10303">
        <v>18.8018</v>
      </c>
    </row>
    <row r="10304" spans="1:2">
      <c r="A10304" s="117">
        <v>43858</v>
      </c>
      <c r="B10304">
        <v>18.831299999999999</v>
      </c>
    </row>
    <row r="10305" spans="1:2">
      <c r="A10305" s="117">
        <v>43859</v>
      </c>
      <c r="B10305">
        <v>18.9407</v>
      </c>
    </row>
    <row r="10306" spans="1:2">
      <c r="A10306" s="117">
        <v>43860</v>
      </c>
      <c r="B10306">
        <v>18.802199999999999</v>
      </c>
    </row>
    <row r="10307" spans="1:2">
      <c r="A10307" s="117">
        <v>43861</v>
      </c>
      <c r="B10307">
        <v>18.706700000000001</v>
      </c>
    </row>
    <row r="10308" spans="1:2">
      <c r="A10308" s="117">
        <v>43862</v>
      </c>
      <c r="B10308">
        <v>18.785299999999999</v>
      </c>
    </row>
    <row r="10309" spans="1:2">
      <c r="A10309" s="117">
        <v>43863</v>
      </c>
      <c r="B10309">
        <v>18.785299999999999</v>
      </c>
    </row>
    <row r="10310" spans="1:2">
      <c r="A10310" s="117">
        <v>43864</v>
      </c>
      <c r="B10310">
        <v>18.785299999999999</v>
      </c>
    </row>
    <row r="10311" spans="1:2">
      <c r="A10311" s="117">
        <v>43865</v>
      </c>
      <c r="B10311">
        <v>18.785299999999999</v>
      </c>
    </row>
    <row r="10312" spans="1:2">
      <c r="A10312" s="117">
        <v>43866</v>
      </c>
      <c r="B10312">
        <v>18.908200000000001</v>
      </c>
    </row>
    <row r="10313" spans="1:2">
      <c r="A10313" s="117">
        <v>43867</v>
      </c>
      <c r="B10313">
        <v>18.6797</v>
      </c>
    </row>
    <row r="10314" spans="1:2">
      <c r="A10314" s="117">
        <v>43868</v>
      </c>
      <c r="B10314">
        <v>18.624500000000001</v>
      </c>
    </row>
    <row r="10315" spans="1:2">
      <c r="A10315" s="117">
        <v>43869</v>
      </c>
      <c r="B10315">
        <v>18.6645</v>
      </c>
    </row>
    <row r="10316" spans="1:2">
      <c r="A10316" s="117">
        <v>43870</v>
      </c>
      <c r="B10316">
        <v>18.6645</v>
      </c>
    </row>
    <row r="10317" spans="1:2">
      <c r="A10317" s="117">
        <v>43871</v>
      </c>
      <c r="B10317">
        <v>18.6645</v>
      </c>
    </row>
    <row r="10318" spans="1:2">
      <c r="A10318" s="117">
        <v>43872</v>
      </c>
      <c r="B10318">
        <v>18.776299999999999</v>
      </c>
    </row>
    <row r="10319" spans="1:2">
      <c r="A10319" s="117">
        <v>43873</v>
      </c>
      <c r="B10319">
        <v>18.7653</v>
      </c>
    </row>
    <row r="10320" spans="1:2">
      <c r="A10320" s="117">
        <v>43874</v>
      </c>
      <c r="B10320">
        <v>18.673999999999999</v>
      </c>
    </row>
    <row r="10321" spans="1:2">
      <c r="A10321" s="117">
        <v>43875</v>
      </c>
      <c r="B10321">
        <v>18.630800000000001</v>
      </c>
    </row>
    <row r="10322" spans="1:2">
      <c r="A10322" s="117">
        <v>43876</v>
      </c>
      <c r="B10322">
        <v>18.645800000000001</v>
      </c>
    </row>
    <row r="10323" spans="1:2">
      <c r="A10323" s="117">
        <v>43877</v>
      </c>
      <c r="B10323">
        <v>18.645800000000001</v>
      </c>
    </row>
    <row r="10324" spans="1:2">
      <c r="A10324" s="117">
        <v>43878</v>
      </c>
      <c r="B10324">
        <v>18.645800000000001</v>
      </c>
    </row>
    <row r="10325" spans="1:2">
      <c r="A10325" s="117">
        <v>43879</v>
      </c>
      <c r="B10325">
        <v>18.571200000000001</v>
      </c>
    </row>
    <row r="10326" spans="1:2">
      <c r="A10326" s="117">
        <v>43880</v>
      </c>
      <c r="B10326">
        <v>18.5715</v>
      </c>
    </row>
    <row r="10327" spans="1:2">
      <c r="A10327" s="117">
        <v>43881</v>
      </c>
      <c r="B10327">
        <v>18.595199999999998</v>
      </c>
    </row>
    <row r="10328" spans="1:2">
      <c r="A10328" s="117">
        <v>43882</v>
      </c>
      <c r="B10328">
        <v>18.591000000000001</v>
      </c>
    </row>
    <row r="10329" spans="1:2">
      <c r="A10329" s="117">
        <v>43883</v>
      </c>
      <c r="B10329">
        <v>18.799199999999999</v>
      </c>
    </row>
    <row r="10330" spans="1:2">
      <c r="A10330" s="117">
        <v>43884</v>
      </c>
      <c r="B10330">
        <v>18.799199999999999</v>
      </c>
    </row>
    <row r="10331" spans="1:2">
      <c r="A10331" s="117">
        <v>43885</v>
      </c>
      <c r="B10331">
        <v>18.799199999999999</v>
      </c>
    </row>
    <row r="10332" spans="1:2">
      <c r="A10332" s="117">
        <v>43886</v>
      </c>
      <c r="B10332">
        <v>18.913799999999998</v>
      </c>
    </row>
    <row r="10333" spans="1:2">
      <c r="A10333" s="117">
        <v>43887</v>
      </c>
      <c r="B10333">
        <v>19.119700000000002</v>
      </c>
    </row>
    <row r="10334" spans="1:2">
      <c r="A10334" s="117">
        <v>43888</v>
      </c>
      <c r="B10334">
        <v>19.087800000000001</v>
      </c>
    </row>
    <row r="10335" spans="1:2">
      <c r="A10335" s="117">
        <v>43889</v>
      </c>
      <c r="B10335">
        <v>19.1585</v>
      </c>
    </row>
    <row r="10336" spans="1:2">
      <c r="A10336" s="117">
        <v>43890</v>
      </c>
      <c r="B10336">
        <v>19.397300000000001</v>
      </c>
    </row>
    <row r="10337" spans="1:2">
      <c r="A10337" s="117">
        <v>43891</v>
      </c>
      <c r="B10337">
        <v>19.397300000000001</v>
      </c>
    </row>
    <row r="10338" spans="1:2">
      <c r="A10338" s="117">
        <v>43892</v>
      </c>
      <c r="B10338">
        <v>19.397300000000001</v>
      </c>
    </row>
    <row r="10339" spans="1:2">
      <c r="A10339" s="117">
        <v>43893</v>
      </c>
      <c r="B10339">
        <v>19.776</v>
      </c>
    </row>
    <row r="10340" spans="1:2">
      <c r="A10340" s="117">
        <v>43894</v>
      </c>
      <c r="B10340">
        <v>19.698499999999999</v>
      </c>
    </row>
    <row r="10341" spans="1:2">
      <c r="A10341" s="117">
        <v>43895</v>
      </c>
      <c r="B10341">
        <v>19.2837</v>
      </c>
    </row>
    <row r="10342" spans="1:2">
      <c r="A10342" s="117">
        <v>43896</v>
      </c>
      <c r="B10342">
        <v>19.5335</v>
      </c>
    </row>
    <row r="10343" spans="1:2">
      <c r="A10343" s="117">
        <v>43897</v>
      </c>
      <c r="B10343">
        <v>19.8095</v>
      </c>
    </row>
    <row r="10344" spans="1:2">
      <c r="A10344" s="117">
        <v>43898</v>
      </c>
      <c r="B10344">
        <v>19.8095</v>
      </c>
    </row>
    <row r="10345" spans="1:2">
      <c r="A10345" s="117">
        <v>43899</v>
      </c>
      <c r="B10345">
        <v>19.8095</v>
      </c>
    </row>
    <row r="10346" spans="1:2">
      <c r="A10346" s="117">
        <v>43900</v>
      </c>
      <c r="B10346">
        <v>20.162299999999998</v>
      </c>
    </row>
    <row r="10347" spans="1:2">
      <c r="A10347" s="117">
        <v>43901</v>
      </c>
      <c r="B10347">
        <v>21.111699999999999</v>
      </c>
    </row>
    <row r="10348" spans="1:2">
      <c r="A10348" s="117">
        <v>43902</v>
      </c>
      <c r="B10348">
        <v>21.026700000000002</v>
      </c>
    </row>
    <row r="10349" spans="1:2">
      <c r="A10349" s="117">
        <v>43903</v>
      </c>
      <c r="B10349">
        <v>21.213000000000001</v>
      </c>
    </row>
    <row r="10350" spans="1:2">
      <c r="A10350" s="117">
        <v>43904</v>
      </c>
      <c r="B10350">
        <v>22.151800000000001</v>
      </c>
    </row>
    <row r="10351" spans="1:2">
      <c r="A10351" s="117">
        <v>43905</v>
      </c>
      <c r="B10351">
        <v>22.151800000000001</v>
      </c>
    </row>
    <row r="10352" spans="1:2">
      <c r="A10352" s="117">
        <v>43906</v>
      </c>
      <c r="B10352">
        <v>22.151800000000001</v>
      </c>
    </row>
    <row r="10353" spans="1:2">
      <c r="A10353" s="117">
        <v>43907</v>
      </c>
      <c r="B10353">
        <v>22.151800000000001</v>
      </c>
    </row>
    <row r="10354" spans="1:2">
      <c r="A10354" s="117">
        <v>43908</v>
      </c>
      <c r="B10354">
        <v>21.928799999999999</v>
      </c>
    </row>
    <row r="10355" spans="1:2">
      <c r="A10355" s="117">
        <v>43909</v>
      </c>
      <c r="B10355">
        <v>23.057300000000001</v>
      </c>
    </row>
    <row r="10356" spans="1:2">
      <c r="A10356" s="117">
        <v>43910</v>
      </c>
      <c r="B10356">
        <v>23.9008</v>
      </c>
    </row>
    <row r="10357" spans="1:2">
      <c r="A10357" s="117">
        <v>43911</v>
      </c>
      <c r="B10357">
        <v>24.0868</v>
      </c>
    </row>
    <row r="10358" spans="1:2">
      <c r="A10358" s="117">
        <v>43912</v>
      </c>
      <c r="B10358">
        <v>24.0868</v>
      </c>
    </row>
    <row r="10359" spans="1:2">
      <c r="A10359" s="117">
        <v>43913</v>
      </c>
      <c r="B10359">
        <v>24.0868</v>
      </c>
    </row>
    <row r="10360" spans="1:2">
      <c r="A10360" s="117">
        <v>43914</v>
      </c>
      <c r="B10360">
        <v>24.1113</v>
      </c>
    </row>
    <row r="10361" spans="1:2">
      <c r="A10361" s="117">
        <v>43915</v>
      </c>
      <c r="B10361">
        <v>25.078199999999999</v>
      </c>
    </row>
    <row r="10362" spans="1:2">
      <c r="A10362" s="117">
        <v>43916</v>
      </c>
      <c r="B10362">
        <v>25.118500000000001</v>
      </c>
    </row>
    <row r="10363" spans="1:2">
      <c r="A10363" s="117">
        <v>43917</v>
      </c>
      <c r="B10363">
        <v>24.294799999999999</v>
      </c>
    </row>
    <row r="10364" spans="1:2">
      <c r="A10364" s="117">
        <v>43918</v>
      </c>
      <c r="B10364">
        <v>23.097000000000001</v>
      </c>
    </row>
    <row r="10365" spans="1:2">
      <c r="A10365" s="117">
        <v>43919</v>
      </c>
      <c r="B10365">
        <v>23.097000000000001</v>
      </c>
    </row>
    <row r="10366" spans="1:2">
      <c r="A10366" s="117">
        <v>43920</v>
      </c>
      <c r="B10366">
        <v>23.097000000000001</v>
      </c>
    </row>
    <row r="10367" spans="1:2">
      <c r="A10367" s="117">
        <v>43921</v>
      </c>
      <c r="B10367">
        <v>23.5122</v>
      </c>
    </row>
    <row r="10368" spans="1:2">
      <c r="A10368" s="117">
        <v>43922</v>
      </c>
      <c r="B10368">
        <v>24.285299999999999</v>
      </c>
    </row>
    <row r="10369" spans="1:2">
      <c r="A10369" s="117">
        <v>43923</v>
      </c>
      <c r="B10369">
        <v>23.4847</v>
      </c>
    </row>
    <row r="10370" spans="1:2">
      <c r="A10370" s="117">
        <v>43924</v>
      </c>
      <c r="B10370">
        <v>24.491800000000001</v>
      </c>
    </row>
    <row r="10371" spans="1:2">
      <c r="A10371" s="117">
        <v>43925</v>
      </c>
      <c r="B10371">
        <v>24.108699999999999</v>
      </c>
    </row>
    <row r="10372" spans="1:2">
      <c r="A10372" s="117">
        <v>43926</v>
      </c>
      <c r="B10372">
        <v>24.108699999999999</v>
      </c>
    </row>
    <row r="10373" spans="1:2">
      <c r="A10373" s="117">
        <v>43927</v>
      </c>
      <c r="B10373">
        <v>24.108699999999999</v>
      </c>
    </row>
    <row r="10374" spans="1:2">
      <c r="A10374" s="117">
        <v>43928</v>
      </c>
      <c r="B10374">
        <v>24.6938</v>
      </c>
    </row>
    <row r="10375" spans="1:2">
      <c r="A10375" s="117">
        <v>43929</v>
      </c>
      <c r="B10375">
        <v>24.689499999999999</v>
      </c>
    </row>
    <row r="10376" spans="1:2">
      <c r="A10376" s="117">
        <v>43930</v>
      </c>
      <c r="B10376">
        <v>24.038799999999998</v>
      </c>
    </row>
    <row r="10377" spans="1:2">
      <c r="A10377" s="117">
        <v>43931</v>
      </c>
      <c r="B10377">
        <v>24.038799999999998</v>
      </c>
    </row>
    <row r="10378" spans="1:2">
      <c r="A10378" s="117">
        <v>43932</v>
      </c>
      <c r="B10378">
        <v>24.038799999999998</v>
      </c>
    </row>
    <row r="10379" spans="1:2">
      <c r="A10379" s="117">
        <v>43933</v>
      </c>
      <c r="B10379">
        <v>24.038799999999998</v>
      </c>
    </row>
    <row r="10380" spans="1:2">
      <c r="A10380" s="117">
        <v>43934</v>
      </c>
      <c r="B10380">
        <v>24.038799999999998</v>
      </c>
    </row>
    <row r="10381" spans="1:2">
      <c r="A10381" s="117">
        <v>43935</v>
      </c>
      <c r="B10381">
        <v>24.092500000000001</v>
      </c>
    </row>
    <row r="10382" spans="1:2">
      <c r="A10382" s="117">
        <v>43936</v>
      </c>
      <c r="B10382">
        <v>23.742699999999999</v>
      </c>
    </row>
    <row r="10383" spans="1:2">
      <c r="A10383" s="117">
        <v>43937</v>
      </c>
      <c r="B10383">
        <v>23.564499999999999</v>
      </c>
    </row>
    <row r="10384" spans="1:2">
      <c r="A10384" s="117">
        <v>43938</v>
      </c>
      <c r="B10384">
        <v>24.115500000000001</v>
      </c>
    </row>
    <row r="10385" spans="1:2">
      <c r="A10385" s="117">
        <v>43939</v>
      </c>
      <c r="B10385">
        <v>24.209800000000001</v>
      </c>
    </row>
    <row r="10386" spans="1:2">
      <c r="A10386" s="117">
        <v>43940</v>
      </c>
      <c r="B10386">
        <v>24.209800000000001</v>
      </c>
    </row>
    <row r="10387" spans="1:2">
      <c r="A10387" s="117">
        <v>43941</v>
      </c>
      <c r="B10387">
        <v>24.209800000000001</v>
      </c>
    </row>
    <row r="10388" spans="1:2">
      <c r="A10388" s="117">
        <v>43942</v>
      </c>
      <c r="B10388">
        <v>23.901199999999999</v>
      </c>
    </row>
    <row r="10389" spans="1:2">
      <c r="A10389" s="117">
        <v>43943</v>
      </c>
      <c r="B10389">
        <v>24.0077</v>
      </c>
    </row>
    <row r="10390" spans="1:2">
      <c r="A10390" s="117">
        <v>43944</v>
      </c>
      <c r="B10390">
        <v>24.424800000000001</v>
      </c>
    </row>
    <row r="10391" spans="1:2">
      <c r="A10391" s="117">
        <v>43945</v>
      </c>
      <c r="B10391">
        <v>24.5883</v>
      </c>
    </row>
    <row r="10392" spans="1:2">
      <c r="A10392" s="117">
        <v>43946</v>
      </c>
      <c r="B10392">
        <v>24.623000000000001</v>
      </c>
    </row>
    <row r="10393" spans="1:2">
      <c r="A10393" s="117">
        <v>43947</v>
      </c>
      <c r="B10393">
        <v>24.623000000000001</v>
      </c>
    </row>
    <row r="10394" spans="1:2">
      <c r="A10394" s="117">
        <v>43948</v>
      </c>
      <c r="B10394">
        <v>24.623000000000001</v>
      </c>
    </row>
    <row r="10395" spans="1:2">
      <c r="A10395" s="117">
        <v>43949</v>
      </c>
      <c r="B10395">
        <v>24.8583</v>
      </c>
    </row>
    <row r="10396" spans="1:2">
      <c r="A10396" s="117">
        <v>43950</v>
      </c>
      <c r="B10396">
        <v>24.8492</v>
      </c>
    </row>
    <row r="10397" spans="1:2">
      <c r="A10397" s="117">
        <v>43951</v>
      </c>
      <c r="B10397">
        <v>24.388200000000001</v>
      </c>
    </row>
    <row r="10398" spans="1:2">
      <c r="A10398" s="117">
        <v>43952</v>
      </c>
      <c r="B10398">
        <v>24.0002</v>
      </c>
    </row>
    <row r="10399" spans="1:2">
      <c r="A10399" s="117">
        <v>43953</v>
      </c>
      <c r="B10399">
        <v>24.0002</v>
      </c>
    </row>
    <row r="10400" spans="1:2">
      <c r="A10400" s="117">
        <v>43954</v>
      </c>
      <c r="B10400">
        <v>24.0002</v>
      </c>
    </row>
    <row r="10401" spans="1:2">
      <c r="A10401" s="117">
        <v>43955</v>
      </c>
      <c r="B10401">
        <v>24.0002</v>
      </c>
    </row>
    <row r="10402" spans="1:2">
      <c r="A10402" s="117">
        <v>43956</v>
      </c>
      <c r="B10402">
        <v>23.9283</v>
      </c>
    </row>
    <row r="10403" spans="1:2">
      <c r="A10403" s="117">
        <v>43957</v>
      </c>
      <c r="B10403">
        <v>24.3812</v>
      </c>
    </row>
    <row r="10404" spans="1:2">
      <c r="A10404" s="117">
        <v>43958</v>
      </c>
      <c r="B10404">
        <v>23.834299999999999</v>
      </c>
    </row>
    <row r="10405" spans="1:2">
      <c r="A10405" s="117">
        <v>43959</v>
      </c>
      <c r="B10405">
        <v>24.2942</v>
      </c>
    </row>
    <row r="10406" spans="1:2">
      <c r="A10406" s="117">
        <v>43960</v>
      </c>
      <c r="B10406">
        <v>24.0563</v>
      </c>
    </row>
    <row r="10407" spans="1:2">
      <c r="A10407" s="117">
        <v>43961</v>
      </c>
      <c r="B10407">
        <v>24.0563</v>
      </c>
    </row>
    <row r="10408" spans="1:2">
      <c r="A10408" s="117">
        <v>43962</v>
      </c>
      <c r="B10408">
        <v>24.0563</v>
      </c>
    </row>
    <row r="10409" spans="1:2">
      <c r="A10409" s="117">
        <v>43963</v>
      </c>
      <c r="B10409">
        <v>23.680499999999999</v>
      </c>
    </row>
    <row r="10410" spans="1:2">
      <c r="A10410" s="117">
        <v>43964</v>
      </c>
      <c r="B10410">
        <v>23.869299999999999</v>
      </c>
    </row>
    <row r="10411" spans="1:2">
      <c r="A10411" s="117">
        <v>43965</v>
      </c>
      <c r="B10411">
        <v>24.0487</v>
      </c>
    </row>
    <row r="10412" spans="1:2">
      <c r="A10412" s="117">
        <v>43966</v>
      </c>
      <c r="B10412">
        <v>24.211300000000001</v>
      </c>
    </row>
    <row r="10413" spans="1:2">
      <c r="A10413" s="117">
        <v>43967</v>
      </c>
      <c r="B10413">
        <v>24.270800000000001</v>
      </c>
    </row>
    <row r="10414" spans="1:2">
      <c r="A10414" s="117">
        <v>43968</v>
      </c>
      <c r="B10414">
        <v>24.270800000000001</v>
      </c>
    </row>
    <row r="10415" spans="1:2">
      <c r="A10415" s="117">
        <v>43969</v>
      </c>
      <c r="B10415">
        <v>24.270800000000001</v>
      </c>
    </row>
    <row r="10416" spans="1:2">
      <c r="A10416" s="117">
        <v>43970</v>
      </c>
      <c r="B10416">
        <v>23.957999999999998</v>
      </c>
    </row>
    <row r="10417" spans="1:2">
      <c r="A10417" s="117">
        <v>43971</v>
      </c>
      <c r="B10417">
        <v>23.603200000000001</v>
      </c>
    </row>
    <row r="10418" spans="1:2">
      <c r="A10418" s="117">
        <v>43972</v>
      </c>
      <c r="B10418">
        <v>23.6023</v>
      </c>
    </row>
    <row r="10419" spans="1:2">
      <c r="A10419" s="117">
        <v>43973</v>
      </c>
      <c r="B10419">
        <v>23.296199999999999</v>
      </c>
    </row>
    <row r="10420" spans="1:2">
      <c r="A10420" s="117">
        <v>43974</v>
      </c>
      <c r="B10420">
        <v>22.96</v>
      </c>
    </row>
    <row r="10421" spans="1:2">
      <c r="A10421" s="117">
        <v>43975</v>
      </c>
      <c r="B10421">
        <v>22.96</v>
      </c>
    </row>
    <row r="10422" spans="1:2">
      <c r="A10422" s="117">
        <v>43976</v>
      </c>
      <c r="B10422">
        <v>22.96</v>
      </c>
    </row>
    <row r="10423" spans="1:2">
      <c r="A10423" s="117">
        <v>43977</v>
      </c>
      <c r="B10423">
        <v>22.7928</v>
      </c>
    </row>
    <row r="10424" spans="1:2">
      <c r="A10424" s="117">
        <v>43978</v>
      </c>
      <c r="B10424">
        <v>22.562999999999999</v>
      </c>
    </row>
    <row r="10425" spans="1:2">
      <c r="A10425" s="117">
        <v>43979</v>
      </c>
      <c r="B10425">
        <v>22.293199999999999</v>
      </c>
    </row>
    <row r="10426" spans="1:2">
      <c r="A10426" s="117">
        <v>43980</v>
      </c>
      <c r="B10426">
        <v>22.363299999999999</v>
      </c>
    </row>
    <row r="10427" spans="1:2">
      <c r="A10427" s="117">
        <v>43981</v>
      </c>
      <c r="B10427">
        <v>22.204000000000001</v>
      </c>
    </row>
    <row r="10428" spans="1:2">
      <c r="A10428" s="117">
        <v>43982</v>
      </c>
      <c r="B10428">
        <v>22.204000000000001</v>
      </c>
    </row>
    <row r="10429" spans="1:2">
      <c r="A10429" s="117">
        <v>43983</v>
      </c>
      <c r="B10429">
        <v>22.204000000000001</v>
      </c>
    </row>
    <row r="10430" spans="1:2">
      <c r="A10430" s="117">
        <v>43984</v>
      </c>
      <c r="B10430">
        <v>22.177800000000001</v>
      </c>
    </row>
    <row r="10431" spans="1:2">
      <c r="A10431" s="117">
        <v>43985</v>
      </c>
      <c r="B10431">
        <v>22.0168</v>
      </c>
    </row>
    <row r="10432" spans="1:2">
      <c r="A10432" s="117">
        <v>43986</v>
      </c>
      <c r="B10432">
        <v>21.682700000000001</v>
      </c>
    </row>
    <row r="10433" spans="1:2">
      <c r="A10433" s="117">
        <v>43987</v>
      </c>
      <c r="B10433">
        <v>21.604299999999999</v>
      </c>
    </row>
    <row r="10434" spans="1:2">
      <c r="A10434" s="117">
        <v>43988</v>
      </c>
      <c r="B10434">
        <v>21.838799999999999</v>
      </c>
    </row>
    <row r="10435" spans="1:2">
      <c r="A10435" s="117">
        <v>43989</v>
      </c>
      <c r="B10435">
        <v>21.838799999999999</v>
      </c>
    </row>
    <row r="10436" spans="1:2">
      <c r="A10436" s="117">
        <v>43990</v>
      </c>
      <c r="B10436">
        <v>21.838799999999999</v>
      </c>
    </row>
    <row r="10437" spans="1:2">
      <c r="A10437" s="117">
        <v>43991</v>
      </c>
      <c r="B10437">
        <v>21.5837</v>
      </c>
    </row>
    <row r="10438" spans="1:2">
      <c r="A10438" s="117">
        <v>43992</v>
      </c>
      <c r="B10438">
        <v>21.655200000000001</v>
      </c>
    </row>
    <row r="10439" spans="1:2">
      <c r="A10439" s="117">
        <v>43993</v>
      </c>
      <c r="B10439">
        <v>21.725200000000001</v>
      </c>
    </row>
    <row r="10440" spans="1:2">
      <c r="A10440" s="117">
        <v>43994</v>
      </c>
      <c r="B10440">
        <v>21.922999999999998</v>
      </c>
    </row>
    <row r="10441" spans="1:2">
      <c r="A10441" s="117">
        <v>43995</v>
      </c>
      <c r="B10441">
        <v>22.4252</v>
      </c>
    </row>
    <row r="10442" spans="1:2">
      <c r="A10442" s="117">
        <v>43996</v>
      </c>
      <c r="B10442">
        <v>22.4252</v>
      </c>
    </row>
    <row r="10443" spans="1:2">
      <c r="A10443" s="117">
        <v>43997</v>
      </c>
      <c r="B10443">
        <v>22.4252</v>
      </c>
    </row>
    <row r="10444" spans="1:2">
      <c r="A10444" s="117">
        <v>43998</v>
      </c>
      <c r="B10444">
        <v>22.334700000000002</v>
      </c>
    </row>
    <row r="10445" spans="1:2">
      <c r="A10445" s="117">
        <v>43999</v>
      </c>
      <c r="B10445">
        <v>22.543500000000002</v>
      </c>
    </row>
    <row r="10446" spans="1:2">
      <c r="A10446" s="117">
        <v>44000</v>
      </c>
      <c r="B10446">
        <v>22.216799999999999</v>
      </c>
    </row>
    <row r="10447" spans="1:2">
      <c r="A10447" s="117">
        <v>44001</v>
      </c>
      <c r="B10447">
        <v>22.278300000000002</v>
      </c>
    </row>
    <row r="10448" spans="1:2">
      <c r="A10448" s="117">
        <v>44002</v>
      </c>
      <c r="B10448">
        <v>22.608799999999999</v>
      </c>
    </row>
    <row r="10449" spans="1:2">
      <c r="A10449" s="117">
        <v>44003</v>
      </c>
      <c r="B10449">
        <v>22.608799999999999</v>
      </c>
    </row>
    <row r="10450" spans="1:2">
      <c r="A10450" s="117">
        <v>44004</v>
      </c>
      <c r="B10450">
        <v>22.608799999999999</v>
      </c>
    </row>
    <row r="10451" spans="1:2">
      <c r="A10451" s="117">
        <v>44005</v>
      </c>
      <c r="B10451">
        <v>22.63</v>
      </c>
    </row>
    <row r="10452" spans="1:2">
      <c r="A10452" s="117">
        <v>44006</v>
      </c>
      <c r="B10452">
        <v>22.441299999999998</v>
      </c>
    </row>
    <row r="10453" spans="1:2">
      <c r="A10453" s="117">
        <v>44007</v>
      </c>
      <c r="B10453">
        <v>22.413</v>
      </c>
    </row>
    <row r="10454" spans="1:2">
      <c r="A10454" s="117">
        <v>44008</v>
      </c>
      <c r="B10454">
        <v>22.6662</v>
      </c>
    </row>
    <row r="10455" spans="1:2">
      <c r="A10455" s="117">
        <v>44009</v>
      </c>
      <c r="B10455">
        <v>22.796299999999999</v>
      </c>
    </row>
    <row r="10456" spans="1:2">
      <c r="A10456" s="117">
        <v>44010</v>
      </c>
      <c r="B10456">
        <v>22.796299999999999</v>
      </c>
    </row>
    <row r="10457" spans="1:2">
      <c r="A10457" s="117">
        <v>44011</v>
      </c>
      <c r="B10457">
        <v>22.796299999999999</v>
      </c>
    </row>
    <row r="10458" spans="1:2">
      <c r="A10458" s="117">
        <v>44012</v>
      </c>
      <c r="B10458">
        <v>22.971499999999999</v>
      </c>
    </row>
    <row r="10459" spans="1:2">
      <c r="A10459" s="117">
        <v>44013</v>
      </c>
      <c r="B10459">
        <v>23.1325</v>
      </c>
    </row>
    <row r="10460" spans="1:2">
      <c r="A10460" s="117">
        <v>44014</v>
      </c>
      <c r="B10460">
        <v>23.089300000000001</v>
      </c>
    </row>
    <row r="10461" spans="1:2">
      <c r="A10461" s="117">
        <v>44015</v>
      </c>
      <c r="B10461">
        <v>22.8078</v>
      </c>
    </row>
    <row r="10462" spans="1:2">
      <c r="A10462" s="117">
        <v>44016</v>
      </c>
      <c r="B10462">
        <v>22.522500000000001</v>
      </c>
    </row>
    <row r="10463" spans="1:2">
      <c r="A10463" s="117">
        <v>44017</v>
      </c>
      <c r="B10463">
        <v>22.522500000000001</v>
      </c>
    </row>
    <row r="10464" spans="1:2">
      <c r="A10464" s="117">
        <v>44018</v>
      </c>
      <c r="B10464">
        <v>22.522500000000001</v>
      </c>
    </row>
    <row r="10465" spans="1:2">
      <c r="A10465" s="117">
        <v>44019</v>
      </c>
      <c r="B10465">
        <v>22.4147</v>
      </c>
    </row>
    <row r="10466" spans="1:2">
      <c r="A10466" s="117">
        <v>44020</v>
      </c>
      <c r="B10466">
        <v>22.280799999999999</v>
      </c>
    </row>
    <row r="10467" spans="1:2">
      <c r="A10467" s="117">
        <v>44021</v>
      </c>
      <c r="B10467">
        <v>22.621300000000002</v>
      </c>
    </row>
    <row r="10468" spans="1:2">
      <c r="A10468" s="117">
        <v>44022</v>
      </c>
      <c r="B10468">
        <v>22.822500000000002</v>
      </c>
    </row>
    <row r="10469" spans="1:2">
      <c r="A10469" s="117">
        <v>44023</v>
      </c>
      <c r="B10469">
        <v>22.694500000000001</v>
      </c>
    </row>
    <row r="10470" spans="1:2">
      <c r="A10470" s="117">
        <v>44024</v>
      </c>
      <c r="B10470">
        <v>22.694500000000001</v>
      </c>
    </row>
    <row r="10471" spans="1:2">
      <c r="A10471" s="117">
        <v>44025</v>
      </c>
      <c r="B10471">
        <v>22.694500000000001</v>
      </c>
    </row>
    <row r="10472" spans="1:2">
      <c r="A10472" s="117">
        <v>44026</v>
      </c>
      <c r="B10472">
        <v>22.534199999999998</v>
      </c>
    </row>
    <row r="10473" spans="1:2">
      <c r="A10473" s="117">
        <v>44027</v>
      </c>
      <c r="B10473">
        <v>22.4633</v>
      </c>
    </row>
    <row r="10474" spans="1:2">
      <c r="A10474" s="117">
        <v>44028</v>
      </c>
      <c r="B10474">
        <v>22.6173</v>
      </c>
    </row>
    <row r="10475" spans="1:2">
      <c r="A10475" s="117">
        <v>44029</v>
      </c>
      <c r="B10475">
        <v>22.364699999999999</v>
      </c>
    </row>
    <row r="10476" spans="1:2">
      <c r="A10476" s="117">
        <v>44030</v>
      </c>
      <c r="B10476">
        <v>22.3032</v>
      </c>
    </row>
    <row r="10477" spans="1:2">
      <c r="A10477" s="117">
        <v>44031</v>
      </c>
      <c r="B10477">
        <v>22.3032</v>
      </c>
    </row>
    <row r="10478" spans="1:2">
      <c r="A10478" s="117">
        <v>44032</v>
      </c>
      <c r="B10478">
        <v>22.3032</v>
      </c>
    </row>
    <row r="10479" spans="1:2">
      <c r="A10479" s="117">
        <v>44033</v>
      </c>
      <c r="B10479">
        <v>22.489699999999999</v>
      </c>
    </row>
    <row r="10480" spans="1:2">
      <c r="A10480" s="117">
        <v>44034</v>
      </c>
      <c r="B10480">
        <v>22.627800000000001</v>
      </c>
    </row>
    <row r="10481" spans="1:2">
      <c r="A10481" s="117">
        <v>44035</v>
      </c>
      <c r="B10481">
        <v>22.3597</v>
      </c>
    </row>
    <row r="10482" spans="1:2">
      <c r="A10482" s="117">
        <v>44036</v>
      </c>
      <c r="B10482">
        <v>22.251000000000001</v>
      </c>
    </row>
    <row r="10483" spans="1:2">
      <c r="A10483" s="117">
        <v>44037</v>
      </c>
      <c r="B10483">
        <v>22.3627</v>
      </c>
    </row>
    <row r="10484" spans="1:2">
      <c r="A10484" s="117">
        <v>44038</v>
      </c>
      <c r="B10484">
        <v>22.3627</v>
      </c>
    </row>
    <row r="10485" spans="1:2">
      <c r="A10485" s="117">
        <v>44039</v>
      </c>
      <c r="B10485">
        <v>22.3627</v>
      </c>
    </row>
    <row r="10486" spans="1:2">
      <c r="A10486" s="117">
        <v>44040</v>
      </c>
      <c r="B10486">
        <v>22.3842</v>
      </c>
    </row>
    <row r="10487" spans="1:2">
      <c r="A10487" s="117">
        <v>44041</v>
      </c>
      <c r="B10487">
        <v>22.0275</v>
      </c>
    </row>
    <row r="10488" spans="1:2">
      <c r="A10488" s="117">
        <v>44042</v>
      </c>
      <c r="B10488">
        <v>21.961500000000001</v>
      </c>
    </row>
    <row r="10489" spans="1:2">
      <c r="A10489" s="117">
        <v>44043</v>
      </c>
      <c r="B10489">
        <v>21.9907</v>
      </c>
    </row>
    <row r="10490" spans="1:2">
      <c r="A10490" s="117">
        <v>44044</v>
      </c>
      <c r="B10490">
        <v>22.172699999999999</v>
      </c>
    </row>
    <row r="10491" spans="1:2">
      <c r="A10491" s="117">
        <v>44045</v>
      </c>
      <c r="B10491">
        <v>22.172699999999999</v>
      </c>
    </row>
    <row r="10492" spans="1:2">
      <c r="A10492" s="117">
        <v>44046</v>
      </c>
      <c r="B10492">
        <v>22.172699999999999</v>
      </c>
    </row>
    <row r="10493" spans="1:2">
      <c r="A10493" s="117">
        <v>44047</v>
      </c>
      <c r="B10493">
        <v>22.2012</v>
      </c>
    </row>
    <row r="10494" spans="1:2">
      <c r="A10494" s="117">
        <v>44048</v>
      </c>
      <c r="B10494">
        <v>22.614000000000001</v>
      </c>
    </row>
    <row r="10495" spans="1:2">
      <c r="A10495" s="117">
        <v>44049</v>
      </c>
      <c r="B10495">
        <v>22.784500000000001</v>
      </c>
    </row>
    <row r="10496" spans="1:2">
      <c r="A10496" s="117">
        <v>44050</v>
      </c>
      <c r="B10496">
        <v>22.4068</v>
      </c>
    </row>
    <row r="10497" spans="1:2">
      <c r="A10497" s="117">
        <v>44051</v>
      </c>
      <c r="B10497">
        <v>22.365200000000002</v>
      </c>
    </row>
    <row r="10498" spans="1:2">
      <c r="A10498" s="117">
        <v>44052</v>
      </c>
      <c r="B10498">
        <v>22.365200000000002</v>
      </c>
    </row>
    <row r="10499" spans="1:2">
      <c r="A10499" s="117">
        <v>44053</v>
      </c>
      <c r="B10499">
        <v>22.365200000000002</v>
      </c>
    </row>
    <row r="10500" spans="1:2">
      <c r="A10500" s="117">
        <v>44054</v>
      </c>
      <c r="B10500">
        <v>22.4892</v>
      </c>
    </row>
    <row r="10501" spans="1:2">
      <c r="A10501" s="117">
        <v>44055</v>
      </c>
      <c r="B10501">
        <v>22.484999999999999</v>
      </c>
    </row>
    <row r="10502" spans="1:2">
      <c r="A10502" s="117">
        <v>44056</v>
      </c>
      <c r="B10502">
        <v>22.349</v>
      </c>
    </row>
    <row r="10503" spans="1:2">
      <c r="A10503" s="117">
        <v>44057</v>
      </c>
      <c r="B10503">
        <v>22.345700000000001</v>
      </c>
    </row>
    <row r="10504" spans="1:2">
      <c r="A10504" s="117">
        <v>44058</v>
      </c>
      <c r="B10504">
        <v>22.262799999999999</v>
      </c>
    </row>
    <row r="10505" spans="1:2">
      <c r="A10505" s="117">
        <v>44059</v>
      </c>
      <c r="B10505">
        <v>22.262799999999999</v>
      </c>
    </row>
    <row r="10506" spans="1:2">
      <c r="A10506" s="117">
        <v>44060</v>
      </c>
      <c r="B10506">
        <v>22.262799999999999</v>
      </c>
    </row>
    <row r="10507" spans="1:2">
      <c r="A10507" s="117">
        <v>44061</v>
      </c>
      <c r="B10507">
        <v>22.031300000000002</v>
      </c>
    </row>
    <row r="10508" spans="1:2">
      <c r="A10508" s="117">
        <v>44062</v>
      </c>
      <c r="B10508">
        <v>22.056999999999999</v>
      </c>
    </row>
    <row r="10509" spans="1:2">
      <c r="A10509" s="117">
        <v>44063</v>
      </c>
      <c r="B10509">
        <v>22.153500000000001</v>
      </c>
    </row>
    <row r="10510" spans="1:2">
      <c r="A10510" s="117">
        <v>44064</v>
      </c>
      <c r="B10510">
        <v>22.052700000000002</v>
      </c>
    </row>
    <row r="10511" spans="1:2">
      <c r="A10511" s="117">
        <v>44065</v>
      </c>
      <c r="B10511">
        <v>22.175999999999998</v>
      </c>
    </row>
    <row r="10512" spans="1:2">
      <c r="A10512" s="117">
        <v>44066</v>
      </c>
      <c r="B10512">
        <v>22.175999999999998</v>
      </c>
    </row>
    <row r="10513" spans="1:2">
      <c r="A10513" s="117">
        <v>44067</v>
      </c>
      <c r="B10513">
        <v>22.175999999999998</v>
      </c>
    </row>
    <row r="10514" spans="1:2">
      <c r="A10514" s="117">
        <v>44068</v>
      </c>
      <c r="B10514">
        <v>22.036200000000001</v>
      </c>
    </row>
    <row r="10515" spans="1:2">
      <c r="A10515" s="117">
        <v>44069</v>
      </c>
      <c r="B10515">
        <v>21.984000000000002</v>
      </c>
    </row>
    <row r="10516" spans="1:2">
      <c r="A10516" s="117">
        <v>44070</v>
      </c>
      <c r="B10516">
        <v>21.972300000000001</v>
      </c>
    </row>
    <row r="10517" spans="1:2">
      <c r="A10517" s="117">
        <v>44071</v>
      </c>
      <c r="B10517">
        <v>21.920200000000001</v>
      </c>
    </row>
    <row r="10518" spans="1:2">
      <c r="A10518" s="117">
        <v>44072</v>
      </c>
      <c r="B10518">
        <v>22.116800000000001</v>
      </c>
    </row>
    <row r="10519" spans="1:2">
      <c r="A10519" s="117">
        <v>44073</v>
      </c>
      <c r="B10519">
        <v>22.116800000000001</v>
      </c>
    </row>
    <row r="10520" spans="1:2">
      <c r="A10520" s="117">
        <v>44074</v>
      </c>
      <c r="B10520">
        <v>22.116800000000001</v>
      </c>
    </row>
    <row r="10521" spans="1:2">
      <c r="A10521" s="117">
        <v>44075</v>
      </c>
      <c r="B10521">
        <v>21.860199999999999</v>
      </c>
    </row>
    <row r="10522" spans="1:2">
      <c r="A10522" s="117">
        <v>44076</v>
      </c>
      <c r="B10522">
        <v>21.888000000000002</v>
      </c>
    </row>
    <row r="10523" spans="1:2">
      <c r="A10523" s="117">
        <v>44077</v>
      </c>
      <c r="B10523">
        <v>21.744499999999999</v>
      </c>
    </row>
    <row r="10524" spans="1:2">
      <c r="A10524" s="117">
        <v>44078</v>
      </c>
      <c r="B10524">
        <v>21.839300000000001</v>
      </c>
    </row>
    <row r="10525" spans="1:2">
      <c r="A10525" s="117">
        <v>44079</v>
      </c>
      <c r="B10525">
        <v>21.638300000000001</v>
      </c>
    </row>
    <row r="10526" spans="1:2">
      <c r="A10526" s="117">
        <v>44080</v>
      </c>
      <c r="B10526">
        <v>21.638300000000001</v>
      </c>
    </row>
    <row r="10527" spans="1:2">
      <c r="A10527" s="117">
        <v>44081</v>
      </c>
      <c r="B10527">
        <v>21.638300000000001</v>
      </c>
    </row>
    <row r="10528" spans="1:2">
      <c r="A10528" s="117">
        <v>44082</v>
      </c>
      <c r="B10528">
        <v>21.611499999999999</v>
      </c>
    </row>
    <row r="10529" spans="1:2">
      <c r="A10529" s="117">
        <v>44083</v>
      </c>
      <c r="B10529">
        <v>21.588699999999999</v>
      </c>
    </row>
    <row r="10530" spans="1:2">
      <c r="A10530" s="117">
        <v>44084</v>
      </c>
      <c r="B10530">
        <v>21.713799999999999</v>
      </c>
    </row>
    <row r="10531" spans="1:2">
      <c r="A10531" s="117">
        <v>44085</v>
      </c>
      <c r="B10531">
        <v>21.537700000000001</v>
      </c>
    </row>
    <row r="10532" spans="1:2">
      <c r="A10532" s="117">
        <v>44086</v>
      </c>
      <c r="B10532">
        <v>21.2773</v>
      </c>
    </row>
    <row r="10533" spans="1:2">
      <c r="A10533" s="117">
        <v>44087</v>
      </c>
      <c r="B10533">
        <v>21.2773</v>
      </c>
    </row>
    <row r="10534" spans="1:2">
      <c r="A10534" s="117">
        <v>44088</v>
      </c>
      <c r="B10534">
        <v>21.2773</v>
      </c>
    </row>
    <row r="10535" spans="1:2">
      <c r="A10535" s="117">
        <v>44089</v>
      </c>
      <c r="B10535">
        <v>21.321000000000002</v>
      </c>
    </row>
    <row r="10536" spans="1:2">
      <c r="A10536" s="117">
        <v>44090</v>
      </c>
      <c r="B10536">
        <v>21.072800000000001</v>
      </c>
    </row>
    <row r="10537" spans="1:2">
      <c r="A10537" s="117">
        <v>44091</v>
      </c>
      <c r="B10537">
        <v>21.072800000000001</v>
      </c>
    </row>
    <row r="10538" spans="1:2">
      <c r="A10538" s="117">
        <v>44092</v>
      </c>
      <c r="B10538">
        <v>21.069199999999999</v>
      </c>
    </row>
    <row r="10539" spans="1:2">
      <c r="A10539" s="117">
        <v>44093</v>
      </c>
      <c r="B10539">
        <v>20.984999999999999</v>
      </c>
    </row>
    <row r="10540" spans="1:2">
      <c r="A10540" s="117">
        <v>44094</v>
      </c>
      <c r="B10540">
        <v>20.984999999999999</v>
      </c>
    </row>
    <row r="10541" spans="1:2">
      <c r="A10541" s="117">
        <v>44095</v>
      </c>
      <c r="B10541">
        <v>20.984999999999999</v>
      </c>
    </row>
    <row r="10542" spans="1:2">
      <c r="A10542" s="117">
        <v>44096</v>
      </c>
      <c r="B10542">
        <v>20.9697</v>
      </c>
    </row>
    <row r="10543" spans="1:2">
      <c r="A10543" s="117">
        <v>44097</v>
      </c>
      <c r="B10543">
        <v>21.504999999999999</v>
      </c>
    </row>
    <row r="10544" spans="1:2">
      <c r="A10544" s="117">
        <v>44098</v>
      </c>
      <c r="B10544">
        <v>21.568200000000001</v>
      </c>
    </row>
    <row r="10545" spans="1:2">
      <c r="A10545" s="117">
        <v>44099</v>
      </c>
      <c r="B10545">
        <v>22.089700000000001</v>
      </c>
    </row>
    <row r="10546" spans="1:2">
      <c r="A10546" s="117">
        <v>44100</v>
      </c>
      <c r="B10546">
        <v>22.367799999999999</v>
      </c>
    </row>
    <row r="10547" spans="1:2">
      <c r="A10547" s="117">
        <v>44101</v>
      </c>
      <c r="B10547">
        <v>22.367799999999999</v>
      </c>
    </row>
    <row r="10548" spans="1:2">
      <c r="A10548" s="117">
        <v>44102</v>
      </c>
      <c r="B10548">
        <v>22.367799999999999</v>
      </c>
    </row>
    <row r="10549" spans="1:2">
      <c r="A10549" s="117">
        <v>44103</v>
      </c>
      <c r="B10549">
        <v>22.440200000000001</v>
      </c>
    </row>
    <row r="10550" spans="1:2">
      <c r="A10550" s="117">
        <v>44104</v>
      </c>
      <c r="B10550">
        <v>22.4573</v>
      </c>
    </row>
    <row r="10551" spans="1:2">
      <c r="A10551" s="117">
        <v>44105</v>
      </c>
      <c r="B10551">
        <v>22.3598</v>
      </c>
    </row>
    <row r="10552" spans="1:2">
      <c r="A10552" s="117">
        <v>44106</v>
      </c>
      <c r="B10552">
        <v>22.143799999999999</v>
      </c>
    </row>
    <row r="10553" spans="1:2">
      <c r="A10553" s="117">
        <v>44107</v>
      </c>
      <c r="B10553">
        <v>21.956199999999999</v>
      </c>
    </row>
    <row r="10554" spans="1:2">
      <c r="A10554" s="117">
        <v>44108</v>
      </c>
      <c r="B10554">
        <v>21.956199999999999</v>
      </c>
    </row>
    <row r="10555" spans="1:2">
      <c r="A10555" s="117">
        <v>44109</v>
      </c>
      <c r="B10555">
        <v>21.956199999999999</v>
      </c>
    </row>
    <row r="10556" spans="1:2">
      <c r="A10556" s="117">
        <v>44110</v>
      </c>
      <c r="B10556">
        <v>21.702500000000001</v>
      </c>
    </row>
    <row r="10557" spans="1:2">
      <c r="A10557" s="117">
        <v>44111</v>
      </c>
      <c r="B10557">
        <v>21.396000000000001</v>
      </c>
    </row>
    <row r="10558" spans="1:2">
      <c r="A10558" s="117">
        <v>44112</v>
      </c>
      <c r="B10558">
        <v>21.450700000000001</v>
      </c>
    </row>
    <row r="10559" spans="1:2">
      <c r="A10559" s="117">
        <v>44113</v>
      </c>
      <c r="B10559">
        <v>21.492999999999999</v>
      </c>
    </row>
    <row r="10560" spans="1:2">
      <c r="A10560" s="117">
        <v>44114</v>
      </c>
      <c r="B10560">
        <v>21.431799999999999</v>
      </c>
    </row>
    <row r="10561" spans="1:2">
      <c r="A10561" s="117">
        <v>44115</v>
      </c>
      <c r="B10561">
        <v>21.431799999999999</v>
      </c>
    </row>
    <row r="10562" spans="1:2">
      <c r="A10562" s="117">
        <v>44116</v>
      </c>
      <c r="B10562">
        <v>21.431799999999999</v>
      </c>
    </row>
    <row r="10563" spans="1:2">
      <c r="A10563" s="117">
        <v>44117</v>
      </c>
      <c r="B10563">
        <v>21.182200000000002</v>
      </c>
    </row>
    <row r="10564" spans="1:2">
      <c r="A10564" s="117">
        <v>44118</v>
      </c>
      <c r="B10564">
        <v>21.218299999999999</v>
      </c>
    </row>
    <row r="10565" spans="1:2">
      <c r="A10565" s="117">
        <v>44119</v>
      </c>
      <c r="B10565">
        <v>21.367699999999999</v>
      </c>
    </row>
    <row r="10566" spans="1:2">
      <c r="A10566" s="117">
        <v>44120</v>
      </c>
      <c r="B10566">
        <v>21.299800000000001</v>
      </c>
    </row>
    <row r="10567" spans="1:2">
      <c r="A10567" s="117">
        <v>44121</v>
      </c>
      <c r="B10567">
        <v>21.383199999999999</v>
      </c>
    </row>
    <row r="10568" spans="1:2">
      <c r="A10568" s="117">
        <v>44122</v>
      </c>
      <c r="B10568">
        <v>21.383199999999999</v>
      </c>
    </row>
    <row r="10569" spans="1:2">
      <c r="A10569" s="117">
        <v>44123</v>
      </c>
      <c r="B10569">
        <v>21.383199999999999</v>
      </c>
    </row>
    <row r="10570" spans="1:2">
      <c r="A10570" s="117">
        <v>44124</v>
      </c>
      <c r="B10570">
        <v>21.176500000000001</v>
      </c>
    </row>
    <row r="10571" spans="1:2">
      <c r="A10571" s="117">
        <v>44125</v>
      </c>
      <c r="B10571">
        <v>21.1342</v>
      </c>
    </row>
    <row r="10572" spans="1:2">
      <c r="A10572" s="117">
        <v>44126</v>
      </c>
      <c r="B10572">
        <v>21.090199999999999</v>
      </c>
    </row>
    <row r="10573" spans="1:2">
      <c r="A10573" s="117">
        <v>44127</v>
      </c>
      <c r="B10573">
        <v>21.064</v>
      </c>
    </row>
    <row r="10574" spans="1:2">
      <c r="A10574" s="117">
        <v>44128</v>
      </c>
      <c r="B10574">
        <v>21.03</v>
      </c>
    </row>
    <row r="10575" spans="1:2">
      <c r="A10575" s="117">
        <v>44129</v>
      </c>
      <c r="B10575">
        <v>21.03</v>
      </c>
    </row>
    <row r="10576" spans="1:2">
      <c r="A10576" s="117">
        <v>44130</v>
      </c>
      <c r="B10576">
        <v>21.03</v>
      </c>
    </row>
    <row r="10577" spans="1:2">
      <c r="A10577" s="117">
        <v>44131</v>
      </c>
      <c r="B10577">
        <v>20.920500000000001</v>
      </c>
    </row>
    <row r="10578" spans="1:2">
      <c r="A10578" s="117">
        <v>44132</v>
      </c>
      <c r="B10578">
        <v>20.9818</v>
      </c>
    </row>
    <row r="10579" spans="1:2">
      <c r="A10579" s="117">
        <v>44133</v>
      </c>
      <c r="B10579">
        <v>20.879799999999999</v>
      </c>
    </row>
    <row r="10580" spans="1:2">
      <c r="A10580" s="117">
        <v>44134</v>
      </c>
      <c r="B10580">
        <v>21.1648</v>
      </c>
    </row>
    <row r="10581" spans="1:2">
      <c r="A10581" s="117">
        <v>44135</v>
      </c>
      <c r="B10581">
        <v>21.376999999999999</v>
      </c>
    </row>
    <row r="10582" spans="1:2">
      <c r="A10582" s="117">
        <v>44136</v>
      </c>
      <c r="B10582">
        <v>21.376999999999999</v>
      </c>
    </row>
    <row r="10583" spans="1:2">
      <c r="A10583" s="117">
        <v>44137</v>
      </c>
      <c r="B10583">
        <v>21.376999999999999</v>
      </c>
    </row>
    <row r="10584" spans="1:2">
      <c r="A10584" s="117">
        <v>44138</v>
      </c>
      <c r="B10584">
        <v>21.376999999999999</v>
      </c>
    </row>
    <row r="10585" spans="1:2">
      <c r="A10585" s="117">
        <v>44139</v>
      </c>
      <c r="B10585">
        <v>21.250800000000002</v>
      </c>
    </row>
    <row r="10586" spans="1:2">
      <c r="A10586" s="117">
        <v>44140</v>
      </c>
      <c r="B10586">
        <v>21.1555</v>
      </c>
    </row>
    <row r="10587" spans="1:2">
      <c r="A10587" s="117">
        <v>44141</v>
      </c>
      <c r="B10587">
        <v>21.034500000000001</v>
      </c>
    </row>
    <row r="10588" spans="1:2">
      <c r="A10588" s="117">
        <v>44142</v>
      </c>
      <c r="B10588">
        <v>20.761199999999999</v>
      </c>
    </row>
    <row r="10589" spans="1:2">
      <c r="A10589" s="117">
        <v>44143</v>
      </c>
      <c r="B10589">
        <v>20.761199999999999</v>
      </c>
    </row>
    <row r="10590" spans="1:2">
      <c r="A10590" s="117">
        <v>44144</v>
      </c>
      <c r="B10590">
        <v>20.761199999999999</v>
      </c>
    </row>
    <row r="10591" spans="1:2">
      <c r="A10591" s="117">
        <v>44145</v>
      </c>
      <c r="B10591">
        <v>20.62</v>
      </c>
    </row>
    <row r="10592" spans="1:2">
      <c r="A10592" s="117">
        <v>44146</v>
      </c>
      <c r="B10592">
        <v>20.36</v>
      </c>
    </row>
    <row r="10593" spans="1:2">
      <c r="A10593" s="117">
        <v>44147</v>
      </c>
      <c r="B10593">
        <v>20.401800000000001</v>
      </c>
    </row>
    <row r="10594" spans="1:2">
      <c r="A10594" s="117">
        <v>44148</v>
      </c>
      <c r="B10594">
        <v>20.577200000000001</v>
      </c>
    </row>
    <row r="10595" spans="1:2">
      <c r="A10595" s="117">
        <v>44149</v>
      </c>
      <c r="B10595">
        <v>20.5303</v>
      </c>
    </row>
    <row r="10596" spans="1:2">
      <c r="A10596" s="117">
        <v>44150</v>
      </c>
      <c r="B10596">
        <v>20.5303</v>
      </c>
    </row>
    <row r="10597" spans="1:2">
      <c r="A10597" s="117">
        <v>44151</v>
      </c>
      <c r="B10597">
        <v>20.5303</v>
      </c>
    </row>
    <row r="10598" spans="1:2">
      <c r="A10598" s="117">
        <v>44152</v>
      </c>
      <c r="B10598">
        <v>20.5303</v>
      </c>
    </row>
    <row r="10599" spans="1:2">
      <c r="A10599" s="117">
        <v>44153</v>
      </c>
      <c r="B10599">
        <v>20.4833</v>
      </c>
    </row>
    <row r="10600" spans="1:2">
      <c r="A10600" s="117">
        <v>44154</v>
      </c>
      <c r="B10600">
        <v>20.321200000000001</v>
      </c>
    </row>
    <row r="10601" spans="1:2">
      <c r="A10601" s="117">
        <v>44155</v>
      </c>
      <c r="B10601">
        <v>20.238800000000001</v>
      </c>
    </row>
    <row r="10602" spans="1:2">
      <c r="A10602" s="117">
        <v>44156</v>
      </c>
      <c r="B10602">
        <v>20.1858</v>
      </c>
    </row>
    <row r="10603" spans="1:2">
      <c r="A10603" s="117">
        <v>44157</v>
      </c>
      <c r="B10603">
        <v>20.1858</v>
      </c>
    </row>
    <row r="10604" spans="1:2">
      <c r="A10604" s="117">
        <v>44158</v>
      </c>
      <c r="B10604">
        <v>20.1858</v>
      </c>
    </row>
    <row r="10605" spans="1:2">
      <c r="A10605" s="117">
        <v>44159</v>
      </c>
      <c r="B10605">
        <v>20.1172</v>
      </c>
    </row>
    <row r="10606" spans="1:2">
      <c r="A10606" s="117">
        <v>44160</v>
      </c>
      <c r="B10606">
        <v>20.101199999999999</v>
      </c>
    </row>
    <row r="10607" spans="1:2">
      <c r="A10607" s="117">
        <v>44161</v>
      </c>
      <c r="B10607">
        <v>20.057700000000001</v>
      </c>
    </row>
    <row r="10608" spans="1:2">
      <c r="A10608" s="117">
        <v>44162</v>
      </c>
      <c r="B10608">
        <v>20.046500000000002</v>
      </c>
    </row>
    <row r="10609" spans="1:2">
      <c r="A10609" s="117">
        <v>44163</v>
      </c>
      <c r="B10609">
        <v>20.046700000000001</v>
      </c>
    </row>
    <row r="10610" spans="1:2">
      <c r="A10610" s="117">
        <v>44164</v>
      </c>
      <c r="B10610">
        <v>20.046700000000001</v>
      </c>
    </row>
    <row r="10611" spans="1:2">
      <c r="A10611" s="117">
        <v>44165</v>
      </c>
      <c r="B10611">
        <v>20.046700000000001</v>
      </c>
    </row>
    <row r="10612" spans="1:2">
      <c r="A10612" s="117">
        <v>44166</v>
      </c>
      <c r="B10612">
        <v>20.0777</v>
      </c>
    </row>
    <row r="10613" spans="1:2">
      <c r="A10613" s="117">
        <v>44167</v>
      </c>
      <c r="B10613">
        <v>20.139800000000001</v>
      </c>
    </row>
    <row r="10614" spans="1:2">
      <c r="A10614" s="117">
        <v>44168</v>
      </c>
      <c r="B10614">
        <v>20.050799999999999</v>
      </c>
    </row>
    <row r="10615" spans="1:2">
      <c r="A10615" s="117">
        <v>44169</v>
      </c>
      <c r="B10615">
        <v>20.049700000000001</v>
      </c>
    </row>
    <row r="10616" spans="1:2">
      <c r="A10616" s="117">
        <v>44170</v>
      </c>
      <c r="B10616">
        <v>19.908300000000001</v>
      </c>
    </row>
    <row r="10617" spans="1:2">
      <c r="A10617" s="117">
        <v>44171</v>
      </c>
      <c r="B10617">
        <v>19.908300000000001</v>
      </c>
    </row>
    <row r="10618" spans="1:2">
      <c r="A10618" s="117">
        <v>44172</v>
      </c>
      <c r="B10618">
        <v>19.908300000000001</v>
      </c>
    </row>
    <row r="10619" spans="1:2">
      <c r="A10619" s="117">
        <v>44173</v>
      </c>
      <c r="B10619">
        <v>19.783799999999999</v>
      </c>
    </row>
    <row r="10620" spans="1:2">
      <c r="A10620" s="117">
        <v>44174</v>
      </c>
      <c r="B10620">
        <v>19.821300000000001</v>
      </c>
    </row>
    <row r="10621" spans="1:2">
      <c r="A10621" s="117">
        <v>44175</v>
      </c>
      <c r="B10621">
        <v>19.753699999999998</v>
      </c>
    </row>
    <row r="10622" spans="1:2">
      <c r="A10622" s="117">
        <v>44176</v>
      </c>
      <c r="B10622">
        <v>19.8368</v>
      </c>
    </row>
    <row r="10623" spans="1:2">
      <c r="A10623" s="117">
        <v>44177</v>
      </c>
      <c r="B10623">
        <v>19.9572</v>
      </c>
    </row>
    <row r="10624" spans="1:2">
      <c r="A10624" s="117">
        <v>44178</v>
      </c>
      <c r="B10624">
        <v>19.9572</v>
      </c>
    </row>
    <row r="10625" spans="1:2">
      <c r="A10625" s="117">
        <v>44179</v>
      </c>
      <c r="B10625">
        <v>19.9572</v>
      </c>
    </row>
    <row r="10626" spans="1:2">
      <c r="A10626" s="117">
        <v>44180</v>
      </c>
      <c r="B10626">
        <v>20.107500000000002</v>
      </c>
    </row>
    <row r="10627" spans="1:2">
      <c r="A10627" s="117">
        <v>44181</v>
      </c>
      <c r="B10627">
        <v>20.177800000000001</v>
      </c>
    </row>
    <row r="10628" spans="1:2">
      <c r="A10628" s="117">
        <v>44182</v>
      </c>
      <c r="B10628">
        <v>20.1113</v>
      </c>
    </row>
    <row r="10629" spans="1:2">
      <c r="A10629" s="117">
        <v>44183</v>
      </c>
      <c r="B10629">
        <v>19.9513</v>
      </c>
    </row>
    <row r="10630" spans="1:2">
      <c r="A10630" s="117">
        <v>44184</v>
      </c>
      <c r="B10630">
        <v>19.817299999999999</v>
      </c>
    </row>
    <row r="10631" spans="1:2">
      <c r="A10631" s="117">
        <v>44185</v>
      </c>
      <c r="B10631">
        <v>19.817299999999999</v>
      </c>
    </row>
    <row r="10632" spans="1:2">
      <c r="A10632" s="117">
        <v>44186</v>
      </c>
      <c r="B10632">
        <v>19.817299999999999</v>
      </c>
    </row>
    <row r="10633" spans="1:2">
      <c r="A10633" s="117">
        <v>44187</v>
      </c>
      <c r="B10633">
        <v>19.948699999999999</v>
      </c>
    </row>
    <row r="10634" spans="1:2">
      <c r="A10634" s="117">
        <v>44188</v>
      </c>
      <c r="B10634">
        <v>20.090499999999999</v>
      </c>
    </row>
    <row r="10635" spans="1:2">
      <c r="A10635" s="117">
        <v>44189</v>
      </c>
      <c r="B10635">
        <v>20.0562</v>
      </c>
    </row>
    <row r="10636" spans="1:2">
      <c r="A10636" s="117">
        <v>44190</v>
      </c>
      <c r="B10636">
        <v>20.1175</v>
      </c>
    </row>
    <row r="10637" spans="1:2">
      <c r="A10637" s="117">
        <v>44191</v>
      </c>
      <c r="B10637">
        <v>20.1175</v>
      </c>
    </row>
    <row r="10638" spans="1:2">
      <c r="A10638" s="117">
        <v>44192</v>
      </c>
      <c r="B10638">
        <v>20.1175</v>
      </c>
    </row>
    <row r="10639" spans="1:2">
      <c r="A10639" s="117">
        <v>44193</v>
      </c>
      <c r="B10639">
        <v>20.1175</v>
      </c>
    </row>
    <row r="10640" spans="1:2">
      <c r="A10640" s="117">
        <v>44194</v>
      </c>
      <c r="B10640">
        <v>19.851700000000001</v>
      </c>
    </row>
    <row r="10641" spans="1:2">
      <c r="A10641" s="117">
        <v>44195</v>
      </c>
      <c r="B10641">
        <v>20.047699999999999</v>
      </c>
    </row>
    <row r="10642" spans="1:2">
      <c r="A10642" s="117">
        <v>44196</v>
      </c>
      <c r="B10642">
        <v>19.948699999999999</v>
      </c>
    </row>
    <row r="10643" spans="1:2">
      <c r="A10643" s="117">
        <v>44197</v>
      </c>
      <c r="B10643">
        <v>19.935199999999998</v>
      </c>
    </row>
    <row r="10644" spans="1:2">
      <c r="A10644" s="117">
        <v>44198</v>
      </c>
      <c r="B10644">
        <v>19.935199999999998</v>
      </c>
    </row>
    <row r="10645" spans="1:2">
      <c r="A10645" s="117">
        <v>44199</v>
      </c>
      <c r="B10645">
        <v>19.935199999999998</v>
      </c>
    </row>
    <row r="10646" spans="1:2">
      <c r="A10646" s="117">
        <v>44200</v>
      </c>
      <c r="B10646">
        <v>19.935199999999998</v>
      </c>
    </row>
    <row r="10647" spans="1:2">
      <c r="A10647" s="117">
        <v>44201</v>
      </c>
      <c r="B10647">
        <v>19.9087</v>
      </c>
    </row>
    <row r="10648" spans="1:2">
      <c r="A10648" s="117">
        <v>44202</v>
      </c>
      <c r="B10648">
        <v>19.845700000000001</v>
      </c>
    </row>
    <row r="10649" spans="1:2">
      <c r="A10649" s="117">
        <v>44203</v>
      </c>
      <c r="B10649">
        <v>19.9437</v>
      </c>
    </row>
    <row r="10650" spans="1:2">
      <c r="A10650" s="117">
        <v>44204</v>
      </c>
      <c r="B10650">
        <v>19.725000000000001</v>
      </c>
    </row>
    <row r="10651" spans="1:2">
      <c r="A10651" s="117">
        <v>44205</v>
      </c>
      <c r="B10651">
        <v>19.91</v>
      </c>
    </row>
    <row r="10652" spans="1:2">
      <c r="A10652" s="117">
        <v>44206</v>
      </c>
      <c r="B10652">
        <v>19.91</v>
      </c>
    </row>
    <row r="10653" spans="1:2">
      <c r="A10653" s="117">
        <v>44207</v>
      </c>
      <c r="B10653">
        <v>19.91</v>
      </c>
    </row>
    <row r="10654" spans="1:2">
      <c r="A10654" s="117">
        <v>44208</v>
      </c>
      <c r="B10654">
        <v>19.970500000000001</v>
      </c>
    </row>
    <row r="10655" spans="1:2">
      <c r="A10655" s="117">
        <v>44209</v>
      </c>
      <c r="B10655">
        <v>20.113</v>
      </c>
    </row>
    <row r="10656" spans="1:2">
      <c r="A10656" s="117">
        <v>44210</v>
      </c>
      <c r="B10656">
        <v>19.9373</v>
      </c>
    </row>
    <row r="10657" spans="1:2">
      <c r="A10657" s="117">
        <v>44211</v>
      </c>
      <c r="B10657">
        <v>19.793500000000002</v>
      </c>
    </row>
    <row r="10658" spans="1:2">
      <c r="A10658" s="117">
        <v>44212</v>
      </c>
      <c r="B10658">
        <v>19.779299999999999</v>
      </c>
    </row>
    <row r="10659" spans="1:2">
      <c r="A10659" s="117">
        <v>44213</v>
      </c>
      <c r="B10659">
        <v>19.779299999999999</v>
      </c>
    </row>
    <row r="10660" spans="1:2">
      <c r="A10660" s="117">
        <v>44214</v>
      </c>
      <c r="B10660">
        <v>19.779299999999999</v>
      </c>
    </row>
    <row r="10661" spans="1:2">
      <c r="A10661" s="117">
        <v>44215</v>
      </c>
      <c r="B10661">
        <v>19.787500000000001</v>
      </c>
    </row>
    <row r="10662" spans="1:2">
      <c r="A10662" s="117">
        <v>44216</v>
      </c>
      <c r="B10662">
        <v>19.757000000000001</v>
      </c>
    </row>
    <row r="10663" spans="1:2">
      <c r="A10663" s="117">
        <v>44217</v>
      </c>
      <c r="B10663">
        <v>19.678799999999999</v>
      </c>
    </row>
    <row r="10664" spans="1:2">
      <c r="A10664" s="117">
        <v>44218</v>
      </c>
      <c r="B10664">
        <v>19.5793</v>
      </c>
    </row>
    <row r="10665" spans="1:2">
      <c r="A10665" s="117">
        <v>44219</v>
      </c>
      <c r="B10665">
        <v>19.7393</v>
      </c>
    </row>
    <row r="10666" spans="1:2">
      <c r="A10666" s="117">
        <v>44220</v>
      </c>
      <c r="B10666">
        <v>19.7393</v>
      </c>
    </row>
    <row r="10667" spans="1:2">
      <c r="A10667" s="117">
        <v>44221</v>
      </c>
      <c r="B10667">
        <v>19.7393</v>
      </c>
    </row>
    <row r="10668" spans="1:2">
      <c r="A10668" s="117">
        <v>44222</v>
      </c>
      <c r="B10668">
        <v>19.9833</v>
      </c>
    </row>
    <row r="10669" spans="1:2">
      <c r="A10669" s="117">
        <v>44223</v>
      </c>
      <c r="B10669">
        <v>20.159800000000001</v>
      </c>
    </row>
    <row r="10670" spans="1:2">
      <c r="A10670" s="117">
        <v>44224</v>
      </c>
      <c r="B10670">
        <v>20.0152</v>
      </c>
    </row>
    <row r="10671" spans="1:2">
      <c r="A10671" s="117">
        <v>44225</v>
      </c>
      <c r="B10671">
        <v>20.216799999999999</v>
      </c>
    </row>
    <row r="10672" spans="1:2">
      <c r="A10672" s="117">
        <v>44226</v>
      </c>
      <c r="B10672">
        <v>20.2697</v>
      </c>
    </row>
    <row r="10673" spans="1:2">
      <c r="A10673" s="117">
        <v>44227</v>
      </c>
      <c r="B10673">
        <v>20.2697</v>
      </c>
    </row>
    <row r="10674" spans="1:2">
      <c r="A10674" s="117">
        <v>44228</v>
      </c>
      <c r="B10674">
        <v>20.2697</v>
      </c>
    </row>
    <row r="10675" spans="1:2">
      <c r="A10675" s="117">
        <v>44229</v>
      </c>
      <c r="B10675">
        <v>20.2697</v>
      </c>
    </row>
    <row r="10676" spans="1:2">
      <c r="A10676" s="117">
        <v>44230</v>
      </c>
      <c r="B10676">
        <v>20.224799999999998</v>
      </c>
    </row>
    <row r="10677" spans="1:2">
      <c r="A10677" s="117">
        <v>44231</v>
      </c>
      <c r="B10677">
        <v>20.1722</v>
      </c>
    </row>
    <row r="10678" spans="1:2">
      <c r="A10678" s="117">
        <v>44232</v>
      </c>
      <c r="B10678">
        <v>20.1953</v>
      </c>
    </row>
    <row r="10679" spans="1:2">
      <c r="A10679" s="117">
        <v>44233</v>
      </c>
      <c r="B10679">
        <v>20.4435</v>
      </c>
    </row>
    <row r="10680" spans="1:2">
      <c r="A10680" s="117">
        <v>44234</v>
      </c>
      <c r="B10680">
        <v>20.4435</v>
      </c>
    </row>
    <row r="10681" spans="1:2">
      <c r="A10681" s="117">
        <v>44235</v>
      </c>
      <c r="B10681">
        <v>20.4435</v>
      </c>
    </row>
    <row r="10682" spans="1:2">
      <c r="A10682" s="117">
        <v>44236</v>
      </c>
      <c r="B10682">
        <v>20.1388</v>
      </c>
    </row>
    <row r="10683" spans="1:2">
      <c r="A10683" s="117">
        <v>44237</v>
      </c>
      <c r="B10683">
        <v>20.122699999999998</v>
      </c>
    </row>
    <row r="10684" spans="1:2">
      <c r="A10684" s="117">
        <v>44238</v>
      </c>
      <c r="B10684">
        <v>20.0913</v>
      </c>
    </row>
    <row r="10685" spans="1:2">
      <c r="A10685" s="117">
        <v>44239</v>
      </c>
      <c r="B10685">
        <v>20.058800000000002</v>
      </c>
    </row>
    <row r="10686" spans="1:2">
      <c r="A10686" s="117">
        <v>44240</v>
      </c>
      <c r="B10686">
        <v>19.953499999999998</v>
      </c>
    </row>
    <row r="10687" spans="1:2">
      <c r="A10687" s="117">
        <v>44241</v>
      </c>
      <c r="B10687">
        <v>19.953499999999998</v>
      </c>
    </row>
    <row r="10688" spans="1:2">
      <c r="A10688" s="117">
        <v>44242</v>
      </c>
      <c r="B10688">
        <v>19.953499999999998</v>
      </c>
    </row>
    <row r="10689" spans="1:2">
      <c r="A10689" s="117">
        <v>44243</v>
      </c>
      <c r="B10689">
        <v>19.962199999999999</v>
      </c>
    </row>
    <row r="10690" spans="1:2">
      <c r="A10690" s="117">
        <v>44244</v>
      </c>
      <c r="B10690">
        <v>19.951799999999999</v>
      </c>
    </row>
    <row r="10691" spans="1:2">
      <c r="A10691" s="117">
        <v>44245</v>
      </c>
      <c r="B10691">
        <v>20.202300000000001</v>
      </c>
    </row>
    <row r="10692" spans="1:2">
      <c r="A10692" s="117">
        <v>44246</v>
      </c>
      <c r="B10692">
        <v>20.2257</v>
      </c>
    </row>
    <row r="10693" spans="1:2">
      <c r="A10693" s="117">
        <v>44247</v>
      </c>
      <c r="B10693">
        <v>20.416499999999999</v>
      </c>
    </row>
    <row r="10694" spans="1:2">
      <c r="A10694" s="117">
        <v>44248</v>
      </c>
      <c r="B10694">
        <v>20.416499999999999</v>
      </c>
    </row>
    <row r="10695" spans="1:2">
      <c r="A10695" s="117">
        <v>44249</v>
      </c>
      <c r="B10695">
        <v>20.416499999999999</v>
      </c>
    </row>
    <row r="10696" spans="1:2">
      <c r="A10696" s="117">
        <v>44250</v>
      </c>
      <c r="B10696">
        <v>20.4222</v>
      </c>
    </row>
    <row r="10697" spans="1:2">
      <c r="A10697" s="117">
        <v>44251</v>
      </c>
      <c r="B10697">
        <v>20.6783</v>
      </c>
    </row>
    <row r="10698" spans="1:2">
      <c r="A10698" s="117">
        <v>44252</v>
      </c>
      <c r="B10698">
        <v>20.583300000000001</v>
      </c>
    </row>
    <row r="10699" spans="1:2">
      <c r="A10699" s="117">
        <v>44253</v>
      </c>
      <c r="B10699">
        <v>20.475200000000001</v>
      </c>
    </row>
    <row r="10700" spans="1:2">
      <c r="A10700" s="117">
        <v>44254</v>
      </c>
      <c r="B10700">
        <v>20.8523</v>
      </c>
    </row>
    <row r="10701" spans="1:2">
      <c r="A10701" s="117">
        <v>44255</v>
      </c>
      <c r="B10701">
        <v>20.8523</v>
      </c>
    </row>
    <row r="10702" spans="1:2">
      <c r="A10702" s="117">
        <v>44256</v>
      </c>
      <c r="B10702">
        <v>20.8523</v>
      </c>
    </row>
    <row r="10703" spans="1:2">
      <c r="A10703" s="117">
        <v>44257</v>
      </c>
      <c r="B10703">
        <v>20.939</v>
      </c>
    </row>
    <row r="10704" spans="1:2">
      <c r="A10704" s="117">
        <v>44258</v>
      </c>
      <c r="B10704">
        <v>20.612300000000001</v>
      </c>
    </row>
    <row r="10705" spans="1:2">
      <c r="A10705" s="117">
        <v>44259</v>
      </c>
      <c r="B10705">
        <v>20.690300000000001</v>
      </c>
    </row>
    <row r="10706" spans="1:2">
      <c r="A10706" s="117">
        <v>44260</v>
      </c>
      <c r="B10706">
        <v>20.895700000000001</v>
      </c>
    </row>
    <row r="10707" spans="1:2">
      <c r="A10707" s="117">
        <v>44261</v>
      </c>
      <c r="B10707">
        <v>20.849799999999998</v>
      </c>
    </row>
    <row r="10708" spans="1:2">
      <c r="A10708" s="117">
        <v>44262</v>
      </c>
      <c r="B10708">
        <v>20.849799999999998</v>
      </c>
    </row>
    <row r="10709" spans="1:2">
      <c r="A10709" s="117">
        <v>44263</v>
      </c>
      <c r="B10709">
        <v>20.849799999999998</v>
      </c>
    </row>
    <row r="10710" spans="1:2">
      <c r="A10710" s="117">
        <v>44264</v>
      </c>
      <c r="B10710">
        <v>21.263500000000001</v>
      </c>
    </row>
    <row r="10711" spans="1:2">
      <c r="A10711" s="117">
        <v>44265</v>
      </c>
      <c r="B10711">
        <v>21.4177</v>
      </c>
    </row>
    <row r="10712" spans="1:2">
      <c r="A10712" s="117">
        <v>44266</v>
      </c>
      <c r="B10712">
        <v>21.2575</v>
      </c>
    </row>
    <row r="10713" spans="1:2">
      <c r="A10713" s="117">
        <v>44267</v>
      </c>
      <c r="B10713">
        <v>20.985299999999999</v>
      </c>
    </row>
    <row r="10714" spans="1:2">
      <c r="A10714" s="117">
        <v>44268</v>
      </c>
      <c r="B10714">
        <v>20.7133</v>
      </c>
    </row>
    <row r="10715" spans="1:2">
      <c r="A10715" s="117">
        <v>44269</v>
      </c>
      <c r="B10715">
        <v>20.7133</v>
      </c>
    </row>
    <row r="10716" spans="1:2">
      <c r="A10716" s="117">
        <v>44270</v>
      </c>
      <c r="B10716">
        <v>20.7133</v>
      </c>
    </row>
    <row r="10717" spans="1:2">
      <c r="A10717" s="117">
        <v>44271</v>
      </c>
      <c r="B10717">
        <v>20.7133</v>
      </c>
    </row>
    <row r="10718" spans="1:2">
      <c r="A10718" s="117">
        <v>44272</v>
      </c>
      <c r="B10718">
        <v>20.7637</v>
      </c>
    </row>
    <row r="10719" spans="1:2">
      <c r="A10719" s="117">
        <v>44273</v>
      </c>
      <c r="B10719">
        <v>20.575299999999999</v>
      </c>
    </row>
    <row r="10720" spans="1:2">
      <c r="A10720" s="117">
        <v>44274</v>
      </c>
      <c r="B10720">
        <v>20.6828</v>
      </c>
    </row>
    <row r="10721" spans="1:2">
      <c r="A10721" s="117">
        <v>44275</v>
      </c>
      <c r="B10721">
        <v>20.441500000000001</v>
      </c>
    </row>
    <row r="10722" spans="1:2">
      <c r="A10722" s="117">
        <v>44276</v>
      </c>
      <c r="B10722">
        <v>20.441500000000001</v>
      </c>
    </row>
    <row r="10723" spans="1:2">
      <c r="A10723" s="117">
        <v>44277</v>
      </c>
      <c r="B10723">
        <v>20.441500000000001</v>
      </c>
    </row>
    <row r="10724" spans="1:2">
      <c r="A10724" s="117">
        <v>44278</v>
      </c>
      <c r="B10724">
        <v>20.482299999999999</v>
      </c>
    </row>
    <row r="10725" spans="1:2">
      <c r="A10725" s="117">
        <v>44279</v>
      </c>
      <c r="B10725">
        <v>20.578800000000001</v>
      </c>
    </row>
    <row r="10726" spans="1:2">
      <c r="A10726" s="117">
        <v>44280</v>
      </c>
      <c r="B10726">
        <v>20.640799999999999</v>
      </c>
    </row>
    <row r="10727" spans="1:2">
      <c r="A10727" s="117">
        <v>44281</v>
      </c>
      <c r="B10727">
        <v>20.7882</v>
      </c>
    </row>
    <row r="10728" spans="1:2">
      <c r="A10728" s="117">
        <v>44282</v>
      </c>
      <c r="B10728">
        <v>20.766200000000001</v>
      </c>
    </row>
    <row r="10729" spans="1:2">
      <c r="A10729" s="117">
        <v>44283</v>
      </c>
      <c r="B10729">
        <v>20.766200000000001</v>
      </c>
    </row>
    <row r="10730" spans="1:2">
      <c r="A10730" s="117">
        <v>44284</v>
      </c>
      <c r="B10730">
        <v>20.766200000000001</v>
      </c>
    </row>
    <row r="10731" spans="1:2">
      <c r="A10731" s="117">
        <v>44285</v>
      </c>
      <c r="B10731">
        <v>20.567699999999999</v>
      </c>
    </row>
    <row r="10732" spans="1:2">
      <c r="A10732" s="117">
        <v>44286</v>
      </c>
      <c r="B10732">
        <v>20.604700000000001</v>
      </c>
    </row>
    <row r="10733" spans="1:2">
      <c r="A10733" s="117">
        <v>44287</v>
      </c>
      <c r="B10733">
        <v>20.602499999999999</v>
      </c>
    </row>
    <row r="10734" spans="1:2">
      <c r="A10734" s="117">
        <v>44288</v>
      </c>
      <c r="B10734">
        <v>20.602499999999999</v>
      </c>
    </row>
    <row r="10735" spans="1:2">
      <c r="A10735" s="117">
        <v>44289</v>
      </c>
      <c r="B10735">
        <v>20.602499999999999</v>
      </c>
    </row>
    <row r="10736" spans="1:2">
      <c r="A10736" s="117">
        <v>44290</v>
      </c>
      <c r="B10736">
        <v>20.602499999999999</v>
      </c>
    </row>
    <row r="10737" spans="1:2">
      <c r="A10737" s="117">
        <v>44291</v>
      </c>
      <c r="B10737">
        <v>20.602499999999999</v>
      </c>
    </row>
    <row r="10738" spans="1:2">
      <c r="A10738" s="117">
        <v>44292</v>
      </c>
      <c r="B10738">
        <v>20.440000000000001</v>
      </c>
    </row>
    <row r="10739" spans="1:2">
      <c r="A10739" s="117">
        <v>44293</v>
      </c>
      <c r="B10739">
        <v>20.2483</v>
      </c>
    </row>
    <row r="10740" spans="1:2">
      <c r="A10740" s="117">
        <v>44294</v>
      </c>
      <c r="B10740">
        <v>20.161200000000001</v>
      </c>
    </row>
    <row r="10741" spans="1:2">
      <c r="A10741" s="117">
        <v>44295</v>
      </c>
      <c r="B10741">
        <v>20.176500000000001</v>
      </c>
    </row>
    <row r="10742" spans="1:2">
      <c r="A10742" s="117">
        <v>44296</v>
      </c>
      <c r="B10742">
        <v>20.088999999999999</v>
      </c>
    </row>
    <row r="10743" spans="1:2">
      <c r="A10743" s="117">
        <v>44297</v>
      </c>
      <c r="B10743">
        <v>20.088999999999999</v>
      </c>
    </row>
    <row r="10744" spans="1:2">
      <c r="A10744" s="117">
        <v>44298</v>
      </c>
      <c r="B10744">
        <v>20.088999999999999</v>
      </c>
    </row>
    <row r="10745" spans="1:2">
      <c r="A10745" s="117">
        <v>44299</v>
      </c>
      <c r="B10745">
        <v>20.163</v>
      </c>
    </row>
    <row r="10746" spans="1:2">
      <c r="A10746" s="117">
        <v>44300</v>
      </c>
      <c r="B10746">
        <v>20.094999999999999</v>
      </c>
    </row>
    <row r="10747" spans="1:2">
      <c r="A10747" s="117">
        <v>44301</v>
      </c>
      <c r="B10747">
        <v>20.073499999999999</v>
      </c>
    </row>
    <row r="10748" spans="1:2">
      <c r="A10748" s="117">
        <v>44302</v>
      </c>
      <c r="B10748">
        <v>20.058299999999999</v>
      </c>
    </row>
    <row r="10749" spans="1:2">
      <c r="A10749" s="117">
        <v>44303</v>
      </c>
      <c r="B10749">
        <v>19.927</v>
      </c>
    </row>
    <row r="10750" spans="1:2">
      <c r="A10750" s="117">
        <v>44304</v>
      </c>
      <c r="B10750">
        <v>19.927</v>
      </c>
    </row>
    <row r="10751" spans="1:2">
      <c r="A10751" s="117">
        <v>44305</v>
      </c>
      <c r="B10751">
        <v>19.927</v>
      </c>
    </row>
    <row r="10752" spans="1:2">
      <c r="A10752" s="117">
        <v>44306</v>
      </c>
      <c r="B10752">
        <v>19.915800000000001</v>
      </c>
    </row>
    <row r="10753" spans="1:2">
      <c r="A10753" s="117">
        <v>44307</v>
      </c>
      <c r="B10753">
        <v>19.814499999999999</v>
      </c>
    </row>
    <row r="10754" spans="1:2">
      <c r="A10754" s="117">
        <v>44308</v>
      </c>
      <c r="B10754">
        <v>19.887699999999999</v>
      </c>
    </row>
    <row r="10755" spans="1:2">
      <c r="A10755" s="117">
        <v>44309</v>
      </c>
      <c r="B10755">
        <v>19.873999999999999</v>
      </c>
    </row>
    <row r="10756" spans="1:2">
      <c r="A10756" s="117">
        <v>44310</v>
      </c>
      <c r="B10756">
        <v>19.886500000000002</v>
      </c>
    </row>
    <row r="10757" spans="1:2">
      <c r="A10757" s="117">
        <v>44311</v>
      </c>
      <c r="B10757">
        <v>19.886500000000002</v>
      </c>
    </row>
    <row r="10758" spans="1:2">
      <c r="A10758" s="117">
        <v>44312</v>
      </c>
      <c r="B10758">
        <v>19.886500000000002</v>
      </c>
    </row>
    <row r="10759" spans="1:2">
      <c r="A10759" s="117">
        <v>44313</v>
      </c>
      <c r="B10759">
        <v>19.869499999999999</v>
      </c>
    </row>
    <row r="10760" spans="1:2">
      <c r="A10760" s="117">
        <v>44314</v>
      </c>
      <c r="B10760">
        <v>19.836200000000002</v>
      </c>
    </row>
    <row r="10761" spans="1:2">
      <c r="A10761" s="117">
        <v>44315</v>
      </c>
      <c r="B10761">
        <v>19.9785</v>
      </c>
    </row>
    <row r="10762" spans="1:2">
      <c r="A10762" s="117">
        <v>44316</v>
      </c>
      <c r="B10762">
        <v>19.9712</v>
      </c>
    </row>
    <row r="10763" spans="1:2">
      <c r="A10763" s="117">
        <v>44317</v>
      </c>
      <c r="B10763">
        <v>20.097799999999999</v>
      </c>
    </row>
    <row r="10764" spans="1:2">
      <c r="A10764" s="117">
        <v>44318</v>
      </c>
      <c r="B10764">
        <v>20.097799999999999</v>
      </c>
    </row>
    <row r="10765" spans="1:2">
      <c r="A10765" s="117">
        <v>44319</v>
      </c>
      <c r="B10765">
        <v>20.097799999999999</v>
      </c>
    </row>
    <row r="10766" spans="1:2">
      <c r="A10766" s="117">
        <v>44320</v>
      </c>
      <c r="B10766">
        <v>20.182200000000002</v>
      </c>
    </row>
    <row r="10767" spans="1:2">
      <c r="A10767" s="117">
        <v>44321</v>
      </c>
      <c r="B10767">
        <v>20.190200000000001</v>
      </c>
    </row>
    <row r="10768" spans="1:2">
      <c r="A10768" s="117">
        <v>44322</v>
      </c>
      <c r="B10768">
        <v>20.223500000000001</v>
      </c>
    </row>
    <row r="10769" spans="1:2">
      <c r="A10769" s="117">
        <v>44323</v>
      </c>
      <c r="B10769">
        <v>20.207699999999999</v>
      </c>
    </row>
    <row r="10770" spans="1:2">
      <c r="A10770" s="117">
        <v>44324</v>
      </c>
      <c r="B10770">
        <v>20.183800000000002</v>
      </c>
    </row>
    <row r="10771" spans="1:2">
      <c r="A10771" s="117">
        <v>44325</v>
      </c>
      <c r="B10771">
        <v>20.183800000000002</v>
      </c>
    </row>
    <row r="10772" spans="1:2">
      <c r="A10772" s="117">
        <v>44326</v>
      </c>
      <c r="B10772">
        <v>20.183800000000002</v>
      </c>
    </row>
    <row r="10773" spans="1:2">
      <c r="A10773" s="117">
        <v>44327</v>
      </c>
      <c r="B10773">
        <v>19.9223</v>
      </c>
    </row>
    <row r="10774" spans="1:2">
      <c r="A10774" s="117">
        <v>44328</v>
      </c>
      <c r="B10774">
        <v>19.885999999999999</v>
      </c>
    </row>
    <row r="10775" spans="1:2">
      <c r="A10775" s="117">
        <v>44329</v>
      </c>
      <c r="B10775">
        <v>19.884799999999998</v>
      </c>
    </row>
    <row r="10776" spans="1:2">
      <c r="A10776" s="117">
        <v>44330</v>
      </c>
      <c r="B10776">
        <v>20.094000000000001</v>
      </c>
    </row>
    <row r="10777" spans="1:2">
      <c r="A10777" s="117">
        <v>44331</v>
      </c>
      <c r="B10777">
        <v>20.049499999999998</v>
      </c>
    </row>
    <row r="10778" spans="1:2">
      <c r="A10778" s="117">
        <v>44332</v>
      </c>
      <c r="B10778">
        <v>20.049499999999998</v>
      </c>
    </row>
    <row r="10779" spans="1:2">
      <c r="A10779" s="117">
        <v>44333</v>
      </c>
      <c r="B10779">
        <v>20.049499999999998</v>
      </c>
    </row>
    <row r="10780" spans="1:2">
      <c r="A10780" s="117">
        <v>44334</v>
      </c>
      <c r="B10780">
        <v>19.848700000000001</v>
      </c>
    </row>
    <row r="10781" spans="1:2">
      <c r="A10781" s="117">
        <v>44335</v>
      </c>
      <c r="B10781">
        <v>19.802800000000001</v>
      </c>
    </row>
    <row r="10782" spans="1:2">
      <c r="A10782" s="117">
        <v>44336</v>
      </c>
      <c r="B10782">
        <v>19.831299999999999</v>
      </c>
    </row>
    <row r="10783" spans="1:2">
      <c r="A10783" s="117">
        <v>44337</v>
      </c>
      <c r="B10783">
        <v>19.814299999999999</v>
      </c>
    </row>
    <row r="10784" spans="1:2">
      <c r="A10784" s="117">
        <v>44338</v>
      </c>
      <c r="B10784">
        <v>19.881</v>
      </c>
    </row>
    <row r="10785" spans="1:2">
      <c r="A10785" s="117">
        <v>44339</v>
      </c>
      <c r="B10785">
        <v>19.881</v>
      </c>
    </row>
    <row r="10786" spans="1:2">
      <c r="A10786" s="117">
        <v>44340</v>
      </c>
      <c r="B10786">
        <v>19.881</v>
      </c>
    </row>
    <row r="10787" spans="1:2">
      <c r="A10787" s="117">
        <v>44341</v>
      </c>
      <c r="B10787">
        <v>19.951000000000001</v>
      </c>
    </row>
    <row r="10788" spans="1:2">
      <c r="A10788" s="117">
        <v>44342</v>
      </c>
      <c r="B10788">
        <v>19.872</v>
      </c>
    </row>
    <row r="10789" spans="1:2">
      <c r="A10789" s="117">
        <v>44343</v>
      </c>
      <c r="B10789">
        <v>19.8903</v>
      </c>
    </row>
    <row r="10790" spans="1:2">
      <c r="A10790" s="117">
        <v>44344</v>
      </c>
      <c r="B10790">
        <v>19.878299999999999</v>
      </c>
    </row>
    <row r="10791" spans="1:2">
      <c r="A10791" s="117">
        <v>44345</v>
      </c>
      <c r="B10791">
        <v>19.948699999999999</v>
      </c>
    </row>
    <row r="10792" spans="1:2">
      <c r="A10792" s="117">
        <v>44346</v>
      </c>
      <c r="B10792">
        <v>19.948699999999999</v>
      </c>
    </row>
    <row r="10793" spans="1:2">
      <c r="A10793" s="117">
        <v>44347</v>
      </c>
      <c r="B10793">
        <v>19.948699999999999</v>
      </c>
    </row>
    <row r="10794" spans="1:2">
      <c r="A10794" s="117">
        <v>44348</v>
      </c>
      <c r="B10794">
        <v>19.944199999999999</v>
      </c>
    </row>
    <row r="10795" spans="1:2">
      <c r="A10795" s="117">
        <v>44349</v>
      </c>
      <c r="B10795">
        <v>19.921299999999999</v>
      </c>
    </row>
    <row r="10796" spans="1:2">
      <c r="A10796" s="117">
        <v>44350</v>
      </c>
      <c r="B10796">
        <v>19.892700000000001</v>
      </c>
    </row>
    <row r="10797" spans="1:2">
      <c r="A10797" s="117">
        <v>44351</v>
      </c>
      <c r="B10797">
        <v>19.927700000000002</v>
      </c>
    </row>
    <row r="10798" spans="1:2">
      <c r="A10798" s="117">
        <v>44352</v>
      </c>
      <c r="B10798">
        <v>20.060500000000001</v>
      </c>
    </row>
    <row r="10799" spans="1:2">
      <c r="A10799" s="117">
        <v>44353</v>
      </c>
      <c r="B10799">
        <v>20.060500000000001</v>
      </c>
    </row>
    <row r="10800" spans="1:2">
      <c r="A10800" s="117">
        <v>44354</v>
      </c>
      <c r="B10800">
        <v>20.060500000000001</v>
      </c>
    </row>
    <row r="10801" spans="1:2">
      <c r="A10801" s="117">
        <v>44355</v>
      </c>
      <c r="B10801">
        <v>19.9328</v>
      </c>
    </row>
    <row r="10802" spans="1:2">
      <c r="A10802" s="117">
        <v>44356</v>
      </c>
      <c r="B10802">
        <v>19.797000000000001</v>
      </c>
    </row>
    <row r="10803" spans="1:2">
      <c r="A10803" s="117">
        <v>44357</v>
      </c>
      <c r="B10803">
        <v>19.7728</v>
      </c>
    </row>
    <row r="10804" spans="1:2">
      <c r="A10804" s="117">
        <v>44358</v>
      </c>
      <c r="B10804">
        <v>19.689699999999998</v>
      </c>
    </row>
    <row r="10805" spans="1:2">
      <c r="A10805" s="117">
        <v>44359</v>
      </c>
      <c r="B10805">
        <v>19.700199999999999</v>
      </c>
    </row>
    <row r="10806" spans="1:2">
      <c r="A10806" s="117">
        <v>44360</v>
      </c>
      <c r="B10806">
        <v>19.700199999999999</v>
      </c>
    </row>
    <row r="10807" spans="1:2">
      <c r="A10807" s="117">
        <v>44361</v>
      </c>
      <c r="B10807">
        <v>19.700199999999999</v>
      </c>
    </row>
    <row r="10808" spans="1:2">
      <c r="A10808" s="117">
        <v>44362</v>
      </c>
      <c r="B10808">
        <v>19.882300000000001</v>
      </c>
    </row>
    <row r="10809" spans="1:2">
      <c r="A10809" s="117">
        <v>44363</v>
      </c>
      <c r="B10809">
        <v>19.906500000000001</v>
      </c>
    </row>
    <row r="10810" spans="1:2">
      <c r="A10810" s="117">
        <v>44364</v>
      </c>
      <c r="B10810">
        <v>20.1235</v>
      </c>
    </row>
    <row r="10811" spans="1:2">
      <c r="A10811" s="117">
        <v>44365</v>
      </c>
      <c r="B10811">
        <v>20.058800000000002</v>
      </c>
    </row>
    <row r="10812" spans="1:2">
      <c r="A10812" s="117">
        <v>44366</v>
      </c>
      <c r="B10812">
        <v>20.429200000000002</v>
      </c>
    </row>
    <row r="10813" spans="1:2">
      <c r="A10813" s="117">
        <v>44367</v>
      </c>
      <c r="B10813">
        <v>20.429200000000002</v>
      </c>
    </row>
    <row r="10814" spans="1:2">
      <c r="A10814" s="117">
        <v>44368</v>
      </c>
      <c r="B10814">
        <v>20.429200000000002</v>
      </c>
    </row>
    <row r="10815" spans="1:2">
      <c r="A10815" s="117">
        <v>44369</v>
      </c>
      <c r="B10815">
        <v>20.700199999999999</v>
      </c>
    </row>
    <row r="10816" spans="1:2">
      <c r="A10816" s="117">
        <v>44370</v>
      </c>
      <c r="B10816">
        <v>20.6</v>
      </c>
    </row>
    <row r="10817" spans="1:2">
      <c r="A10817" s="117">
        <v>44371</v>
      </c>
      <c r="B10817">
        <v>20.571200000000001</v>
      </c>
    </row>
    <row r="10818" spans="1:2">
      <c r="A10818" s="117">
        <v>44372</v>
      </c>
      <c r="B10818">
        <v>20.250499999999999</v>
      </c>
    </row>
    <row r="10819" spans="1:2">
      <c r="A10819" s="117">
        <v>44373</v>
      </c>
      <c r="B10819">
        <v>20.048300000000001</v>
      </c>
    </row>
    <row r="10820" spans="1:2">
      <c r="A10820" s="117">
        <v>44374</v>
      </c>
      <c r="B10820">
        <v>20.048300000000001</v>
      </c>
    </row>
    <row r="10821" spans="1:2">
      <c r="A10821" s="117">
        <v>44375</v>
      </c>
      <c r="B10821">
        <v>20.048300000000001</v>
      </c>
    </row>
    <row r="10822" spans="1:2">
      <c r="A10822" s="117">
        <v>44376</v>
      </c>
      <c r="B10822">
        <v>19.792999999999999</v>
      </c>
    </row>
    <row r="10823" spans="1:2">
      <c r="A10823" s="117">
        <v>44377</v>
      </c>
      <c r="B10823">
        <v>19.802700000000002</v>
      </c>
    </row>
    <row r="10824" spans="1:2">
      <c r="A10824" s="117">
        <v>44378</v>
      </c>
      <c r="B10824">
        <v>19.8157</v>
      </c>
    </row>
    <row r="10825" spans="1:2">
      <c r="A10825" s="117">
        <v>44379</v>
      </c>
      <c r="B10825">
        <v>19.906199999999998</v>
      </c>
    </row>
    <row r="10826" spans="1:2">
      <c r="A10826" s="117">
        <v>44380</v>
      </c>
      <c r="B10826">
        <v>20.036799999999999</v>
      </c>
    </row>
    <row r="10827" spans="1:2">
      <c r="A10827" s="117">
        <v>44381</v>
      </c>
      <c r="B10827">
        <v>20.036799999999999</v>
      </c>
    </row>
    <row r="10828" spans="1:2">
      <c r="A10828" s="117">
        <v>44382</v>
      </c>
      <c r="B10828">
        <v>20.036799999999999</v>
      </c>
    </row>
    <row r="10829" spans="1:2">
      <c r="A10829" s="117">
        <v>44383</v>
      </c>
      <c r="B10829">
        <v>19.881699999999999</v>
      </c>
    </row>
    <row r="10830" spans="1:2">
      <c r="A10830" s="117">
        <v>44384</v>
      </c>
      <c r="B10830">
        <v>19.853200000000001</v>
      </c>
    </row>
    <row r="10831" spans="1:2">
      <c r="A10831" s="117">
        <v>44385</v>
      </c>
      <c r="B10831">
        <v>19.965800000000002</v>
      </c>
    </row>
    <row r="10832" spans="1:2">
      <c r="A10832" s="117">
        <v>44386</v>
      </c>
      <c r="B10832">
        <v>19.991499999999998</v>
      </c>
    </row>
    <row r="10833" spans="1:2">
      <c r="A10833" s="117">
        <v>44387</v>
      </c>
      <c r="B10833">
        <v>20.007000000000001</v>
      </c>
    </row>
    <row r="10834" spans="1:2">
      <c r="A10834" s="117">
        <v>44388</v>
      </c>
      <c r="B10834">
        <v>20.007000000000001</v>
      </c>
    </row>
    <row r="10835" spans="1:2">
      <c r="A10835" s="117">
        <v>44389</v>
      </c>
      <c r="B10835">
        <v>20.007000000000001</v>
      </c>
    </row>
    <row r="10836" spans="1:2">
      <c r="A10836" s="117">
        <v>44390</v>
      </c>
      <c r="B10836">
        <v>19.88</v>
      </c>
    </row>
    <row r="10837" spans="1:2">
      <c r="A10837" s="117">
        <v>44391</v>
      </c>
      <c r="B10837">
        <v>19.857700000000001</v>
      </c>
    </row>
    <row r="10838" spans="1:2">
      <c r="A10838" s="117">
        <v>44392</v>
      </c>
      <c r="B10838">
        <v>19.998799999999999</v>
      </c>
    </row>
    <row r="10839" spans="1:2">
      <c r="A10839" s="117">
        <v>44393</v>
      </c>
      <c r="B10839">
        <v>19.8992</v>
      </c>
    </row>
    <row r="10840" spans="1:2">
      <c r="A10840" s="117">
        <v>44394</v>
      </c>
      <c r="B10840">
        <v>19.941199999999998</v>
      </c>
    </row>
    <row r="10841" spans="1:2">
      <c r="A10841" s="117">
        <v>44395</v>
      </c>
      <c r="B10841">
        <v>19.941199999999998</v>
      </c>
    </row>
    <row r="10842" spans="1:2">
      <c r="A10842" s="117">
        <v>44396</v>
      </c>
      <c r="B10842">
        <v>19.941199999999998</v>
      </c>
    </row>
    <row r="10843" spans="1:2">
      <c r="A10843" s="117">
        <v>44397</v>
      </c>
      <c r="B10843">
        <v>19.8537</v>
      </c>
    </row>
    <row r="10844" spans="1:2">
      <c r="A10844" s="117">
        <v>44398</v>
      </c>
      <c r="B10844">
        <v>20</v>
      </c>
    </row>
    <row r="10845" spans="1:2">
      <c r="A10845" s="117">
        <v>44399</v>
      </c>
      <c r="B10845">
        <v>20.134799999999998</v>
      </c>
    </row>
    <row r="10846" spans="1:2">
      <c r="A10846" s="117">
        <v>44400</v>
      </c>
      <c r="B10846">
        <v>20.1907</v>
      </c>
    </row>
    <row r="10847" spans="1:2">
      <c r="A10847" s="117">
        <v>44401</v>
      </c>
      <c r="B10847">
        <v>20.1812</v>
      </c>
    </row>
    <row r="10848" spans="1:2">
      <c r="A10848" s="117">
        <v>44402</v>
      </c>
      <c r="B10848">
        <v>20.1812</v>
      </c>
    </row>
    <row r="10849" spans="1:2">
      <c r="A10849" s="117">
        <v>44403</v>
      </c>
      <c r="B10849">
        <v>20.1812</v>
      </c>
    </row>
    <row r="10850" spans="1:2">
      <c r="A10850" s="117">
        <v>44404</v>
      </c>
      <c r="B10850">
        <v>20.023800000000001</v>
      </c>
    </row>
    <row r="10851" spans="1:2">
      <c r="A10851" s="117">
        <v>44405</v>
      </c>
      <c r="B10851">
        <v>20.0245</v>
      </c>
    </row>
    <row r="10852" spans="1:2">
      <c r="A10852" s="117">
        <v>44406</v>
      </c>
      <c r="B10852">
        <v>19.977</v>
      </c>
    </row>
    <row r="10853" spans="1:2">
      <c r="A10853" s="117">
        <v>44407</v>
      </c>
      <c r="B10853">
        <v>19.953499999999998</v>
      </c>
    </row>
    <row r="10854" spans="1:2">
      <c r="A10854" s="117">
        <v>44408</v>
      </c>
      <c r="B10854">
        <v>19.844799999999999</v>
      </c>
    </row>
    <row r="10855" spans="1:2">
      <c r="A10855" s="117">
        <v>44409</v>
      </c>
      <c r="B10855">
        <v>19.844799999999999</v>
      </c>
    </row>
    <row r="10856" spans="1:2">
      <c r="A10856" s="117">
        <v>44410</v>
      </c>
      <c r="B10856">
        <v>19.844799999999999</v>
      </c>
    </row>
    <row r="10857" spans="1:2">
      <c r="A10857" s="117">
        <v>44411</v>
      </c>
      <c r="B10857">
        <v>19.845500000000001</v>
      </c>
    </row>
    <row r="10858" spans="1:2">
      <c r="A10858" s="117">
        <v>44412</v>
      </c>
      <c r="B10858">
        <v>19.852</v>
      </c>
    </row>
    <row r="10859" spans="1:2">
      <c r="A10859" s="117">
        <v>44413</v>
      </c>
      <c r="B10859">
        <v>19.891999999999999</v>
      </c>
    </row>
    <row r="10860" spans="1:2">
      <c r="A10860" s="117">
        <v>44414</v>
      </c>
      <c r="B10860">
        <v>19.954699999999999</v>
      </c>
    </row>
    <row r="10861" spans="1:2">
      <c r="A10861" s="117">
        <v>44415</v>
      </c>
      <c r="B10861">
        <v>19.929300000000001</v>
      </c>
    </row>
    <row r="10862" spans="1:2">
      <c r="A10862" s="117">
        <v>44416</v>
      </c>
      <c r="B10862">
        <v>19.929300000000001</v>
      </c>
    </row>
    <row r="10863" spans="1:2">
      <c r="A10863" s="117">
        <v>44417</v>
      </c>
      <c r="B10863">
        <v>19.929300000000001</v>
      </c>
    </row>
    <row r="10864" spans="1:2">
      <c r="A10864" s="117">
        <v>44418</v>
      </c>
      <c r="B10864">
        <v>20.003699999999998</v>
      </c>
    </row>
    <row r="10865" spans="1:2">
      <c r="A10865" s="117">
        <v>44419</v>
      </c>
      <c r="B10865">
        <v>20.064800000000002</v>
      </c>
    </row>
    <row r="10866" spans="1:2">
      <c r="A10866" s="117">
        <v>44420</v>
      </c>
      <c r="B10866">
        <v>20.1038</v>
      </c>
    </row>
    <row r="10867" spans="1:2">
      <c r="A10867" s="117">
        <v>44421</v>
      </c>
      <c r="B10867">
        <v>19.952999999999999</v>
      </c>
    </row>
    <row r="10868" spans="1:2">
      <c r="A10868" s="117">
        <v>44422</v>
      </c>
      <c r="B10868">
        <v>19.890699999999999</v>
      </c>
    </row>
    <row r="10869" spans="1:2">
      <c r="A10869" s="117">
        <v>44423</v>
      </c>
      <c r="B10869">
        <v>19.890699999999999</v>
      </c>
    </row>
    <row r="10870" spans="1:2">
      <c r="A10870" s="117">
        <v>44424</v>
      </c>
      <c r="B10870">
        <v>19.890699999999999</v>
      </c>
    </row>
    <row r="10871" spans="1:2">
      <c r="A10871" s="117">
        <v>44425</v>
      </c>
      <c r="B10871">
        <v>19.860299999999999</v>
      </c>
    </row>
    <row r="10872" spans="1:2">
      <c r="A10872" s="117">
        <v>44426</v>
      </c>
      <c r="B10872">
        <v>19.886299999999999</v>
      </c>
    </row>
    <row r="10873" spans="1:2">
      <c r="A10873" s="117">
        <v>44427</v>
      </c>
      <c r="B10873">
        <v>19.991199999999999</v>
      </c>
    </row>
    <row r="10874" spans="1:2">
      <c r="A10874" s="117">
        <v>44428</v>
      </c>
      <c r="B10874">
        <v>20.0107</v>
      </c>
    </row>
    <row r="10875" spans="1:2">
      <c r="A10875" s="117">
        <v>44429</v>
      </c>
      <c r="B10875">
        <v>20.1175</v>
      </c>
    </row>
    <row r="10876" spans="1:2">
      <c r="A10876" s="117">
        <v>44430</v>
      </c>
      <c r="B10876">
        <v>20.1175</v>
      </c>
    </row>
    <row r="10877" spans="1:2">
      <c r="A10877" s="117">
        <v>44431</v>
      </c>
      <c r="B10877">
        <v>20.1175</v>
      </c>
    </row>
    <row r="10878" spans="1:2">
      <c r="A10878" s="117">
        <v>44432</v>
      </c>
      <c r="B10878">
        <v>20.402000000000001</v>
      </c>
    </row>
    <row r="10879" spans="1:2">
      <c r="A10879" s="117">
        <v>44433</v>
      </c>
      <c r="B10879">
        <v>20.390699999999999</v>
      </c>
    </row>
    <row r="10880" spans="1:2">
      <c r="A10880" s="117">
        <v>44434</v>
      </c>
      <c r="B10880">
        <v>20.296700000000001</v>
      </c>
    </row>
    <row r="10881" spans="1:2">
      <c r="A10881" s="117">
        <v>44435</v>
      </c>
      <c r="B10881">
        <v>20.293299999999999</v>
      </c>
    </row>
    <row r="10882" spans="1:2">
      <c r="A10882" s="117">
        <v>44436</v>
      </c>
      <c r="B10882">
        <v>20.3522</v>
      </c>
    </row>
    <row r="10883" spans="1:2">
      <c r="A10883" s="117">
        <v>44437</v>
      </c>
      <c r="B10883">
        <v>20.3522</v>
      </c>
    </row>
    <row r="10884" spans="1:2">
      <c r="A10884" s="117">
        <v>44438</v>
      </c>
      <c r="B10884">
        <v>20.3522</v>
      </c>
    </row>
    <row r="10885" spans="1:2">
      <c r="A10885" s="117">
        <v>44439</v>
      </c>
      <c r="B10885">
        <v>20.229299999999999</v>
      </c>
    </row>
    <row r="10886" spans="1:2">
      <c r="A10886" s="117">
        <v>44440</v>
      </c>
      <c r="B10886">
        <v>20.1403</v>
      </c>
    </row>
    <row r="10887" spans="1:2">
      <c r="A10887" s="117">
        <v>44441</v>
      </c>
      <c r="B10887">
        <v>20.060500000000001</v>
      </c>
    </row>
    <row r="10888" spans="1:2">
      <c r="A10888" s="117">
        <v>44442</v>
      </c>
      <c r="B10888">
        <v>19.961500000000001</v>
      </c>
    </row>
    <row r="10889" spans="1:2">
      <c r="A10889" s="117">
        <v>44443</v>
      </c>
      <c r="B10889">
        <v>19.970300000000002</v>
      </c>
    </row>
    <row r="10890" spans="1:2">
      <c r="A10890" s="117">
        <v>44444</v>
      </c>
      <c r="B10890">
        <v>19.970300000000002</v>
      </c>
    </row>
    <row r="10891" spans="1:2">
      <c r="A10891" s="117">
        <v>44445</v>
      </c>
      <c r="B10891">
        <v>19.970300000000002</v>
      </c>
    </row>
    <row r="10892" spans="1:2">
      <c r="A10892" s="117">
        <v>44446</v>
      </c>
      <c r="B10892">
        <v>19.8992</v>
      </c>
    </row>
    <row r="10893" spans="1:2">
      <c r="A10893" s="117">
        <v>44447</v>
      </c>
      <c r="B10893">
        <v>19.887799999999999</v>
      </c>
    </row>
    <row r="10894" spans="1:2">
      <c r="A10894" s="117">
        <v>44448</v>
      </c>
      <c r="B10894">
        <v>19.943999999999999</v>
      </c>
    </row>
    <row r="10895" spans="1:2">
      <c r="A10895" s="117">
        <v>44449</v>
      </c>
      <c r="B10895">
        <v>19.938300000000002</v>
      </c>
    </row>
    <row r="10896" spans="1:2">
      <c r="A10896" s="117">
        <v>44450</v>
      </c>
      <c r="B10896">
        <v>19.931799999999999</v>
      </c>
    </row>
    <row r="10897" spans="1:2">
      <c r="A10897" s="117">
        <v>44451</v>
      </c>
      <c r="B10897">
        <v>19.931799999999999</v>
      </c>
    </row>
    <row r="10898" spans="1:2">
      <c r="A10898" s="117">
        <v>44452</v>
      </c>
      <c r="B10898">
        <v>19.931799999999999</v>
      </c>
    </row>
    <row r="10899" spans="1:2">
      <c r="A10899" s="117">
        <v>44453</v>
      </c>
      <c r="B10899">
        <v>19.871700000000001</v>
      </c>
    </row>
    <row r="10900" spans="1:2">
      <c r="A10900" s="117">
        <v>44454</v>
      </c>
      <c r="B10900">
        <v>19.867699999999999</v>
      </c>
    </row>
    <row r="10901" spans="1:2">
      <c r="A10901" s="117">
        <v>44455</v>
      </c>
      <c r="B10901">
        <v>19.903500000000001</v>
      </c>
    </row>
    <row r="10902" spans="1:2">
      <c r="A10902" s="117">
        <v>44456</v>
      </c>
      <c r="B10902">
        <v>19.903500000000001</v>
      </c>
    </row>
    <row r="10903" spans="1:2">
      <c r="A10903" s="117">
        <v>44457</v>
      </c>
      <c r="B10903">
        <v>19.900300000000001</v>
      </c>
    </row>
    <row r="10904" spans="1:2">
      <c r="A10904" s="117">
        <v>44458</v>
      </c>
      <c r="B10904">
        <v>19.900300000000001</v>
      </c>
    </row>
    <row r="10905" spans="1:2">
      <c r="A10905" s="117">
        <v>44459</v>
      </c>
      <c r="B10905">
        <v>19.900300000000001</v>
      </c>
    </row>
    <row r="10906" spans="1:2">
      <c r="A10906" s="117">
        <v>44460</v>
      </c>
      <c r="B10906">
        <v>19.985299999999999</v>
      </c>
    </row>
    <row r="10907" spans="1:2">
      <c r="A10907" s="117">
        <v>44461</v>
      </c>
      <c r="B10907">
        <v>20.173500000000001</v>
      </c>
    </row>
    <row r="10908" spans="1:2">
      <c r="A10908" s="117">
        <v>44462</v>
      </c>
      <c r="B10908">
        <v>20.143799999999999</v>
      </c>
    </row>
    <row r="10909" spans="1:2">
      <c r="A10909" s="117">
        <v>44463</v>
      </c>
      <c r="B10909">
        <v>20.032800000000002</v>
      </c>
    </row>
    <row r="10910" spans="1:2">
      <c r="A10910" s="117">
        <v>44464</v>
      </c>
      <c r="B10910">
        <v>20.027999999999999</v>
      </c>
    </row>
    <row r="10911" spans="1:2">
      <c r="A10911" s="117">
        <v>44465</v>
      </c>
      <c r="B10911">
        <v>20.027999999999999</v>
      </c>
    </row>
    <row r="10912" spans="1:2">
      <c r="A10912" s="117">
        <v>44466</v>
      </c>
      <c r="B10912">
        <v>20.027999999999999</v>
      </c>
    </row>
    <row r="10913" spans="1:2">
      <c r="A10913" s="117">
        <v>44467</v>
      </c>
      <c r="B10913">
        <v>20.111799999999999</v>
      </c>
    </row>
    <row r="10914" spans="1:2">
      <c r="A10914" s="117">
        <v>44468</v>
      </c>
      <c r="B10914">
        <v>20.1052</v>
      </c>
    </row>
    <row r="10915" spans="1:2">
      <c r="A10915" s="117">
        <v>44469</v>
      </c>
      <c r="B10915">
        <v>20.306000000000001</v>
      </c>
    </row>
    <row r="10916" spans="1:2">
      <c r="A10916" s="117">
        <v>44470</v>
      </c>
      <c r="B10916">
        <v>20.497699999999998</v>
      </c>
    </row>
    <row r="10917" spans="1:2">
      <c r="A10917" s="117">
        <v>44471</v>
      </c>
      <c r="B10917">
        <v>20.5623</v>
      </c>
    </row>
    <row r="10918" spans="1:2">
      <c r="A10918" s="117">
        <v>44472</v>
      </c>
      <c r="B10918">
        <v>20.5623</v>
      </c>
    </row>
    <row r="10919" spans="1:2">
      <c r="A10919" s="117">
        <v>44473</v>
      </c>
      <c r="B10919">
        <v>20.5623</v>
      </c>
    </row>
    <row r="10920" spans="1:2">
      <c r="A10920" s="117">
        <v>44474</v>
      </c>
      <c r="B10920">
        <v>20.510300000000001</v>
      </c>
    </row>
    <row r="10921" spans="1:2">
      <c r="A10921" s="117">
        <v>44475</v>
      </c>
      <c r="B10921">
        <v>20.5747</v>
      </c>
    </row>
    <row r="10922" spans="1:2">
      <c r="A10922" s="117">
        <v>44476</v>
      </c>
      <c r="B10922">
        <v>20.581800000000001</v>
      </c>
    </row>
    <row r="10923" spans="1:2">
      <c r="A10923" s="117">
        <v>44477</v>
      </c>
      <c r="B10923">
        <v>20.694700000000001</v>
      </c>
    </row>
    <row r="10924" spans="1:2">
      <c r="A10924" s="117">
        <v>44478</v>
      </c>
      <c r="B10924">
        <v>20.603999999999999</v>
      </c>
    </row>
    <row r="10925" spans="1:2">
      <c r="A10925" s="117">
        <v>44479</v>
      </c>
      <c r="B10925">
        <v>20.603999999999999</v>
      </c>
    </row>
    <row r="10926" spans="1:2">
      <c r="A10926" s="117">
        <v>44480</v>
      </c>
      <c r="B10926">
        <v>20.603999999999999</v>
      </c>
    </row>
    <row r="10927" spans="1:2">
      <c r="A10927" s="117">
        <v>44481</v>
      </c>
      <c r="B10927">
        <v>20.729299999999999</v>
      </c>
    </row>
    <row r="10928" spans="1:2">
      <c r="A10928" s="117">
        <v>44482</v>
      </c>
      <c r="B10928">
        <v>20.8017</v>
      </c>
    </row>
    <row r="10929" spans="1:2">
      <c r="A10929" s="117">
        <v>44483</v>
      </c>
      <c r="B10929">
        <v>20.776700000000002</v>
      </c>
    </row>
    <row r="10930" spans="1:2">
      <c r="A10930" s="117">
        <v>44484</v>
      </c>
      <c r="B10930">
        <v>20.682700000000001</v>
      </c>
    </row>
    <row r="10931" spans="1:2">
      <c r="A10931" s="117">
        <v>44485</v>
      </c>
      <c r="B10931">
        <v>20.607500000000002</v>
      </c>
    </row>
    <row r="10932" spans="1:2">
      <c r="A10932" s="117">
        <v>44486</v>
      </c>
      <c r="B10932">
        <v>20.607500000000002</v>
      </c>
    </row>
    <row r="10933" spans="1:2">
      <c r="A10933" s="117">
        <v>44487</v>
      </c>
      <c r="B10933">
        <v>20.607500000000002</v>
      </c>
    </row>
    <row r="10934" spans="1:2">
      <c r="A10934" s="117">
        <v>44488</v>
      </c>
      <c r="B10934">
        <v>20.467199999999998</v>
      </c>
    </row>
    <row r="10935" spans="1:2">
      <c r="A10935" s="117">
        <v>44489</v>
      </c>
      <c r="B10935">
        <v>20.358699999999999</v>
      </c>
    </row>
    <row r="10936" spans="1:2">
      <c r="A10936" s="117">
        <v>44490</v>
      </c>
      <c r="B10936">
        <v>20.264700000000001</v>
      </c>
    </row>
    <row r="10937" spans="1:2">
      <c r="A10937" s="117">
        <v>44491</v>
      </c>
      <c r="B10937">
        <v>20.184999999999999</v>
      </c>
    </row>
    <row r="10938" spans="1:2">
      <c r="A10938" s="117">
        <v>44492</v>
      </c>
      <c r="B10938">
        <v>20.264299999999999</v>
      </c>
    </row>
    <row r="10939" spans="1:2">
      <c r="A10939" s="117">
        <v>44493</v>
      </c>
      <c r="B10939">
        <v>20.264299999999999</v>
      </c>
    </row>
    <row r="10940" spans="1:2">
      <c r="A10940" s="117">
        <v>44494</v>
      </c>
      <c r="B10940">
        <v>20.264299999999999</v>
      </c>
    </row>
    <row r="10941" spans="1:2">
      <c r="A10941" s="117">
        <v>44495</v>
      </c>
      <c r="B10941">
        <v>20.183700000000002</v>
      </c>
    </row>
    <row r="10942" spans="1:2">
      <c r="A10942" s="117">
        <v>44496</v>
      </c>
      <c r="B10942">
        <v>20.189699999999998</v>
      </c>
    </row>
    <row r="10943" spans="1:2">
      <c r="A10943" s="117">
        <v>44497</v>
      </c>
      <c r="B10943">
        <v>20.188800000000001</v>
      </c>
    </row>
    <row r="10944" spans="1:2">
      <c r="A10944" s="117">
        <v>44498</v>
      </c>
      <c r="B10944">
        <v>20.193000000000001</v>
      </c>
    </row>
    <row r="10945" spans="1:2">
      <c r="A10945" s="117">
        <v>44499</v>
      </c>
      <c r="B10945">
        <v>20.325500000000002</v>
      </c>
    </row>
    <row r="10946" spans="1:2">
      <c r="A10946" s="117">
        <v>44500</v>
      </c>
      <c r="B10946">
        <v>20.325500000000002</v>
      </c>
    </row>
    <row r="10947" spans="1:2">
      <c r="A10947" s="117">
        <v>44501</v>
      </c>
      <c r="B10947">
        <v>20.325500000000002</v>
      </c>
    </row>
    <row r="10948" spans="1:2">
      <c r="A10948" s="117">
        <v>44502</v>
      </c>
      <c r="B10948">
        <v>20.529699999999998</v>
      </c>
    </row>
    <row r="10949" spans="1:2">
      <c r="A10949" s="117">
        <v>44503</v>
      </c>
      <c r="B10949">
        <v>20.529699999999998</v>
      </c>
    </row>
    <row r="10950" spans="1:2">
      <c r="A10950" s="117">
        <v>44504</v>
      </c>
      <c r="B10950">
        <v>20.8598</v>
      </c>
    </row>
    <row r="10951" spans="1:2">
      <c r="A10951" s="117">
        <v>44505</v>
      </c>
      <c r="B10951">
        <v>20.8352</v>
      </c>
    </row>
    <row r="10952" spans="1:2">
      <c r="A10952" s="117">
        <v>44506</v>
      </c>
      <c r="B10952">
        <v>20.624199999999998</v>
      </c>
    </row>
    <row r="10953" spans="1:2">
      <c r="A10953" s="117">
        <v>44507</v>
      </c>
      <c r="B10953">
        <v>20.624199999999998</v>
      </c>
    </row>
    <row r="10954" spans="1:2">
      <c r="A10954" s="117">
        <v>44508</v>
      </c>
      <c r="B10954">
        <v>20.624199999999998</v>
      </c>
    </row>
    <row r="10955" spans="1:2">
      <c r="A10955" s="117">
        <v>44509</v>
      </c>
      <c r="B10955">
        <v>20.392499999999998</v>
      </c>
    </row>
    <row r="10956" spans="1:2">
      <c r="A10956" s="117">
        <v>44510</v>
      </c>
      <c r="B10956">
        <v>20.326499999999999</v>
      </c>
    </row>
    <row r="10957" spans="1:2">
      <c r="A10957" s="117">
        <v>44511</v>
      </c>
      <c r="B10957">
        <v>20.283300000000001</v>
      </c>
    </row>
    <row r="10958" spans="1:2">
      <c r="A10958" s="117">
        <v>44512</v>
      </c>
      <c r="B10958">
        <v>20.470199999999998</v>
      </c>
    </row>
    <row r="10959" spans="1:2">
      <c r="A10959" s="117">
        <v>44513</v>
      </c>
      <c r="B10959">
        <v>20.465199999999999</v>
      </c>
    </row>
    <row r="10960" spans="1:2">
      <c r="A10960" s="117">
        <v>44514</v>
      </c>
      <c r="B10960">
        <v>20.465199999999999</v>
      </c>
    </row>
    <row r="10961" spans="1:2">
      <c r="A10961" s="117">
        <v>44515</v>
      </c>
      <c r="B10961">
        <v>20.465199999999999</v>
      </c>
    </row>
    <row r="10962" spans="1:2">
      <c r="A10962" s="117">
        <v>44516</v>
      </c>
      <c r="B10962">
        <v>20.465199999999999</v>
      </c>
    </row>
    <row r="10963" spans="1:2">
      <c r="A10963" s="117">
        <v>44517</v>
      </c>
      <c r="B10963">
        <v>20.507200000000001</v>
      </c>
    </row>
    <row r="10964" spans="1:2">
      <c r="A10964" s="117">
        <v>44518</v>
      </c>
      <c r="B10964">
        <v>20.809200000000001</v>
      </c>
    </row>
    <row r="10965" spans="1:2">
      <c r="A10965" s="117">
        <v>44519</v>
      </c>
      <c r="B10965">
        <v>20.691199999999998</v>
      </c>
    </row>
    <row r="10966" spans="1:2">
      <c r="A10966" s="117">
        <v>44520</v>
      </c>
      <c r="B10966">
        <v>20.762799999999999</v>
      </c>
    </row>
    <row r="10967" spans="1:2">
      <c r="A10967" s="117">
        <v>44521</v>
      </c>
      <c r="B10967">
        <v>20.762799999999999</v>
      </c>
    </row>
    <row r="10968" spans="1:2">
      <c r="A10968" s="117">
        <v>44522</v>
      </c>
      <c r="B10968">
        <v>20.762799999999999</v>
      </c>
    </row>
    <row r="10969" spans="1:2">
      <c r="A10969" s="117">
        <v>44523</v>
      </c>
      <c r="B10969">
        <v>20.828299999999999</v>
      </c>
    </row>
    <row r="10970" spans="1:2">
      <c r="A10970" s="117">
        <v>44524</v>
      </c>
      <c r="B10970">
        <v>20.963200000000001</v>
      </c>
    </row>
    <row r="10971" spans="1:2">
      <c r="A10971" s="117">
        <v>44525</v>
      </c>
      <c r="B10971">
        <v>21.210699999999999</v>
      </c>
    </row>
    <row r="10972" spans="1:2">
      <c r="A10972" s="117">
        <v>44526</v>
      </c>
      <c r="B10972">
        <v>21.435700000000001</v>
      </c>
    </row>
    <row r="10973" spans="1:2">
      <c r="A10973" s="117">
        <v>44527</v>
      </c>
      <c r="B10973">
        <v>21.546199999999999</v>
      </c>
    </row>
    <row r="10974" spans="1:2">
      <c r="A10974" s="117">
        <v>44528</v>
      </c>
      <c r="B10974">
        <v>21.546199999999999</v>
      </c>
    </row>
    <row r="10975" spans="1:2">
      <c r="A10975" s="117">
        <v>44529</v>
      </c>
      <c r="B10975">
        <v>21.546199999999999</v>
      </c>
    </row>
    <row r="10976" spans="1:2">
      <c r="A10976" s="117">
        <v>44530</v>
      </c>
      <c r="B10976">
        <v>21.8185</v>
      </c>
    </row>
    <row r="10977" spans="1:2">
      <c r="A10977" s="117">
        <v>44531</v>
      </c>
      <c r="B10977">
        <v>21.7333</v>
      </c>
    </row>
    <row r="10978" spans="1:2">
      <c r="A10978" s="117">
        <v>44532</v>
      </c>
      <c r="B10978">
        <v>21.4453</v>
      </c>
    </row>
    <row r="10979" spans="1:2">
      <c r="A10979" s="117">
        <v>44533</v>
      </c>
      <c r="B10979">
        <v>21.271000000000001</v>
      </c>
    </row>
    <row r="10980" spans="1:2">
      <c r="A10980" s="117">
        <v>44534</v>
      </c>
      <c r="B10980">
        <v>21.3033</v>
      </c>
    </row>
    <row r="10981" spans="1:2">
      <c r="A10981" s="117">
        <v>44535</v>
      </c>
      <c r="B10981">
        <v>21.3033</v>
      </c>
    </row>
    <row r="10982" spans="1:2">
      <c r="A10982" s="117">
        <v>44536</v>
      </c>
      <c r="B10982">
        <v>21.3033</v>
      </c>
    </row>
    <row r="10983" spans="1:2">
      <c r="A10983" s="117">
        <v>44537</v>
      </c>
      <c r="B10983">
        <v>21.4177</v>
      </c>
    </row>
    <row r="10984" spans="1:2">
      <c r="A10984" s="117">
        <v>44538</v>
      </c>
      <c r="B10984">
        <v>21.204699999999999</v>
      </c>
    </row>
    <row r="10985" spans="1:2">
      <c r="A10985" s="117">
        <v>44539</v>
      </c>
      <c r="B10985">
        <v>21.090699999999998</v>
      </c>
    </row>
    <row r="10986" spans="1:2">
      <c r="A10986" s="117">
        <v>44540</v>
      </c>
      <c r="B10986">
        <v>20.933</v>
      </c>
    </row>
    <row r="10987" spans="1:2">
      <c r="A10987" s="117">
        <v>44541</v>
      </c>
      <c r="B10987">
        <v>21.032800000000002</v>
      </c>
    </row>
    <row r="10988" spans="1:2">
      <c r="A10988" s="117">
        <v>44542</v>
      </c>
      <c r="B10988">
        <v>21.032800000000002</v>
      </c>
    </row>
    <row r="10989" spans="1:2">
      <c r="A10989" s="117">
        <v>44543</v>
      </c>
      <c r="B10989">
        <v>21.032800000000002</v>
      </c>
    </row>
    <row r="10990" spans="1:2">
      <c r="A10990" s="117">
        <v>44544</v>
      </c>
      <c r="B10990">
        <v>20.892199999999999</v>
      </c>
    </row>
    <row r="10991" spans="1:2">
      <c r="A10991" s="117">
        <v>44545</v>
      </c>
      <c r="B10991">
        <v>20.938300000000002</v>
      </c>
    </row>
    <row r="10992" spans="1:2">
      <c r="A10992" s="117">
        <v>44546</v>
      </c>
      <c r="B10992">
        <v>21.164999999999999</v>
      </c>
    </row>
    <row r="10993" spans="1:2">
      <c r="A10993" s="117">
        <v>44547</v>
      </c>
      <c r="B10993">
        <v>21.2393</v>
      </c>
    </row>
    <row r="10994" spans="1:2">
      <c r="A10994" s="117">
        <v>44548</v>
      </c>
      <c r="B10994">
        <v>20.9238</v>
      </c>
    </row>
    <row r="10995" spans="1:2">
      <c r="A10995" s="117">
        <v>44549</v>
      </c>
      <c r="B10995">
        <v>20.9238</v>
      </c>
    </row>
    <row r="10996" spans="1:2">
      <c r="A10996" s="117">
        <v>44550</v>
      </c>
      <c r="B10996">
        <v>20.9238</v>
      </c>
    </row>
    <row r="10997" spans="1:2">
      <c r="A10997" s="117">
        <v>44551</v>
      </c>
      <c r="B10997">
        <v>20.733699999999999</v>
      </c>
    </row>
    <row r="10998" spans="1:2">
      <c r="A10998" s="117">
        <v>44552</v>
      </c>
      <c r="B10998">
        <v>20.7363</v>
      </c>
    </row>
    <row r="10999" spans="1:2">
      <c r="A10999" s="117">
        <v>44553</v>
      </c>
      <c r="B10999">
        <v>20.782299999999999</v>
      </c>
    </row>
    <row r="11000" spans="1:2">
      <c r="A11000" s="117">
        <v>44554</v>
      </c>
      <c r="B11000">
        <v>20.752700000000001</v>
      </c>
    </row>
    <row r="11001" spans="1:2">
      <c r="A11001" s="117">
        <v>44555</v>
      </c>
      <c r="B11001">
        <v>20.658200000000001</v>
      </c>
    </row>
    <row r="11002" spans="1:2">
      <c r="A11002" s="117">
        <v>44556</v>
      </c>
      <c r="B11002">
        <v>20.658200000000001</v>
      </c>
    </row>
    <row r="11003" spans="1:2">
      <c r="A11003" s="117">
        <v>44557</v>
      </c>
      <c r="B11003">
        <v>20.658200000000001</v>
      </c>
    </row>
    <row r="11004" spans="1:2">
      <c r="A11004" s="117">
        <v>44558</v>
      </c>
      <c r="B11004">
        <v>20.6112</v>
      </c>
    </row>
    <row r="11005" spans="1:2">
      <c r="A11005" s="117">
        <v>44559</v>
      </c>
      <c r="B11005">
        <v>20.6828</v>
      </c>
    </row>
    <row r="11006" spans="1:2">
      <c r="A11006" s="117">
        <v>44560</v>
      </c>
      <c r="B11006">
        <v>20.577000000000002</v>
      </c>
    </row>
    <row r="11007" spans="1:2">
      <c r="A11007" s="117">
        <v>44561</v>
      </c>
      <c r="B11007">
        <v>20.583500000000001</v>
      </c>
    </row>
    <row r="11008" spans="1:2">
      <c r="A11008" s="117">
        <v>44562</v>
      </c>
      <c r="B11008">
        <v>20.515699999999999</v>
      </c>
    </row>
    <row r="11009" spans="1:2">
      <c r="A11009" s="117">
        <v>44563</v>
      </c>
      <c r="B11009">
        <v>20.515699999999999</v>
      </c>
    </row>
    <row r="11010" spans="1:2">
      <c r="A11010" s="117">
        <v>44564</v>
      </c>
      <c r="B11010">
        <v>20.515699999999999</v>
      </c>
    </row>
    <row r="11011" spans="1:2">
      <c r="A11011" s="117">
        <v>44565</v>
      </c>
      <c r="B11011">
        <v>20.467199999999998</v>
      </c>
    </row>
    <row r="11012" spans="1:2">
      <c r="A11012" s="117">
        <v>44566</v>
      </c>
      <c r="B11012">
        <v>20.588999999999999</v>
      </c>
    </row>
    <row r="11013" spans="1:2">
      <c r="A11013" s="117">
        <v>44567</v>
      </c>
      <c r="B11013">
        <v>20.4742</v>
      </c>
    </row>
    <row r="11014" spans="1:2">
      <c r="A11014" s="117">
        <v>44568</v>
      </c>
      <c r="B11014">
        <v>20.3977</v>
      </c>
    </row>
    <row r="11015" spans="1:2">
      <c r="A11015" s="117">
        <v>44569</v>
      </c>
      <c r="B11015">
        <v>20.4588</v>
      </c>
    </row>
    <row r="11016" spans="1:2">
      <c r="A11016" s="117">
        <v>44570</v>
      </c>
      <c r="B11016">
        <v>20.4588</v>
      </c>
    </row>
    <row r="11017" spans="1:2">
      <c r="A11017" s="117">
        <v>44571</v>
      </c>
      <c r="B11017">
        <v>20.4588</v>
      </c>
    </row>
    <row r="11018" spans="1:2">
      <c r="A11018" s="117">
        <v>44572</v>
      </c>
      <c r="B11018">
        <v>20.4237</v>
      </c>
    </row>
    <row r="11019" spans="1:2">
      <c r="A11019" s="117">
        <v>44573</v>
      </c>
      <c r="B11019">
        <v>20.4453</v>
      </c>
    </row>
    <row r="11020" spans="1:2">
      <c r="A11020" s="117">
        <v>44574</v>
      </c>
      <c r="B11020">
        <v>20.378499999999999</v>
      </c>
    </row>
    <row r="11021" spans="1:2">
      <c r="A11021" s="117">
        <v>44575</v>
      </c>
      <c r="B11021">
        <v>20.366</v>
      </c>
    </row>
    <row r="11022" spans="1:2">
      <c r="A11022" s="117">
        <v>44576</v>
      </c>
      <c r="B11022">
        <v>20.360700000000001</v>
      </c>
    </row>
    <row r="11023" spans="1:2">
      <c r="A11023" s="117">
        <v>44577</v>
      </c>
      <c r="B11023">
        <v>20.360700000000001</v>
      </c>
    </row>
    <row r="11024" spans="1:2">
      <c r="A11024" s="117">
        <v>44578</v>
      </c>
      <c r="B11024">
        <v>20.360700000000001</v>
      </c>
    </row>
    <row r="11025" spans="1:2">
      <c r="A11025" s="117">
        <v>44579</v>
      </c>
      <c r="B11025">
        <v>20.311800000000002</v>
      </c>
    </row>
    <row r="11026" spans="1:2">
      <c r="A11026" s="117">
        <v>44580</v>
      </c>
      <c r="B11026">
        <v>20.3002</v>
      </c>
    </row>
    <row r="11027" spans="1:2">
      <c r="A11027" s="117">
        <v>44581</v>
      </c>
      <c r="B11027">
        <v>20.402999999999999</v>
      </c>
    </row>
    <row r="11028" spans="1:2">
      <c r="A11028" s="117">
        <v>44582</v>
      </c>
      <c r="B11028">
        <v>20.46</v>
      </c>
    </row>
    <row r="11029" spans="1:2">
      <c r="A11029" s="117">
        <v>44583</v>
      </c>
      <c r="B11029">
        <v>20.450700000000001</v>
      </c>
    </row>
    <row r="11030" spans="1:2">
      <c r="A11030" s="117">
        <v>44584</v>
      </c>
      <c r="B11030">
        <v>20.450700000000001</v>
      </c>
    </row>
    <row r="11031" spans="1:2">
      <c r="A11031" s="117">
        <v>44585</v>
      </c>
      <c r="B11031">
        <v>20.450700000000001</v>
      </c>
    </row>
    <row r="11032" spans="1:2">
      <c r="A11032" s="117">
        <v>44586</v>
      </c>
      <c r="B11032">
        <v>20.459800000000001</v>
      </c>
    </row>
    <row r="11033" spans="1:2">
      <c r="A11033" s="117">
        <v>44587</v>
      </c>
      <c r="B11033">
        <v>20.630800000000001</v>
      </c>
    </row>
    <row r="11034" spans="1:2">
      <c r="A11034" s="117">
        <v>44588</v>
      </c>
      <c r="B11034">
        <v>20.668299999999999</v>
      </c>
    </row>
    <row r="11035" spans="1:2">
      <c r="A11035" s="117">
        <v>44589</v>
      </c>
      <c r="B11035">
        <v>20.641500000000001</v>
      </c>
    </row>
    <row r="11036" spans="1:2">
      <c r="A11036" s="117">
        <v>44590</v>
      </c>
      <c r="B11036">
        <v>20.738299999999999</v>
      </c>
    </row>
    <row r="11037" spans="1:2">
      <c r="A11037" s="117">
        <v>44591</v>
      </c>
      <c r="B11037">
        <v>20.738299999999999</v>
      </c>
    </row>
    <row r="11038" spans="1:2">
      <c r="A11038" s="117">
        <v>44592</v>
      </c>
      <c r="B11038">
        <v>20.738299999999999</v>
      </c>
    </row>
    <row r="11039" spans="1:2">
      <c r="A11039" s="117">
        <v>44593</v>
      </c>
      <c r="B11039">
        <v>20.8597</v>
      </c>
    </row>
    <row r="11040" spans="1:2">
      <c r="A11040" s="117">
        <v>44594</v>
      </c>
      <c r="B11040">
        <v>20.635200000000001</v>
      </c>
    </row>
    <row r="11041" spans="1:2">
      <c r="A11041" s="117">
        <v>44595</v>
      </c>
      <c r="B11041">
        <v>20.58</v>
      </c>
    </row>
    <row r="11042" spans="1:2">
      <c r="A11042" s="117">
        <v>44596</v>
      </c>
      <c r="B11042">
        <v>20.600300000000001</v>
      </c>
    </row>
    <row r="11043" spans="1:2">
      <c r="A11043" s="117">
        <v>44597</v>
      </c>
      <c r="B11043">
        <v>20.5562</v>
      </c>
    </row>
    <row r="11044" spans="1:2">
      <c r="A11044" s="117">
        <v>44598</v>
      </c>
      <c r="B11044">
        <v>20.5562</v>
      </c>
    </row>
    <row r="11045" spans="1:2">
      <c r="A11045" s="117">
        <v>44599</v>
      </c>
      <c r="B11045">
        <v>20.5562</v>
      </c>
    </row>
    <row r="11046" spans="1:2">
      <c r="A11046" s="117">
        <v>44600</v>
      </c>
      <c r="B11046">
        <v>20.5562</v>
      </c>
    </row>
    <row r="11047" spans="1:2">
      <c r="A11047" s="117">
        <v>44601</v>
      </c>
      <c r="B11047">
        <v>20.732500000000002</v>
      </c>
    </row>
    <row r="11048" spans="1:2">
      <c r="A11048" s="117">
        <v>44602</v>
      </c>
      <c r="B11048">
        <v>20.641300000000001</v>
      </c>
    </row>
    <row r="11049" spans="1:2">
      <c r="A11049" s="117">
        <v>44603</v>
      </c>
      <c r="B11049">
        <v>20.500800000000002</v>
      </c>
    </row>
    <row r="11050" spans="1:2">
      <c r="A11050" s="117">
        <v>44604</v>
      </c>
      <c r="B11050">
        <v>20.4148</v>
      </c>
    </row>
    <row r="11051" spans="1:2">
      <c r="A11051" s="117">
        <v>44605</v>
      </c>
      <c r="B11051">
        <v>20.4148</v>
      </c>
    </row>
    <row r="11052" spans="1:2">
      <c r="A11052" s="117">
        <v>44606</v>
      </c>
      <c r="B11052">
        <v>20.4148</v>
      </c>
    </row>
    <row r="11053" spans="1:2">
      <c r="A11053" s="117">
        <v>44607</v>
      </c>
      <c r="B11053">
        <v>20.418800000000001</v>
      </c>
    </row>
    <row r="11054" spans="1:2">
      <c r="A11054" s="117">
        <v>44608</v>
      </c>
      <c r="B11054">
        <v>20.411000000000001</v>
      </c>
    </row>
    <row r="11055" spans="1:2">
      <c r="A11055" s="117">
        <v>44609</v>
      </c>
      <c r="B11055">
        <v>20.3992</v>
      </c>
    </row>
    <row r="11056" spans="1:2">
      <c r="A11056" s="117">
        <v>44610</v>
      </c>
      <c r="B11056">
        <v>20.333500000000001</v>
      </c>
    </row>
    <row r="11057" spans="1:2">
      <c r="A11057" s="117">
        <v>44611</v>
      </c>
      <c r="B11057">
        <v>20.297799999999999</v>
      </c>
    </row>
    <row r="11058" spans="1:2">
      <c r="A11058" s="117">
        <v>44612</v>
      </c>
      <c r="B11058">
        <v>20.297799999999999</v>
      </c>
    </row>
    <row r="11059" spans="1:2">
      <c r="A11059" s="117">
        <v>44613</v>
      </c>
      <c r="B11059">
        <v>20.297799999999999</v>
      </c>
    </row>
    <row r="11060" spans="1:2">
      <c r="A11060" s="117">
        <v>44614</v>
      </c>
      <c r="B11060">
        <v>20.3063</v>
      </c>
    </row>
    <row r="11061" spans="1:2">
      <c r="A11061" s="117">
        <v>44615</v>
      </c>
      <c r="B11061">
        <v>20.282499999999999</v>
      </c>
    </row>
    <row r="11062" spans="1:2">
      <c r="A11062" s="117">
        <v>44616</v>
      </c>
      <c r="B11062">
        <v>20.297699999999999</v>
      </c>
    </row>
    <row r="11063" spans="1:2">
      <c r="A11063" s="117">
        <v>44617</v>
      </c>
      <c r="B11063">
        <v>20.243500000000001</v>
      </c>
    </row>
    <row r="11064" spans="1:2">
      <c r="A11064" s="117">
        <v>44618</v>
      </c>
      <c r="B11064">
        <v>20.6525</v>
      </c>
    </row>
    <row r="11065" spans="1:2">
      <c r="A11065" s="117">
        <v>44619</v>
      </c>
      <c r="B11065">
        <v>20.6525</v>
      </c>
    </row>
    <row r="11066" spans="1:2">
      <c r="A11066" s="117">
        <v>44620</v>
      </c>
      <c r="B11066">
        <v>20.6525</v>
      </c>
    </row>
    <row r="11067" spans="1:2">
      <c r="A11067" s="117">
        <v>44621</v>
      </c>
      <c r="B11067">
        <v>20.4465</v>
      </c>
    </row>
    <row r="11068" spans="1:2">
      <c r="A11068" s="117">
        <v>44622</v>
      </c>
      <c r="B11068">
        <v>20.425699999999999</v>
      </c>
    </row>
    <row r="11069" spans="1:2">
      <c r="A11069" s="117">
        <v>44623</v>
      </c>
      <c r="B11069">
        <v>20.527200000000001</v>
      </c>
    </row>
    <row r="11070" spans="1:2">
      <c r="A11070" s="117">
        <v>44624</v>
      </c>
      <c r="B11070">
        <v>20.7193</v>
      </c>
    </row>
    <row r="11071" spans="1:2">
      <c r="A11071" s="117">
        <v>44625</v>
      </c>
      <c r="B11071">
        <v>20.703299999999999</v>
      </c>
    </row>
    <row r="11072" spans="1:2">
      <c r="A11072" s="117">
        <v>44626</v>
      </c>
      <c r="B11072">
        <v>20.703299999999999</v>
      </c>
    </row>
    <row r="11073" spans="1:2">
      <c r="A11073" s="117">
        <v>44627</v>
      </c>
      <c r="B11073">
        <v>20.703299999999999</v>
      </c>
    </row>
    <row r="11074" spans="1:2">
      <c r="A11074" s="117">
        <v>44628</v>
      </c>
      <c r="B11074">
        <v>20.926200000000001</v>
      </c>
    </row>
    <row r="11075" spans="1:2">
      <c r="A11075" s="117">
        <v>44629</v>
      </c>
      <c r="B11075">
        <v>21.194700000000001</v>
      </c>
    </row>
    <row r="11076" spans="1:2">
      <c r="A11076" s="117">
        <v>44630</v>
      </c>
      <c r="B11076">
        <v>21.377500000000001</v>
      </c>
    </row>
    <row r="11077" spans="1:2">
      <c r="A11077" s="117">
        <v>44631</v>
      </c>
      <c r="B11077">
        <v>20.967700000000001</v>
      </c>
    </row>
    <row r="11078" spans="1:2">
      <c r="A11078" s="117">
        <v>44632</v>
      </c>
      <c r="B11078">
        <v>20.974299999999999</v>
      </c>
    </row>
    <row r="11079" spans="1:2">
      <c r="A11079" s="117">
        <v>44633</v>
      </c>
      <c r="B11079">
        <v>20.974299999999999</v>
      </c>
    </row>
    <row r="11080" spans="1:2">
      <c r="A11080" s="117">
        <v>44634</v>
      </c>
      <c r="B11080">
        <v>20.974299999999999</v>
      </c>
    </row>
    <row r="11081" spans="1:2">
      <c r="A11081" s="117">
        <v>44635</v>
      </c>
      <c r="B11081">
        <v>20.9695</v>
      </c>
    </row>
    <row r="11082" spans="1:2">
      <c r="A11082" s="117">
        <v>44636</v>
      </c>
      <c r="B11082">
        <v>20.890799999999999</v>
      </c>
    </row>
    <row r="11083" spans="1:2">
      <c r="A11083" s="117">
        <v>44637</v>
      </c>
      <c r="B11083">
        <v>20.874300000000002</v>
      </c>
    </row>
    <row r="11084" spans="1:2">
      <c r="A11084" s="117">
        <v>44638</v>
      </c>
      <c r="B11084">
        <v>20.703499999999998</v>
      </c>
    </row>
    <row r="11085" spans="1:2">
      <c r="A11085" s="117">
        <v>44639</v>
      </c>
      <c r="B11085">
        <v>20.558499999999999</v>
      </c>
    </row>
    <row r="11086" spans="1:2">
      <c r="A11086" s="117">
        <v>44640</v>
      </c>
      <c r="B11086">
        <v>20.558499999999999</v>
      </c>
    </row>
    <row r="11087" spans="1:2">
      <c r="A11087" s="117">
        <v>44641</v>
      </c>
      <c r="B11087">
        <v>20.558499999999999</v>
      </c>
    </row>
    <row r="11088" spans="1:2">
      <c r="A11088" s="117">
        <v>44642</v>
      </c>
      <c r="B11088">
        <v>20.558499999999999</v>
      </c>
    </row>
    <row r="11089" spans="1:2">
      <c r="A11089" s="117">
        <v>44643</v>
      </c>
      <c r="B11089">
        <v>20.4145</v>
      </c>
    </row>
    <row r="11090" spans="1:2">
      <c r="A11090" s="117">
        <v>44644</v>
      </c>
      <c r="B11090">
        <v>20.278199999999998</v>
      </c>
    </row>
    <row r="11091" spans="1:2">
      <c r="A11091" s="117">
        <v>44645</v>
      </c>
      <c r="B11091">
        <v>20.18</v>
      </c>
    </row>
    <row r="11092" spans="1:2">
      <c r="A11092" s="117">
        <v>44646</v>
      </c>
      <c r="B11092">
        <v>20.1313</v>
      </c>
    </row>
    <row r="11093" spans="1:2">
      <c r="A11093" s="117">
        <v>44647</v>
      </c>
      <c r="B11093">
        <v>20.1313</v>
      </c>
    </row>
    <row r="11094" spans="1:2">
      <c r="A11094" s="117">
        <v>44648</v>
      </c>
      <c r="B11094">
        <v>20.1313</v>
      </c>
    </row>
    <row r="11095" spans="1:2">
      <c r="A11095" s="117">
        <v>44649</v>
      </c>
      <c r="B11095">
        <v>19.957699999999999</v>
      </c>
    </row>
    <row r="11096" spans="1:2">
      <c r="A11096" s="117">
        <v>44650</v>
      </c>
      <c r="B11096">
        <v>20.119499999999999</v>
      </c>
    </row>
    <row r="11097" spans="1:2">
      <c r="A11097" s="117">
        <v>44651</v>
      </c>
      <c r="B11097">
        <v>19.994199999999999</v>
      </c>
    </row>
    <row r="11098" spans="1:2">
      <c r="A11098" s="117">
        <v>44652</v>
      </c>
      <c r="B11098">
        <v>19.863199999999999</v>
      </c>
    </row>
    <row r="11099" spans="1:2">
      <c r="A11099" s="117">
        <v>44653</v>
      </c>
      <c r="B11099">
        <v>19.911200000000001</v>
      </c>
    </row>
    <row r="11100" spans="1:2">
      <c r="A11100" s="117">
        <v>44654</v>
      </c>
      <c r="B11100">
        <v>19.911200000000001</v>
      </c>
    </row>
    <row r="11101" spans="1:2">
      <c r="A11101" s="117">
        <v>44655</v>
      </c>
      <c r="B11101">
        <v>19.911200000000001</v>
      </c>
    </row>
    <row r="11102" spans="1:2">
      <c r="A11102" s="117">
        <v>44656</v>
      </c>
      <c r="B11102">
        <v>19.8432</v>
      </c>
    </row>
    <row r="11103" spans="1:2">
      <c r="A11103" s="117">
        <v>44657</v>
      </c>
      <c r="B11103">
        <v>19.744299999999999</v>
      </c>
    </row>
    <row r="11104" spans="1:2">
      <c r="A11104" s="117">
        <v>44658</v>
      </c>
      <c r="B11104">
        <v>19.901199999999999</v>
      </c>
    </row>
    <row r="11105" spans="1:2">
      <c r="A11105" s="117">
        <v>44659</v>
      </c>
      <c r="B11105">
        <v>20.066500000000001</v>
      </c>
    </row>
    <row r="11106" spans="1:2">
      <c r="A11106" s="117">
        <v>44660</v>
      </c>
      <c r="B11106">
        <v>20.160499999999999</v>
      </c>
    </row>
    <row r="11107" spans="1:2">
      <c r="A11107" s="117">
        <v>44661</v>
      </c>
      <c r="B11107">
        <v>20.160499999999999</v>
      </c>
    </row>
    <row r="11108" spans="1:2">
      <c r="A11108" s="117">
        <v>44662</v>
      </c>
      <c r="B11108">
        <v>20.160499999999999</v>
      </c>
    </row>
    <row r="11109" spans="1:2">
      <c r="A11109" s="117">
        <v>44663</v>
      </c>
      <c r="B11109">
        <v>20.12</v>
      </c>
    </row>
    <row r="11110" spans="1:2">
      <c r="A11110" s="117">
        <v>44664</v>
      </c>
      <c r="B11110">
        <v>20.0093</v>
      </c>
    </row>
    <row r="11111" spans="1:2">
      <c r="A11111" s="117">
        <v>44665</v>
      </c>
      <c r="B11111">
        <v>19.840699999999998</v>
      </c>
    </row>
    <row r="11112" spans="1:2">
      <c r="A11112" s="117">
        <v>44666</v>
      </c>
      <c r="B11112">
        <v>19.840699999999998</v>
      </c>
    </row>
    <row r="11113" spans="1:2">
      <c r="A11113" s="117">
        <v>44667</v>
      </c>
      <c r="B11113">
        <v>19.840699999999998</v>
      </c>
    </row>
    <row r="11114" spans="1:2">
      <c r="A11114" s="117">
        <v>44668</v>
      </c>
      <c r="B11114">
        <v>19.840699999999998</v>
      </c>
    </row>
    <row r="11115" spans="1:2">
      <c r="A11115" s="117">
        <v>44669</v>
      </c>
      <c r="B11115">
        <v>19.840699999999998</v>
      </c>
    </row>
    <row r="11116" spans="1:2">
      <c r="A11116" s="117">
        <v>44670</v>
      </c>
      <c r="B11116">
        <v>19.796700000000001</v>
      </c>
    </row>
    <row r="11117" spans="1:2">
      <c r="A11117" s="117">
        <v>44671</v>
      </c>
      <c r="B11117">
        <v>19.9377</v>
      </c>
    </row>
    <row r="11118" spans="1:2">
      <c r="A11118" s="117">
        <v>44672</v>
      </c>
      <c r="B11118">
        <v>20.044699999999999</v>
      </c>
    </row>
    <row r="11119" spans="1:2">
      <c r="A11119" s="117">
        <v>44673</v>
      </c>
      <c r="B11119">
        <v>20.0383</v>
      </c>
    </row>
    <row r="11120" spans="1:2">
      <c r="A11120" s="117">
        <v>44674</v>
      </c>
      <c r="B11120">
        <v>20.180199999999999</v>
      </c>
    </row>
    <row r="11121" spans="1:2">
      <c r="A11121" s="117">
        <v>44675</v>
      </c>
      <c r="B11121">
        <v>20.180199999999999</v>
      </c>
    </row>
    <row r="11122" spans="1:2">
      <c r="A11122" s="117">
        <v>44676</v>
      </c>
      <c r="B11122">
        <v>20.180199999999999</v>
      </c>
    </row>
    <row r="11123" spans="1:2">
      <c r="A11123" s="117">
        <v>44677</v>
      </c>
      <c r="B11123">
        <v>20.318300000000001</v>
      </c>
    </row>
    <row r="11124" spans="1:2">
      <c r="A11124" s="117">
        <v>44678</v>
      </c>
      <c r="B11124">
        <v>20.299199999999999</v>
      </c>
    </row>
    <row r="11125" spans="1:2">
      <c r="A11125" s="117">
        <v>44679</v>
      </c>
      <c r="B11125">
        <v>20.356000000000002</v>
      </c>
    </row>
    <row r="11126" spans="1:2">
      <c r="A11126" s="117">
        <v>44680</v>
      </c>
      <c r="B11126">
        <v>20.470700000000001</v>
      </c>
    </row>
    <row r="11127" spans="1:2">
      <c r="A11127" s="117">
        <v>44681</v>
      </c>
      <c r="B11127">
        <v>20.567</v>
      </c>
    </row>
    <row r="11128" spans="1:2">
      <c r="A11128" s="117">
        <v>44682</v>
      </c>
      <c r="B11128">
        <v>20.567</v>
      </c>
    </row>
    <row r="11129" spans="1:2">
      <c r="A11129" s="117">
        <v>44683</v>
      </c>
      <c r="B11129">
        <v>20.567</v>
      </c>
    </row>
    <row r="11130" spans="1:2">
      <c r="A11130" s="117">
        <v>44684</v>
      </c>
      <c r="B11130">
        <v>20.372800000000002</v>
      </c>
    </row>
    <row r="11131" spans="1:2">
      <c r="A11131" s="117">
        <v>44685</v>
      </c>
      <c r="B11131">
        <v>20.407499999999999</v>
      </c>
    </row>
    <row r="11132" spans="1:2">
      <c r="A11132" s="117">
        <v>44686</v>
      </c>
      <c r="B11132">
        <v>20.335000000000001</v>
      </c>
    </row>
    <row r="11133" spans="1:2">
      <c r="A11133" s="117">
        <v>44687</v>
      </c>
      <c r="B11133">
        <v>20.253499999999999</v>
      </c>
    </row>
    <row r="11134" spans="1:2">
      <c r="A11134" s="117">
        <v>44688</v>
      </c>
      <c r="B11134">
        <v>20.221800000000002</v>
      </c>
    </row>
    <row r="11135" spans="1:2">
      <c r="A11135" s="117">
        <v>44689</v>
      </c>
      <c r="B11135">
        <v>20.221800000000002</v>
      </c>
    </row>
    <row r="11136" spans="1:2">
      <c r="A11136" s="117">
        <v>44690</v>
      </c>
      <c r="B11136">
        <v>20.221800000000002</v>
      </c>
    </row>
    <row r="11137" spans="1:2">
      <c r="A11137" s="117">
        <v>44691</v>
      </c>
      <c r="B11137">
        <v>20.108499999999999</v>
      </c>
    </row>
    <row r="11138" spans="1:2">
      <c r="A11138" s="117">
        <v>44692</v>
      </c>
      <c r="B11138">
        <v>20.3172</v>
      </c>
    </row>
    <row r="11139" spans="1:2">
      <c r="A11139" s="117">
        <v>44693</v>
      </c>
      <c r="B11139">
        <v>20.372</v>
      </c>
    </row>
    <row r="11140" spans="1:2">
      <c r="A11140" s="117">
        <v>44694</v>
      </c>
      <c r="B11140">
        <v>20.2592</v>
      </c>
    </row>
    <row r="11141" spans="1:2">
      <c r="A11141" s="117">
        <v>44695</v>
      </c>
      <c r="B11141">
        <v>20.32</v>
      </c>
    </row>
    <row r="11142" spans="1:2">
      <c r="A11142" s="117">
        <v>44696</v>
      </c>
      <c r="B11142">
        <v>20.32</v>
      </c>
    </row>
    <row r="11143" spans="1:2">
      <c r="A11143" s="117">
        <v>44697</v>
      </c>
      <c r="B11143">
        <v>20.32</v>
      </c>
    </row>
    <row r="11144" spans="1:2">
      <c r="A11144" s="117">
        <v>44698</v>
      </c>
      <c r="B11144">
        <v>20.144300000000001</v>
      </c>
    </row>
    <row r="11145" spans="1:2">
      <c r="A11145" s="117">
        <v>44699</v>
      </c>
      <c r="B11145">
        <v>20.078199999999999</v>
      </c>
    </row>
    <row r="11146" spans="1:2">
      <c r="A11146" s="117">
        <v>44700</v>
      </c>
      <c r="B11146">
        <v>19.963699999999999</v>
      </c>
    </row>
    <row r="11147" spans="1:2">
      <c r="A11147" s="117">
        <v>44701</v>
      </c>
      <c r="B11147">
        <v>19.9663</v>
      </c>
    </row>
    <row r="11148" spans="1:2">
      <c r="A11148" s="117">
        <v>44702</v>
      </c>
      <c r="B11148">
        <v>19.9267</v>
      </c>
    </row>
    <row r="11149" spans="1:2">
      <c r="A11149" s="117">
        <v>44703</v>
      </c>
      <c r="B11149">
        <v>19.9267</v>
      </c>
    </row>
    <row r="11150" spans="1:2">
      <c r="A11150" s="117">
        <v>44704</v>
      </c>
      <c r="B11150">
        <v>19.9267</v>
      </c>
    </row>
    <row r="11151" spans="1:2">
      <c r="A11151" s="117">
        <v>44705</v>
      </c>
      <c r="B11151">
        <v>19.8657</v>
      </c>
    </row>
    <row r="11152" spans="1:2">
      <c r="A11152" s="117">
        <v>44706</v>
      </c>
      <c r="B11152">
        <v>19.828199999999999</v>
      </c>
    </row>
    <row r="11153" spans="1:2">
      <c r="A11153" s="117">
        <v>44707</v>
      </c>
      <c r="B11153">
        <v>19.887</v>
      </c>
    </row>
    <row r="11154" spans="1:2">
      <c r="A11154" s="117">
        <v>44708</v>
      </c>
      <c r="B11154">
        <v>19.837700000000002</v>
      </c>
    </row>
    <row r="11155" spans="1:2">
      <c r="A11155" s="117">
        <v>44709</v>
      </c>
      <c r="B11155">
        <v>19.793299999999999</v>
      </c>
    </row>
    <row r="11156" spans="1:2">
      <c r="A11156" s="117">
        <v>44710</v>
      </c>
      <c r="B11156">
        <v>19.793299999999999</v>
      </c>
    </row>
    <row r="11157" spans="1:2">
      <c r="A11157" s="117">
        <v>44711</v>
      </c>
      <c r="B11157">
        <v>19.793299999999999</v>
      </c>
    </row>
    <row r="11158" spans="1:2">
      <c r="A11158" s="117">
        <v>44712</v>
      </c>
      <c r="B11158">
        <v>19.596499999999999</v>
      </c>
    </row>
    <row r="11159" spans="1:2">
      <c r="A11159" s="117">
        <v>44713</v>
      </c>
      <c r="B11159">
        <v>19.4953</v>
      </c>
    </row>
    <row r="11160" spans="1:2">
      <c r="A11160" s="117">
        <v>44714</v>
      </c>
      <c r="B11160">
        <v>19.693999999999999</v>
      </c>
    </row>
    <row r="11161" spans="1:2">
      <c r="A11161" s="117">
        <v>44715</v>
      </c>
      <c r="B11161">
        <v>19.738800000000001</v>
      </c>
    </row>
    <row r="11162" spans="1:2">
      <c r="A11162" s="117">
        <v>44716</v>
      </c>
      <c r="B11162">
        <v>19.558499999999999</v>
      </c>
    </row>
    <row r="11163" spans="1:2">
      <c r="A11163" s="117">
        <v>44717</v>
      </c>
      <c r="B11163">
        <v>19.558499999999999</v>
      </c>
    </row>
    <row r="11164" spans="1:2">
      <c r="A11164" s="117">
        <v>44718</v>
      </c>
      <c r="B11164">
        <v>19.558499999999999</v>
      </c>
    </row>
    <row r="11165" spans="1:2">
      <c r="A11165" s="117">
        <v>44719</v>
      </c>
      <c r="B11165">
        <v>19.574200000000001</v>
      </c>
    </row>
    <row r="11166" spans="1:2">
      <c r="A11166" s="117">
        <v>44720</v>
      </c>
      <c r="B11166">
        <v>19.5547</v>
      </c>
    </row>
    <row r="11167" spans="1:2">
      <c r="A11167" s="117">
        <v>44721</v>
      </c>
      <c r="B11167">
        <v>19.599799999999998</v>
      </c>
    </row>
    <row r="11168" spans="1:2">
      <c r="A11168" s="117">
        <v>44722</v>
      </c>
      <c r="B11168">
        <v>19.59</v>
      </c>
    </row>
    <row r="11169" spans="1:2">
      <c r="A11169" s="117">
        <v>44723</v>
      </c>
      <c r="B11169">
        <v>19.6128</v>
      </c>
    </row>
    <row r="11170" spans="1:2">
      <c r="A11170" s="117">
        <v>44724</v>
      </c>
      <c r="B11170">
        <v>19.6128</v>
      </c>
    </row>
    <row r="11171" spans="1:2">
      <c r="A11171" s="117">
        <v>44725</v>
      </c>
      <c r="B11171">
        <v>19.6128</v>
      </c>
    </row>
    <row r="11172" spans="1:2">
      <c r="A11172" s="117">
        <v>44726</v>
      </c>
      <c r="B11172">
        <v>19.9297</v>
      </c>
    </row>
    <row r="11173" spans="1:2">
      <c r="A11173" s="117">
        <v>44727</v>
      </c>
      <c r="B11173">
        <v>20.4527</v>
      </c>
    </row>
    <row r="11174" spans="1:2">
      <c r="A11174" s="117">
        <v>44728</v>
      </c>
      <c r="B11174">
        <v>20.658300000000001</v>
      </c>
    </row>
    <row r="11175" spans="1:2">
      <c r="A11175" s="117">
        <v>44729</v>
      </c>
      <c r="B11175">
        <v>20.6675</v>
      </c>
    </row>
    <row r="11176" spans="1:2">
      <c r="A11176" s="117">
        <v>44730</v>
      </c>
      <c r="B11176">
        <v>20.572800000000001</v>
      </c>
    </row>
    <row r="11177" spans="1:2">
      <c r="A11177" s="117">
        <v>44731</v>
      </c>
      <c r="B11177">
        <v>20.572800000000001</v>
      </c>
    </row>
    <row r="11178" spans="1:2">
      <c r="A11178" s="117">
        <v>44732</v>
      </c>
      <c r="B11178">
        <v>20.572800000000001</v>
      </c>
    </row>
    <row r="11179" spans="1:2">
      <c r="A11179" s="117">
        <v>44733</v>
      </c>
      <c r="B11179">
        <v>20.475999999999999</v>
      </c>
    </row>
    <row r="11180" spans="1:2">
      <c r="A11180" s="117">
        <v>44734</v>
      </c>
      <c r="B11180">
        <v>20.244199999999999</v>
      </c>
    </row>
    <row r="11181" spans="1:2">
      <c r="A11181" s="117">
        <v>44735</v>
      </c>
      <c r="B11181">
        <v>20.196300000000001</v>
      </c>
    </row>
    <row r="11182" spans="1:2">
      <c r="A11182" s="117">
        <v>44736</v>
      </c>
      <c r="B11182">
        <v>20.046500000000002</v>
      </c>
    </row>
    <row r="11183" spans="1:2">
      <c r="A11183" s="117">
        <v>44737</v>
      </c>
      <c r="B11183">
        <v>20.0365</v>
      </c>
    </row>
    <row r="11184" spans="1:2">
      <c r="A11184" s="117">
        <v>44738</v>
      </c>
      <c r="B11184">
        <v>20.0365</v>
      </c>
    </row>
    <row r="11185" spans="1:2">
      <c r="A11185" s="117">
        <v>44739</v>
      </c>
      <c r="B11185">
        <v>20.0365</v>
      </c>
    </row>
    <row r="11186" spans="1:2">
      <c r="A11186" s="117">
        <v>44740</v>
      </c>
      <c r="B11186">
        <v>19.870699999999999</v>
      </c>
    </row>
    <row r="11187" spans="1:2">
      <c r="A11187" s="117">
        <v>44741</v>
      </c>
      <c r="B11187">
        <v>19.8797</v>
      </c>
    </row>
    <row r="11188" spans="1:2">
      <c r="A11188" s="117">
        <v>44742</v>
      </c>
      <c r="B11188">
        <v>19.9847</v>
      </c>
    </row>
    <row r="11189" spans="1:2">
      <c r="A11189" s="117">
        <v>44743</v>
      </c>
      <c r="B11189">
        <v>20.144300000000001</v>
      </c>
    </row>
    <row r="11190" spans="1:2">
      <c r="A11190" s="117">
        <v>44744</v>
      </c>
      <c r="B11190">
        <v>20.133500000000002</v>
      </c>
    </row>
    <row r="11191" spans="1:2">
      <c r="A11191" s="117">
        <v>44745</v>
      </c>
      <c r="B11191">
        <v>20.133500000000002</v>
      </c>
    </row>
    <row r="11192" spans="1:2">
      <c r="A11192" s="117">
        <v>44746</v>
      </c>
      <c r="B11192">
        <v>20.133500000000002</v>
      </c>
    </row>
    <row r="11193" spans="1:2">
      <c r="A11193" s="117">
        <v>44747</v>
      </c>
      <c r="B11193">
        <v>20.381699999999999</v>
      </c>
    </row>
    <row r="11194" spans="1:2">
      <c r="A11194" s="117">
        <v>44748</v>
      </c>
      <c r="B11194">
        <v>20.287700000000001</v>
      </c>
    </row>
    <row r="11195" spans="1:2">
      <c r="A11195" s="117">
        <v>44749</v>
      </c>
      <c r="B11195">
        <v>20.559799999999999</v>
      </c>
    </row>
    <row r="11196" spans="1:2">
      <c r="A11196" s="117">
        <v>44750</v>
      </c>
      <c r="B11196">
        <v>20.722799999999999</v>
      </c>
    </row>
    <row r="11197" spans="1:2">
      <c r="A11197" s="117">
        <v>44751</v>
      </c>
      <c r="B11197">
        <v>20.6022</v>
      </c>
    </row>
    <row r="11198" spans="1:2">
      <c r="A11198" s="117">
        <v>44752</v>
      </c>
      <c r="B11198">
        <v>20.6022</v>
      </c>
    </row>
    <row r="11199" spans="1:2">
      <c r="A11199" s="117">
        <v>44753</v>
      </c>
      <c r="B11199">
        <v>20.6022</v>
      </c>
    </row>
    <row r="11200" spans="1:2">
      <c r="A11200" s="117">
        <v>44754</v>
      </c>
      <c r="B11200">
        <v>20.442299999999999</v>
      </c>
    </row>
    <row r="11201" spans="1:2">
      <c r="A11201" s="117">
        <v>44755</v>
      </c>
      <c r="B11201">
        <v>20.747299999999999</v>
      </c>
    </row>
    <row r="11202" spans="1:2">
      <c r="A11202" s="117">
        <v>44756</v>
      </c>
      <c r="B11202">
        <v>20.7882</v>
      </c>
    </row>
    <row r="11203" spans="1:2">
      <c r="A11203" s="117">
        <v>44757</v>
      </c>
      <c r="B11203">
        <v>20.761299999999999</v>
      </c>
    </row>
    <row r="11204" spans="1:2">
      <c r="A11204" s="117">
        <v>44758</v>
      </c>
      <c r="B11204">
        <v>20.941500000000001</v>
      </c>
    </row>
    <row r="11205" spans="1:2">
      <c r="A11205" s="117">
        <v>44759</v>
      </c>
      <c r="B11205">
        <v>20.941500000000001</v>
      </c>
    </row>
    <row r="11206" spans="1:2">
      <c r="A11206" s="117">
        <v>44760</v>
      </c>
      <c r="B11206">
        <v>20.941500000000001</v>
      </c>
    </row>
    <row r="11207" spans="1:2">
      <c r="A11207" s="117">
        <v>44761</v>
      </c>
      <c r="B11207">
        <v>20.611000000000001</v>
      </c>
    </row>
    <row r="11208" spans="1:2">
      <c r="A11208" s="117">
        <v>44762</v>
      </c>
      <c r="B11208">
        <v>20.395700000000001</v>
      </c>
    </row>
    <row r="11209" spans="1:2">
      <c r="A11209" s="117">
        <v>44763</v>
      </c>
      <c r="B11209">
        <v>20.4407</v>
      </c>
    </row>
    <row r="11210" spans="1:2">
      <c r="A11210" s="117">
        <v>44764</v>
      </c>
      <c r="B11210">
        <v>20.491299999999999</v>
      </c>
    </row>
    <row r="11211" spans="1:2">
      <c r="A11211" s="117">
        <v>44765</v>
      </c>
      <c r="B11211">
        <v>20.656199999999998</v>
      </c>
    </row>
    <row r="11212" spans="1:2">
      <c r="A11212" s="117">
        <v>44766</v>
      </c>
      <c r="B11212">
        <v>20.656199999999998</v>
      </c>
    </row>
    <row r="11213" spans="1:2">
      <c r="A11213" s="117">
        <v>44767</v>
      </c>
      <c r="B11213">
        <v>20.656199999999998</v>
      </c>
    </row>
    <row r="11214" spans="1:2">
      <c r="A11214" s="117">
        <v>44768</v>
      </c>
      <c r="B11214">
        <v>20.515000000000001</v>
      </c>
    </row>
    <row r="11215" spans="1:2">
      <c r="A11215" s="117">
        <v>44769</v>
      </c>
      <c r="B11215">
        <v>20.465199999999999</v>
      </c>
    </row>
    <row r="11216" spans="1:2">
      <c r="A11216" s="117">
        <v>44770</v>
      </c>
      <c r="B11216">
        <v>20.433</v>
      </c>
    </row>
    <row r="11217" spans="1:2">
      <c r="A11217" s="117">
        <v>44771</v>
      </c>
      <c r="B11217">
        <v>20.512</v>
      </c>
    </row>
    <row r="11218" spans="1:2">
      <c r="A11218" s="117">
        <v>44772</v>
      </c>
      <c r="B11218">
        <v>20.377800000000001</v>
      </c>
    </row>
    <row r="11219" spans="1:2">
      <c r="A11219" s="117">
        <v>44773</v>
      </c>
      <c r="B11219">
        <v>20.377800000000001</v>
      </c>
    </row>
    <row r="11220" spans="1:2">
      <c r="A11220" s="117">
        <v>44774</v>
      </c>
      <c r="B11220">
        <v>20.377800000000001</v>
      </c>
    </row>
    <row r="11221" spans="1:2">
      <c r="A11221" s="117">
        <v>44775</v>
      </c>
      <c r="B11221">
        <v>20.348500000000001</v>
      </c>
    </row>
    <row r="11222" spans="1:2">
      <c r="A11222" s="117">
        <v>44776</v>
      </c>
      <c r="B11222">
        <v>20.263300000000001</v>
      </c>
    </row>
    <row r="11223" spans="1:2">
      <c r="A11223" s="117">
        <v>44777</v>
      </c>
      <c r="B11223">
        <v>20.5152</v>
      </c>
    </row>
    <row r="11224" spans="1:2">
      <c r="A11224" s="117">
        <v>44778</v>
      </c>
      <c r="B11224">
        <v>20.630500000000001</v>
      </c>
    </row>
    <row r="11225" spans="1:2">
      <c r="A11225" s="117">
        <v>44779</v>
      </c>
      <c r="B11225">
        <v>20.335799999999999</v>
      </c>
    </row>
    <row r="11226" spans="1:2">
      <c r="A11226" s="117">
        <v>44780</v>
      </c>
      <c r="B11226">
        <v>20.335799999999999</v>
      </c>
    </row>
    <row r="11227" spans="1:2">
      <c r="A11227" s="117">
        <v>44781</v>
      </c>
      <c r="B11227">
        <v>20.335799999999999</v>
      </c>
    </row>
    <row r="11228" spans="1:2">
      <c r="A11228" s="117">
        <v>44782</v>
      </c>
      <c r="B11228">
        <v>20.401</v>
      </c>
    </row>
    <row r="11229" spans="1:2">
      <c r="A11229" s="117">
        <v>44783</v>
      </c>
      <c r="B11229">
        <v>20.2789</v>
      </c>
    </row>
    <row r="11230" spans="1:2">
      <c r="A11230" s="117">
        <v>44784</v>
      </c>
      <c r="B11230">
        <v>20.2715</v>
      </c>
    </row>
    <row r="11231" spans="1:2">
      <c r="A11231" s="117">
        <v>44785</v>
      </c>
      <c r="B11231">
        <v>19.956199999999999</v>
      </c>
    </row>
    <row r="11232" spans="1:2">
      <c r="A11232" s="117">
        <v>44786</v>
      </c>
      <c r="B11232">
        <v>19.959499999999998</v>
      </c>
    </row>
    <row r="11233" spans="1:2">
      <c r="A11233" s="117">
        <v>44787</v>
      </c>
      <c r="B11233">
        <v>19.959499999999998</v>
      </c>
    </row>
    <row r="11234" spans="1:2">
      <c r="A11234" s="117">
        <v>44788</v>
      </c>
      <c r="B11234">
        <v>19.959499999999998</v>
      </c>
    </row>
    <row r="11235" spans="1:2">
      <c r="A11235" s="117">
        <v>44789</v>
      </c>
      <c r="B11235">
        <v>19.873999999999999</v>
      </c>
    </row>
    <row r="11236" spans="1:2">
      <c r="A11236" s="117">
        <v>44790</v>
      </c>
      <c r="B11236">
        <v>19.861799999999999</v>
      </c>
    </row>
    <row r="11237" spans="1:2">
      <c r="A11237" s="117">
        <v>44791</v>
      </c>
      <c r="B11237">
        <v>19.930299999999999</v>
      </c>
    </row>
    <row r="11238" spans="1:2">
      <c r="A11238" s="117">
        <v>44792</v>
      </c>
      <c r="B11238">
        <v>20.038699999999999</v>
      </c>
    </row>
    <row r="11239" spans="1:2">
      <c r="A11239" s="117">
        <v>44793</v>
      </c>
      <c r="B11239">
        <v>20.083500000000001</v>
      </c>
    </row>
    <row r="11240" spans="1:2">
      <c r="A11240" s="117">
        <v>44794</v>
      </c>
      <c r="B11240">
        <v>20.083500000000001</v>
      </c>
    </row>
    <row r="11241" spans="1:2">
      <c r="A11241" s="117">
        <v>44795</v>
      </c>
      <c r="B11241">
        <v>20.083500000000001</v>
      </c>
    </row>
    <row r="11242" spans="1:2">
      <c r="A11242" s="117">
        <v>44796</v>
      </c>
      <c r="B11242">
        <v>20.195699999999999</v>
      </c>
    </row>
    <row r="11243" spans="1:2">
      <c r="A11243" s="117">
        <v>44797</v>
      </c>
      <c r="B11243">
        <v>20.159800000000001</v>
      </c>
    </row>
    <row r="11244" spans="1:2">
      <c r="A11244" s="117">
        <v>44798</v>
      </c>
      <c r="B11244">
        <v>19.998200000000001</v>
      </c>
    </row>
    <row r="11245" spans="1:2">
      <c r="A11245" s="117">
        <v>44799</v>
      </c>
      <c r="B11245">
        <v>19.919799999999999</v>
      </c>
    </row>
    <row r="11246" spans="1:2">
      <c r="A11246" s="117">
        <v>44800</v>
      </c>
      <c r="B11246">
        <v>19.9437</v>
      </c>
    </row>
    <row r="11247" spans="1:2">
      <c r="A11247" s="117">
        <v>44801</v>
      </c>
      <c r="B11247">
        <v>19.9437</v>
      </c>
    </row>
    <row r="11248" spans="1:2">
      <c r="A11248" s="117">
        <v>44802</v>
      </c>
      <c r="B11248">
        <v>19.9437</v>
      </c>
    </row>
    <row r="11249" spans="1:2">
      <c r="A11249" s="117">
        <v>44803</v>
      </c>
      <c r="B11249">
        <v>19.9268</v>
      </c>
    </row>
    <row r="11250" spans="1:2">
      <c r="A11250" s="117">
        <v>44804</v>
      </c>
      <c r="B11250">
        <v>19.994499999999999</v>
      </c>
    </row>
    <row r="11251" spans="1:2">
      <c r="A11251" s="117">
        <v>44805</v>
      </c>
      <c r="B11251">
        <v>20.1465</v>
      </c>
    </row>
    <row r="11252" spans="1:2">
      <c r="A11252" s="117">
        <v>44806</v>
      </c>
      <c r="B11252">
        <v>20.0962</v>
      </c>
    </row>
    <row r="11253" spans="1:2">
      <c r="A11253" s="117">
        <v>44807</v>
      </c>
      <c r="B11253">
        <v>20.247299999999999</v>
      </c>
    </row>
    <row r="11254" spans="1:2">
      <c r="A11254" s="117">
        <v>44808</v>
      </c>
      <c r="B11254">
        <v>20.247299999999999</v>
      </c>
    </row>
    <row r="11255" spans="1:2">
      <c r="A11255" s="117">
        <v>44809</v>
      </c>
      <c r="B11255">
        <v>20.247299999999999</v>
      </c>
    </row>
    <row r="11256" spans="1:2">
      <c r="A11256" s="117">
        <v>44810</v>
      </c>
      <c r="B11256">
        <v>19.975300000000001</v>
      </c>
    </row>
    <row r="11257" spans="1:2">
      <c r="A11257" s="117">
        <v>44811</v>
      </c>
      <c r="B11257">
        <v>19.962</v>
      </c>
    </row>
    <row r="11258" spans="1:2">
      <c r="A11258" s="117">
        <v>44812</v>
      </c>
      <c r="B11258">
        <v>20.138000000000002</v>
      </c>
    </row>
    <row r="11259" spans="1:2">
      <c r="A11259" s="117">
        <v>44813</v>
      </c>
      <c r="B11259">
        <v>20.029699999999998</v>
      </c>
    </row>
    <row r="11260" spans="1:2">
      <c r="A11260" s="117">
        <v>44814</v>
      </c>
      <c r="B11260">
        <v>20.020299999999999</v>
      </c>
    </row>
    <row r="11261" spans="1:2">
      <c r="A11261" s="117">
        <v>44815</v>
      </c>
      <c r="B11261">
        <v>20.020299999999999</v>
      </c>
    </row>
    <row r="11262" spans="1:2">
      <c r="A11262" s="117">
        <v>44816</v>
      </c>
      <c r="B11262">
        <v>20.020299999999999</v>
      </c>
    </row>
    <row r="11263" spans="1:2">
      <c r="A11263" s="117">
        <v>44817</v>
      </c>
      <c r="B11263">
        <v>19.902699999999999</v>
      </c>
    </row>
    <row r="11264" spans="1:2">
      <c r="A11264" s="117">
        <v>44818</v>
      </c>
      <c r="B11264">
        <v>19.7957</v>
      </c>
    </row>
    <row r="11265" spans="1:2">
      <c r="A11265" s="117">
        <v>44819</v>
      </c>
      <c r="B11265">
        <v>20.055</v>
      </c>
    </row>
    <row r="11266" spans="1:2">
      <c r="A11266" s="117">
        <v>44820</v>
      </c>
      <c r="B11266">
        <v>19.976800000000001</v>
      </c>
    </row>
    <row r="11267" spans="1:2">
      <c r="A11267" s="117">
        <v>44821</v>
      </c>
      <c r="B11267">
        <v>19.976800000000001</v>
      </c>
    </row>
    <row r="11268" spans="1:2">
      <c r="A11268" s="117">
        <v>44822</v>
      </c>
      <c r="B11268">
        <v>19.976800000000001</v>
      </c>
    </row>
    <row r="11269" spans="1:2">
      <c r="A11269" s="117">
        <v>44823</v>
      </c>
      <c r="B11269">
        <v>19.976800000000001</v>
      </c>
    </row>
    <row r="11270" spans="1:2">
      <c r="A11270" s="117">
        <v>44824</v>
      </c>
      <c r="B11270">
        <v>20.052499999999998</v>
      </c>
    </row>
    <row r="11271" spans="1:2">
      <c r="A11271" s="117">
        <v>44825</v>
      </c>
      <c r="B11271">
        <v>19.994299999999999</v>
      </c>
    </row>
    <row r="11272" spans="1:2">
      <c r="A11272" s="117">
        <v>44826</v>
      </c>
      <c r="B11272">
        <v>20</v>
      </c>
    </row>
    <row r="11273" spans="1:2">
      <c r="A11273" s="117">
        <v>44827</v>
      </c>
      <c r="B11273">
        <v>20.002700000000001</v>
      </c>
    </row>
    <row r="11274" spans="1:2">
      <c r="A11274" s="117">
        <v>44828</v>
      </c>
      <c r="B11274">
        <v>19.960799999999999</v>
      </c>
    </row>
    <row r="11275" spans="1:2">
      <c r="A11275" s="117">
        <v>44829</v>
      </c>
      <c r="B11275">
        <v>19.960799999999999</v>
      </c>
    </row>
    <row r="11276" spans="1:2">
      <c r="A11276" s="117">
        <v>44830</v>
      </c>
      <c r="B11276">
        <v>19.960799999999999</v>
      </c>
    </row>
    <row r="11277" spans="1:2">
      <c r="A11277" s="117">
        <v>44831</v>
      </c>
      <c r="B11277">
        <v>20.162700000000001</v>
      </c>
    </row>
    <row r="11278" spans="1:2">
      <c r="A11278" s="117">
        <v>44832</v>
      </c>
      <c r="B11278">
        <v>20.351700000000001</v>
      </c>
    </row>
    <row r="11279" spans="1:2">
      <c r="A11279" s="117">
        <v>44833</v>
      </c>
      <c r="B11279">
        <v>20.356999999999999</v>
      </c>
    </row>
    <row r="11280" spans="1:2">
      <c r="A11280" s="117">
        <v>44834</v>
      </c>
      <c r="B11280">
        <v>20.305800000000001</v>
      </c>
    </row>
    <row r="11281" spans="1:2">
      <c r="A11281" s="117">
        <v>44835</v>
      </c>
      <c r="B11281">
        <v>20.192699999999999</v>
      </c>
    </row>
    <row r="11282" spans="1:2">
      <c r="A11282" s="117">
        <v>44836</v>
      </c>
      <c r="B11282">
        <v>20.192699999999999</v>
      </c>
    </row>
    <row r="11283" spans="1:2">
      <c r="A11283" s="117">
        <v>44837</v>
      </c>
      <c r="B11283">
        <v>20.192699999999999</v>
      </c>
    </row>
    <row r="11284" spans="1:2">
      <c r="A11284" s="117">
        <v>44838</v>
      </c>
      <c r="B11284">
        <v>20.092500000000001</v>
      </c>
    </row>
    <row r="11285" spans="1:2">
      <c r="A11285" s="117">
        <v>44839</v>
      </c>
      <c r="B11285">
        <v>20.000800000000002</v>
      </c>
    </row>
    <row r="11286" spans="1:2">
      <c r="A11286" s="117">
        <v>44840</v>
      </c>
      <c r="B11286">
        <v>19.969799999999999</v>
      </c>
    </row>
    <row r="11287" spans="1:2">
      <c r="A11287" s="117">
        <v>44841</v>
      </c>
      <c r="B11287">
        <v>20.1267</v>
      </c>
    </row>
    <row r="11288" spans="1:2">
      <c r="A11288" s="117">
        <v>44842</v>
      </c>
      <c r="B11288">
        <v>20.108699999999999</v>
      </c>
    </row>
    <row r="11289" spans="1:2">
      <c r="A11289" s="117">
        <v>44843</v>
      </c>
      <c r="B11289">
        <v>20.108699999999999</v>
      </c>
    </row>
    <row r="11290" spans="1:2">
      <c r="A11290" s="117">
        <v>44844</v>
      </c>
      <c r="B11290">
        <v>20.108699999999999</v>
      </c>
    </row>
    <row r="11291" spans="1:2">
      <c r="A11291" s="117">
        <v>44845</v>
      </c>
      <c r="B11291">
        <v>20.0502</v>
      </c>
    </row>
    <row r="11292" spans="1:2">
      <c r="A11292" s="117">
        <v>44846</v>
      </c>
      <c r="B11292">
        <v>19.975200000000001</v>
      </c>
    </row>
    <row r="11293" spans="1:2">
      <c r="A11293" s="117">
        <v>44847</v>
      </c>
      <c r="B11293">
        <v>19.965199999999999</v>
      </c>
    </row>
    <row r="11294" spans="1:2">
      <c r="A11294" s="117">
        <v>44848</v>
      </c>
      <c r="B11294">
        <v>20.0352</v>
      </c>
    </row>
    <row r="11295" spans="1:2">
      <c r="A11295" s="117">
        <v>44849</v>
      </c>
      <c r="B11295">
        <v>20.0398</v>
      </c>
    </row>
    <row r="11296" spans="1:2">
      <c r="A11296" s="117">
        <v>44850</v>
      </c>
      <c r="B11296">
        <v>20.0398</v>
      </c>
    </row>
    <row r="11297" spans="1:2">
      <c r="A11297" s="117">
        <v>44851</v>
      </c>
      <c r="B11297">
        <v>20.0398</v>
      </c>
    </row>
    <row r="11298" spans="1:2">
      <c r="A11298" s="117">
        <v>44852</v>
      </c>
      <c r="B11298">
        <v>20.0838</v>
      </c>
    </row>
    <row r="11299" spans="1:2">
      <c r="A11299" s="117">
        <v>44853</v>
      </c>
      <c r="B11299">
        <v>19.991299999999999</v>
      </c>
    </row>
    <row r="11300" spans="1:2">
      <c r="A11300" s="117">
        <v>44854</v>
      </c>
      <c r="B11300">
        <v>20.020700000000001</v>
      </c>
    </row>
    <row r="11301" spans="1:2">
      <c r="A11301" s="117">
        <v>44855</v>
      </c>
      <c r="B11301">
        <v>20.127199999999998</v>
      </c>
    </row>
    <row r="11302" spans="1:2">
      <c r="A11302" s="117">
        <v>44856</v>
      </c>
      <c r="B11302">
        <v>20.044799999999999</v>
      </c>
    </row>
    <row r="11303" spans="1:2">
      <c r="A11303" s="117">
        <v>44857</v>
      </c>
      <c r="B11303">
        <v>20.044799999999999</v>
      </c>
    </row>
    <row r="11304" spans="1:2">
      <c r="A11304" s="117">
        <v>44858</v>
      </c>
      <c r="B11304">
        <v>20.044799999999999</v>
      </c>
    </row>
    <row r="11305" spans="1:2">
      <c r="A11305" s="117">
        <v>44859</v>
      </c>
      <c r="B11305">
        <v>19.964700000000001</v>
      </c>
    </row>
    <row r="11306" spans="1:2">
      <c r="A11306" s="117">
        <v>44860</v>
      </c>
      <c r="B11306">
        <v>19.953499999999998</v>
      </c>
    </row>
    <row r="11307" spans="1:2">
      <c r="A11307" s="117">
        <v>44861</v>
      </c>
      <c r="B11307">
        <v>19.871200000000002</v>
      </c>
    </row>
    <row r="11308" spans="1:2">
      <c r="A11308" s="117">
        <v>44862</v>
      </c>
      <c r="B11308">
        <v>19.8553</v>
      </c>
    </row>
    <row r="11309" spans="1:2">
      <c r="A11309" s="117">
        <v>44863</v>
      </c>
      <c r="B11309">
        <v>19.836500000000001</v>
      </c>
    </row>
    <row r="11310" spans="1:2">
      <c r="A11310" s="117">
        <v>44864</v>
      </c>
      <c r="B11310">
        <v>19.836500000000001</v>
      </c>
    </row>
    <row r="11311" spans="1:2">
      <c r="A11311" s="117">
        <v>44865</v>
      </c>
      <c r="B11311">
        <v>19.836500000000001</v>
      </c>
    </row>
    <row r="11312" spans="1:2">
      <c r="A11312" s="117">
        <v>44866</v>
      </c>
      <c r="B11312">
        <v>19.830300000000001</v>
      </c>
    </row>
    <row r="11313" spans="1:2">
      <c r="A11313" s="117">
        <v>44867</v>
      </c>
      <c r="B11313">
        <v>19.8245</v>
      </c>
    </row>
    <row r="11314" spans="1:2">
      <c r="A11314" s="117">
        <v>44868</v>
      </c>
      <c r="B11314">
        <v>19.8245</v>
      </c>
    </row>
    <row r="11315" spans="1:2">
      <c r="A11315" s="117">
        <v>44869</v>
      </c>
      <c r="B11315">
        <v>19.746300000000002</v>
      </c>
    </row>
    <row r="11316" spans="1:2">
      <c r="A11316" s="117">
        <v>44870</v>
      </c>
      <c r="B11316">
        <v>19.667300000000001</v>
      </c>
    </row>
    <row r="11317" spans="1:2">
      <c r="A11317" s="117">
        <v>44871</v>
      </c>
      <c r="B11317">
        <v>19.667300000000001</v>
      </c>
    </row>
    <row r="11318" spans="1:2">
      <c r="A11318" s="117">
        <v>44872</v>
      </c>
      <c r="B11318">
        <v>19.667300000000001</v>
      </c>
    </row>
    <row r="11319" spans="1:2">
      <c r="A11319" s="117">
        <v>44873</v>
      </c>
      <c r="B11319">
        <v>19.520199999999999</v>
      </c>
    </row>
    <row r="11320" spans="1:2">
      <c r="A11320" s="117">
        <v>44874</v>
      </c>
      <c r="B11320">
        <v>19.464700000000001</v>
      </c>
    </row>
    <row r="11321" spans="1:2">
      <c r="A11321" s="117">
        <v>44875</v>
      </c>
      <c r="B11321">
        <v>19.477499999999999</v>
      </c>
    </row>
    <row r="11322" spans="1:2">
      <c r="A11322" s="117">
        <v>44876</v>
      </c>
      <c r="B11322">
        <v>19.588699999999999</v>
      </c>
    </row>
    <row r="11323" spans="1:2">
      <c r="A11323" s="117">
        <v>44877</v>
      </c>
      <c r="B11323">
        <v>19.393999999999998</v>
      </c>
    </row>
    <row r="11324" spans="1:2">
      <c r="A11324" s="117">
        <v>44878</v>
      </c>
      <c r="B11324">
        <v>19.393999999999998</v>
      </c>
    </row>
    <row r="11325" spans="1:2">
      <c r="A11325" s="117">
        <v>44879</v>
      </c>
      <c r="B11325">
        <v>19.393999999999998</v>
      </c>
    </row>
    <row r="11326" spans="1:2">
      <c r="A11326" s="117">
        <v>44880</v>
      </c>
      <c r="B11326">
        <v>19.535299999999999</v>
      </c>
    </row>
    <row r="11327" spans="1:2">
      <c r="A11327" s="117">
        <v>44881</v>
      </c>
      <c r="B11327">
        <v>19.401499999999999</v>
      </c>
    </row>
    <row r="11328" spans="1:2">
      <c r="A11328" s="117">
        <v>44882</v>
      </c>
      <c r="B11328">
        <v>19.381799999999998</v>
      </c>
    </row>
    <row r="11329" spans="1:2">
      <c r="A11329" s="117">
        <v>44883</v>
      </c>
      <c r="B11329">
        <v>19.313700000000001</v>
      </c>
    </row>
    <row r="11330" spans="1:2">
      <c r="A11330" s="117">
        <v>44884</v>
      </c>
      <c r="B11330">
        <v>19.433299999999999</v>
      </c>
    </row>
    <row r="11331" spans="1:2">
      <c r="A11331" s="117">
        <v>44885</v>
      </c>
      <c r="B11331">
        <v>19.433299999999999</v>
      </c>
    </row>
    <row r="11332" spans="1:2">
      <c r="A11332" s="117">
        <v>44886</v>
      </c>
      <c r="B11332">
        <v>19.433299999999999</v>
      </c>
    </row>
    <row r="11333" spans="1:2">
      <c r="A11333" s="117">
        <v>44887</v>
      </c>
      <c r="B11333">
        <v>19.433299999999999</v>
      </c>
    </row>
    <row r="11334" spans="1:2">
      <c r="A11334" s="117">
        <v>44888</v>
      </c>
      <c r="B11334">
        <v>19.492999999999999</v>
      </c>
    </row>
    <row r="11335" spans="1:2">
      <c r="A11335" s="117">
        <v>44889</v>
      </c>
      <c r="B11335">
        <v>19.466699999999999</v>
      </c>
    </row>
    <row r="11336" spans="1:2">
      <c r="A11336" s="117">
        <v>44890</v>
      </c>
      <c r="B11336">
        <v>19.368300000000001</v>
      </c>
    </row>
    <row r="11337" spans="1:2">
      <c r="A11337" s="117">
        <v>44891</v>
      </c>
      <c r="B11337">
        <v>19.369199999999999</v>
      </c>
    </row>
    <row r="11338" spans="1:2">
      <c r="A11338" s="117">
        <v>44892</v>
      </c>
      <c r="B11338">
        <v>19.369199999999999</v>
      </c>
    </row>
    <row r="11339" spans="1:2">
      <c r="A11339" s="117">
        <v>44893</v>
      </c>
      <c r="B11339">
        <v>19.369199999999999</v>
      </c>
    </row>
    <row r="11340" spans="1:2">
      <c r="A11340" s="117">
        <v>44894</v>
      </c>
      <c r="B11340">
        <v>19.339300000000001</v>
      </c>
    </row>
    <row r="11341" spans="1:2">
      <c r="A11341" s="117">
        <v>44895</v>
      </c>
      <c r="B11341">
        <v>19.324999999999999</v>
      </c>
    </row>
    <row r="11342" spans="1:2">
      <c r="A11342" s="117">
        <v>44896</v>
      </c>
      <c r="B11342">
        <v>19.216000000000001</v>
      </c>
    </row>
    <row r="11343" spans="1:2">
      <c r="A11343" s="117">
        <v>44897</v>
      </c>
      <c r="B11343">
        <v>19.3965</v>
      </c>
    </row>
    <row r="11344" spans="1:2">
      <c r="A11344" s="117">
        <v>44898</v>
      </c>
      <c r="B11344">
        <v>19.1433</v>
      </c>
    </row>
    <row r="11345" spans="1:2">
      <c r="A11345" s="117">
        <v>44899</v>
      </c>
      <c r="B11345">
        <v>19.1433</v>
      </c>
    </row>
    <row r="11346" spans="1:2">
      <c r="A11346" s="117">
        <v>44900</v>
      </c>
      <c r="B11346">
        <v>19.1433</v>
      </c>
    </row>
    <row r="11347" spans="1:2">
      <c r="A11347" s="117">
        <v>44901</v>
      </c>
      <c r="B11347">
        <v>19.342199999999998</v>
      </c>
    </row>
    <row r="11348" spans="1:2">
      <c r="A11348" s="117">
        <v>44902</v>
      </c>
      <c r="B11348">
        <v>19.756699999999999</v>
      </c>
    </row>
    <row r="11349" spans="1:2">
      <c r="A11349" s="117">
        <v>44903</v>
      </c>
      <c r="B11349">
        <v>19.803000000000001</v>
      </c>
    </row>
    <row r="11350" spans="1:2">
      <c r="A11350" s="117">
        <v>44904</v>
      </c>
      <c r="B11350">
        <v>19.697700000000001</v>
      </c>
    </row>
    <row r="11351" spans="1:2">
      <c r="A11351" s="117">
        <v>44905</v>
      </c>
      <c r="B11351">
        <v>19.673200000000001</v>
      </c>
    </row>
    <row r="11352" spans="1:2">
      <c r="A11352" s="117">
        <v>44906</v>
      </c>
      <c r="B11352">
        <v>19.673200000000001</v>
      </c>
    </row>
    <row r="11353" spans="1:2">
      <c r="A11353" s="117">
        <v>44907</v>
      </c>
      <c r="B11353">
        <v>19.673200000000001</v>
      </c>
    </row>
    <row r="11354" spans="1:2">
      <c r="A11354" s="117">
        <v>44908</v>
      </c>
      <c r="B11354">
        <v>19.673200000000001</v>
      </c>
    </row>
    <row r="11355" spans="1:2">
      <c r="A11355" s="117">
        <v>44909</v>
      </c>
      <c r="B11355">
        <v>19.819199999999999</v>
      </c>
    </row>
    <row r="11356" spans="1:2">
      <c r="A11356" s="117">
        <v>44910</v>
      </c>
      <c r="B11356">
        <v>19.645800000000001</v>
      </c>
    </row>
    <row r="11357" spans="1:2">
      <c r="A11357" s="117">
        <v>44911</v>
      </c>
      <c r="B11357">
        <v>19.695499999999999</v>
      </c>
    </row>
    <row r="11358" spans="1:2">
      <c r="A11358" s="117">
        <v>44912</v>
      </c>
      <c r="B11358">
        <v>19.796299999999999</v>
      </c>
    </row>
    <row r="11359" spans="1:2">
      <c r="A11359" s="117">
        <v>44913</v>
      </c>
      <c r="B11359">
        <v>19.796299999999999</v>
      </c>
    </row>
    <row r="11360" spans="1:2">
      <c r="A11360" s="117">
        <v>44914</v>
      </c>
      <c r="B11360">
        <v>19.796299999999999</v>
      </c>
    </row>
    <row r="11361" spans="1:2">
      <c r="A11361" s="117">
        <v>44915</v>
      </c>
      <c r="B11361">
        <v>19.793199999999999</v>
      </c>
    </row>
    <row r="11362" spans="1:2">
      <c r="A11362" s="117">
        <v>44916</v>
      </c>
      <c r="B11362">
        <v>19.755700000000001</v>
      </c>
    </row>
    <row r="11363" spans="1:2">
      <c r="A11363" s="117">
        <v>44917</v>
      </c>
      <c r="B11363">
        <v>19.748200000000001</v>
      </c>
    </row>
    <row r="11364" spans="1:2">
      <c r="A11364" s="117">
        <v>44918</v>
      </c>
      <c r="B11364">
        <v>19.693200000000001</v>
      </c>
    </row>
    <row r="11365" spans="1:2">
      <c r="A11365" s="117">
        <v>44919</v>
      </c>
      <c r="B11365">
        <v>19.574000000000002</v>
      </c>
    </row>
    <row r="11366" spans="1:2">
      <c r="A11366" s="117">
        <v>44920</v>
      </c>
      <c r="B11366">
        <v>19.574000000000002</v>
      </c>
    </row>
    <row r="11367" spans="1:2">
      <c r="A11367" s="117">
        <v>44921</v>
      </c>
      <c r="B11367">
        <v>19.574000000000002</v>
      </c>
    </row>
    <row r="11368" spans="1:2">
      <c r="A11368" s="117">
        <v>44922</v>
      </c>
      <c r="B11368">
        <v>19.428699999999999</v>
      </c>
    </row>
    <row r="11369" spans="1:2">
      <c r="A11369" s="117">
        <v>44923</v>
      </c>
      <c r="B11369">
        <v>19.398299999999999</v>
      </c>
    </row>
    <row r="11370" spans="1:2">
      <c r="A11370" s="117">
        <v>44924</v>
      </c>
      <c r="B11370">
        <v>19.4407</v>
      </c>
    </row>
    <row r="11371" spans="1:2">
      <c r="A11371" s="117">
        <v>44925</v>
      </c>
      <c r="B11371">
        <v>19.414300000000001</v>
      </c>
    </row>
    <row r="11372" spans="1:2">
      <c r="A11372" s="117">
        <v>44926</v>
      </c>
      <c r="B11372">
        <v>19.361499999999999</v>
      </c>
    </row>
    <row r="11373" spans="1:2">
      <c r="A11373" s="117">
        <v>44927</v>
      </c>
      <c r="B11373">
        <v>19.361499999999999</v>
      </c>
    </row>
    <row r="11374" spans="1:2">
      <c r="A11374" s="117">
        <v>44928</v>
      </c>
      <c r="B11374">
        <v>19.361499999999999</v>
      </c>
    </row>
    <row r="11375" spans="1:2">
      <c r="A11375" s="117">
        <v>44929</v>
      </c>
      <c r="B11375">
        <v>19.471499999999999</v>
      </c>
    </row>
    <row r="11376" spans="1:2">
      <c r="A11376" s="117">
        <v>44930</v>
      </c>
      <c r="B11376">
        <v>19.488299999999999</v>
      </c>
    </row>
    <row r="11377" spans="1:2">
      <c r="A11377" s="117">
        <v>44931</v>
      </c>
      <c r="B11377">
        <v>19.422000000000001</v>
      </c>
    </row>
    <row r="11378" spans="1:2">
      <c r="A11378" s="117">
        <v>44932</v>
      </c>
      <c r="B11378">
        <v>19.3568</v>
      </c>
    </row>
    <row r="11379" spans="1:2">
      <c r="A11379" s="117">
        <v>44933</v>
      </c>
      <c r="B11379">
        <v>19.3672</v>
      </c>
    </row>
    <row r="11380" spans="1:2">
      <c r="A11380" s="117">
        <v>44934</v>
      </c>
      <c r="B11380">
        <v>19.3672</v>
      </c>
    </row>
    <row r="11381" spans="1:2">
      <c r="A11381" s="117">
        <v>44935</v>
      </c>
      <c r="B11381">
        <v>19.3672</v>
      </c>
    </row>
    <row r="11382" spans="1:2">
      <c r="A11382" s="117">
        <v>44936</v>
      </c>
      <c r="B11382">
        <v>19.1753</v>
      </c>
    </row>
    <row r="11383" spans="1:2">
      <c r="A11383" s="117">
        <v>44937</v>
      </c>
      <c r="B11383">
        <v>19.1648</v>
      </c>
    </row>
    <row r="11384" spans="1:2">
      <c r="A11384" s="117">
        <v>44938</v>
      </c>
      <c r="B11384">
        <v>19.110800000000001</v>
      </c>
    </row>
    <row r="11385" spans="1:2">
      <c r="A11385" s="117">
        <v>44939</v>
      </c>
      <c r="B11385">
        <v>19.026</v>
      </c>
    </row>
    <row r="11386" spans="1:2">
      <c r="A11386" s="117">
        <v>44940</v>
      </c>
      <c r="B11386">
        <v>18.8735</v>
      </c>
    </row>
    <row r="11387" spans="1:2">
      <c r="A11387" s="117">
        <v>44941</v>
      </c>
      <c r="B11387">
        <v>18.8735</v>
      </c>
    </row>
    <row r="11388" spans="1:2">
      <c r="A11388" s="117">
        <v>44942</v>
      </c>
      <c r="B11388">
        <v>18.8735</v>
      </c>
    </row>
    <row r="11389" spans="1:2">
      <c r="A11389" s="117">
        <v>44943</v>
      </c>
      <c r="B11389">
        <v>18.792200000000001</v>
      </c>
    </row>
    <row r="11390" spans="1:2">
      <c r="A11390" s="117">
        <v>44944</v>
      </c>
      <c r="B11390">
        <v>18.7913</v>
      </c>
    </row>
    <row r="11391" spans="1:2">
      <c r="A11391" s="117">
        <v>44945</v>
      </c>
      <c r="B11391">
        <v>18.749300000000002</v>
      </c>
    </row>
    <row r="11392" spans="1:2">
      <c r="A11392" s="117">
        <v>44946</v>
      </c>
      <c r="B11392">
        <v>18.749300000000002</v>
      </c>
    </row>
    <row r="11393" spans="1:2">
      <c r="A11393" s="117">
        <v>44947</v>
      </c>
      <c r="B11393">
        <v>19.032699999999998</v>
      </c>
    </row>
    <row r="11394" spans="1:2">
      <c r="A11394" s="117">
        <v>44948</v>
      </c>
      <c r="B11394">
        <v>19.032699999999998</v>
      </c>
    </row>
    <row r="11395" spans="1:2">
      <c r="A11395" s="117">
        <v>44949</v>
      </c>
      <c r="B11395">
        <v>19.032699999999998</v>
      </c>
    </row>
    <row r="11396" spans="1:2">
      <c r="A11396" s="117">
        <v>44950</v>
      </c>
      <c r="B11396">
        <v>18.925699999999999</v>
      </c>
    </row>
    <row r="11397" spans="1:2">
      <c r="A11397" s="117">
        <v>44951</v>
      </c>
      <c r="B11397">
        <v>18.826699999999999</v>
      </c>
    </row>
    <row r="11398" spans="1:2">
      <c r="A11398" s="117">
        <v>44952</v>
      </c>
      <c r="B11398">
        <v>18.831800000000001</v>
      </c>
    </row>
    <row r="11399" spans="1:2">
      <c r="A11399" s="117">
        <v>44953</v>
      </c>
      <c r="B11399">
        <v>18.82</v>
      </c>
    </row>
    <row r="11400" spans="1:2">
      <c r="A11400" s="117">
        <v>44954</v>
      </c>
      <c r="B11400">
        <v>18.8355</v>
      </c>
    </row>
    <row r="11401" spans="1:2">
      <c r="A11401" s="117">
        <v>44955</v>
      </c>
      <c r="B11401">
        <v>18.8355</v>
      </c>
    </row>
    <row r="11402" spans="1:2">
      <c r="A11402" s="117">
        <v>44956</v>
      </c>
      <c r="B11402">
        <v>18.8355</v>
      </c>
    </row>
    <row r="11403" spans="1:2">
      <c r="A11403" s="117">
        <v>44957</v>
      </c>
      <c r="B11403">
        <v>18.787199999999999</v>
      </c>
    </row>
    <row r="11404" spans="1:2">
      <c r="A11404" s="117">
        <v>44958</v>
      </c>
      <c r="B11404">
        <v>18.779299999999999</v>
      </c>
    </row>
    <row r="11405" spans="1:2">
      <c r="A11405" s="117">
        <v>44959</v>
      </c>
      <c r="B11405">
        <v>18.793700000000001</v>
      </c>
    </row>
    <row r="11406" spans="1:2">
      <c r="A11406" s="117">
        <v>44960</v>
      </c>
      <c r="B11406">
        <v>18.739000000000001</v>
      </c>
    </row>
    <row r="11407" spans="1:2">
      <c r="A11407" s="117">
        <v>44961</v>
      </c>
      <c r="B11407">
        <v>18.623200000000001</v>
      </c>
    </row>
    <row r="11408" spans="1:2">
      <c r="A11408" s="117">
        <v>44962</v>
      </c>
      <c r="B11408">
        <v>18.623200000000001</v>
      </c>
    </row>
    <row r="11409" spans="1:2">
      <c r="A11409" s="117">
        <v>44963</v>
      </c>
      <c r="B11409">
        <v>18.623200000000001</v>
      </c>
    </row>
    <row r="11410" spans="1:2">
      <c r="A11410" s="117">
        <v>44964</v>
      </c>
      <c r="B11410">
        <v>18.623200000000001</v>
      </c>
    </row>
    <row r="11411" spans="1:2">
      <c r="A11411" s="117">
        <v>44965</v>
      </c>
      <c r="B11411">
        <v>18.889500000000002</v>
      </c>
    </row>
    <row r="11412" spans="1:2">
      <c r="A11412" s="117">
        <v>44966</v>
      </c>
      <c r="B11412">
        <v>19.0517</v>
      </c>
    </row>
    <row r="11413" spans="1:2">
      <c r="A11413" s="117">
        <v>44967</v>
      </c>
      <c r="B11413">
        <v>18.9435</v>
      </c>
    </row>
    <row r="11414" spans="1:2">
      <c r="A11414" s="117">
        <v>44968</v>
      </c>
      <c r="B11414">
        <v>18.9543</v>
      </c>
    </row>
    <row r="11415" spans="1:2">
      <c r="A11415" s="117">
        <v>44969</v>
      </c>
      <c r="B11415">
        <v>18.9543</v>
      </c>
    </row>
    <row r="11416" spans="1:2">
      <c r="A11416" s="117">
        <v>44970</v>
      </c>
      <c r="B11416">
        <v>18.9543</v>
      </c>
    </row>
    <row r="11417" spans="1:2">
      <c r="A11417" s="117">
        <v>44971</v>
      </c>
      <c r="B11417">
        <v>18.689299999999999</v>
      </c>
    </row>
    <row r="11418" spans="1:2">
      <c r="A11418" s="117">
        <v>44972</v>
      </c>
      <c r="B11418">
        <v>18.6327</v>
      </c>
    </row>
    <row r="11419" spans="1:2">
      <c r="A11419" s="117">
        <v>44973</v>
      </c>
      <c r="B11419">
        <v>18.5383</v>
      </c>
    </row>
    <row r="11420" spans="1:2">
      <c r="A11420" s="117">
        <v>44974</v>
      </c>
      <c r="B11420">
        <v>18.642800000000001</v>
      </c>
    </row>
    <row r="11421" spans="1:2">
      <c r="A11421" s="117">
        <v>44975</v>
      </c>
      <c r="B11421">
        <v>18.549700000000001</v>
      </c>
    </row>
    <row r="11422" spans="1:2">
      <c r="A11422" s="117">
        <v>44976</v>
      </c>
      <c r="B11422">
        <v>18.549700000000001</v>
      </c>
    </row>
    <row r="11423" spans="1:2">
      <c r="A11423" s="117">
        <v>44977</v>
      </c>
      <c r="B11423">
        <v>18.549700000000001</v>
      </c>
    </row>
    <row r="11424" spans="1:2">
      <c r="A11424" s="117">
        <v>44978</v>
      </c>
      <c r="B11424">
        <v>18.414200000000001</v>
      </c>
    </row>
    <row r="11425" spans="1:2">
      <c r="A11425" s="117">
        <v>44979</v>
      </c>
      <c r="B11425">
        <v>18.396999999999998</v>
      </c>
    </row>
    <row r="11426" spans="1:2">
      <c r="A11426" s="117">
        <v>44980</v>
      </c>
      <c r="B11426">
        <v>18.393799999999999</v>
      </c>
    </row>
    <row r="11427" spans="1:2">
      <c r="A11427" s="117">
        <v>44981</v>
      </c>
      <c r="B11427">
        <v>18.348299999999998</v>
      </c>
    </row>
    <row r="11428" spans="1:2">
      <c r="A11428" s="117">
        <v>44982</v>
      </c>
      <c r="B11428">
        <v>18.410699999999999</v>
      </c>
    </row>
    <row r="11429" spans="1:2">
      <c r="A11429" s="117">
        <v>44983</v>
      </c>
      <c r="B11429">
        <v>18.410699999999999</v>
      </c>
    </row>
    <row r="11430" spans="1:2">
      <c r="A11430" s="117">
        <v>44984</v>
      </c>
      <c r="B11430">
        <v>18.410699999999999</v>
      </c>
    </row>
    <row r="11431" spans="1:2">
      <c r="A11431" s="117">
        <v>44985</v>
      </c>
      <c r="B11431">
        <v>18.4023</v>
      </c>
    </row>
    <row r="11432" spans="1:2">
      <c r="A11432" s="117">
        <v>44986</v>
      </c>
      <c r="B11432">
        <v>18.407699999999998</v>
      </c>
    </row>
    <row r="11433" spans="1:2">
      <c r="A11433" s="117">
        <v>44987</v>
      </c>
      <c r="B11433">
        <v>18.344799999999999</v>
      </c>
    </row>
    <row r="11434" spans="1:2">
      <c r="A11434" s="117">
        <v>44988</v>
      </c>
      <c r="B11434">
        <v>18.170000000000002</v>
      </c>
    </row>
    <row r="11435" spans="1:2">
      <c r="A11435" s="117">
        <v>44989</v>
      </c>
      <c r="B11435">
        <v>18.126000000000001</v>
      </c>
    </row>
    <row r="11436" spans="1:2">
      <c r="A11436" s="117">
        <v>44990</v>
      </c>
      <c r="B11436">
        <v>18.126000000000001</v>
      </c>
    </row>
    <row r="11437" spans="1:2">
      <c r="A11437" s="117">
        <v>44991</v>
      </c>
      <c r="B11437">
        <v>18.126000000000001</v>
      </c>
    </row>
    <row r="11438" spans="1:2">
      <c r="A11438" s="117">
        <v>44992</v>
      </c>
      <c r="B11438">
        <v>18.0123</v>
      </c>
    </row>
    <row r="11439" spans="1:2">
      <c r="A11439" s="117">
        <v>44993</v>
      </c>
      <c r="B11439">
        <v>18.0122</v>
      </c>
    </row>
    <row r="11440" spans="1:2">
      <c r="A11440" s="117">
        <v>44994</v>
      </c>
      <c r="B11440">
        <v>18.115500000000001</v>
      </c>
    </row>
    <row r="11441" spans="1:2">
      <c r="A11441" s="117">
        <v>44995</v>
      </c>
      <c r="B11441">
        <v>17.966200000000001</v>
      </c>
    </row>
    <row r="11442" spans="1:2">
      <c r="A11442" s="117">
        <v>44996</v>
      </c>
      <c r="B11442">
        <v>18.057700000000001</v>
      </c>
    </row>
    <row r="11443" spans="1:2">
      <c r="A11443" s="117">
        <v>44997</v>
      </c>
      <c r="B11443">
        <v>18.057700000000001</v>
      </c>
    </row>
    <row r="11444" spans="1:2">
      <c r="A11444" s="117">
        <v>44998</v>
      </c>
      <c r="B11444">
        <v>18.057700000000001</v>
      </c>
    </row>
    <row r="11445" spans="1:2">
      <c r="A11445" s="117">
        <v>44999</v>
      </c>
      <c r="B11445">
        <v>18.408300000000001</v>
      </c>
    </row>
    <row r="11446" spans="1:2">
      <c r="A11446" s="117">
        <v>45000</v>
      </c>
      <c r="B11446">
        <v>18.830200000000001</v>
      </c>
    </row>
    <row r="11447" spans="1:2">
      <c r="A11447" s="117">
        <v>45001</v>
      </c>
      <c r="B11447">
        <v>18.642700000000001</v>
      </c>
    </row>
    <row r="11448" spans="1:2">
      <c r="A11448" s="117">
        <v>45002</v>
      </c>
      <c r="B11448">
        <v>18.997199999999999</v>
      </c>
    </row>
    <row r="11449" spans="1:2">
      <c r="A11449" s="117">
        <v>45003</v>
      </c>
      <c r="B11449">
        <v>18.909500000000001</v>
      </c>
    </row>
    <row r="11450" spans="1:2">
      <c r="A11450" s="117">
        <v>45004</v>
      </c>
      <c r="B11450">
        <v>18.909500000000001</v>
      </c>
    </row>
    <row r="11451" spans="1:2">
      <c r="A11451" s="117">
        <v>45005</v>
      </c>
      <c r="B11451">
        <v>18.909500000000001</v>
      </c>
    </row>
    <row r="11452" spans="1:2">
      <c r="A11452" s="117">
        <v>45006</v>
      </c>
      <c r="B11452">
        <v>18.909500000000001</v>
      </c>
    </row>
    <row r="11453" spans="1:2">
      <c r="A11453" s="117">
        <v>45007</v>
      </c>
      <c r="B11453">
        <v>18.8977</v>
      </c>
    </row>
    <row r="11454" spans="1:2">
      <c r="A11454" s="117">
        <v>45008</v>
      </c>
      <c r="B11454">
        <v>18.6755</v>
      </c>
    </row>
    <row r="11455" spans="1:2">
      <c r="A11455" s="117">
        <v>45009</v>
      </c>
      <c r="B11455">
        <v>18.543700000000001</v>
      </c>
    </row>
    <row r="11456" spans="1:2">
      <c r="A11456" s="117">
        <v>45010</v>
      </c>
      <c r="B11456">
        <v>18.490200000000002</v>
      </c>
    </row>
    <row r="11457" spans="1:2">
      <c r="A11457" s="117">
        <v>45011</v>
      </c>
      <c r="B11457">
        <v>18.490200000000002</v>
      </c>
    </row>
    <row r="11458" spans="1:2">
      <c r="A11458" s="117">
        <v>45012</v>
      </c>
      <c r="B11458">
        <v>18.490200000000002</v>
      </c>
    </row>
    <row r="11459" spans="1:2">
      <c r="A11459" s="117">
        <v>45013</v>
      </c>
      <c r="B11459">
        <v>18.517800000000001</v>
      </c>
    </row>
    <row r="11460" spans="1:2">
      <c r="A11460" s="117">
        <v>45014</v>
      </c>
      <c r="B11460">
        <v>18.382999999999999</v>
      </c>
    </row>
    <row r="11461" spans="1:2">
      <c r="A11461" s="117">
        <v>45015</v>
      </c>
      <c r="B11461">
        <v>18.252300000000002</v>
      </c>
    </row>
    <row r="11462" spans="1:2">
      <c r="A11462" s="117">
        <v>45016</v>
      </c>
      <c r="B11462">
        <v>18.1052</v>
      </c>
    </row>
    <row r="11463" spans="1:2">
      <c r="A11463" s="117">
        <v>45017</v>
      </c>
      <c r="B11463">
        <v>18.0932</v>
      </c>
    </row>
    <row r="11464" spans="1:2">
      <c r="A11464" s="117">
        <v>45018</v>
      </c>
      <c r="B11464">
        <v>18.0932</v>
      </c>
    </row>
    <row r="11465" spans="1:2">
      <c r="A11465" s="117">
        <v>45019</v>
      </c>
      <c r="B11465">
        <v>18.0932</v>
      </c>
    </row>
    <row r="11466" spans="1:2">
      <c r="A11466" s="117">
        <v>45020</v>
      </c>
      <c r="B11466">
        <v>18.041499999999999</v>
      </c>
    </row>
    <row r="11467" spans="1:2">
      <c r="A11467" s="117">
        <v>45021</v>
      </c>
      <c r="B11467">
        <v>18.106999999999999</v>
      </c>
    </row>
    <row r="11468" spans="1:2">
      <c r="A11468" s="117">
        <v>45022</v>
      </c>
      <c r="B11468">
        <v>18.118500000000001</v>
      </c>
    </row>
    <row r="11469" spans="1:2">
      <c r="A11469" s="117">
        <v>45023</v>
      </c>
      <c r="B11469">
        <v>18.118500000000001</v>
      </c>
    </row>
    <row r="11470" spans="1:2">
      <c r="A11470" s="117">
        <v>45024</v>
      </c>
      <c r="B11470">
        <v>18.118500000000001</v>
      </c>
    </row>
    <row r="11471" spans="1:2">
      <c r="A11471" s="117">
        <v>45025</v>
      </c>
      <c r="B11471">
        <v>18.118500000000001</v>
      </c>
    </row>
    <row r="11472" spans="1:2">
      <c r="A11472" s="117">
        <v>45026</v>
      </c>
      <c r="B11472">
        <v>18.118500000000001</v>
      </c>
    </row>
    <row r="11473" spans="1:2">
      <c r="A11473" s="117">
        <v>45027</v>
      </c>
      <c r="B11473">
        <v>18.3323</v>
      </c>
    </row>
    <row r="11474" spans="1:2">
      <c r="A11474" s="117">
        <v>45028</v>
      </c>
      <c r="B11474">
        <v>18.176500000000001</v>
      </c>
    </row>
    <row r="11475" spans="1:2">
      <c r="A11475" s="117">
        <v>45029</v>
      </c>
      <c r="B11475">
        <v>18.187000000000001</v>
      </c>
    </row>
    <row r="11476" spans="1:2">
      <c r="A11476" s="117">
        <v>45030</v>
      </c>
      <c r="B11476">
        <v>18.065999999999999</v>
      </c>
    </row>
    <row r="11477" spans="1:2">
      <c r="A11477" s="117">
        <v>45031</v>
      </c>
      <c r="B11477">
        <v>18.0152</v>
      </c>
    </row>
    <row r="11478" spans="1:2">
      <c r="A11478" s="117">
        <v>45032</v>
      </c>
      <c r="B11478">
        <v>18.0152</v>
      </c>
    </row>
    <row r="11479" spans="1:2">
      <c r="A11479" s="117">
        <v>45033</v>
      </c>
      <c r="B11479">
        <v>18.0152</v>
      </c>
    </row>
    <row r="11480" spans="1:2">
      <c r="A11480" s="117">
        <v>45034</v>
      </c>
      <c r="B11480">
        <v>18.063800000000001</v>
      </c>
    </row>
    <row r="11481" spans="1:2">
      <c r="A11481" s="117">
        <v>45035</v>
      </c>
      <c r="B11481">
        <v>18.0868</v>
      </c>
    </row>
    <row r="11482" spans="1:2">
      <c r="A11482" s="117">
        <v>45036</v>
      </c>
      <c r="B11482">
        <v>18.062999999999999</v>
      </c>
    </row>
    <row r="11483" spans="1:2">
      <c r="A11483" s="117">
        <v>45037</v>
      </c>
      <c r="B11483">
        <v>18.044799999999999</v>
      </c>
    </row>
    <row r="11484" spans="1:2">
      <c r="A11484" s="117">
        <v>45038</v>
      </c>
      <c r="B11484">
        <v>18.009</v>
      </c>
    </row>
    <row r="11485" spans="1:2">
      <c r="A11485" s="117">
        <v>45039</v>
      </c>
      <c r="B11485">
        <v>18.009</v>
      </c>
    </row>
    <row r="11486" spans="1:2">
      <c r="A11486" s="117">
        <v>45040</v>
      </c>
      <c r="B11486">
        <v>18.009</v>
      </c>
    </row>
    <row r="11487" spans="1:2">
      <c r="A11487" s="117">
        <v>45041</v>
      </c>
      <c r="B11487">
        <v>17.998799999999999</v>
      </c>
    </row>
    <row r="11488" spans="1:2">
      <c r="A11488" s="117">
        <v>45042</v>
      </c>
      <c r="B11488">
        <v>18.008199999999999</v>
      </c>
    </row>
    <row r="11489" spans="1:2">
      <c r="A11489" s="117">
        <v>45043</v>
      </c>
      <c r="B11489">
        <v>18.089200000000002</v>
      </c>
    </row>
    <row r="11490" spans="1:2">
      <c r="A11490" s="117">
        <v>45044</v>
      </c>
      <c r="B11490">
        <v>18.103000000000002</v>
      </c>
    </row>
    <row r="11491" spans="1:2">
      <c r="A11491" s="117">
        <v>45045</v>
      </c>
      <c r="B11491">
        <v>18.072299999999998</v>
      </c>
    </row>
    <row r="11492" spans="1:2">
      <c r="A11492" s="117">
        <v>45046</v>
      </c>
      <c r="B11492">
        <v>18.072299999999998</v>
      </c>
    </row>
    <row r="11493" spans="1:2">
      <c r="A11493" s="117">
        <v>45047</v>
      </c>
      <c r="B11493">
        <v>18.072299999999998</v>
      </c>
    </row>
    <row r="11494" spans="1:2">
      <c r="A11494" s="117">
        <v>45048</v>
      </c>
      <c r="B11494">
        <v>18.072299999999998</v>
      </c>
    </row>
    <row r="11495" spans="1:2">
      <c r="A11495" s="117">
        <v>45049</v>
      </c>
      <c r="B11495">
        <v>17.997499999999999</v>
      </c>
    </row>
    <row r="11496" spans="1:2">
      <c r="A11496" s="117">
        <v>45050</v>
      </c>
      <c r="B11496">
        <v>18.032499999999999</v>
      </c>
    </row>
    <row r="11497" spans="1:2">
      <c r="A11497" s="117">
        <v>45051</v>
      </c>
      <c r="B11497">
        <v>17.905999999999999</v>
      </c>
    </row>
    <row r="11498" spans="1:2">
      <c r="A11498" s="117">
        <v>45052</v>
      </c>
      <c r="B11498">
        <v>17.9575</v>
      </c>
    </row>
    <row r="11499" spans="1:2">
      <c r="A11499" s="117">
        <v>45053</v>
      </c>
      <c r="B11499">
        <v>17.9575</v>
      </c>
    </row>
    <row r="11500" spans="1:2">
      <c r="A11500" s="117">
        <v>45054</v>
      </c>
      <c r="B11500">
        <v>17.9575</v>
      </c>
    </row>
    <row r="11501" spans="1:2">
      <c r="A11501" s="117">
        <v>45055</v>
      </c>
      <c r="B11501">
        <v>17.786300000000001</v>
      </c>
    </row>
    <row r="11502" spans="1:2">
      <c r="A11502" s="117">
        <v>45056</v>
      </c>
      <c r="B11502">
        <v>17.821300000000001</v>
      </c>
    </row>
    <row r="11503" spans="1:2">
      <c r="A11503" s="117">
        <v>45057</v>
      </c>
      <c r="B11503">
        <v>17.7608</v>
      </c>
    </row>
    <row r="11504" spans="1:2">
      <c r="A11504" s="117">
        <v>45058</v>
      </c>
      <c r="B11504">
        <v>17.584499999999998</v>
      </c>
    </row>
    <row r="11505" spans="1:2">
      <c r="A11505" s="117">
        <v>45059</v>
      </c>
      <c r="B11505">
        <v>17.628699999999998</v>
      </c>
    </row>
    <row r="11506" spans="1:2">
      <c r="A11506" s="117">
        <v>45060</v>
      </c>
      <c r="B11506">
        <v>17.628699999999998</v>
      </c>
    </row>
    <row r="11507" spans="1:2">
      <c r="A11507" s="117">
        <v>45061</v>
      </c>
      <c r="B11507">
        <v>17.628699999999998</v>
      </c>
    </row>
    <row r="11508" spans="1:2">
      <c r="A11508" s="117">
        <v>45062</v>
      </c>
      <c r="B11508">
        <v>17.6142</v>
      </c>
    </row>
    <row r="11509" spans="1:2">
      <c r="A11509" s="117">
        <v>45063</v>
      </c>
      <c r="B11509">
        <v>17.538</v>
      </c>
    </row>
    <row r="11510" spans="1:2">
      <c r="A11510" s="117">
        <v>45064</v>
      </c>
      <c r="B11510">
        <v>17.467199999999998</v>
      </c>
    </row>
    <row r="11511" spans="1:2">
      <c r="A11511" s="117">
        <v>45065</v>
      </c>
      <c r="B11511">
        <v>17.587199999999999</v>
      </c>
    </row>
    <row r="11512" spans="1:2">
      <c r="A11512" s="117">
        <v>45066</v>
      </c>
      <c r="B11512">
        <v>17.734200000000001</v>
      </c>
    </row>
    <row r="11513" spans="1:2">
      <c r="A11513" s="117">
        <v>45067</v>
      </c>
      <c r="B11513">
        <v>17.734200000000001</v>
      </c>
    </row>
    <row r="11514" spans="1:2">
      <c r="A11514" s="117">
        <v>45068</v>
      </c>
      <c r="B11514">
        <v>17.734200000000001</v>
      </c>
    </row>
    <row r="11515" spans="1:2">
      <c r="A11515" s="117">
        <v>45069</v>
      </c>
      <c r="B11515">
        <v>17.693000000000001</v>
      </c>
    </row>
    <row r="11516" spans="1:2">
      <c r="A11516" s="117">
        <v>45070</v>
      </c>
      <c r="B11516">
        <v>17.867999999999999</v>
      </c>
    </row>
    <row r="11517" spans="1:2">
      <c r="A11517" s="117">
        <v>45071</v>
      </c>
      <c r="B11517">
        <v>17.968699999999998</v>
      </c>
    </row>
    <row r="11518" spans="1:2">
      <c r="A11518" s="117">
        <v>45072</v>
      </c>
      <c r="B11518">
        <v>17.819500000000001</v>
      </c>
    </row>
    <row r="11519" spans="1:2">
      <c r="A11519" s="117">
        <v>45073</v>
      </c>
      <c r="B11519">
        <v>17.825199999999999</v>
      </c>
    </row>
    <row r="11520" spans="1:2">
      <c r="A11520" s="117">
        <v>45074</v>
      </c>
      <c r="B11520">
        <v>17.825199999999999</v>
      </c>
    </row>
    <row r="11521" spans="1:2">
      <c r="A11521" s="117">
        <v>45075</v>
      </c>
      <c r="B11521">
        <v>17.825199999999999</v>
      </c>
    </row>
    <row r="11522" spans="1:2">
      <c r="A11522" s="117">
        <v>45076</v>
      </c>
      <c r="B11522">
        <v>17.6723</v>
      </c>
    </row>
    <row r="11523" spans="1:2">
      <c r="A11523" s="117">
        <v>45077</v>
      </c>
      <c r="B11523">
        <v>17.560500000000001</v>
      </c>
    </row>
    <row r="11524" spans="1:2">
      <c r="A11524" s="117">
        <v>45078</v>
      </c>
      <c r="B11524">
        <v>17.653199999999998</v>
      </c>
    </row>
    <row r="11525" spans="1:2">
      <c r="A11525" s="117">
        <v>45079</v>
      </c>
      <c r="B11525">
        <v>17.741800000000001</v>
      </c>
    </row>
    <row r="11526" spans="1:2">
      <c r="A11526" s="117">
        <v>45080</v>
      </c>
      <c r="B11526">
        <v>17.567299999999999</v>
      </c>
    </row>
    <row r="11527" spans="1:2">
      <c r="A11527" s="117">
        <v>45081</v>
      </c>
      <c r="B11527">
        <v>17.567299999999999</v>
      </c>
    </row>
    <row r="11528" spans="1:2">
      <c r="A11528" s="117">
        <v>45082</v>
      </c>
      <c r="B11528">
        <v>17.567299999999999</v>
      </c>
    </row>
    <row r="11529" spans="1:2">
      <c r="A11529" s="117">
        <v>45083</v>
      </c>
      <c r="B11529">
        <v>17.5063</v>
      </c>
    </row>
    <row r="11530" spans="1:2">
      <c r="A11530" s="117">
        <v>45084</v>
      </c>
      <c r="B11530">
        <v>17.473199999999999</v>
      </c>
    </row>
    <row r="11531" spans="1:2">
      <c r="A11531" s="117">
        <v>45085</v>
      </c>
      <c r="B11531">
        <v>17.4192</v>
      </c>
    </row>
    <row r="11532" spans="1:2">
      <c r="A11532" s="117">
        <v>45086</v>
      </c>
      <c r="B11532">
        <v>17.360800000000001</v>
      </c>
    </row>
    <row r="11533" spans="1:2">
      <c r="A11533" s="117">
        <v>45087</v>
      </c>
      <c r="B11533">
        <v>17.4085</v>
      </c>
    </row>
    <row r="11534" spans="1:2">
      <c r="A11534" s="117">
        <v>45088</v>
      </c>
      <c r="B11534">
        <v>17.4085</v>
      </c>
    </row>
    <row r="11535" spans="1:2">
      <c r="A11535" s="117">
        <v>45089</v>
      </c>
      <c r="B11535">
        <v>17.4085</v>
      </c>
    </row>
    <row r="11536" spans="1:2">
      <c r="A11536" s="117">
        <v>45090</v>
      </c>
      <c r="B11536">
        <v>17.283999999999999</v>
      </c>
    </row>
    <row r="11537" spans="1:2">
      <c r="A11537" s="117">
        <v>45091</v>
      </c>
      <c r="B11537">
        <v>17.312000000000001</v>
      </c>
    </row>
    <row r="11538" spans="1:2">
      <c r="A11538" s="117">
        <v>45092</v>
      </c>
      <c r="B11538">
        <v>17.218499999999999</v>
      </c>
    </row>
    <row r="11539" spans="1:2">
      <c r="A11539" s="117">
        <v>45093</v>
      </c>
      <c r="B11539">
        <v>17.124700000000001</v>
      </c>
    </row>
    <row r="11540" spans="1:2">
      <c r="A11540" s="117">
        <v>45094</v>
      </c>
      <c r="B11540">
        <v>17.176200000000001</v>
      </c>
    </row>
    <row r="11541" spans="1:2">
      <c r="A11541" s="117">
        <v>45095</v>
      </c>
      <c r="B11541">
        <v>17.176200000000001</v>
      </c>
    </row>
    <row r="11542" spans="1:2">
      <c r="A11542" s="117">
        <v>45096</v>
      </c>
      <c r="B11542">
        <v>17.176200000000001</v>
      </c>
    </row>
    <row r="11543" spans="1:2">
      <c r="A11543" s="117">
        <v>45097</v>
      </c>
      <c r="B11543">
        <v>17.0792</v>
      </c>
    </row>
    <row r="11544" spans="1:2">
      <c r="A11544" s="117">
        <v>45098</v>
      </c>
      <c r="B11544">
        <v>17.0945</v>
      </c>
    </row>
    <row r="11545" spans="1:2">
      <c r="A11545" s="117">
        <v>45099</v>
      </c>
      <c r="B11545">
        <v>17.2043</v>
      </c>
    </row>
    <row r="11546" spans="1:2">
      <c r="A11546" s="117">
        <v>45100</v>
      </c>
      <c r="B11546">
        <v>17.154699999999998</v>
      </c>
    </row>
    <row r="11547" spans="1:2">
      <c r="A11547" s="117">
        <v>45101</v>
      </c>
      <c r="B11547">
        <v>17.171299999999999</v>
      </c>
    </row>
    <row r="11548" spans="1:2">
      <c r="A11548" s="117">
        <v>45102</v>
      </c>
      <c r="B11548">
        <v>17.171299999999999</v>
      </c>
    </row>
    <row r="11549" spans="1:2">
      <c r="A11549" s="117">
        <v>45103</v>
      </c>
      <c r="B11549">
        <v>17.171299999999999</v>
      </c>
    </row>
    <row r="11550" spans="1:2">
      <c r="A11550" s="117">
        <v>45104</v>
      </c>
      <c r="B11550">
        <v>17.179500000000001</v>
      </c>
    </row>
    <row r="11551" spans="1:2">
      <c r="A11551" s="117">
        <v>45105</v>
      </c>
      <c r="B11551">
        <v>17.144500000000001</v>
      </c>
    </row>
    <row r="11552" spans="1:2">
      <c r="A11552" s="117">
        <v>45106</v>
      </c>
      <c r="B11552">
        <v>17.101299999999998</v>
      </c>
    </row>
    <row r="11553" spans="1:2">
      <c r="A11553" s="117">
        <v>45107</v>
      </c>
      <c r="B11553">
        <v>17.071999999999999</v>
      </c>
    </row>
    <row r="11554" spans="1:2">
      <c r="A11554" s="117">
        <v>45108</v>
      </c>
      <c r="B11554">
        <v>17.1187</v>
      </c>
    </row>
    <row r="11555" spans="1:2">
      <c r="A11555" s="117">
        <v>45109</v>
      </c>
      <c r="B11555">
        <v>17.1187</v>
      </c>
    </row>
    <row r="11556" spans="1:2">
      <c r="A11556" s="117">
        <v>45110</v>
      </c>
      <c r="B11556">
        <v>17.1187</v>
      </c>
    </row>
    <row r="11557" spans="1:2">
      <c r="A11557" s="117">
        <v>45111</v>
      </c>
      <c r="B11557">
        <v>17.1358</v>
      </c>
    </row>
    <row r="11558" spans="1:2">
      <c r="A11558" s="117">
        <v>45112</v>
      </c>
      <c r="B11558">
        <v>17.0517</v>
      </c>
    </row>
    <row r="11559" spans="1:2">
      <c r="A11559" s="117">
        <v>45113</v>
      </c>
      <c r="B11559">
        <v>17.026</v>
      </c>
    </row>
    <row r="11560" spans="1:2">
      <c r="A11560" s="117">
        <v>45114</v>
      </c>
      <c r="B11560">
        <v>17.004000000000001</v>
      </c>
    </row>
    <row r="11561" spans="1:2">
      <c r="A11561" s="117">
        <v>45115</v>
      </c>
      <c r="B11561">
        <v>17.282499999999999</v>
      </c>
    </row>
    <row r="11562" spans="1:2">
      <c r="A11562" s="117">
        <v>45116</v>
      </c>
      <c r="B11562">
        <v>17.282499999999999</v>
      </c>
    </row>
    <row r="11563" spans="1:2">
      <c r="A11563" s="117">
        <v>45117</v>
      </c>
      <c r="B11563">
        <v>17.282499999999999</v>
      </c>
    </row>
    <row r="11564" spans="1:2">
      <c r="A11564" s="117">
        <v>45118</v>
      </c>
      <c r="B11564">
        <v>17.101199999999999</v>
      </c>
    </row>
    <row r="11565" spans="1:2">
      <c r="A11565" s="117">
        <v>45119</v>
      </c>
      <c r="B11565">
        <v>17.060500000000001</v>
      </c>
    </row>
    <row r="11566" spans="1:2">
      <c r="A11566" s="117">
        <v>45120</v>
      </c>
      <c r="B11566">
        <v>17.078299999999999</v>
      </c>
    </row>
    <row r="11567" spans="1:2">
      <c r="A11567" s="117">
        <v>45121</v>
      </c>
      <c r="B11567">
        <v>16.8537</v>
      </c>
    </row>
    <row r="11568" spans="1:2">
      <c r="A11568" s="117">
        <v>45122</v>
      </c>
      <c r="B11568">
        <v>16.890499999999999</v>
      </c>
    </row>
    <row r="11569" spans="1:2">
      <c r="A11569" s="117">
        <v>45123</v>
      </c>
      <c r="B11569">
        <v>16.890499999999999</v>
      </c>
    </row>
    <row r="11570" spans="1:2">
      <c r="A11570" s="117">
        <v>45124</v>
      </c>
      <c r="B11570">
        <v>16.890499999999999</v>
      </c>
    </row>
    <row r="11571" spans="1:2">
      <c r="A11571" s="117">
        <v>45125</v>
      </c>
      <c r="B11571">
        <v>16.789200000000001</v>
      </c>
    </row>
    <row r="11572" spans="1:2">
      <c r="A11572" s="117">
        <v>45126</v>
      </c>
      <c r="B11572">
        <v>16.785799999999998</v>
      </c>
    </row>
    <row r="11573" spans="1:2">
      <c r="A11573" s="117">
        <v>45127</v>
      </c>
      <c r="B11573">
        <v>16.748000000000001</v>
      </c>
    </row>
    <row r="11574" spans="1:2">
      <c r="A11574" s="117">
        <v>45128</v>
      </c>
      <c r="B11574">
        <v>16.7667</v>
      </c>
    </row>
    <row r="11575" spans="1:2">
      <c r="A11575" s="117">
        <v>45129</v>
      </c>
      <c r="B11575">
        <v>16.846</v>
      </c>
    </row>
    <row r="11576" spans="1:2">
      <c r="A11576" s="117">
        <v>45130</v>
      </c>
      <c r="B11576">
        <v>16.846</v>
      </c>
    </row>
    <row r="11577" spans="1:2">
      <c r="A11577" s="117">
        <v>45131</v>
      </c>
      <c r="B11577">
        <v>16.846</v>
      </c>
    </row>
    <row r="11578" spans="1:2">
      <c r="A11578" s="117">
        <v>45132</v>
      </c>
      <c r="B11578">
        <v>16.939299999999999</v>
      </c>
    </row>
    <row r="11579" spans="1:2">
      <c r="A11579" s="117">
        <v>45133</v>
      </c>
      <c r="B11579">
        <v>16.8367</v>
      </c>
    </row>
    <row r="11580" spans="1:2">
      <c r="A11580" s="117">
        <v>45134</v>
      </c>
      <c r="B11580">
        <v>16.907499999999999</v>
      </c>
    </row>
    <row r="11581" spans="1:2">
      <c r="A11581" s="117">
        <v>45135</v>
      </c>
      <c r="B11581">
        <v>16.8825</v>
      </c>
    </row>
    <row r="11582" spans="1:2">
      <c r="A11582" s="117">
        <v>45136</v>
      </c>
      <c r="B11582">
        <v>16.733799999999999</v>
      </c>
    </row>
    <row r="11583" spans="1:2">
      <c r="A11583" s="117">
        <v>45137</v>
      </c>
      <c r="B11583">
        <v>16.733799999999999</v>
      </c>
    </row>
    <row r="11584" spans="1:2">
      <c r="A11584" s="117">
        <v>45138</v>
      </c>
      <c r="B11584">
        <v>16.733799999999999</v>
      </c>
    </row>
    <row r="11585" spans="1:2">
      <c r="A11585" s="117">
        <v>45139</v>
      </c>
      <c r="B11585">
        <v>16.689499999999999</v>
      </c>
    </row>
    <row r="11586" spans="1:2">
      <c r="A11586" s="117">
        <v>45140</v>
      </c>
      <c r="B11586">
        <v>16.7303</v>
      </c>
    </row>
    <row r="11587" spans="1:2">
      <c r="A11587" s="117">
        <v>45141</v>
      </c>
      <c r="B11587">
        <v>16.853300000000001</v>
      </c>
    </row>
    <row r="11588" spans="1:2">
      <c r="A11588" s="117">
        <v>45142</v>
      </c>
      <c r="B11588">
        <v>17.019300000000001</v>
      </c>
    </row>
    <row r="11589" spans="1:2">
      <c r="A11589" s="117">
        <v>45143</v>
      </c>
      <c r="B11589">
        <v>17.289200000000001</v>
      </c>
    </row>
    <row r="11590" spans="1:2">
      <c r="A11590" s="117">
        <v>45144</v>
      </c>
      <c r="B11590">
        <v>17.289200000000001</v>
      </c>
    </row>
    <row r="11591" spans="1:2">
      <c r="A11591" s="117">
        <v>45145</v>
      </c>
      <c r="B11591">
        <v>17.289200000000001</v>
      </c>
    </row>
    <row r="11592" spans="1:2">
      <c r="A11592" s="117">
        <v>45146</v>
      </c>
      <c r="B11592">
        <v>17.055499999999999</v>
      </c>
    </row>
    <row r="11593" spans="1:2">
      <c r="A11593" s="117">
        <v>45147</v>
      </c>
      <c r="B11593">
        <v>17.0608</v>
      </c>
    </row>
    <row r="11594" spans="1:2">
      <c r="A11594" s="117">
        <v>45148</v>
      </c>
      <c r="B11594">
        <v>17.112200000000001</v>
      </c>
    </row>
    <row r="11595" spans="1:2">
      <c r="A11595" s="117">
        <v>45149</v>
      </c>
      <c r="B11595">
        <v>17.076699999999999</v>
      </c>
    </row>
    <row r="11596" spans="1:2">
      <c r="A11596" s="117">
        <v>45150</v>
      </c>
      <c r="B11596">
        <v>16.954799999999999</v>
      </c>
    </row>
    <row r="11597" spans="1:2">
      <c r="A11597" s="117">
        <v>45151</v>
      </c>
      <c r="B11597">
        <v>16.954799999999999</v>
      </c>
    </row>
    <row r="11598" spans="1:2">
      <c r="A11598" s="117">
        <v>45152</v>
      </c>
      <c r="B11598">
        <v>16.954799999999999</v>
      </c>
    </row>
    <row r="11599" spans="1:2">
      <c r="A11599" s="117">
        <v>45153</v>
      </c>
      <c r="B11599">
        <v>17.0045</v>
      </c>
    </row>
    <row r="11600" spans="1:2">
      <c r="A11600" s="117">
        <v>45154</v>
      </c>
      <c r="B11600">
        <v>17.0672</v>
      </c>
    </row>
    <row r="11601" spans="1:2">
      <c r="A11601" s="117">
        <v>45155</v>
      </c>
      <c r="B11601">
        <v>17.1388</v>
      </c>
    </row>
    <row r="11602" spans="1:2">
      <c r="A11602" s="117">
        <v>45156</v>
      </c>
      <c r="B11602">
        <v>17.076799999999999</v>
      </c>
    </row>
    <row r="11603" spans="1:2">
      <c r="A11603" s="117">
        <v>45157</v>
      </c>
      <c r="B11603">
        <v>17.122499999999999</v>
      </c>
    </row>
    <row r="11604" spans="1:2">
      <c r="A11604" s="117">
        <v>45158</v>
      </c>
      <c r="B11604">
        <v>17.122499999999999</v>
      </c>
    </row>
    <row r="11605" spans="1:2">
      <c r="A11605" s="117">
        <v>45159</v>
      </c>
      <c r="B11605">
        <v>17.122499999999999</v>
      </c>
    </row>
    <row r="11606" spans="1:2">
      <c r="A11606" s="117">
        <v>45160</v>
      </c>
      <c r="B11606">
        <v>17.047699999999999</v>
      </c>
    </row>
    <row r="11607" spans="1:2">
      <c r="A11607" s="117">
        <v>45161</v>
      </c>
      <c r="B11607">
        <v>17.020199999999999</v>
      </c>
    </row>
    <row r="11608" spans="1:2">
      <c r="A11608" s="117">
        <v>45162</v>
      </c>
      <c r="B11608">
        <v>16.9267</v>
      </c>
    </row>
    <row r="11609" spans="1:2">
      <c r="A11609" s="117">
        <v>45163</v>
      </c>
      <c r="B11609">
        <v>16.807700000000001</v>
      </c>
    </row>
    <row r="11610" spans="1:2">
      <c r="A11610" s="117">
        <v>45164</v>
      </c>
      <c r="B11610">
        <v>16.809000000000001</v>
      </c>
    </row>
    <row r="11611" spans="1:2">
      <c r="A11611" s="117">
        <v>45165</v>
      </c>
      <c r="B11611">
        <v>16.809000000000001</v>
      </c>
    </row>
    <row r="11612" spans="1:2">
      <c r="A11612" s="117">
        <v>45166</v>
      </c>
      <c r="B11612">
        <v>16.809000000000001</v>
      </c>
    </row>
    <row r="11613" spans="1:2">
      <c r="A11613" s="117">
        <v>45167</v>
      </c>
      <c r="B11613">
        <v>16.771799999999999</v>
      </c>
    </row>
    <row r="11614" spans="1:2">
      <c r="A11614" s="117">
        <v>45168</v>
      </c>
      <c r="B11614">
        <v>16.743200000000002</v>
      </c>
    </row>
    <row r="11615" spans="1:2">
      <c r="A11615" s="117">
        <v>45169</v>
      </c>
      <c r="B11615">
        <v>16.840199999999999</v>
      </c>
    </row>
    <row r="11616" spans="1:2">
      <c r="A11616" s="117">
        <v>45170</v>
      </c>
      <c r="B11616">
        <v>16.747699999999998</v>
      </c>
    </row>
    <row r="11617" spans="1:2">
      <c r="A11617" s="117">
        <v>45171</v>
      </c>
      <c r="B11617">
        <v>16.917000000000002</v>
      </c>
    </row>
    <row r="11618" spans="1:2">
      <c r="A11618" s="117">
        <v>45172</v>
      </c>
      <c r="B11618">
        <v>16.917000000000002</v>
      </c>
    </row>
    <row r="11619" spans="1:2">
      <c r="A11619" s="117">
        <v>45173</v>
      </c>
      <c r="B11619">
        <v>16.917000000000002</v>
      </c>
    </row>
    <row r="11620" spans="1:2">
      <c r="A11620" s="117">
        <v>45174</v>
      </c>
      <c r="B11620">
        <v>17.1113</v>
      </c>
    </row>
    <row r="11621" spans="1:2">
      <c r="A11621" s="117">
        <v>45175</v>
      </c>
      <c r="B11621">
        <v>17.175000000000001</v>
      </c>
    </row>
    <row r="11622" spans="1:2">
      <c r="A11622" s="117">
        <v>45176</v>
      </c>
      <c r="B11622">
        <v>17.3492</v>
      </c>
    </row>
    <row r="11623" spans="1:2">
      <c r="A11623" s="117">
        <v>45177</v>
      </c>
      <c r="B11623">
        <v>17.580500000000001</v>
      </c>
    </row>
    <row r="11624" spans="1:2">
      <c r="A11624" s="117">
        <v>45178</v>
      </c>
      <c r="B11624">
        <v>17.554300000000001</v>
      </c>
    </row>
    <row r="11625" spans="1:2">
      <c r="A11625" s="117">
        <v>45179</v>
      </c>
      <c r="B11625">
        <v>17.554300000000001</v>
      </c>
    </row>
    <row r="11626" spans="1:2">
      <c r="A11626" s="117">
        <v>45180</v>
      </c>
      <c r="B11626">
        <v>17.554300000000001</v>
      </c>
    </row>
    <row r="11627" spans="1:2">
      <c r="A11627" s="117">
        <v>45181</v>
      </c>
      <c r="B11627">
        <v>17.576699999999999</v>
      </c>
    </row>
    <row r="11628" spans="1:2">
      <c r="A11628" s="117">
        <v>45182</v>
      </c>
      <c r="B11628">
        <v>17.3813</v>
      </c>
    </row>
    <row r="11629" spans="1:2">
      <c r="A11629" s="117">
        <v>45183</v>
      </c>
      <c r="B11629">
        <v>17.255299999999998</v>
      </c>
    </row>
    <row r="11630" spans="1:2">
      <c r="A11630" s="117">
        <v>45184</v>
      </c>
      <c r="B11630">
        <v>17.1235</v>
      </c>
    </row>
    <row r="11631" spans="1:2">
      <c r="A11631" s="117">
        <v>45185</v>
      </c>
      <c r="B11631">
        <v>17.104199999999999</v>
      </c>
    </row>
    <row r="11632" spans="1:2">
      <c r="A11632" s="117">
        <v>45186</v>
      </c>
      <c r="B11632">
        <v>17.104199999999999</v>
      </c>
    </row>
    <row r="11633" spans="1:2">
      <c r="A11633" s="117">
        <v>45187</v>
      </c>
      <c r="B11633">
        <v>17.104199999999999</v>
      </c>
    </row>
    <row r="11634" spans="1:2">
      <c r="A11634" s="117">
        <v>45188</v>
      </c>
      <c r="B11634">
        <v>17.0807</v>
      </c>
    </row>
    <row r="11635" spans="1:2">
      <c r="A11635" s="117">
        <v>45189</v>
      </c>
      <c r="B11635">
        <v>17.130700000000001</v>
      </c>
    </row>
    <row r="11636" spans="1:2">
      <c r="A11636" s="117">
        <v>45190</v>
      </c>
      <c r="B11636">
        <v>17.080500000000001</v>
      </c>
    </row>
    <row r="11637" spans="1:2">
      <c r="A11637" s="117">
        <v>45191</v>
      </c>
      <c r="B11637">
        <v>17.024000000000001</v>
      </c>
    </row>
    <row r="11638" spans="1:2">
      <c r="A11638" s="117">
        <v>45192</v>
      </c>
      <c r="B11638">
        <v>17.1675</v>
      </c>
    </row>
    <row r="11639" spans="1:2">
      <c r="A11639" s="117">
        <v>45193</v>
      </c>
      <c r="B11639">
        <v>17.1675</v>
      </c>
    </row>
    <row r="11640" spans="1:2">
      <c r="A11640" s="117">
        <v>45194</v>
      </c>
      <c r="B11640">
        <v>17.1675</v>
      </c>
    </row>
    <row r="11641" spans="1:2">
      <c r="A11641" s="117">
        <v>45195</v>
      </c>
      <c r="B11641">
        <v>17.1568</v>
      </c>
    </row>
    <row r="11642" spans="1:2">
      <c r="A11642" s="117">
        <v>45196</v>
      </c>
      <c r="B11642">
        <v>17.3733</v>
      </c>
    </row>
    <row r="11643" spans="1:2">
      <c r="A11643" s="117">
        <v>45197</v>
      </c>
      <c r="B11643">
        <v>17.4758</v>
      </c>
    </row>
    <row r="11644" spans="1:2">
      <c r="A11644" s="117">
        <v>45198</v>
      </c>
      <c r="B11644">
        <v>17.7287</v>
      </c>
    </row>
    <row r="11645" spans="1:2">
      <c r="A11645" s="117">
        <v>45199</v>
      </c>
      <c r="B11645">
        <v>17.619499999999999</v>
      </c>
    </row>
    <row r="11646" spans="1:2">
      <c r="A11646" s="117">
        <v>45200</v>
      </c>
      <c r="B11646">
        <v>17.619499999999999</v>
      </c>
    </row>
    <row r="11647" spans="1:2">
      <c r="A11647" s="117">
        <v>45201</v>
      </c>
      <c r="B11647">
        <v>17.619499999999999</v>
      </c>
    </row>
    <row r="11648" spans="1:2">
      <c r="A11648" s="117">
        <v>45202</v>
      </c>
      <c r="B11648">
        <v>17.412700000000001</v>
      </c>
    </row>
    <row r="11649" spans="1:2">
      <c r="A11649" s="117">
        <v>45203</v>
      </c>
      <c r="B11649">
        <v>17.591999999999999</v>
      </c>
    </row>
    <row r="11650" spans="1:2">
      <c r="A11650" s="117">
        <v>45204</v>
      </c>
      <c r="B11650">
        <v>17.9025</v>
      </c>
    </row>
    <row r="11651" spans="1:2">
      <c r="A11651" s="117">
        <v>45205</v>
      </c>
      <c r="B11651">
        <v>18.016999999999999</v>
      </c>
    </row>
    <row r="11652" spans="1:2">
      <c r="A11652" s="117">
        <v>45206</v>
      </c>
      <c r="B11652">
        <v>18.2407</v>
      </c>
    </row>
    <row r="11653" spans="1:2">
      <c r="A11653" s="117">
        <v>45207</v>
      </c>
      <c r="B11653">
        <v>18.2407</v>
      </c>
    </row>
    <row r="11654" spans="1:2">
      <c r="A11654" s="117">
        <v>45208</v>
      </c>
      <c r="B11654">
        <v>18.2407</v>
      </c>
    </row>
    <row r="11655" spans="1:2">
      <c r="A11655" s="117">
        <v>45209</v>
      </c>
      <c r="B11655">
        <v>18.183700000000002</v>
      </c>
    </row>
    <row r="11656" spans="1:2">
      <c r="A11656" s="117">
        <v>45210</v>
      </c>
      <c r="B11656">
        <v>18.348199999999999</v>
      </c>
    </row>
    <row r="11657" spans="1:2">
      <c r="A11657" s="117">
        <v>45211</v>
      </c>
      <c r="B11657">
        <v>17.991700000000002</v>
      </c>
    </row>
    <row r="11658" spans="1:2">
      <c r="A11658" s="117">
        <v>45212</v>
      </c>
      <c r="B11658">
        <v>17.841999999999999</v>
      </c>
    </row>
    <row r="11659" spans="1:2">
      <c r="A11659" s="117">
        <v>45213</v>
      </c>
      <c r="B11659">
        <v>17.9132</v>
      </c>
    </row>
    <row r="11660" spans="1:2">
      <c r="A11660" s="117">
        <v>45214</v>
      </c>
      <c r="B11660">
        <v>17.9132</v>
      </c>
    </row>
    <row r="11661" spans="1:2">
      <c r="A11661" s="117">
        <v>45215</v>
      </c>
      <c r="B11661">
        <v>17.9132</v>
      </c>
    </row>
    <row r="11662" spans="1:2">
      <c r="A11662" s="117">
        <v>45216</v>
      </c>
      <c r="B11662">
        <v>18.036200000000001</v>
      </c>
    </row>
    <row r="11663" spans="1:2">
      <c r="A11663" s="117">
        <v>45217</v>
      </c>
      <c r="B11663">
        <v>17.956800000000001</v>
      </c>
    </row>
    <row r="11664" spans="1:2">
      <c r="A11664" s="117">
        <v>45218</v>
      </c>
      <c r="B11664">
        <v>17.909700000000001</v>
      </c>
    </row>
    <row r="11665" spans="1:2">
      <c r="A11665" s="117">
        <v>45219</v>
      </c>
      <c r="B11665">
        <v>18.244</v>
      </c>
    </row>
    <row r="11666" spans="1:2">
      <c r="A11666" s="117">
        <v>45220</v>
      </c>
      <c r="B11666">
        <v>18.287299999999998</v>
      </c>
    </row>
    <row r="11667" spans="1:2">
      <c r="A11667" s="117">
        <v>45221</v>
      </c>
      <c r="B11667">
        <v>18.287299999999998</v>
      </c>
    </row>
    <row r="11668" spans="1:2">
      <c r="A11668" s="117">
        <v>45222</v>
      </c>
      <c r="B11668">
        <v>18.287299999999998</v>
      </c>
    </row>
    <row r="11669" spans="1:2">
      <c r="A11669" s="117">
        <v>45223</v>
      </c>
      <c r="B11669">
        <v>18.234300000000001</v>
      </c>
    </row>
    <row r="11670" spans="1:2">
      <c r="A11670" s="117">
        <v>45224</v>
      </c>
      <c r="B11670">
        <v>18.1218</v>
      </c>
    </row>
    <row r="11671" spans="1:2">
      <c r="A11671" s="117">
        <v>45225</v>
      </c>
      <c r="B11671">
        <v>18.284199999999998</v>
      </c>
    </row>
    <row r="11672" spans="1:2">
      <c r="A11672" s="117">
        <v>45226</v>
      </c>
      <c r="B11672">
        <v>18.312200000000001</v>
      </c>
    </row>
    <row r="11673" spans="1:2">
      <c r="A11673" s="117">
        <v>45227</v>
      </c>
      <c r="B11673">
        <v>18.2178</v>
      </c>
    </row>
    <row r="11674" spans="1:2">
      <c r="A11674" s="117">
        <v>45228</v>
      </c>
      <c r="B11674">
        <v>18.2178</v>
      </c>
    </row>
    <row r="11675" spans="1:2">
      <c r="A11675" s="117">
        <v>45229</v>
      </c>
      <c r="B11675">
        <v>18.2178</v>
      </c>
    </row>
    <row r="11676" spans="1:2">
      <c r="A11676" s="117">
        <v>45230</v>
      </c>
      <c r="B11676">
        <v>18.075199999999999</v>
      </c>
    </row>
    <row r="11677" spans="1:2">
      <c r="A11677" s="117">
        <v>45231</v>
      </c>
      <c r="B11677">
        <v>18.064</v>
      </c>
    </row>
    <row r="11678" spans="1:2">
      <c r="A11678" s="117">
        <v>45232</v>
      </c>
      <c r="B11678">
        <v>18.036799999999999</v>
      </c>
    </row>
    <row r="11679" spans="1:2">
      <c r="A11679" s="117">
        <v>45233</v>
      </c>
      <c r="B11679">
        <v>18.036799999999999</v>
      </c>
    </row>
    <row r="11680" spans="1:2">
      <c r="A11680" s="117">
        <v>45234</v>
      </c>
      <c r="B11680">
        <v>17.930499999999999</v>
      </c>
    </row>
    <row r="11681" spans="1:2">
      <c r="A11681" s="117">
        <v>45235</v>
      </c>
      <c r="B11681">
        <v>17.930499999999999</v>
      </c>
    </row>
    <row r="11682" spans="1:2">
      <c r="A11682" s="117">
        <v>45236</v>
      </c>
      <c r="B11682">
        <v>17.930499999999999</v>
      </c>
    </row>
    <row r="11683" spans="1:2">
      <c r="A11683" s="117">
        <v>45237</v>
      </c>
      <c r="B11683">
        <v>17.4117</v>
      </c>
    </row>
    <row r="11684" spans="1:2">
      <c r="A11684" s="117">
        <v>45238</v>
      </c>
      <c r="B11684">
        <v>17.530799999999999</v>
      </c>
    </row>
    <row r="11685" spans="1:2">
      <c r="A11685" s="117">
        <v>45239</v>
      </c>
      <c r="B11685">
        <v>17.509699999999999</v>
      </c>
    </row>
    <row r="11686" spans="1:2">
      <c r="A11686" s="117">
        <v>45240</v>
      </c>
      <c r="B11686">
        <v>17.5017</v>
      </c>
    </row>
    <row r="11687" spans="1:2">
      <c r="A11687" s="117">
        <v>45241</v>
      </c>
      <c r="B11687">
        <v>17.488800000000001</v>
      </c>
    </row>
    <row r="11688" spans="1:2">
      <c r="A11688" s="117">
        <v>45242</v>
      </c>
      <c r="B11688">
        <v>17.488800000000001</v>
      </c>
    </row>
    <row r="11689" spans="1:2">
      <c r="A11689" s="117">
        <v>45243</v>
      </c>
      <c r="B11689">
        <v>17.488800000000001</v>
      </c>
    </row>
    <row r="11690" spans="1:2">
      <c r="A11690" s="117">
        <v>45244</v>
      </c>
      <c r="B11690">
        <v>17.748000000000001</v>
      </c>
    </row>
    <row r="11691" spans="1:2">
      <c r="A11691" s="117">
        <v>45245</v>
      </c>
      <c r="B11691">
        <v>17.613800000000001</v>
      </c>
    </row>
    <row r="11692" spans="1:2">
      <c r="A11692" s="117">
        <v>45246</v>
      </c>
      <c r="B11692">
        <v>17.3917</v>
      </c>
    </row>
    <row r="11693" spans="1:2">
      <c r="A11693" s="117">
        <v>45247</v>
      </c>
      <c r="B11693">
        <v>17.338699999999999</v>
      </c>
    </row>
    <row r="11694" spans="1:2">
      <c r="A11694" s="117">
        <v>45248</v>
      </c>
      <c r="B11694">
        <v>17.270800000000001</v>
      </c>
    </row>
    <row r="11695" spans="1:2">
      <c r="A11695" s="117">
        <v>45249</v>
      </c>
      <c r="B11695">
        <v>17.270800000000001</v>
      </c>
    </row>
    <row r="11696" spans="1:2">
      <c r="A11696" s="117">
        <v>45250</v>
      </c>
      <c r="B11696">
        <v>17.270800000000001</v>
      </c>
    </row>
    <row r="11697" spans="1:2">
      <c r="A11697" s="117">
        <v>45251</v>
      </c>
      <c r="B11697">
        <v>17.270800000000001</v>
      </c>
    </row>
    <row r="11698" spans="1:2">
      <c r="A11698" s="117">
        <v>45252</v>
      </c>
      <c r="B11698">
        <v>17.217500000000001</v>
      </c>
    </row>
    <row r="11699" spans="1:2">
      <c r="A11699" s="117">
        <v>45253</v>
      </c>
      <c r="B11699">
        <v>17.2102</v>
      </c>
    </row>
    <row r="11700" spans="1:2">
      <c r="A11700" s="117">
        <v>45254</v>
      </c>
      <c r="B11700">
        <v>17.2133</v>
      </c>
    </row>
    <row r="11701" spans="1:2">
      <c r="A11701" s="117">
        <v>45255</v>
      </c>
      <c r="B11701">
        <v>17.178699999999999</v>
      </c>
    </row>
    <row r="11702" spans="1:2">
      <c r="A11702" s="117">
        <v>45256</v>
      </c>
      <c r="B11702">
        <v>17.178699999999999</v>
      </c>
    </row>
    <row r="11703" spans="1:2">
      <c r="A11703" s="117">
        <v>45257</v>
      </c>
      <c r="B11703">
        <v>17.178699999999999</v>
      </c>
    </row>
    <row r="11704" spans="1:2">
      <c r="A11704" s="117">
        <v>45258</v>
      </c>
      <c r="B11704">
        <v>17.126799999999999</v>
      </c>
    </row>
    <row r="11705" spans="1:2">
      <c r="A11705" s="117">
        <v>45259</v>
      </c>
      <c r="B11705">
        <v>17.1555</v>
      </c>
    </row>
    <row r="11706" spans="1:2">
      <c r="A11706" s="117">
        <v>45260</v>
      </c>
      <c r="B11706">
        <v>17.1357</v>
      </c>
    </row>
    <row r="11707" spans="1:2">
      <c r="A11707" s="117">
        <v>45261</v>
      </c>
      <c r="B11707">
        <v>17.187000000000001</v>
      </c>
    </row>
    <row r="11708" spans="1:2">
      <c r="A11708" s="117">
        <v>45262</v>
      </c>
      <c r="B11708">
        <v>17.373000000000001</v>
      </c>
    </row>
    <row r="11709" spans="1:2">
      <c r="A11709" s="117">
        <v>45263</v>
      </c>
      <c r="B11709">
        <v>17.373000000000001</v>
      </c>
    </row>
    <row r="11710" spans="1:2">
      <c r="A11710" s="117">
        <v>45264</v>
      </c>
      <c r="B11710">
        <v>17.373000000000001</v>
      </c>
    </row>
    <row r="11711" spans="1:2">
      <c r="A11711" s="117">
        <v>45265</v>
      </c>
      <c r="B11711">
        <v>17.214300000000001</v>
      </c>
    </row>
    <row r="11712" spans="1:2">
      <c r="A11712" s="117">
        <v>45266</v>
      </c>
      <c r="B11712">
        <v>17.405999999999999</v>
      </c>
    </row>
    <row r="11713" spans="1:2">
      <c r="A11713" s="117">
        <v>45267</v>
      </c>
      <c r="B11713">
        <v>17.421500000000002</v>
      </c>
    </row>
    <row r="11714" spans="1:2">
      <c r="A11714" s="117">
        <v>45268</v>
      </c>
      <c r="B11714">
        <v>17.2685</v>
      </c>
    </row>
    <row r="11715" spans="1:2">
      <c r="A11715" s="117">
        <v>45269</v>
      </c>
      <c r="B11715">
        <v>17.419699999999999</v>
      </c>
    </row>
    <row r="11716" spans="1:2">
      <c r="A11716" s="117">
        <v>45270</v>
      </c>
      <c r="B11716">
        <v>17.419699999999999</v>
      </c>
    </row>
    <row r="11717" spans="1:2">
      <c r="A11717" s="117">
        <v>45271</v>
      </c>
      <c r="B11717">
        <v>17.419699999999999</v>
      </c>
    </row>
    <row r="11718" spans="1:2">
      <c r="A11718" s="117">
        <v>45272</v>
      </c>
      <c r="B11718">
        <v>17.3688</v>
      </c>
    </row>
    <row r="11719" spans="1:2">
      <c r="A11719" s="117">
        <v>45273</v>
      </c>
      <c r="B11719">
        <v>17.3688</v>
      </c>
    </row>
    <row r="11720" spans="1:2">
      <c r="A11720" s="117">
        <v>45274</v>
      </c>
      <c r="B11720">
        <v>17.446999999999999</v>
      </c>
    </row>
    <row r="11721" spans="1:2">
      <c r="A11721" s="117">
        <v>45275</v>
      </c>
      <c r="B11721">
        <v>17.398</v>
      </c>
    </row>
    <row r="11722" spans="1:2">
      <c r="A11722" s="117">
        <v>45276</v>
      </c>
      <c r="B11722">
        <v>17.298999999999999</v>
      </c>
    </row>
    <row r="11723" spans="1:2">
      <c r="A11723" s="117">
        <v>45277</v>
      </c>
      <c r="B11723">
        <v>17.298999999999999</v>
      </c>
    </row>
    <row r="11724" spans="1:2">
      <c r="A11724" s="117">
        <v>45278</v>
      </c>
      <c r="B11724">
        <v>17.298999999999999</v>
      </c>
    </row>
    <row r="11725" spans="1:2">
      <c r="A11725" s="117">
        <v>45279</v>
      </c>
      <c r="B11725">
        <v>17.190799999999999</v>
      </c>
    </row>
    <row r="11726" spans="1:2">
      <c r="A11726" s="117">
        <v>45280</v>
      </c>
      <c r="B11726">
        <v>17.227699999999999</v>
      </c>
    </row>
    <row r="11727" spans="1:2">
      <c r="A11727" s="117">
        <v>45281</v>
      </c>
      <c r="B11727">
        <v>17.065200000000001</v>
      </c>
    </row>
    <row r="11728" spans="1:2">
      <c r="A11728" s="117">
        <v>45282</v>
      </c>
      <c r="B11728">
        <v>17.067299999999999</v>
      </c>
    </row>
    <row r="11729" spans="1:2">
      <c r="A11729" s="117">
        <v>45283</v>
      </c>
      <c r="B11729">
        <v>17.059000000000001</v>
      </c>
    </row>
    <row r="11730" spans="1:2">
      <c r="A11730" s="117">
        <v>45284</v>
      </c>
      <c r="B11730">
        <v>17.059000000000001</v>
      </c>
    </row>
    <row r="11731" spans="1:2">
      <c r="A11731" s="117">
        <v>45285</v>
      </c>
      <c r="B11731">
        <v>17.059000000000001</v>
      </c>
    </row>
    <row r="11732" spans="1:2">
      <c r="A11732" s="117">
        <v>45286</v>
      </c>
      <c r="B11732">
        <v>17.059000000000001</v>
      </c>
    </row>
    <row r="11733" spans="1:2">
      <c r="A11733" s="117">
        <v>45287</v>
      </c>
      <c r="B11733">
        <v>16.973800000000001</v>
      </c>
    </row>
    <row r="11734" spans="1:2">
      <c r="A11734" s="117">
        <v>45288</v>
      </c>
      <c r="B11734">
        <v>16.9727</v>
      </c>
    </row>
    <row r="11735" spans="1:2">
      <c r="A11735" s="117">
        <v>45289</v>
      </c>
      <c r="B11735">
        <v>16.922000000000001</v>
      </c>
    </row>
    <row r="11736" spans="1:2">
      <c r="A11736" s="117">
        <v>45290</v>
      </c>
      <c r="B11736">
        <v>16.8935</v>
      </c>
    </row>
    <row r="11737" spans="1:2">
      <c r="A11737" s="117">
        <v>45291</v>
      </c>
      <c r="B11737">
        <v>16.8935</v>
      </c>
    </row>
    <row r="11738" spans="1:2">
      <c r="A11738" s="117">
        <v>45292</v>
      </c>
      <c r="B11738">
        <v>16.8935</v>
      </c>
    </row>
    <row r="11739" spans="1:2">
      <c r="A11739" s="117">
        <v>45293</v>
      </c>
      <c r="B11739">
        <v>16.8935</v>
      </c>
    </row>
    <row r="11740" spans="1:2">
      <c r="A11740" s="117">
        <v>45294</v>
      </c>
      <c r="B11740">
        <v>16.919</v>
      </c>
    </row>
    <row r="11741" spans="1:2">
      <c r="A11741" s="117">
        <v>45295</v>
      </c>
      <c r="B11741">
        <v>17.029699999999998</v>
      </c>
    </row>
    <row r="11742" spans="1:2">
      <c r="A11742" s="117">
        <v>45296</v>
      </c>
      <c r="B11742">
        <v>17.049199999999999</v>
      </c>
    </row>
    <row r="11743" spans="1:2">
      <c r="A11743" s="117">
        <v>45297</v>
      </c>
      <c r="B11743">
        <v>17.0458</v>
      </c>
    </row>
    <row r="11744" spans="1:2">
      <c r="A11744" s="117">
        <v>45298</v>
      </c>
      <c r="B11744">
        <v>17.0458</v>
      </c>
    </row>
    <row r="11745" spans="1:2">
      <c r="A11745" s="117">
        <v>45299</v>
      </c>
      <c r="B11745">
        <v>17.0458</v>
      </c>
    </row>
    <row r="11746" spans="1:2">
      <c r="A11746" s="117">
        <v>45300</v>
      </c>
      <c r="B11746">
        <v>16.898700000000002</v>
      </c>
    </row>
    <row r="11747" spans="1:2">
      <c r="A11747" s="117">
        <v>45301</v>
      </c>
      <c r="B11747">
        <v>16.813300000000002</v>
      </c>
    </row>
    <row r="11748" spans="1:2">
      <c r="A11748" s="117">
        <v>45302</v>
      </c>
      <c r="B11748">
        <v>16.934699999999999</v>
      </c>
    </row>
    <row r="11749" spans="1:2">
      <c r="A11749" s="117">
        <v>45303</v>
      </c>
      <c r="B11749">
        <v>16.991199999999999</v>
      </c>
    </row>
    <row r="11750" spans="1:2">
      <c r="A11750" s="117">
        <v>45304</v>
      </c>
      <c r="B11750">
        <v>16.989799999999999</v>
      </c>
    </row>
    <row r="11751" spans="1:2">
      <c r="A11751" s="117">
        <v>45305</v>
      </c>
      <c r="B11751">
        <v>16.989799999999999</v>
      </c>
    </row>
    <row r="11752" spans="1:2">
      <c r="A11752" s="117">
        <v>45306</v>
      </c>
      <c r="B11752">
        <v>16.989799999999999</v>
      </c>
    </row>
    <row r="11753" spans="1:2">
      <c r="A11753" s="117">
        <v>45307</v>
      </c>
      <c r="B11753">
        <v>16.858000000000001</v>
      </c>
    </row>
    <row r="11754" spans="1:2">
      <c r="A11754" s="117">
        <v>45308</v>
      </c>
      <c r="B11754">
        <v>16.898299999999999</v>
      </c>
    </row>
    <row r="11755" spans="1:2">
      <c r="A11755" s="117">
        <v>45309</v>
      </c>
      <c r="B11755">
        <v>17.159800000000001</v>
      </c>
    </row>
    <row r="11756" spans="1:2">
      <c r="A11756" s="117">
        <v>45310</v>
      </c>
      <c r="B11756">
        <v>17.2957</v>
      </c>
    </row>
    <row r="11757" spans="1:2">
      <c r="A11757" s="117">
        <v>45311</v>
      </c>
      <c r="B11757">
        <v>17.1995</v>
      </c>
    </row>
    <row r="11758" spans="1:2">
      <c r="A11758" s="117">
        <v>45312</v>
      </c>
      <c r="B11758">
        <v>17.1995</v>
      </c>
    </row>
    <row r="11759" spans="1:2">
      <c r="A11759" s="117">
        <v>45313</v>
      </c>
      <c r="B11759">
        <v>17.1995</v>
      </c>
    </row>
    <row r="11760" spans="1:2">
      <c r="A11760" s="117">
        <v>45314</v>
      </c>
      <c r="B11760">
        <v>17.1325</v>
      </c>
    </row>
    <row r="11761" spans="1:2">
      <c r="A11761" s="117">
        <v>45315</v>
      </c>
      <c r="B11761">
        <v>17.112500000000001</v>
      </c>
    </row>
    <row r="11762" spans="1:2">
      <c r="A11762" s="117">
        <v>45316</v>
      </c>
      <c r="B11762">
        <v>17.352</v>
      </c>
    </row>
    <row r="11763" spans="1:2">
      <c r="A11763" s="117">
        <v>45317</v>
      </c>
      <c r="B11763">
        <v>17.167300000000001</v>
      </c>
    </row>
    <row r="11764" spans="1:2">
      <c r="A11764" s="117">
        <v>45318</v>
      </c>
      <c r="B11764">
        <v>17.237500000000001</v>
      </c>
    </row>
    <row r="11765" spans="1:2">
      <c r="A11765" s="117">
        <v>45319</v>
      </c>
      <c r="B11765">
        <v>17.237500000000001</v>
      </c>
    </row>
    <row r="11766" spans="1:2">
      <c r="A11766" s="117">
        <v>45320</v>
      </c>
      <c r="B11766">
        <v>17.237500000000001</v>
      </c>
    </row>
    <row r="11767" spans="1:2">
      <c r="A11767" s="117">
        <v>45321</v>
      </c>
      <c r="B11767">
        <v>17.165700000000001</v>
      </c>
    </row>
    <row r="11768" spans="1:2">
      <c r="A11768" s="117">
        <v>45322</v>
      </c>
      <c r="B11768">
        <v>17.2333</v>
      </c>
    </row>
    <row r="11769" spans="1:2">
      <c r="A11769" s="117">
        <v>45323</v>
      </c>
      <c r="B11769">
        <v>17.193200000000001</v>
      </c>
    </row>
    <row r="11770" spans="1:2">
      <c r="A11770" s="117">
        <v>45324</v>
      </c>
      <c r="B11770">
        <v>17.1633</v>
      </c>
    </row>
    <row r="11771" spans="1:2">
      <c r="A11771" s="117">
        <v>45325</v>
      </c>
      <c r="B11771">
        <v>17.133500000000002</v>
      </c>
    </row>
    <row r="11772" spans="1:2">
      <c r="A11772" s="117">
        <v>45326</v>
      </c>
      <c r="B11772">
        <v>17.133500000000002</v>
      </c>
    </row>
    <row r="11773" spans="1:2">
      <c r="A11773" s="117">
        <v>45327</v>
      </c>
      <c r="B11773">
        <v>17.133500000000002</v>
      </c>
    </row>
    <row r="11774" spans="1:2">
      <c r="A11774" s="117">
        <v>45328</v>
      </c>
      <c r="B11774">
        <v>17.133500000000002</v>
      </c>
    </row>
    <row r="11775" spans="1:2">
      <c r="A11775" s="117">
        <v>45329</v>
      </c>
      <c r="B11775">
        <v>17.1447</v>
      </c>
    </row>
    <row r="11776" spans="1:2">
      <c r="A11776" s="117">
        <v>45330</v>
      </c>
      <c r="B11776">
        <v>17.035699999999999</v>
      </c>
    </row>
    <row r="11777" spans="1:2">
      <c r="A11777" s="117">
        <v>45331</v>
      </c>
      <c r="B11777">
        <v>17.0398</v>
      </c>
    </row>
    <row r="11778" spans="1:2">
      <c r="A11778" s="117">
        <v>45332</v>
      </c>
      <c r="B11778">
        <v>17.1023</v>
      </c>
    </row>
    <row r="11779" spans="1:2">
      <c r="A11779" s="117">
        <v>45333</v>
      </c>
      <c r="B11779">
        <v>17.1023</v>
      </c>
    </row>
    <row r="11780" spans="1:2">
      <c r="A11780" s="117">
        <v>45334</v>
      </c>
      <c r="B11780">
        <v>17.1023</v>
      </c>
    </row>
    <row r="11781" spans="1:2">
      <c r="A11781" s="117">
        <v>45335</v>
      </c>
      <c r="B11781">
        <v>17.0855</v>
      </c>
    </row>
    <row r="11782" spans="1:2">
      <c r="A11782" s="117">
        <v>45336</v>
      </c>
      <c r="B11782">
        <v>17.068000000000001</v>
      </c>
    </row>
    <row r="11783" spans="1:2">
      <c r="A11783" s="117">
        <v>45337</v>
      </c>
      <c r="B11783">
        <v>17.1982</v>
      </c>
    </row>
    <row r="11784" spans="1:2">
      <c r="A11784" s="117">
        <v>45338</v>
      </c>
      <c r="B11784">
        <v>17.110499999999998</v>
      </c>
    </row>
    <row r="11785" spans="1:2">
      <c r="A11785" s="117">
        <v>45339</v>
      </c>
      <c r="B11785">
        <v>17.068000000000001</v>
      </c>
    </row>
    <row r="11786" spans="1:2">
      <c r="A11786" s="117">
        <v>45340</v>
      </c>
      <c r="B11786">
        <v>17.068000000000001</v>
      </c>
    </row>
    <row r="11787" spans="1:2">
      <c r="A11787" s="117">
        <v>45341</v>
      </c>
      <c r="B11787">
        <v>17.068000000000001</v>
      </c>
    </row>
    <row r="11788" spans="1:2">
      <c r="A11788" s="117">
        <v>45342</v>
      </c>
      <c r="B11788">
        <v>17.060199999999998</v>
      </c>
    </row>
    <row r="11789" spans="1:2">
      <c r="A11789" s="117">
        <v>45343</v>
      </c>
      <c r="B11789">
        <v>17.05</v>
      </c>
    </row>
    <row r="11790" spans="1:2">
      <c r="A11790" s="117">
        <v>45344</v>
      </c>
      <c r="B11790">
        <v>17.0458</v>
      </c>
    </row>
    <row r="11791" spans="1:2">
      <c r="A11791" s="117">
        <v>45345</v>
      </c>
      <c r="B11791">
        <v>17.060300000000002</v>
      </c>
    </row>
    <row r="11792" spans="1:2">
      <c r="A11792" s="117">
        <v>45346</v>
      </c>
      <c r="B11792">
        <v>17.120999999999999</v>
      </c>
    </row>
    <row r="11793" spans="1:2">
      <c r="A11793" s="117">
        <v>45347</v>
      </c>
      <c r="B11793">
        <v>17.120999999999999</v>
      </c>
    </row>
    <row r="11794" spans="1:2">
      <c r="A11794" s="117">
        <v>45348</v>
      </c>
      <c r="B11794">
        <v>17.120999999999999</v>
      </c>
    </row>
    <row r="11795" spans="1:2">
      <c r="A11795" s="117">
        <v>45349</v>
      </c>
      <c r="B11795">
        <v>17.126000000000001</v>
      </c>
    </row>
    <row r="11796" spans="1:2">
      <c r="A11796" s="117">
        <v>45350</v>
      </c>
      <c r="B11796">
        <v>17.126000000000001</v>
      </c>
    </row>
    <row r="11797" spans="1:2">
      <c r="A11797" s="117">
        <v>45351</v>
      </c>
      <c r="B11797">
        <v>17.060500000000001</v>
      </c>
    </row>
    <row r="11798" spans="1:2">
      <c r="A11798" s="117">
        <v>45352</v>
      </c>
      <c r="B11798">
        <v>17.0962</v>
      </c>
    </row>
    <row r="11799" spans="1:2">
      <c r="A11799" s="117">
        <v>45353</v>
      </c>
      <c r="B11799">
        <v>17.063300000000002</v>
      </c>
    </row>
    <row r="11800" spans="1:2">
      <c r="A11800" s="117">
        <v>45354</v>
      </c>
      <c r="B11800">
        <v>17.063300000000002</v>
      </c>
    </row>
    <row r="11801" spans="1:2">
      <c r="A11801" s="117">
        <v>45355</v>
      </c>
      <c r="B11801">
        <v>17.063300000000002</v>
      </c>
    </row>
    <row r="11802" spans="1:2">
      <c r="A11802" s="117">
        <v>45356</v>
      </c>
      <c r="B11802">
        <v>17.021699999999999</v>
      </c>
    </row>
    <row r="11803" spans="1:2">
      <c r="A11803" s="117">
        <v>45357</v>
      </c>
      <c r="B11803">
        <v>16.982800000000001</v>
      </c>
    </row>
    <row r="11804" spans="1:2">
      <c r="A11804" s="117">
        <v>45358</v>
      </c>
      <c r="B11804">
        <v>16.925699999999999</v>
      </c>
    </row>
    <row r="11805" spans="1:2">
      <c r="A11805" s="117">
        <v>45359</v>
      </c>
      <c r="B11805">
        <v>16.872800000000002</v>
      </c>
    </row>
    <row r="11806" spans="1:2">
      <c r="A11806" s="117">
        <v>45360</v>
      </c>
      <c r="B11806">
        <v>16.876999999999999</v>
      </c>
    </row>
    <row r="11807" spans="1:2">
      <c r="A11807" s="117">
        <v>45361</v>
      </c>
      <c r="B11807">
        <v>16.876999999999999</v>
      </c>
    </row>
    <row r="11808" spans="1:2">
      <c r="A11808" s="117">
        <v>45362</v>
      </c>
      <c r="B11808">
        <v>16.876999999999999</v>
      </c>
    </row>
    <row r="11809" spans="1:2">
      <c r="A11809" s="117">
        <v>45363</v>
      </c>
      <c r="B11809">
        <v>16.798500000000001</v>
      </c>
    </row>
    <row r="11810" spans="1:2">
      <c r="A11810" s="117">
        <v>45364</v>
      </c>
      <c r="B11810">
        <v>16.808299999999999</v>
      </c>
    </row>
    <row r="11811" spans="1:2">
      <c r="A11811" s="117">
        <v>45365</v>
      </c>
      <c r="B11811">
        <v>16.827200000000001</v>
      </c>
    </row>
    <row r="11812" spans="1:2">
      <c r="A11812" s="117">
        <v>45366</v>
      </c>
      <c r="B11812">
        <v>16.712700000000002</v>
      </c>
    </row>
    <row r="11813" spans="1:2">
      <c r="A11813" s="117">
        <v>45367</v>
      </c>
      <c r="B11813">
        <v>16.692</v>
      </c>
    </row>
    <row r="11814" spans="1:2">
      <c r="A11814" s="117">
        <v>45368</v>
      </c>
      <c r="B11814">
        <v>16.692</v>
      </c>
    </row>
    <row r="11815" spans="1:2">
      <c r="A11815" s="117">
        <v>45369</v>
      </c>
      <c r="B11815">
        <v>16.692</v>
      </c>
    </row>
    <row r="11816" spans="1:2">
      <c r="A11816" s="117">
        <v>45370</v>
      </c>
      <c r="B11816">
        <v>16.692</v>
      </c>
    </row>
    <row r="11817" spans="1:2">
      <c r="A11817" s="117">
        <v>45371</v>
      </c>
      <c r="B11817">
        <v>16.71</v>
      </c>
    </row>
    <row r="11818" spans="1:2">
      <c r="A11818" s="117">
        <v>45372</v>
      </c>
      <c r="B11818">
        <v>16.8523</v>
      </c>
    </row>
    <row r="11819" spans="1:2">
      <c r="A11819" s="117">
        <v>45373</v>
      </c>
      <c r="B11819">
        <v>16.759</v>
      </c>
    </row>
    <row r="11820" spans="1:2">
      <c r="A11820" s="117">
        <v>45374</v>
      </c>
      <c r="B11820">
        <v>16.762</v>
      </c>
    </row>
    <row r="11821" spans="1:2">
      <c r="A11821" s="117">
        <v>45375</v>
      </c>
      <c r="B11821">
        <v>16.762</v>
      </c>
    </row>
    <row r="11822" spans="1:2">
      <c r="A11822" s="117">
        <v>45376</v>
      </c>
      <c r="B11822">
        <v>16.762</v>
      </c>
    </row>
    <row r="11823" spans="1:2">
      <c r="A11823" s="117">
        <v>45377</v>
      </c>
      <c r="B11823">
        <v>16.736699999999999</v>
      </c>
    </row>
    <row r="11824" spans="1:2">
      <c r="A11824" s="117">
        <v>45378</v>
      </c>
      <c r="B11824">
        <v>16.703199999999999</v>
      </c>
    </row>
    <row r="11825" spans="1:2">
      <c r="A11825" s="117">
        <v>45379</v>
      </c>
      <c r="B11825">
        <v>16.678000000000001</v>
      </c>
    </row>
    <row r="11826" spans="1:2">
      <c r="A11826" s="117">
        <v>45380</v>
      </c>
      <c r="B11826">
        <v>16.678000000000001</v>
      </c>
    </row>
    <row r="11827" spans="1:2">
      <c r="A11827" s="117">
        <v>45381</v>
      </c>
      <c r="B11827">
        <v>16.678000000000001</v>
      </c>
    </row>
    <row r="11828" spans="1:2">
      <c r="A11828" s="117">
        <v>45382</v>
      </c>
      <c r="B11828">
        <v>16.678000000000001</v>
      </c>
    </row>
    <row r="11829" spans="1:2">
      <c r="A11829" s="117">
        <v>45383</v>
      </c>
      <c r="B11829">
        <v>16.678000000000001</v>
      </c>
    </row>
    <row r="11830" spans="1:2">
      <c r="A11830" s="117">
        <v>45384</v>
      </c>
      <c r="B11830">
        <v>16.532299999999999</v>
      </c>
    </row>
    <row r="11831" spans="1:2">
      <c r="A11831" s="117">
        <v>45385</v>
      </c>
      <c r="B11831">
        <v>16.657800000000002</v>
      </c>
    </row>
    <row r="11832" spans="1:2">
      <c r="A11832" s="117">
        <v>45386</v>
      </c>
      <c r="B11832">
        <v>16.567299999999999</v>
      </c>
    </row>
    <row r="11833" spans="1:2">
      <c r="A11833" s="117">
        <v>45387</v>
      </c>
      <c r="B11833">
        <v>16.541499999999999</v>
      </c>
    </row>
    <row r="11834" spans="1:2">
      <c r="A11834" s="117">
        <v>45388</v>
      </c>
      <c r="B11834">
        <v>16.517299999999999</v>
      </c>
    </row>
    <row r="11835" spans="1:2">
      <c r="A11835" s="117">
        <v>45389</v>
      </c>
      <c r="B11835">
        <v>16.517299999999999</v>
      </c>
    </row>
    <row r="11836" spans="1:2">
      <c r="A11836" s="117">
        <v>45390</v>
      </c>
      <c r="B11836">
        <v>16.517299999999999</v>
      </c>
    </row>
    <row r="11837" spans="1:2">
      <c r="A11837" s="117">
        <v>45391</v>
      </c>
      <c r="B11837">
        <v>16.4758</v>
      </c>
    </row>
    <row r="11838" spans="1:2">
      <c r="A11838" s="117">
        <v>45392</v>
      </c>
      <c r="B11838">
        <v>16.335699999999999</v>
      </c>
    </row>
    <row r="11839" spans="1:2">
      <c r="A11839" s="117">
        <v>45393</v>
      </c>
      <c r="B11839">
        <v>16.3932</v>
      </c>
    </row>
    <row r="11840" spans="1:2">
      <c r="A11840" s="117">
        <v>45394</v>
      </c>
      <c r="B11840">
        <v>16.488299999999999</v>
      </c>
    </row>
    <row r="11841" spans="1:2">
      <c r="A11841" s="117">
        <v>45395</v>
      </c>
      <c r="B11841">
        <v>16.458300000000001</v>
      </c>
    </row>
    <row r="11842" spans="1:2">
      <c r="A11842" s="117">
        <v>45396</v>
      </c>
      <c r="B11842">
        <v>16.458300000000001</v>
      </c>
    </row>
    <row r="11843" spans="1:2">
      <c r="A11843" s="117">
        <v>45397</v>
      </c>
      <c r="B11843">
        <v>16.458300000000001</v>
      </c>
    </row>
    <row r="11844" spans="1:2">
      <c r="A11844" s="117">
        <v>45398</v>
      </c>
      <c r="B11844">
        <v>16.6693</v>
      </c>
    </row>
    <row r="11845" spans="1:2">
      <c r="A11845" s="117">
        <v>45399</v>
      </c>
      <c r="B11845">
        <v>16.6815</v>
      </c>
    </row>
    <row r="11846" spans="1:2">
      <c r="A11846" s="117">
        <v>45400</v>
      </c>
      <c r="B11846">
        <v>17.025200000000002</v>
      </c>
    </row>
    <row r="11847" spans="1:2">
      <c r="A11847" s="117">
        <v>45401</v>
      </c>
      <c r="B11847">
        <v>16.994800000000001</v>
      </c>
    </row>
    <row r="11848" spans="1:2">
      <c r="A11848" s="117">
        <v>45402</v>
      </c>
      <c r="B11848">
        <v>17.1145</v>
      </c>
    </row>
    <row r="11849" spans="1:2">
      <c r="A11849" s="117">
        <v>45403</v>
      </c>
      <c r="B11849">
        <v>17.1145</v>
      </c>
    </row>
    <row r="11850" spans="1:2">
      <c r="A11850" s="117">
        <v>45404</v>
      </c>
      <c r="B11850">
        <v>17.1145</v>
      </c>
    </row>
    <row r="11851" spans="1:2">
      <c r="A11851" s="117">
        <v>45405</v>
      </c>
      <c r="B11851">
        <v>17.212</v>
      </c>
    </row>
    <row r="11852" spans="1:2">
      <c r="A11852" s="117">
        <v>45406</v>
      </c>
      <c r="B11852">
        <v>17.124300000000002</v>
      </c>
    </row>
    <row r="11853" spans="1:2">
      <c r="A11853" s="117">
        <v>45407</v>
      </c>
      <c r="B11853">
        <v>16.999500000000001</v>
      </c>
    </row>
    <row r="11854" spans="1:2">
      <c r="A11854" s="117">
        <v>45408</v>
      </c>
      <c r="B11854">
        <v>17.1098</v>
      </c>
    </row>
    <row r="11855" spans="1:2">
      <c r="A11855" s="117">
        <v>45409</v>
      </c>
      <c r="B11855">
        <v>17.188300000000002</v>
      </c>
    </row>
    <row r="11856" spans="1:2">
      <c r="A11856" s="117">
        <v>45410</v>
      </c>
      <c r="B11856">
        <v>17.188300000000002</v>
      </c>
    </row>
    <row r="11857" spans="1:2">
      <c r="A11857" s="117">
        <v>45411</v>
      </c>
      <c r="B11857">
        <v>17.188300000000002</v>
      </c>
    </row>
    <row r="11858" spans="1:2">
      <c r="A11858" s="117">
        <v>45412</v>
      </c>
      <c r="B11858">
        <v>17.155200000000001</v>
      </c>
    </row>
    <row r="11859" spans="1:2">
      <c r="A11859" s="117">
        <v>45413</v>
      </c>
      <c r="B11859">
        <v>17.0243</v>
      </c>
    </row>
    <row r="11860" spans="1:2">
      <c r="A11860" s="117">
        <v>45414</v>
      </c>
      <c r="B11860">
        <v>17.0243</v>
      </c>
    </row>
    <row r="11861" spans="1:2">
      <c r="A11861" s="117">
        <v>45415</v>
      </c>
      <c r="B11861">
        <v>17.095800000000001</v>
      </c>
    </row>
    <row r="11862" spans="1:2">
      <c r="A11862" s="117">
        <v>45416</v>
      </c>
      <c r="B11862">
        <v>16.939299999999999</v>
      </c>
    </row>
    <row r="11863" spans="1:2">
      <c r="A11863" s="117">
        <v>45417</v>
      </c>
      <c r="B11863">
        <v>16.939299999999999</v>
      </c>
    </row>
    <row r="11864" spans="1:2">
      <c r="A11864" s="117">
        <v>45418</v>
      </c>
      <c r="B11864">
        <v>16.939299999999999</v>
      </c>
    </row>
    <row r="11865" spans="1:2">
      <c r="A11865" s="117">
        <v>45419</v>
      </c>
      <c r="B11865">
        <v>17.004200000000001</v>
      </c>
    </row>
    <row r="11866" spans="1:2">
      <c r="A11866" s="117">
        <v>45420</v>
      </c>
      <c r="B11866">
        <v>16.8947</v>
      </c>
    </row>
    <row r="11867" spans="1:2">
      <c r="A11867" s="117">
        <v>45421</v>
      </c>
      <c r="B11867">
        <v>16.908300000000001</v>
      </c>
    </row>
    <row r="11868" spans="1:2">
      <c r="A11868" s="117">
        <v>45422</v>
      </c>
      <c r="B11868">
        <v>16.9087</v>
      </c>
    </row>
    <row r="11869" spans="1:2">
      <c r="A11869" s="117">
        <v>45423</v>
      </c>
      <c r="B11869">
        <v>16.866</v>
      </c>
    </row>
    <row r="11870" spans="1:2">
      <c r="A11870" s="117">
        <v>45424</v>
      </c>
      <c r="B11870">
        <v>16.866</v>
      </c>
    </row>
    <row r="11871" spans="1:2">
      <c r="A11871" s="117">
        <v>45425</v>
      </c>
      <c r="B11871">
        <v>16.866</v>
      </c>
    </row>
    <row r="11872" spans="1:2">
      <c r="A11872" s="117">
        <v>45426</v>
      </c>
      <c r="B11872">
        <v>16.768999999999998</v>
      </c>
    </row>
    <row r="11873" spans="1:2">
      <c r="A11873" s="117">
        <v>45427</v>
      </c>
      <c r="B11873">
        <v>16.807200000000002</v>
      </c>
    </row>
    <row r="11874" spans="1:2">
      <c r="A11874" s="117">
        <v>45428</v>
      </c>
      <c r="B11874">
        <v>16.846</v>
      </c>
    </row>
    <row r="11875" spans="1:2">
      <c r="A11875" s="117">
        <v>45429</v>
      </c>
      <c r="B11875">
        <v>16.6782</v>
      </c>
    </row>
    <row r="11876" spans="1:2">
      <c r="A11876" s="117">
        <v>45430</v>
      </c>
      <c r="B11876">
        <v>16.689299999999999</v>
      </c>
    </row>
    <row r="11877" spans="1:2">
      <c r="A11877" s="117">
        <v>45431</v>
      </c>
      <c r="B11877">
        <v>16.689299999999999</v>
      </c>
    </row>
    <row r="11878" spans="1:2">
      <c r="A11878" s="117">
        <v>45432</v>
      </c>
      <c r="B11878">
        <v>16.689299999999999</v>
      </c>
    </row>
    <row r="11879" spans="1:2">
      <c r="A11879" s="117">
        <v>45433</v>
      </c>
      <c r="B11879">
        <v>16.621700000000001</v>
      </c>
    </row>
    <row r="11880" spans="1:2">
      <c r="A11880" s="117">
        <v>45434</v>
      </c>
      <c r="B11880">
        <v>16.566800000000001</v>
      </c>
    </row>
    <row r="11881" spans="1:2">
      <c r="A11881" s="117">
        <v>45435</v>
      </c>
      <c r="B11881">
        <v>16.613800000000001</v>
      </c>
    </row>
    <row r="11882" spans="1:2">
      <c r="A11882" s="117">
        <v>45436</v>
      </c>
      <c r="B11882">
        <v>16.640499999999999</v>
      </c>
    </row>
    <row r="11883" spans="1:2">
      <c r="A11883" s="117">
        <v>45437</v>
      </c>
      <c r="B11883">
        <v>16.694500000000001</v>
      </c>
    </row>
    <row r="11884" spans="1:2">
      <c r="A11884" s="117">
        <v>45438</v>
      </c>
      <c r="B11884">
        <v>16.694500000000001</v>
      </c>
    </row>
    <row r="11885" spans="1:2">
      <c r="A11885" s="117">
        <v>45439</v>
      </c>
      <c r="B11885">
        <v>16.694500000000001</v>
      </c>
    </row>
    <row r="11886" spans="1:2">
      <c r="A11886" s="117">
        <v>45440</v>
      </c>
      <c r="B11886">
        <v>16.702300000000001</v>
      </c>
    </row>
    <row r="11887" spans="1:2">
      <c r="A11887" s="117">
        <v>45441</v>
      </c>
      <c r="B11887">
        <v>16.6568</v>
      </c>
    </row>
    <row r="11888" spans="1:2">
      <c r="A11888" s="117">
        <v>45442</v>
      </c>
      <c r="B11888">
        <v>16.745699999999999</v>
      </c>
    </row>
    <row r="11889" spans="1:2">
      <c r="A11889" s="117">
        <v>45443</v>
      </c>
      <c r="B11889">
        <v>16.95</v>
      </c>
    </row>
    <row r="11890" spans="1:2">
      <c r="A11890" s="117">
        <v>45444</v>
      </c>
      <c r="B11890">
        <v>16.9377</v>
      </c>
    </row>
    <row r="11891" spans="1:2">
      <c r="A11891" s="117">
        <v>45445</v>
      </c>
      <c r="B11891">
        <v>16.9377</v>
      </c>
    </row>
    <row r="11892" spans="1:2">
      <c r="A11892" s="117">
        <v>45446</v>
      </c>
      <c r="B11892">
        <v>16.9377</v>
      </c>
    </row>
    <row r="11893" spans="1:2">
      <c r="A11893" s="117">
        <v>45447</v>
      </c>
      <c r="B11893">
        <v>17.017700000000001</v>
      </c>
    </row>
    <row r="11894" spans="1:2">
      <c r="A11894" s="117">
        <v>45448</v>
      </c>
      <c r="B11894">
        <v>17.633800000000001</v>
      </c>
    </row>
    <row r="11895" spans="1:2">
      <c r="A11895" s="117">
        <v>45449</v>
      </c>
      <c r="B11895">
        <v>17.860700000000001</v>
      </c>
    </row>
    <row r="11896" spans="1:2">
      <c r="A11896" s="117">
        <v>45450</v>
      </c>
      <c r="B11896">
        <v>17.559200000000001</v>
      </c>
    </row>
    <row r="11897" spans="1:2">
      <c r="A11897" s="117">
        <v>45451</v>
      </c>
      <c r="B11897">
        <v>17.5335</v>
      </c>
    </row>
    <row r="11898" spans="1:2">
      <c r="A11898" s="117">
        <v>45452</v>
      </c>
      <c r="B11898">
        <v>17.5335</v>
      </c>
    </row>
    <row r="11899" spans="1:2">
      <c r="A11899" s="117">
        <v>45453</v>
      </c>
      <c r="B11899">
        <v>17.5335</v>
      </c>
    </row>
    <row r="11900" spans="1:2">
      <c r="A11900" s="117">
        <v>45454</v>
      </c>
      <c r="B11900">
        <v>18.2622</v>
      </c>
    </row>
    <row r="11901" spans="1:2">
      <c r="A11901" s="117">
        <v>45455</v>
      </c>
      <c r="B11901">
        <v>18.384799999999998</v>
      </c>
    </row>
    <row r="11902" spans="1:2">
      <c r="A11902" s="117">
        <v>45456</v>
      </c>
      <c r="B11902">
        <v>18.445699999999999</v>
      </c>
    </row>
    <row r="11903" spans="1:2">
      <c r="A11903" s="117">
        <v>45457</v>
      </c>
      <c r="B11903">
        <v>18.783200000000001</v>
      </c>
    </row>
    <row r="11904" spans="1:2">
      <c r="A11904" s="117">
        <v>45458</v>
      </c>
      <c r="B11904">
        <v>18.538499999999999</v>
      </c>
    </row>
    <row r="11905" spans="1:2">
      <c r="A11905" s="117">
        <v>45459</v>
      </c>
      <c r="B11905">
        <v>18.538499999999999</v>
      </c>
    </row>
    <row r="11906" spans="1:2">
      <c r="A11906" s="117">
        <v>45460</v>
      </c>
      <c r="B11906">
        <v>18.538499999999999</v>
      </c>
    </row>
    <row r="11907" spans="1:2">
      <c r="A11907" s="117">
        <v>45461</v>
      </c>
      <c r="B11907">
        <v>18.4512</v>
      </c>
    </row>
    <row r="11908" spans="1:2">
      <c r="A11908" s="117">
        <v>45462</v>
      </c>
      <c r="B11908">
        <v>18.524799999999999</v>
      </c>
    </row>
    <row r="11909" spans="1:2">
      <c r="A11909" s="117">
        <v>45463</v>
      </c>
      <c r="B11909">
        <v>18.412800000000001</v>
      </c>
    </row>
    <row r="11910" spans="1:2">
      <c r="A11910" s="117">
        <v>45464</v>
      </c>
      <c r="B11910">
        <v>18.422999999999998</v>
      </c>
    </row>
    <row r="11911" spans="1:2">
      <c r="A11911" s="117">
        <v>45465</v>
      </c>
      <c r="B11911">
        <v>18.402699999999999</v>
      </c>
    </row>
    <row r="11912" spans="1:2">
      <c r="A11912" s="117">
        <v>45466</v>
      </c>
      <c r="B11912">
        <v>18.402699999999999</v>
      </c>
    </row>
    <row r="11913" spans="1:2">
      <c r="A11913" s="117">
        <v>45467</v>
      </c>
      <c r="B11913">
        <v>18.402699999999999</v>
      </c>
    </row>
    <row r="11914" spans="1:2">
      <c r="A11914" s="117">
        <v>45468</v>
      </c>
      <c r="B11914">
        <v>18.184799999999999</v>
      </c>
    </row>
    <row r="11915" spans="1:2">
      <c r="A11915" s="117">
        <v>45469</v>
      </c>
      <c r="B11915">
        <v>17.962700000000002</v>
      </c>
    </row>
    <row r="11916" spans="1:2">
      <c r="A11916" s="117">
        <v>45470</v>
      </c>
      <c r="B11916">
        <v>18.1372</v>
      </c>
    </row>
    <row r="11917" spans="1:2">
      <c r="A11917" s="117">
        <v>45471</v>
      </c>
      <c r="B11917">
        <v>18.221499999999999</v>
      </c>
    </row>
    <row r="11918" spans="1:2">
      <c r="A11918" s="117">
        <v>45472</v>
      </c>
      <c r="B11918">
        <v>18.377300000000002</v>
      </c>
    </row>
    <row r="11919" spans="1:2">
      <c r="A11919" s="117">
        <v>45473</v>
      </c>
      <c r="B11919">
        <v>18.377300000000002</v>
      </c>
    </row>
    <row r="11920" spans="1:2">
      <c r="A11920" s="117">
        <v>45474</v>
      </c>
      <c r="B11920">
        <v>18.377300000000002</v>
      </c>
    </row>
    <row r="11921" spans="1:2">
      <c r="A11921" s="117">
        <v>45475</v>
      </c>
      <c r="B11921">
        <v>18.247800000000002</v>
      </c>
    </row>
    <row r="11922" spans="1:2">
      <c r="A11922" s="117">
        <v>45476</v>
      </c>
      <c r="B11922">
        <v>18.389700000000001</v>
      </c>
    </row>
    <row r="11923" spans="1:2">
      <c r="A11923" s="117">
        <v>45477</v>
      </c>
      <c r="B11923">
        <v>18.2485</v>
      </c>
    </row>
    <row r="11924" spans="1:2">
      <c r="A11924" s="117">
        <v>45478</v>
      </c>
      <c r="B11924">
        <v>18.1355</v>
      </c>
    </row>
    <row r="11925" spans="1:2">
      <c r="A11925" s="117">
        <v>45479</v>
      </c>
      <c r="B11925">
        <v>18.095800000000001</v>
      </c>
    </row>
    <row r="11926" spans="1:2">
      <c r="A11926" s="117">
        <v>45480</v>
      </c>
      <c r="B11926">
        <v>18.095800000000001</v>
      </c>
    </row>
    <row r="11927" spans="1:2">
      <c r="A11927" s="117">
        <v>45481</v>
      </c>
      <c r="B11927">
        <v>18.095800000000001</v>
      </c>
    </row>
    <row r="11928" spans="1:2">
      <c r="A11928" s="117">
        <v>45482</v>
      </c>
      <c r="B11928">
        <v>18.0977</v>
      </c>
    </row>
    <row r="11929" spans="1:2">
      <c r="A11929" s="117">
        <v>45483</v>
      </c>
      <c r="B11929">
        <v>18.009499999999999</v>
      </c>
    </row>
    <row r="11930" spans="1:2">
      <c r="A11930" s="117">
        <v>45484</v>
      </c>
      <c r="B11930">
        <v>17.942799999999998</v>
      </c>
    </row>
    <row r="11931" spans="1:2">
      <c r="A11931" s="117">
        <v>45485</v>
      </c>
      <c r="B11931">
        <v>17.828800000000001</v>
      </c>
    </row>
    <row r="11932" spans="1:2">
      <c r="A11932" s="117">
        <v>45486</v>
      </c>
      <c r="B11932">
        <v>17.819199999999999</v>
      </c>
    </row>
    <row r="11933" spans="1:2">
      <c r="A11933" s="117">
        <v>45487</v>
      </c>
      <c r="B11933">
        <v>17.819199999999999</v>
      </c>
    </row>
    <row r="11934" spans="1:2">
      <c r="A11934" s="117">
        <v>45488</v>
      </c>
      <c r="B11934">
        <v>17.819199999999999</v>
      </c>
    </row>
    <row r="11935" spans="1:2">
      <c r="A11935" s="117">
        <v>45489</v>
      </c>
      <c r="B11935">
        <v>17.650200000000002</v>
      </c>
    </row>
    <row r="11936" spans="1:2">
      <c r="A11936" s="117">
        <v>45490</v>
      </c>
      <c r="B11936">
        <v>17.7837</v>
      </c>
    </row>
    <row r="11937" spans="1:2">
      <c r="A11937" s="117">
        <v>45491</v>
      </c>
      <c r="B11937">
        <v>17.679500000000001</v>
      </c>
    </row>
    <row r="11938" spans="1:2">
      <c r="A11938" s="117">
        <v>45492</v>
      </c>
      <c r="B11938">
        <v>17.7438</v>
      </c>
    </row>
    <row r="11939" spans="1:2">
      <c r="A11939" s="117">
        <v>45493</v>
      </c>
      <c r="B11939">
        <v>17.890699999999999</v>
      </c>
    </row>
    <row r="11940" spans="1:2">
      <c r="A11940" s="117">
        <v>45494</v>
      </c>
      <c r="B11940">
        <v>17.890699999999999</v>
      </c>
    </row>
    <row r="11941" spans="1:2">
      <c r="A11941" s="117">
        <v>45495</v>
      </c>
      <c r="B11941">
        <v>17.890699999999999</v>
      </c>
    </row>
    <row r="11942" spans="1:2">
      <c r="A11942" s="117">
        <v>45496</v>
      </c>
      <c r="B11942">
        <v>17.997</v>
      </c>
    </row>
    <row r="11943" spans="1:2">
      <c r="A11943" s="117">
        <v>45497</v>
      </c>
      <c r="B11943">
        <v>17.910699999999999</v>
      </c>
    </row>
    <row r="11944" spans="1:2">
      <c r="A11944" s="117">
        <v>45498</v>
      </c>
      <c r="B11944">
        <v>18.098700000000001</v>
      </c>
    </row>
    <row r="11945" spans="1:2">
      <c r="A11945" s="117">
        <v>45499</v>
      </c>
      <c r="B11945">
        <v>18.345800000000001</v>
      </c>
    </row>
    <row r="11946" spans="1:2">
      <c r="A11946" s="117">
        <v>45500</v>
      </c>
      <c r="B11946">
        <v>18.385000000000002</v>
      </c>
    </row>
    <row r="11947" spans="1:2">
      <c r="A11947" s="117">
        <v>45501</v>
      </c>
      <c r="B11947">
        <v>18.385000000000002</v>
      </c>
    </row>
    <row r="11948" spans="1:2">
      <c r="A11948" s="117">
        <v>45502</v>
      </c>
      <c r="B11948">
        <v>18.385000000000002</v>
      </c>
    </row>
    <row r="11949" spans="1:2">
      <c r="A11949" s="117">
        <v>45503</v>
      </c>
      <c r="B11949">
        <v>18.447500000000002</v>
      </c>
    </row>
    <row r="11950" spans="1:2">
      <c r="A11950" s="117">
        <v>45504</v>
      </c>
      <c r="B11950">
        <v>18.681799999999999</v>
      </c>
    </row>
    <row r="11951" spans="1:2">
      <c r="A11951" s="117">
        <v>45505</v>
      </c>
      <c r="B11951">
        <v>18.79</v>
      </c>
    </row>
    <row r="11952" spans="1:2">
      <c r="A11952" s="117">
        <v>45506</v>
      </c>
      <c r="B11952">
        <v>18.597000000000001</v>
      </c>
    </row>
    <row r="11953" spans="1:2">
      <c r="A11953" s="117">
        <v>45507</v>
      </c>
      <c r="B11953">
        <v>18.706</v>
      </c>
    </row>
    <row r="11954" spans="1:2">
      <c r="A11954" s="117">
        <v>45508</v>
      </c>
      <c r="B11954">
        <v>18.706</v>
      </c>
    </row>
    <row r="11955" spans="1:2">
      <c r="A11955" s="117">
        <v>45509</v>
      </c>
      <c r="B11955">
        <v>18.706</v>
      </c>
    </row>
    <row r="11956" spans="1:2">
      <c r="A11956" s="117">
        <v>45510</v>
      </c>
      <c r="B11956">
        <v>19.0442</v>
      </c>
    </row>
    <row r="11957" spans="1:2">
      <c r="A11957" s="117">
        <v>45511</v>
      </c>
      <c r="B11957">
        <v>19.390499999999999</v>
      </c>
    </row>
    <row r="11958" spans="1:2">
      <c r="A11958" s="117">
        <v>45512</v>
      </c>
      <c r="B11958">
        <v>19.329999999999998</v>
      </c>
    </row>
    <row r="11959" spans="1:2">
      <c r="A11959" s="117">
        <v>45513</v>
      </c>
      <c r="B11959">
        <v>19.189</v>
      </c>
    </row>
    <row r="11960" spans="1:2">
      <c r="A11960" s="117">
        <v>45514</v>
      </c>
      <c r="B11960">
        <v>19.09</v>
      </c>
    </row>
    <row r="11961" spans="1:2">
      <c r="A11961" s="117">
        <v>45515</v>
      </c>
      <c r="B11961">
        <v>19.09</v>
      </c>
    </row>
    <row r="11962" spans="1:2">
      <c r="A11962" s="117">
        <v>45516</v>
      </c>
      <c r="B11962">
        <v>19.09</v>
      </c>
    </row>
    <row r="11963" spans="1:2">
      <c r="A11963" s="117">
        <v>45517</v>
      </c>
      <c r="B11963">
        <v>18.8368</v>
      </c>
    </row>
    <row r="11964" spans="1:2">
      <c r="A11964" s="117">
        <v>45518</v>
      </c>
      <c r="B11964">
        <v>19.032</v>
      </c>
    </row>
    <row r="11965" spans="1:2">
      <c r="A11965" s="117">
        <v>45519</v>
      </c>
      <c r="B11965">
        <v>19.038699999999999</v>
      </c>
    </row>
    <row r="11966" spans="1:2">
      <c r="A11966" s="117">
        <v>45520</v>
      </c>
      <c r="B11966">
        <v>18.847799999999999</v>
      </c>
    </row>
    <row r="11967" spans="1:2">
      <c r="A11967" s="117">
        <v>45521</v>
      </c>
      <c r="B11967">
        <v>18.651299999999999</v>
      </c>
    </row>
    <row r="11968" spans="1:2">
      <c r="A11968" s="117">
        <v>45522</v>
      </c>
      <c r="B11968">
        <v>18.651299999999999</v>
      </c>
    </row>
    <row r="11969" spans="1:2">
      <c r="A11969" s="117">
        <v>45523</v>
      </c>
      <c r="B11969">
        <v>18.651299999999999</v>
      </c>
    </row>
    <row r="11970" spans="1:2">
      <c r="A11970" s="117">
        <v>45524</v>
      </c>
      <c r="B11970">
        <v>18.622800000000002</v>
      </c>
    </row>
    <row r="11971" spans="1:2">
      <c r="A11971" s="117">
        <v>45525</v>
      </c>
      <c r="B11971">
        <v>18.735700000000001</v>
      </c>
    </row>
    <row r="11972" spans="1:2">
      <c r="A11972" s="117">
        <v>45526</v>
      </c>
      <c r="B11972">
        <v>18.944800000000001</v>
      </c>
    </row>
    <row r="11973" spans="1:2">
      <c r="A11973" s="117">
        <v>45527</v>
      </c>
      <c r="B11973">
        <v>19.253499999999999</v>
      </c>
    </row>
    <row r="11974" spans="1:2">
      <c r="A11974" s="117">
        <v>45528</v>
      </c>
      <c r="B11974">
        <v>19.423500000000001</v>
      </c>
    </row>
    <row r="11975" spans="1:2">
      <c r="A11975" s="117">
        <v>45529</v>
      </c>
      <c r="B11975">
        <v>19.423500000000001</v>
      </c>
    </row>
    <row r="11976" spans="1:2">
      <c r="A11976" s="117">
        <v>45530</v>
      </c>
      <c r="B11976">
        <v>19.423500000000001</v>
      </c>
    </row>
    <row r="11977" spans="1:2">
      <c r="A11977" s="117">
        <v>45531</v>
      </c>
      <c r="B11977">
        <v>19.070799999999998</v>
      </c>
    </row>
    <row r="11978" spans="1:2">
      <c r="A11978" s="117">
        <v>45532</v>
      </c>
      <c r="B11978">
        <v>19.382000000000001</v>
      </c>
    </row>
    <row r="11979" spans="1:2">
      <c r="A11979" s="117">
        <v>45533</v>
      </c>
      <c r="B11979">
        <v>19.6692</v>
      </c>
    </row>
    <row r="11980" spans="1:2">
      <c r="A11980" s="117">
        <v>45534</v>
      </c>
      <c r="B11980">
        <v>19.6037</v>
      </c>
    </row>
    <row r="11981" spans="1:2">
      <c r="A11981" s="117">
        <v>45535</v>
      </c>
      <c r="B11981">
        <v>19.816800000000001</v>
      </c>
    </row>
    <row r="11982" spans="1:2">
      <c r="A11982" s="117">
        <v>45536</v>
      </c>
      <c r="B11982">
        <v>19.816800000000001</v>
      </c>
    </row>
    <row r="11983" spans="1:2">
      <c r="A11983" s="117">
        <v>45537</v>
      </c>
      <c r="B11983">
        <v>19.816800000000001</v>
      </c>
    </row>
    <row r="11984" spans="1:2">
      <c r="A11984" s="117">
        <v>45538</v>
      </c>
      <c r="B11984">
        <v>19.653500000000001</v>
      </c>
    </row>
    <row r="11985" spans="1:2">
      <c r="A11985" s="117">
        <v>45539</v>
      </c>
      <c r="B11985">
        <v>19.797999999999998</v>
      </c>
    </row>
    <row r="11986" spans="1:2">
      <c r="A11986" s="117">
        <v>45540</v>
      </c>
      <c r="B11986">
        <v>19.833500000000001</v>
      </c>
    </row>
    <row r="11987" spans="1:2">
      <c r="A11987" s="117">
        <v>45541</v>
      </c>
      <c r="B11987">
        <v>19.846</v>
      </c>
    </row>
    <row r="11988" spans="1:2">
      <c r="A11988" s="117">
        <v>45542</v>
      </c>
      <c r="B11988">
        <v>20.002800000000001</v>
      </c>
    </row>
    <row r="11989" spans="1:2">
      <c r="A11989" s="117">
        <v>45543</v>
      </c>
      <c r="B11989">
        <v>20.002800000000001</v>
      </c>
    </row>
    <row r="11990" spans="1:2">
      <c r="A11990" s="117">
        <v>45544</v>
      </c>
      <c r="B11990">
        <v>20.002800000000001</v>
      </c>
    </row>
    <row r="11991" spans="1:2">
      <c r="A11991" s="117">
        <v>45545</v>
      </c>
      <c r="B11991">
        <v>20.017199999999999</v>
      </c>
    </row>
    <row r="11992" spans="1:2">
      <c r="A11992" s="117">
        <v>45546</v>
      </c>
      <c r="B11992">
        <v>19.879799999999999</v>
      </c>
    </row>
    <row r="11993" spans="1:2">
      <c r="A11993" s="117">
        <v>45547</v>
      </c>
      <c r="B11993">
        <v>20.058299999999999</v>
      </c>
    </row>
    <row r="11994" spans="1:2">
      <c r="A11994" s="117">
        <v>45548</v>
      </c>
      <c r="B11994">
        <v>19.838999999999999</v>
      </c>
    </row>
    <row r="11995" spans="1:2">
      <c r="A11995" s="117">
        <v>45549</v>
      </c>
      <c r="B11995">
        <v>19.588699999999999</v>
      </c>
    </row>
    <row r="11996" spans="1:2">
      <c r="A11996" s="117">
        <v>45550</v>
      </c>
      <c r="B11996">
        <v>19.588699999999999</v>
      </c>
    </row>
    <row r="11997" spans="1:2">
      <c r="A11997" s="117">
        <v>45551</v>
      </c>
      <c r="B11997">
        <v>19.588699999999999</v>
      </c>
    </row>
    <row r="11998" spans="1:2">
      <c r="A11998" s="117">
        <v>45552</v>
      </c>
      <c r="B11998">
        <v>19.588699999999999</v>
      </c>
    </row>
    <row r="11999" spans="1:2">
      <c r="A11999" s="117">
        <v>45553</v>
      </c>
      <c r="B11999">
        <v>19.2483</v>
      </c>
    </row>
    <row r="12000" spans="1:2">
      <c r="A12000" s="117">
        <v>45554</v>
      </c>
      <c r="B12000">
        <v>19.266999999999999</v>
      </c>
    </row>
    <row r="12001" spans="1:2">
      <c r="A12001" s="117">
        <v>45555</v>
      </c>
      <c r="B12001">
        <v>19.3033</v>
      </c>
    </row>
    <row r="12002" spans="1:2">
      <c r="A12002" s="117">
        <v>45556</v>
      </c>
      <c r="B12002">
        <v>19.2773</v>
      </c>
    </row>
    <row r="12003" spans="1:2">
      <c r="A12003" s="117">
        <v>45557</v>
      </c>
      <c r="B12003">
        <v>19.2773</v>
      </c>
    </row>
    <row r="12004" spans="1:2">
      <c r="A12004" s="117">
        <v>45558</v>
      </c>
      <c r="B12004">
        <v>19.2773</v>
      </c>
    </row>
    <row r="12005" spans="1:2">
      <c r="A12005" s="117">
        <v>45559</v>
      </c>
      <c r="B12005">
        <v>19.372499999999999</v>
      </c>
    </row>
    <row r="12006" spans="1:2">
      <c r="A12006" s="117">
        <v>45560</v>
      </c>
      <c r="B12006">
        <v>19.414999999999999</v>
      </c>
    </row>
    <row r="12007" spans="1:2">
      <c r="A12007" s="117">
        <v>45561</v>
      </c>
      <c r="B12007">
        <v>19.356200000000001</v>
      </c>
    </row>
    <row r="12008" spans="1:2">
      <c r="A12008" s="117">
        <v>45562</v>
      </c>
      <c r="B12008">
        <v>19.587</v>
      </c>
    </row>
    <row r="12009" spans="1:2">
      <c r="A12009" s="117">
        <v>45563</v>
      </c>
      <c r="B12009">
        <v>19.629000000000001</v>
      </c>
    </row>
    <row r="12010" spans="1:2">
      <c r="A12010" s="117">
        <v>45564</v>
      </c>
      <c r="B12010">
        <v>19.629000000000001</v>
      </c>
    </row>
    <row r="12011" spans="1:2">
      <c r="A12011" s="117">
        <v>45565</v>
      </c>
      <c r="B12011">
        <v>19.629000000000001</v>
      </c>
    </row>
    <row r="12012" spans="1:2">
      <c r="A12012" s="117">
        <v>45566</v>
      </c>
      <c r="B12012">
        <v>19.669699999999999</v>
      </c>
    </row>
    <row r="12013" spans="1:2">
      <c r="A12013" s="117">
        <v>45567</v>
      </c>
      <c r="B12013">
        <v>19.669699999999999</v>
      </c>
    </row>
    <row r="12014" spans="1:2">
      <c r="A12014" s="117">
        <v>45568</v>
      </c>
      <c r="B12014">
        <v>19.643999999999998</v>
      </c>
    </row>
    <row r="12015" spans="1:2">
      <c r="A12015" s="117">
        <v>45569</v>
      </c>
      <c r="B12015">
        <v>19.388500000000001</v>
      </c>
    </row>
    <row r="12016" spans="1:2">
      <c r="A12016" s="117">
        <v>45570</v>
      </c>
      <c r="B12016">
        <v>19.4678</v>
      </c>
    </row>
    <row r="12017" spans="1:2">
      <c r="A12017" s="117">
        <v>45571</v>
      </c>
      <c r="B12017">
        <v>19.4678</v>
      </c>
    </row>
    <row r="12018" spans="1:2">
      <c r="A12018" s="117">
        <v>45572</v>
      </c>
      <c r="B12018">
        <v>19.4678</v>
      </c>
    </row>
    <row r="12019" spans="1:2">
      <c r="A12019" s="117">
        <v>45573</v>
      </c>
      <c r="B12019">
        <v>19.212700000000002</v>
      </c>
    </row>
    <row r="12020" spans="1:2">
      <c r="A12020" s="117">
        <v>45574</v>
      </c>
      <c r="B12020">
        <v>19.338799999999999</v>
      </c>
    </row>
    <row r="12021" spans="1:2">
      <c r="A12021" s="117">
        <v>45575</v>
      </c>
      <c r="B12021">
        <v>19.353200000000001</v>
      </c>
    </row>
    <row r="12022" spans="1:2">
      <c r="A12022" s="117">
        <v>45576</v>
      </c>
      <c r="B12022">
        <v>19.4175</v>
      </c>
    </row>
    <row r="12023" spans="1:2">
      <c r="A12023" s="117">
        <v>45577</v>
      </c>
      <c r="B12023">
        <v>19.511299999999999</v>
      </c>
    </row>
    <row r="12024" spans="1:2">
      <c r="A12024" s="117">
        <v>45578</v>
      </c>
      <c r="B12024">
        <v>19.511299999999999</v>
      </c>
    </row>
    <row r="12025" spans="1:2">
      <c r="A12025" s="117">
        <v>45579</v>
      </c>
      <c r="B12025">
        <v>19.511299999999999</v>
      </c>
    </row>
    <row r="12026" spans="1:2">
      <c r="A12026" s="117">
        <v>45580</v>
      </c>
      <c r="B12026">
        <v>19.398299999999999</v>
      </c>
    </row>
    <row r="12027" spans="1:2">
      <c r="A12027" s="117">
        <v>45581</v>
      </c>
      <c r="B12027">
        <v>19.341999999999999</v>
      </c>
    </row>
    <row r="12028" spans="1:2">
      <c r="A12028" s="117">
        <v>45582</v>
      </c>
      <c r="B12028">
        <v>19.62</v>
      </c>
    </row>
    <row r="12029" spans="1:2">
      <c r="A12029" s="117">
        <v>45583</v>
      </c>
      <c r="B12029">
        <v>19.892499999999998</v>
      </c>
    </row>
    <row r="12030" spans="1:2">
      <c r="A12030" s="117">
        <v>45584</v>
      </c>
      <c r="B12030">
        <v>19.9313</v>
      </c>
    </row>
    <row r="12031" spans="1:2">
      <c r="A12031" s="117">
        <v>45585</v>
      </c>
      <c r="B12031">
        <v>19.9313</v>
      </c>
    </row>
    <row r="12032" spans="1:2">
      <c r="A12032" s="117">
        <v>45586</v>
      </c>
      <c r="B12032">
        <v>19.9313</v>
      </c>
    </row>
    <row r="12033" spans="1:2">
      <c r="A12033" s="117">
        <v>45587</v>
      </c>
      <c r="B12033">
        <v>19.8325</v>
      </c>
    </row>
    <row r="12034" spans="1:2">
      <c r="A12034" s="117">
        <v>45588</v>
      </c>
      <c r="B12034">
        <v>20.0075</v>
      </c>
    </row>
    <row r="12035" spans="1:2">
      <c r="A12035" s="117">
        <v>45589</v>
      </c>
      <c r="B12035">
        <v>19.898499999999999</v>
      </c>
    </row>
    <row r="12036" spans="1:2">
      <c r="A12036" s="117">
        <v>45590</v>
      </c>
      <c r="B12036">
        <v>19.933800000000002</v>
      </c>
    </row>
    <row r="12037" spans="1:2">
      <c r="A12037" s="117">
        <v>45591</v>
      </c>
      <c r="B12037">
        <v>19.8385</v>
      </c>
    </row>
    <row r="12038" spans="1:2">
      <c r="A12038" s="117">
        <v>45592</v>
      </c>
      <c r="B12038">
        <v>19.8385</v>
      </c>
    </row>
    <row r="12039" spans="1:2">
      <c r="A12039" s="117">
        <v>45593</v>
      </c>
      <c r="B12039">
        <v>19.8385</v>
      </c>
    </row>
    <row r="12040" spans="1:2">
      <c r="A12040" s="117">
        <v>45594</v>
      </c>
      <c r="B12040">
        <v>19.930299999999999</v>
      </c>
    </row>
    <row r="12041" spans="1:2">
      <c r="A12041" s="117">
        <v>45595</v>
      </c>
      <c r="B12041">
        <v>20.000699999999998</v>
      </c>
    </row>
    <row r="12042" spans="1:2">
      <c r="A12042" s="117">
        <v>45596</v>
      </c>
      <c r="B12042">
        <v>20.020800000000001</v>
      </c>
    </row>
    <row r="12043" spans="1:2">
      <c r="A12043" s="117">
        <v>45597</v>
      </c>
      <c r="B12043">
        <v>20.1617</v>
      </c>
    </row>
    <row r="12044" spans="1:2">
      <c r="A12044" s="117">
        <v>45598</v>
      </c>
      <c r="B12044">
        <v>20.037800000000001</v>
      </c>
    </row>
    <row r="12045" spans="1:2">
      <c r="A12045" s="117">
        <v>45599</v>
      </c>
      <c r="B12045">
        <v>20.037800000000001</v>
      </c>
    </row>
    <row r="12046" spans="1:2">
      <c r="A12046" s="117">
        <v>45600</v>
      </c>
      <c r="B12046">
        <v>20.037800000000001</v>
      </c>
    </row>
    <row r="12047" spans="1:2">
      <c r="A12047" s="117">
        <v>45601</v>
      </c>
      <c r="B12047">
        <v>20.090800000000002</v>
      </c>
    </row>
    <row r="12048" spans="1:2">
      <c r="A12048" s="117">
        <v>45602</v>
      </c>
      <c r="B12048">
        <v>20.0367</v>
      </c>
    </row>
    <row r="12049" spans="1:2">
      <c r="A12049" s="117">
        <v>45603</v>
      </c>
      <c r="B12049">
        <v>20.269500000000001</v>
      </c>
    </row>
    <row r="12050" spans="1:2">
      <c r="A12050" s="117">
        <v>45604</v>
      </c>
      <c r="B12050">
        <v>20.3093</v>
      </c>
    </row>
    <row r="12051" spans="1:2">
      <c r="A12051" s="117">
        <v>45605</v>
      </c>
      <c r="B12051">
        <v>19.8277</v>
      </c>
    </row>
    <row r="12052" spans="1:2">
      <c r="A12052" s="117">
        <v>45606</v>
      </c>
      <c r="B12052">
        <v>19.8277</v>
      </c>
    </row>
    <row r="12053" spans="1:2">
      <c r="A12053" s="117">
        <v>45607</v>
      </c>
      <c r="B12053">
        <v>19.8277</v>
      </c>
    </row>
    <row r="12054" spans="1:2">
      <c r="A12054" s="117">
        <v>45608</v>
      </c>
      <c r="B12054">
        <v>20.133199999999999</v>
      </c>
    </row>
    <row r="12055" spans="1:2">
      <c r="A12055" s="117">
        <v>45609</v>
      </c>
      <c r="B12055">
        <v>20.450199999999999</v>
      </c>
    </row>
    <row r="12056" spans="1:2">
      <c r="A12056" s="117">
        <v>45610</v>
      </c>
      <c r="B12056">
        <v>20.569299999999998</v>
      </c>
    </row>
    <row r="12057" spans="1:2">
      <c r="A12057" s="117">
        <v>45611</v>
      </c>
      <c r="B12057">
        <v>20.602499999999999</v>
      </c>
    </row>
    <row r="12058" spans="1:2">
      <c r="A12058" s="117">
        <v>45612</v>
      </c>
      <c r="B12058">
        <v>20.494</v>
      </c>
    </row>
    <row r="12059" spans="1:2">
      <c r="A12059" s="117">
        <v>45613</v>
      </c>
      <c r="B12059">
        <v>20.494</v>
      </c>
    </row>
    <row r="12060" spans="1:2">
      <c r="A12060" s="117">
        <v>45614</v>
      </c>
      <c r="B12060">
        <v>20.494</v>
      </c>
    </row>
    <row r="12061" spans="1:2">
      <c r="A12061" s="117">
        <v>45615</v>
      </c>
      <c r="B12061">
        <v>20.494</v>
      </c>
    </row>
    <row r="12062" spans="1:2">
      <c r="A12062" s="117">
        <v>45616</v>
      </c>
      <c r="B12062">
        <v>20.3887</v>
      </c>
    </row>
    <row r="12063" spans="1:2">
      <c r="A12063" s="117">
        <v>45617</v>
      </c>
      <c r="B12063">
        <v>20.184799999999999</v>
      </c>
    </row>
    <row r="12064" spans="1:2">
      <c r="A12064" s="117">
        <v>45618</v>
      </c>
      <c r="B12064">
        <v>20.290299999999998</v>
      </c>
    </row>
    <row r="12065" spans="1:2">
      <c r="A12065" s="117">
        <v>45619</v>
      </c>
      <c r="B12065">
        <v>20.377500000000001</v>
      </c>
    </row>
    <row r="12066" spans="1:2">
      <c r="A12066" s="117">
        <v>45620</v>
      </c>
      <c r="B12066">
        <v>20.377500000000001</v>
      </c>
    </row>
    <row r="12067" spans="1:2">
      <c r="A12067" s="117">
        <v>45621</v>
      </c>
      <c r="B12067">
        <v>20.377500000000001</v>
      </c>
    </row>
    <row r="12068" spans="1:2">
      <c r="A12068" s="117">
        <v>45622</v>
      </c>
      <c r="B12068">
        <v>20.487200000000001</v>
      </c>
    </row>
    <row r="12069" spans="1:2">
      <c r="A12069" s="117">
        <v>45623</v>
      </c>
      <c r="B12069">
        <v>20.299299999999999</v>
      </c>
    </row>
    <row r="12070" spans="1:2">
      <c r="A12070" s="117">
        <v>45624</v>
      </c>
      <c r="B12070">
        <v>20.718499999999999</v>
      </c>
    </row>
    <row r="12071" spans="1:2">
      <c r="A12071" s="117">
        <v>45625</v>
      </c>
      <c r="B12071">
        <v>20.6418</v>
      </c>
    </row>
    <row r="12072" spans="1:2">
      <c r="A12072" s="117">
        <v>45626</v>
      </c>
      <c r="B12072">
        <v>20.417300000000001</v>
      </c>
    </row>
    <row r="12073" spans="1:2">
      <c r="A12073" s="117">
        <v>45627</v>
      </c>
      <c r="B12073">
        <v>20.417300000000001</v>
      </c>
    </row>
    <row r="12074" spans="1:2">
      <c r="A12074" s="117">
        <v>45628</v>
      </c>
      <c r="B12074">
        <v>20.417300000000001</v>
      </c>
    </row>
    <row r="12075" spans="1:2">
      <c r="A12075" s="117">
        <v>45629</v>
      </c>
      <c r="B12075">
        <v>20.321200000000001</v>
      </c>
    </row>
    <row r="12076" spans="1:2">
      <c r="A12076" s="117">
        <v>45630</v>
      </c>
      <c r="B12076">
        <v>20.435700000000001</v>
      </c>
    </row>
    <row r="12077" spans="1:2">
      <c r="A12077" s="117">
        <v>45631</v>
      </c>
      <c r="B12077">
        <v>20.3233</v>
      </c>
    </row>
    <row r="12078" spans="1:2">
      <c r="A12078" s="117">
        <v>45632</v>
      </c>
      <c r="B12078">
        <v>20.283000000000001</v>
      </c>
    </row>
    <row r="12079" spans="1:2">
      <c r="A12079" s="117">
        <v>45633</v>
      </c>
      <c r="B12079">
        <v>20.196300000000001</v>
      </c>
    </row>
    <row r="12080" spans="1:2">
      <c r="A12080" s="117">
        <v>45634</v>
      </c>
      <c r="B12080">
        <v>20.196300000000001</v>
      </c>
    </row>
    <row r="12081" spans="1:2">
      <c r="A12081" s="117">
        <v>45635</v>
      </c>
      <c r="B12081">
        <v>20.196300000000001</v>
      </c>
    </row>
    <row r="12082" spans="1:2">
      <c r="A12082" s="117">
        <v>45636</v>
      </c>
      <c r="B12082">
        <v>20.227499999999999</v>
      </c>
    </row>
    <row r="12083" spans="1:2">
      <c r="A12083" s="117">
        <v>45637</v>
      </c>
      <c r="B12083">
        <v>20.154699999999998</v>
      </c>
    </row>
    <row r="12084" spans="1:2">
      <c r="A12084" s="117">
        <v>45638</v>
      </c>
      <c r="B12084">
        <v>20.2485</v>
      </c>
    </row>
    <row r="12085" spans="1:2">
      <c r="A12085" s="117">
        <v>45639</v>
      </c>
      <c r="B12085">
        <v>20.2485</v>
      </c>
    </row>
    <row r="12086" spans="1:2">
      <c r="A12086" s="117">
        <v>45640</v>
      </c>
      <c r="B12086">
        <v>20.1647</v>
      </c>
    </row>
    <row r="12087" spans="1:2">
      <c r="A12087" s="117">
        <v>45641</v>
      </c>
      <c r="B12087">
        <v>20.1647</v>
      </c>
    </row>
    <row r="12088" spans="1:2">
      <c r="A12088" s="117">
        <v>45642</v>
      </c>
      <c r="B12088">
        <v>20.1647</v>
      </c>
    </row>
    <row r="12089" spans="1:2">
      <c r="A12089" s="117">
        <v>45643</v>
      </c>
      <c r="B12089">
        <v>20.141999999999999</v>
      </c>
    </row>
    <row r="12090" spans="1:2">
      <c r="A12090" s="117">
        <v>45644</v>
      </c>
      <c r="B12090">
        <v>20.1448</v>
      </c>
    </row>
    <row r="12091" spans="1:2">
      <c r="A12091" s="117">
        <v>45645</v>
      </c>
      <c r="B12091">
        <v>20.2363</v>
      </c>
    </row>
    <row r="12092" spans="1:2">
      <c r="A12092" s="117">
        <v>45646</v>
      </c>
      <c r="B12092">
        <v>20.139500000000002</v>
      </c>
    </row>
    <row r="12093" spans="1:2">
      <c r="A12093" s="117">
        <v>45647</v>
      </c>
      <c r="B12093">
        <v>20.440200000000001</v>
      </c>
    </row>
    <row r="12094" spans="1:2">
      <c r="A12094" s="117">
        <v>45648</v>
      </c>
      <c r="B12094">
        <v>20.440200000000001</v>
      </c>
    </row>
    <row r="12095" spans="1:2">
      <c r="A12095" s="117">
        <v>45649</v>
      </c>
      <c r="B12095">
        <v>20.440200000000001</v>
      </c>
    </row>
    <row r="12096" spans="1:2">
      <c r="A12096" s="117">
        <v>45650</v>
      </c>
      <c r="B12096">
        <v>20.1035</v>
      </c>
    </row>
    <row r="12097" spans="1:2">
      <c r="A12097" s="117">
        <v>45651</v>
      </c>
      <c r="B12097">
        <v>20.194800000000001</v>
      </c>
    </row>
    <row r="12098" spans="1:2">
      <c r="A12098" s="117">
        <v>45652</v>
      </c>
      <c r="B12098">
        <v>20.194800000000001</v>
      </c>
    </row>
    <row r="12099" spans="1:2">
      <c r="A12099" s="117">
        <v>45653</v>
      </c>
      <c r="B12099">
        <v>20.155799999999999</v>
      </c>
    </row>
    <row r="12100" spans="1:2">
      <c r="A12100" s="117">
        <v>45654</v>
      </c>
      <c r="B12100">
        <v>20.165700000000001</v>
      </c>
    </row>
    <row r="12101" spans="1:2">
      <c r="A12101" s="117">
        <v>45655</v>
      </c>
      <c r="B12101">
        <v>20.165700000000001</v>
      </c>
    </row>
    <row r="12102" spans="1:2">
      <c r="A12102" s="117">
        <v>45656</v>
      </c>
      <c r="B12102">
        <v>20.165700000000001</v>
      </c>
    </row>
    <row r="12103" spans="1:2">
      <c r="A12103" s="117">
        <v>45657</v>
      </c>
      <c r="B12103">
        <v>20.2683</v>
      </c>
    </row>
    <row r="12104" spans="1:2">
      <c r="A12104" s="117">
        <v>45658</v>
      </c>
      <c r="B12104">
        <v>20.510300000000001</v>
      </c>
    </row>
    <row r="12105" spans="1:2">
      <c r="A12105" s="117">
        <v>45659</v>
      </c>
      <c r="B12105">
        <v>20.510300000000001</v>
      </c>
    </row>
    <row r="12106" spans="1:2">
      <c r="A12106" s="117">
        <v>45660</v>
      </c>
      <c r="B12106">
        <v>20.786200000000001</v>
      </c>
    </row>
    <row r="12107" spans="1:2">
      <c r="A12107" s="117">
        <v>45661</v>
      </c>
      <c r="B12107">
        <v>20.691700000000001</v>
      </c>
    </row>
    <row r="12108" spans="1:2">
      <c r="A12108" s="117">
        <v>45662</v>
      </c>
      <c r="B12108">
        <v>20.691700000000001</v>
      </c>
    </row>
    <row r="12109" spans="1:2">
      <c r="A12109" s="117">
        <v>45663</v>
      </c>
      <c r="B12109">
        <v>20.691700000000001</v>
      </c>
    </row>
    <row r="12110" spans="1:2">
      <c r="A12110" s="117">
        <v>45664</v>
      </c>
      <c r="B12110">
        <v>20.6708</v>
      </c>
    </row>
    <row r="12111" spans="1:2">
      <c r="A12111" s="117">
        <v>45665</v>
      </c>
      <c r="B12111">
        <v>20.319500000000001</v>
      </c>
    </row>
    <row r="12112" spans="1:2">
      <c r="A12112" s="117">
        <v>45666</v>
      </c>
      <c r="B12112">
        <v>20.344000000000001</v>
      </c>
    </row>
    <row r="12113" spans="1:2">
      <c r="A12113" s="117">
        <v>45667</v>
      </c>
      <c r="B12113">
        <v>20.382300000000001</v>
      </c>
    </row>
    <row r="12114" spans="1:2">
      <c r="A12114" s="117">
        <v>45668</v>
      </c>
      <c r="B12114">
        <v>20.4742</v>
      </c>
    </row>
    <row r="12115" spans="1:2">
      <c r="A12115" s="117">
        <v>45669</v>
      </c>
      <c r="B12115">
        <v>20.4742</v>
      </c>
    </row>
    <row r="12116" spans="1:2">
      <c r="A12116" s="117">
        <v>45670</v>
      </c>
      <c r="B12116">
        <v>20.4742</v>
      </c>
    </row>
    <row r="12117" spans="1:2">
      <c r="A12117" s="117">
        <v>45671</v>
      </c>
      <c r="B12117">
        <v>20.704499999999999</v>
      </c>
    </row>
    <row r="12118" spans="1:2">
      <c r="A12118" s="117">
        <v>45672</v>
      </c>
      <c r="B12118">
        <v>20.801200000000001</v>
      </c>
    </row>
    <row r="12119" spans="1:2">
      <c r="A12119" s="117">
        <v>45673</v>
      </c>
      <c r="B12119">
        <v>20.481999999999999</v>
      </c>
    </row>
    <row r="12120" spans="1:2">
      <c r="A12120" s="117">
        <v>45674</v>
      </c>
      <c r="B12120">
        <v>20.487500000000001</v>
      </c>
    </row>
    <row r="12121" spans="1:2">
      <c r="A12121" s="117">
        <v>45675</v>
      </c>
      <c r="B12121">
        <v>20.773199999999999</v>
      </c>
    </row>
    <row r="12122" spans="1:2">
      <c r="A12122" s="117">
        <v>45676</v>
      </c>
      <c r="B12122">
        <v>20.773199999999999</v>
      </c>
    </row>
    <row r="12123" spans="1:2">
      <c r="A12123" s="117">
        <v>45677</v>
      </c>
      <c r="B12123">
        <v>20.773199999999999</v>
      </c>
    </row>
    <row r="12124" spans="1:2">
      <c r="A12124" s="117">
        <v>45678</v>
      </c>
      <c r="B12124">
        <v>20.718</v>
      </c>
    </row>
    <row r="12125" spans="1:2">
      <c r="A12125" s="117">
        <v>45679</v>
      </c>
      <c r="B12125">
        <v>20.542999999999999</v>
      </c>
    </row>
    <row r="12126" spans="1:2">
      <c r="A12126" s="117">
        <v>45680</v>
      </c>
      <c r="B12126">
        <v>20.6358</v>
      </c>
    </row>
    <row r="12127" spans="1:2">
      <c r="A12127" s="117">
        <v>45681</v>
      </c>
      <c r="B12127">
        <v>20.5397</v>
      </c>
    </row>
    <row r="12128" spans="1:2">
      <c r="A12128" s="117">
        <v>45682</v>
      </c>
      <c r="B12128">
        <v>20.394300000000001</v>
      </c>
    </row>
    <row r="12129" spans="1:2">
      <c r="A12129" s="117">
        <v>45683</v>
      </c>
      <c r="B12129">
        <v>20.394300000000001</v>
      </c>
    </row>
    <row r="12130" spans="1:2">
      <c r="A12130" s="117">
        <v>45684</v>
      </c>
      <c r="B12130">
        <v>20.394300000000001</v>
      </c>
    </row>
    <row r="12131" spans="1:2">
      <c r="A12131" s="117">
        <v>45685</v>
      </c>
      <c r="B12131">
        <v>20.2255</v>
      </c>
    </row>
    <row r="12132" spans="1:2">
      <c r="A12132" s="117">
        <v>45686</v>
      </c>
      <c r="B12132">
        <v>20.700199999999999</v>
      </c>
    </row>
    <row r="12133" spans="1:2">
      <c r="A12133" s="117">
        <v>45687</v>
      </c>
      <c r="B12133">
        <v>20.566800000000001</v>
      </c>
    </row>
    <row r="12134" spans="1:2">
      <c r="A12134" s="117">
        <v>45688</v>
      </c>
      <c r="B12134">
        <v>20.567699999999999</v>
      </c>
    </row>
    <row r="12135" spans="1:2">
      <c r="A12135" s="117">
        <v>45689</v>
      </c>
      <c r="B12135">
        <v>20.4497</v>
      </c>
    </row>
    <row r="12136" spans="1:2">
      <c r="A12136" s="117">
        <v>45690</v>
      </c>
      <c r="B12136">
        <v>20.4497</v>
      </c>
    </row>
    <row r="12137" spans="1:2">
      <c r="A12137" s="117">
        <v>45691</v>
      </c>
      <c r="B12137">
        <v>20.4497</v>
      </c>
    </row>
    <row r="12138" spans="1:2">
      <c r="A12138" s="117">
        <v>45692</v>
      </c>
      <c r="B12138">
        <v>20.4497</v>
      </c>
    </row>
    <row r="12139" spans="1:2">
      <c r="A12139" s="117">
        <v>45693</v>
      </c>
      <c r="B12139">
        <v>20.6068</v>
      </c>
    </row>
    <row r="12140" spans="1:2">
      <c r="A12140" s="117">
        <v>45694</v>
      </c>
      <c r="B12140">
        <v>20.4268</v>
      </c>
    </row>
    <row r="12141" spans="1:2">
      <c r="A12141" s="117">
        <v>45695</v>
      </c>
      <c r="B12141">
        <v>20.636299999999999</v>
      </c>
    </row>
    <row r="12142" spans="1:2">
      <c r="A12142" s="117">
        <v>45696</v>
      </c>
      <c r="B12142">
        <v>20.512499999999999</v>
      </c>
    </row>
    <row r="12143" spans="1:2">
      <c r="A12143" s="117">
        <v>45697</v>
      </c>
      <c r="B12143">
        <v>20.512499999999999</v>
      </c>
    </row>
    <row r="12144" spans="1:2">
      <c r="A12144" s="117">
        <v>45698</v>
      </c>
      <c r="B12144">
        <v>20.512499999999999</v>
      </c>
    </row>
    <row r="12145" spans="1:2">
      <c r="A12145" s="117">
        <v>45699</v>
      </c>
      <c r="B12145">
        <v>20.551200000000001</v>
      </c>
    </row>
    <row r="12146" spans="1:2">
      <c r="A12146" s="117">
        <v>45700</v>
      </c>
      <c r="B12146">
        <v>20.6693</v>
      </c>
    </row>
    <row r="12147" spans="1:2">
      <c r="A12147" s="117">
        <v>45701</v>
      </c>
      <c r="B12147">
        <v>20.568000000000001</v>
      </c>
    </row>
    <row r="12148" spans="1:2">
      <c r="A12148" s="117">
        <v>45702</v>
      </c>
      <c r="B12148">
        <v>20.491700000000002</v>
      </c>
    </row>
    <row r="12149" spans="1:2">
      <c r="A12149" s="117">
        <v>45703</v>
      </c>
      <c r="B12149">
        <v>20.497800000000002</v>
      </c>
    </row>
    <row r="12150" spans="1:2">
      <c r="A12150" s="117">
        <v>45704</v>
      </c>
      <c r="B12150">
        <v>20.497800000000002</v>
      </c>
    </row>
    <row r="12151" spans="1:2">
      <c r="A12151" s="117">
        <v>45705</v>
      </c>
      <c r="B12151">
        <v>20.497800000000002</v>
      </c>
    </row>
    <row r="12152" spans="1:2">
      <c r="A12152" s="117">
        <v>45706</v>
      </c>
      <c r="B12152">
        <v>20.308199999999999</v>
      </c>
    </row>
    <row r="12153" spans="1:2">
      <c r="A12153" s="117">
        <v>45707</v>
      </c>
      <c r="B12153">
        <v>20.283000000000001</v>
      </c>
    </row>
    <row r="12154" spans="1:2">
      <c r="A12154" s="117">
        <v>45708</v>
      </c>
      <c r="B12154">
        <v>20.261700000000001</v>
      </c>
    </row>
    <row r="12155" spans="1:2">
      <c r="A12155" s="117">
        <v>45709</v>
      </c>
      <c r="B12155">
        <v>20.4208</v>
      </c>
    </row>
    <row r="12156" spans="1:2">
      <c r="A12156" s="117">
        <v>45710</v>
      </c>
      <c r="B12156">
        <v>20.3733</v>
      </c>
    </row>
    <row r="12157" spans="1:2">
      <c r="A12157" s="117">
        <v>45711</v>
      </c>
      <c r="B12157">
        <v>20.3733</v>
      </c>
    </row>
    <row r="12158" spans="1:2">
      <c r="A12158" s="117">
        <v>45712</v>
      </c>
      <c r="B12158">
        <v>20.3733</v>
      </c>
    </row>
    <row r="12159" spans="1:2">
      <c r="A12159" s="117">
        <v>45713</v>
      </c>
      <c r="B12159">
        <v>20.344799999999999</v>
      </c>
    </row>
    <row r="12160" spans="1:2">
      <c r="A12160" s="117">
        <v>45714</v>
      </c>
      <c r="B12160">
        <v>20.463999999999999</v>
      </c>
    </row>
    <row r="12161" spans="1:2">
      <c r="A12161" s="117">
        <v>45715</v>
      </c>
      <c r="B12161">
        <v>20.468299999999999</v>
      </c>
    </row>
    <row r="12162" spans="1:2">
      <c r="A12162" s="117">
        <v>45716</v>
      </c>
      <c r="B12162">
        <v>20.427700000000002</v>
      </c>
    </row>
    <row r="12163" spans="1:2">
      <c r="A12163" s="117">
        <v>45717</v>
      </c>
      <c r="B12163">
        <v>20.472200000000001</v>
      </c>
    </row>
    <row r="12164" spans="1:2">
      <c r="A12164" s="117">
        <v>45718</v>
      </c>
      <c r="B12164">
        <v>20.472200000000001</v>
      </c>
    </row>
    <row r="12165" spans="1:2">
      <c r="A12165" s="117">
        <v>45719</v>
      </c>
      <c r="B12165">
        <v>20.472200000000001</v>
      </c>
    </row>
    <row r="12166" spans="1:2">
      <c r="A12166" s="117">
        <v>45720</v>
      </c>
      <c r="B12166">
        <v>20.507999999999999</v>
      </c>
    </row>
    <row r="12167" spans="1:2">
      <c r="A12167" s="117">
        <v>45721</v>
      </c>
      <c r="B12167">
        <v>20.433299999999999</v>
      </c>
    </row>
    <row r="12168" spans="1:2">
      <c r="A12168" s="117">
        <v>45722</v>
      </c>
      <c r="B12168">
        <v>20.851800000000001</v>
      </c>
    </row>
    <row r="12169" spans="1:2">
      <c r="A12169" s="117">
        <v>45723</v>
      </c>
      <c r="B12169">
        <v>20.389299999999999</v>
      </c>
    </row>
    <row r="12170" spans="1:2">
      <c r="A12170" s="117">
        <v>45724</v>
      </c>
      <c r="B12170">
        <v>20.277699999999999</v>
      </c>
    </row>
    <row r="12171" spans="1:2">
      <c r="A12171" s="117">
        <v>45725</v>
      </c>
      <c r="B12171">
        <v>20.277699999999999</v>
      </c>
    </row>
    <row r="12172" spans="1:2">
      <c r="A12172" s="117">
        <v>45726</v>
      </c>
      <c r="B12172">
        <v>20.277699999999999</v>
      </c>
    </row>
    <row r="12173" spans="1:2">
      <c r="A12173" s="117">
        <v>45727</v>
      </c>
      <c r="B12173">
        <v>20.283000000000001</v>
      </c>
    </row>
    <row r="12174" spans="1:2">
      <c r="A12174" s="117">
        <v>45728</v>
      </c>
      <c r="B12174">
        <v>20.292200000000001</v>
      </c>
    </row>
    <row r="12175" spans="1:2">
      <c r="A12175" s="117">
        <v>45729</v>
      </c>
      <c r="B12175">
        <v>20.338799999999999</v>
      </c>
    </row>
    <row r="12176" spans="1:2">
      <c r="A12176" s="117">
        <v>45730</v>
      </c>
      <c r="B12176">
        <v>20.1828</v>
      </c>
    </row>
    <row r="12177" spans="1:2">
      <c r="A12177" s="117">
        <v>45731</v>
      </c>
      <c r="B12177">
        <v>20.084800000000001</v>
      </c>
    </row>
    <row r="12178" spans="1:2">
      <c r="A12178" s="117">
        <v>45732</v>
      </c>
      <c r="B12178">
        <v>20.084800000000001</v>
      </c>
    </row>
    <row r="12179" spans="1:2">
      <c r="A12179" s="117">
        <v>45733</v>
      </c>
      <c r="B12179">
        <v>20.084800000000001</v>
      </c>
    </row>
    <row r="12180" spans="1:2">
      <c r="A12180" s="117">
        <v>45734</v>
      </c>
      <c r="B12180">
        <v>20.084800000000001</v>
      </c>
    </row>
    <row r="12181" spans="1:2">
      <c r="A12181" s="117">
        <v>45735</v>
      </c>
      <c r="B12181">
        <v>19.869299999999999</v>
      </c>
    </row>
    <row r="12182" spans="1:2">
      <c r="A12182" s="117">
        <v>45736</v>
      </c>
      <c r="B12182">
        <v>19.984500000000001</v>
      </c>
    </row>
    <row r="12183" spans="1:2">
      <c r="A12183" s="117">
        <v>45737</v>
      </c>
      <c r="B12183">
        <v>20.055299999999999</v>
      </c>
    </row>
    <row r="12184" spans="1:2">
      <c r="A12184" s="117">
        <v>45738</v>
      </c>
      <c r="B12184">
        <v>20.134499999999999</v>
      </c>
    </row>
    <row r="12185" spans="1:2">
      <c r="A12185" s="117">
        <v>45739</v>
      </c>
      <c r="B12185">
        <v>20.134499999999999</v>
      </c>
    </row>
    <row r="12186" spans="1:2">
      <c r="A12186" s="117">
        <v>45740</v>
      </c>
      <c r="B12186">
        <v>20.134499999999999</v>
      </c>
    </row>
    <row r="12187" spans="1:2">
      <c r="A12187" s="117">
        <v>45741</v>
      </c>
      <c r="B12187">
        <v>20.2163</v>
      </c>
    </row>
    <row r="12188" spans="1:2">
      <c r="A12188" s="117">
        <v>45742</v>
      </c>
      <c r="B12188">
        <v>20.112300000000001</v>
      </c>
    </row>
    <row r="12189" spans="1:2">
      <c r="A12189" s="117">
        <v>45743</v>
      </c>
      <c r="B12189">
        <v>20.0762</v>
      </c>
    </row>
    <row r="12190" spans="1:2">
      <c r="A12190" s="117">
        <v>45744</v>
      </c>
      <c r="B12190">
        <v>20.096299999999999</v>
      </c>
    </row>
    <row r="12191" spans="1:2">
      <c r="A12191" s="117">
        <v>45745</v>
      </c>
      <c r="B12191">
        <v>20.318200000000001</v>
      </c>
    </row>
    <row r="12192" spans="1:2">
      <c r="A12192" s="117">
        <v>45746</v>
      </c>
      <c r="B12192">
        <v>20.318200000000001</v>
      </c>
    </row>
    <row r="12193" spans="1:2">
      <c r="A12193" s="117">
        <v>45747</v>
      </c>
      <c r="B12193">
        <v>20.318200000000001</v>
      </c>
    </row>
    <row r="12194" spans="1:2">
      <c r="A12194" s="117">
        <v>45748</v>
      </c>
      <c r="B12194">
        <v>20.400300000000001</v>
      </c>
    </row>
    <row r="12195" spans="1:2">
      <c r="A12195" s="117">
        <v>45749</v>
      </c>
      <c r="B12195">
        <v>20.437999999999999</v>
      </c>
    </row>
    <row r="12196" spans="1:2">
      <c r="A12196" s="117">
        <v>45750</v>
      </c>
      <c r="B12196">
        <v>20.358699999999999</v>
      </c>
    </row>
    <row r="12197" spans="1:2">
      <c r="A12197" s="117">
        <v>45751</v>
      </c>
      <c r="B12197">
        <v>20.456800000000001</v>
      </c>
    </row>
    <row r="12198" spans="1:2">
      <c r="A12198" s="117">
        <v>45752</v>
      </c>
      <c r="B12198">
        <v>19.970800000000001</v>
      </c>
    </row>
    <row r="12199" spans="1:2">
      <c r="A12199" s="117">
        <v>45753</v>
      </c>
      <c r="B12199">
        <v>19.970800000000001</v>
      </c>
    </row>
    <row r="12200" spans="1:2">
      <c r="A12200" s="117">
        <v>45754</v>
      </c>
      <c r="B12200">
        <v>19.970800000000001</v>
      </c>
    </row>
    <row r="12201" spans="1:2">
      <c r="A12201" s="117">
        <v>45755</v>
      </c>
      <c r="B12201">
        <v>20.501000000000001</v>
      </c>
    </row>
    <row r="12202" spans="1:2">
      <c r="A12202" s="117">
        <v>45756</v>
      </c>
      <c r="B12202">
        <v>20.694700000000001</v>
      </c>
    </row>
    <row r="12203" spans="1:2">
      <c r="A12203" s="117">
        <v>45757</v>
      </c>
      <c r="B12203">
        <v>20.686699999999998</v>
      </c>
    </row>
    <row r="12204" spans="1:2">
      <c r="A12204" s="117">
        <v>45758</v>
      </c>
      <c r="B12204">
        <v>20.7653</v>
      </c>
    </row>
    <row r="12205" spans="1:2">
      <c r="A12205" s="117">
        <v>45759</v>
      </c>
      <c r="B12205">
        <v>20.492000000000001</v>
      </c>
    </row>
    <row r="12206" spans="1:2">
      <c r="A12206" s="117">
        <v>45760</v>
      </c>
      <c r="B12206">
        <v>20.492000000000001</v>
      </c>
    </row>
    <row r="12207" spans="1:2">
      <c r="A12207" s="117">
        <v>45761</v>
      </c>
      <c r="B12207">
        <v>20.492000000000001</v>
      </c>
    </row>
    <row r="12208" spans="1:2">
      <c r="A12208" s="117">
        <v>45762</v>
      </c>
      <c r="B12208">
        <v>20.336300000000001</v>
      </c>
    </row>
    <row r="12209" spans="1:2">
      <c r="A12209" s="117">
        <v>45763</v>
      </c>
      <c r="B12209">
        <v>20.102499999999999</v>
      </c>
    </row>
    <row r="12210" spans="1:2">
      <c r="A12210" s="117">
        <v>45764</v>
      </c>
      <c r="B12210">
        <v>20.0213</v>
      </c>
    </row>
    <row r="12211" spans="1:2">
      <c r="A12211" s="117">
        <v>45765</v>
      </c>
      <c r="B12211">
        <v>20.0213</v>
      </c>
    </row>
    <row r="12212" spans="1:2">
      <c r="A12212" s="117">
        <v>45766</v>
      </c>
      <c r="B12212">
        <v>20.0213</v>
      </c>
    </row>
    <row r="12213" spans="1:2">
      <c r="A12213" s="117">
        <v>45767</v>
      </c>
      <c r="B12213">
        <v>20.0213</v>
      </c>
    </row>
    <row r="12214" spans="1:2">
      <c r="A12214" s="117">
        <v>45768</v>
      </c>
      <c r="B12214">
        <v>20.0213</v>
      </c>
    </row>
    <row r="12215" spans="1:2">
      <c r="A12215" s="117">
        <v>45769</v>
      </c>
      <c r="B12215">
        <v>19.973700000000001</v>
      </c>
    </row>
    <row r="12216" spans="1:2">
      <c r="A12216" s="117">
        <v>45770</v>
      </c>
      <c r="B12216">
        <v>19.671800000000001</v>
      </c>
    </row>
    <row r="12217" spans="1:2">
      <c r="A12217" s="117">
        <v>45771</v>
      </c>
      <c r="B12217">
        <v>19.5688</v>
      </c>
    </row>
    <row r="12218" spans="1:2">
      <c r="A12218" s="117">
        <v>45772</v>
      </c>
      <c r="B12218">
        <v>19.627800000000001</v>
      </c>
    </row>
    <row r="12219" spans="1:2">
      <c r="A12219" s="117">
        <v>45773</v>
      </c>
      <c r="B12219">
        <v>19.5825</v>
      </c>
    </row>
    <row r="12220" spans="1:2">
      <c r="A12220" s="117">
        <v>45774</v>
      </c>
      <c r="B12220">
        <v>19.5825</v>
      </c>
    </row>
    <row r="12221" spans="1:2">
      <c r="A12221" s="117">
        <v>45775</v>
      </c>
      <c r="B12221">
        <v>19.5825</v>
      </c>
    </row>
    <row r="12222" spans="1:2">
      <c r="A12222" s="117">
        <v>45776</v>
      </c>
      <c r="B12222">
        <v>19.547799999999999</v>
      </c>
    </row>
    <row r="12223" spans="1:2">
      <c r="A12223" s="117">
        <v>45777</v>
      </c>
      <c r="B12223">
        <v>19.572299999999998</v>
      </c>
    </row>
    <row r="12224" spans="1:2">
      <c r="A12224" s="117">
        <v>45778</v>
      </c>
      <c r="B12224">
        <v>19.5868</v>
      </c>
    </row>
    <row r="12225" spans="1:2">
      <c r="A12225" s="117">
        <v>45779</v>
      </c>
      <c r="B12225">
        <v>19.5868</v>
      </c>
    </row>
    <row r="12226" spans="1:2">
      <c r="A12226" s="117">
        <v>45780</v>
      </c>
      <c r="B12226">
        <v>19.609500000000001</v>
      </c>
    </row>
    <row r="12227" spans="1:2">
      <c r="A12227" s="117">
        <v>45781</v>
      </c>
      <c r="B12227">
        <v>19.609500000000001</v>
      </c>
    </row>
    <row r="12228" spans="1:2">
      <c r="A12228" s="117">
        <v>45782</v>
      </c>
      <c r="B12228">
        <v>19.609500000000001</v>
      </c>
    </row>
    <row r="12229" spans="1:2">
      <c r="A12229" s="117">
        <v>45783</v>
      </c>
      <c r="B12229">
        <v>19.657</v>
      </c>
    </row>
    <row r="12230" spans="1:2">
      <c r="A12230" s="117">
        <v>45784</v>
      </c>
      <c r="B12230">
        <v>19.636500000000002</v>
      </c>
    </row>
    <row r="12231" spans="1:2">
      <c r="A12231" s="117">
        <v>45785</v>
      </c>
      <c r="B12231">
        <v>19.6785</v>
      </c>
    </row>
    <row r="12232" spans="1:2">
      <c r="A12232" s="117">
        <v>45786</v>
      </c>
      <c r="B12232">
        <v>19.588000000000001</v>
      </c>
    </row>
    <row r="12233" spans="1:2">
      <c r="A12233" s="117">
        <v>45787</v>
      </c>
      <c r="B12233">
        <v>19.5642</v>
      </c>
    </row>
    <row r="12234" spans="1:2">
      <c r="A12234" s="117">
        <v>45788</v>
      </c>
      <c r="B12234">
        <v>19.5642</v>
      </c>
    </row>
    <row r="12235" spans="1:2">
      <c r="A12235" s="117">
        <v>45789</v>
      </c>
      <c r="B12235">
        <v>19.5642</v>
      </c>
    </row>
    <row r="12236" spans="1:2">
      <c r="A12236" s="117">
        <v>45790</v>
      </c>
      <c r="B12236">
        <v>19.491199999999999</v>
      </c>
    </row>
    <row r="12237" spans="1:2">
      <c r="A12237" s="117">
        <v>45791</v>
      </c>
      <c r="B12237">
        <v>19.616199999999999</v>
      </c>
    </row>
    <row r="12238" spans="1:2">
      <c r="A12238" s="117">
        <v>45792</v>
      </c>
      <c r="B12238">
        <v>19.4373</v>
      </c>
    </row>
    <row r="12239" spans="1:2">
      <c r="A12239" s="117">
        <v>45793</v>
      </c>
      <c r="B12239">
        <v>19.363</v>
      </c>
    </row>
    <row r="12240" spans="1:2">
      <c r="A12240" s="117">
        <v>45794</v>
      </c>
      <c r="B12240">
        <v>19.478000000000002</v>
      </c>
    </row>
    <row r="12241" spans="1:2">
      <c r="A12241" s="117">
        <v>45795</v>
      </c>
      <c r="B12241">
        <v>19.478000000000002</v>
      </c>
    </row>
    <row r="12242" spans="1:2">
      <c r="A12242" s="117">
        <v>45796</v>
      </c>
      <c r="B12242">
        <v>19.478000000000002</v>
      </c>
    </row>
    <row r="12243" spans="1:2">
      <c r="A12243" s="117">
        <v>45797</v>
      </c>
      <c r="B12243">
        <v>19.514700000000001</v>
      </c>
    </row>
    <row r="12244" spans="1:2">
      <c r="A12244" s="117">
        <v>45798</v>
      </c>
      <c r="B12244">
        <v>19.372299999999999</v>
      </c>
    </row>
    <row r="12245" spans="1:2">
      <c r="A12245" s="117">
        <v>45799</v>
      </c>
      <c r="B12245">
        <v>19.264800000000001</v>
      </c>
    </row>
    <row r="12246" spans="1:2">
      <c r="A12246" s="117">
        <v>45800</v>
      </c>
      <c r="B12246">
        <v>19.319800000000001</v>
      </c>
    </row>
    <row r="12247" spans="1:2">
      <c r="A12247" s="117">
        <v>45801</v>
      </c>
      <c r="B12247">
        <v>19.322700000000001</v>
      </c>
    </row>
    <row r="12248" spans="1:2">
      <c r="A12248" s="117">
        <v>45802</v>
      </c>
      <c r="B12248">
        <v>19.322700000000001</v>
      </c>
    </row>
    <row r="12249" spans="1:2">
      <c r="A12249" s="117">
        <v>45803</v>
      </c>
      <c r="B12249">
        <v>19.322700000000001</v>
      </c>
    </row>
    <row r="12250" spans="1:2">
      <c r="A12250" s="117">
        <v>45804</v>
      </c>
      <c r="B12250">
        <v>19.274799999999999</v>
      </c>
    </row>
    <row r="12251" spans="1:2">
      <c r="A12251" s="117">
        <v>45805</v>
      </c>
      <c r="B12251">
        <v>19.218800000000002</v>
      </c>
    </row>
    <row r="12252" spans="1:2">
      <c r="A12252" s="117">
        <v>45806</v>
      </c>
      <c r="B12252">
        <v>19.233799999999999</v>
      </c>
    </row>
    <row r="12253" spans="1:2">
      <c r="A12253" s="117">
        <v>45807</v>
      </c>
      <c r="B12253">
        <v>19.399999999999999</v>
      </c>
    </row>
    <row r="12254" spans="1:2">
      <c r="A12254" s="117">
        <v>45808</v>
      </c>
      <c r="B12254">
        <v>19.327999999999999</v>
      </c>
    </row>
    <row r="12255" spans="1:2">
      <c r="A12255" s="117">
        <v>45809</v>
      </c>
      <c r="B12255">
        <v>19.327999999999999</v>
      </c>
    </row>
    <row r="12256" spans="1:2">
      <c r="A12256" s="117">
        <v>45810</v>
      </c>
      <c r="B12256">
        <v>19.327999999999999</v>
      </c>
    </row>
    <row r="12257" spans="1:2">
      <c r="A12257" s="117">
        <v>45811</v>
      </c>
      <c r="B12257">
        <v>19.3858</v>
      </c>
    </row>
    <row r="12258" spans="1:2">
      <c r="A12258" s="117">
        <v>45812</v>
      </c>
      <c r="B12258">
        <v>19.233799999999999</v>
      </c>
    </row>
    <row r="12259" spans="1:2">
      <c r="A12259" s="117">
        <v>45813</v>
      </c>
      <c r="B12259">
        <v>19.2638</v>
      </c>
    </row>
    <row r="12260" spans="1:2">
      <c r="A12260" s="117">
        <v>45814</v>
      </c>
      <c r="B12260">
        <v>19.193200000000001</v>
      </c>
    </row>
    <row r="12261" spans="1:2">
      <c r="A12261" s="117">
        <v>45815</v>
      </c>
      <c r="B12261">
        <v>19.170000000000002</v>
      </c>
    </row>
    <row r="12262" spans="1:2">
      <c r="A12262" s="117">
        <v>45816</v>
      </c>
      <c r="B12262">
        <v>19.170000000000002</v>
      </c>
    </row>
    <row r="12263" spans="1:2">
      <c r="A12263" s="117">
        <v>45817</v>
      </c>
      <c r="B12263">
        <v>19.170000000000002</v>
      </c>
    </row>
    <row r="12264" spans="1:2">
      <c r="A12264" s="117">
        <v>45818</v>
      </c>
      <c r="B12264">
        <v>19.131699999999999</v>
      </c>
    </row>
    <row r="12265" spans="1:2">
      <c r="A12265" s="117">
        <v>45819</v>
      </c>
      <c r="B12265">
        <v>19.0595</v>
      </c>
    </row>
    <row r="12266" spans="1:2">
      <c r="A12266" s="117">
        <v>45820</v>
      </c>
      <c r="B12266">
        <v>19.0518</v>
      </c>
    </row>
    <row r="12267" spans="1:2">
      <c r="A12267" s="117">
        <v>45821</v>
      </c>
      <c r="B12267">
        <v>18.879000000000001</v>
      </c>
    </row>
    <row r="12268" spans="1:2">
      <c r="A12268" s="117">
        <v>45822</v>
      </c>
      <c r="B12268">
        <v>18.9068</v>
      </c>
    </row>
    <row r="12269" spans="1:2">
      <c r="A12269" s="117">
        <v>45823</v>
      </c>
      <c r="B12269">
        <v>18.9068</v>
      </c>
    </row>
    <row r="12270" spans="1:2">
      <c r="A12270" s="117">
        <v>45824</v>
      </c>
      <c r="B12270">
        <v>18.9068</v>
      </c>
    </row>
    <row r="12271" spans="1:2">
      <c r="A12271" s="117">
        <v>45825</v>
      </c>
      <c r="B12271">
        <v>18.930199999999999</v>
      </c>
    </row>
    <row r="12272" spans="1:2">
      <c r="A12272" s="117">
        <v>45826</v>
      </c>
      <c r="B12272">
        <v>18.908300000000001</v>
      </c>
    </row>
    <row r="12273" spans="1:2">
      <c r="A12273" s="117">
        <v>45827</v>
      </c>
      <c r="B12273">
        <v>18.987200000000001</v>
      </c>
    </row>
    <row r="12274" spans="1:2">
      <c r="A12274" s="117">
        <v>45828</v>
      </c>
      <c r="B12274">
        <v>19.0047</v>
      </c>
    </row>
    <row r="12275" spans="1:2">
      <c r="A12275" s="117">
        <v>45829</v>
      </c>
      <c r="B12275">
        <v>19.0898</v>
      </c>
    </row>
    <row r="12276" spans="1:2">
      <c r="A12276" s="117">
        <v>45830</v>
      </c>
      <c r="B12276">
        <v>19.0898</v>
      </c>
    </row>
    <row r="12277" spans="1:2">
      <c r="A12277" s="117">
        <v>45831</v>
      </c>
      <c r="B12277">
        <v>19.0898</v>
      </c>
    </row>
    <row r="12278" spans="1:2">
      <c r="A12278" s="117">
        <v>45832</v>
      </c>
      <c r="B12278">
        <v>19.145800000000001</v>
      </c>
    </row>
    <row r="12279" spans="1:2">
      <c r="A12279" s="117">
        <v>45833</v>
      </c>
      <c r="B12279">
        <v>19.152699999999999</v>
      </c>
    </row>
    <row r="12280" spans="1:2">
      <c r="A12280" s="117">
        <v>45834</v>
      </c>
      <c r="B12280">
        <v>19.026700000000002</v>
      </c>
    </row>
    <row r="12281" spans="1:2">
      <c r="A12281" s="117">
        <v>45835</v>
      </c>
      <c r="B12281">
        <v>18.920300000000001</v>
      </c>
    </row>
    <row r="12282" spans="1:2">
      <c r="A12282" s="117">
        <v>45836</v>
      </c>
      <c r="B12282">
        <v>18.892800000000001</v>
      </c>
    </row>
    <row r="12283" spans="1:2">
      <c r="A12283" s="117">
        <v>45837</v>
      </c>
      <c r="B12283">
        <v>18.892800000000001</v>
      </c>
    </row>
    <row r="12284" spans="1:2">
      <c r="A12284" s="117">
        <v>45838</v>
      </c>
      <c r="B12284">
        <v>18.892800000000001</v>
      </c>
    </row>
    <row r="12285" spans="1:2">
      <c r="A12285" s="117">
        <v>45839</v>
      </c>
      <c r="B12285">
        <v>18.848299999999998</v>
      </c>
    </row>
    <row r="12286" spans="1:2">
      <c r="A12286" s="117">
        <v>45840</v>
      </c>
      <c r="B12286">
        <v>18.833200000000001</v>
      </c>
    </row>
    <row r="12287" spans="1:2">
      <c r="A12287" s="117">
        <v>45841</v>
      </c>
      <c r="B12287">
        <v>18.765000000000001</v>
      </c>
    </row>
    <row r="12288" spans="1:2">
      <c r="A12288" s="117">
        <v>45842</v>
      </c>
      <c r="B12288">
        <v>18.754000000000001</v>
      </c>
    </row>
    <row r="12289" spans="1:2">
      <c r="A12289" s="117">
        <v>45843</v>
      </c>
      <c r="B12289">
        <v>18.665199999999999</v>
      </c>
    </row>
    <row r="12290" spans="1:2">
      <c r="A12290" s="117">
        <v>45844</v>
      </c>
      <c r="B12290">
        <v>18.665199999999999</v>
      </c>
    </row>
    <row r="12291" spans="1:2">
      <c r="A12291" s="117">
        <v>45845</v>
      </c>
      <c r="B12291">
        <v>18.665199999999999</v>
      </c>
    </row>
    <row r="12292" spans="1:2">
      <c r="A12292" s="117">
        <v>45846</v>
      </c>
      <c r="B12292">
        <v>18.6327</v>
      </c>
    </row>
    <row r="12293" spans="1:2">
      <c r="A12293" s="117">
        <v>45847</v>
      </c>
      <c r="B12293">
        <v>18.669799999999999</v>
      </c>
    </row>
    <row r="12294" spans="1:2">
      <c r="A12294" s="117">
        <v>45848</v>
      </c>
      <c r="B12294">
        <v>18.713999999999999</v>
      </c>
    </row>
    <row r="12295" spans="1:2">
      <c r="A12295" s="117">
        <v>45849</v>
      </c>
      <c r="B12295">
        <v>18.5733</v>
      </c>
    </row>
    <row r="12296" spans="1:2">
      <c r="A12296" s="117">
        <v>45850</v>
      </c>
      <c r="B12296">
        <v>18.6267</v>
      </c>
    </row>
    <row r="12297" spans="1:2">
      <c r="A12297" s="117">
        <v>45851</v>
      </c>
      <c r="B12297">
        <v>18.6267</v>
      </c>
    </row>
    <row r="12298" spans="1:2">
      <c r="A12298" s="117">
        <v>45852</v>
      </c>
      <c r="B12298">
        <v>18.6267</v>
      </c>
    </row>
    <row r="12299" spans="1:2">
      <c r="A12299" s="117">
        <v>45853</v>
      </c>
      <c r="B12299">
        <v>18.659500000000001</v>
      </c>
    </row>
    <row r="12300" spans="1:2">
      <c r="A12300" s="117">
        <v>45854</v>
      </c>
      <c r="B12300">
        <v>18.751000000000001</v>
      </c>
    </row>
    <row r="12301" spans="1:2">
      <c r="A12301" s="117">
        <v>45855</v>
      </c>
      <c r="B12301">
        <v>18.839700000000001</v>
      </c>
    </row>
    <row r="12302" spans="1:2">
      <c r="A12302" s="117">
        <v>45856</v>
      </c>
      <c r="B12302">
        <v>18.7178</v>
      </c>
    </row>
    <row r="12303" spans="1:2">
      <c r="A12303" s="117">
        <v>45857</v>
      </c>
      <c r="B12303">
        <v>18.7685</v>
      </c>
    </row>
    <row r="12304" spans="1:2">
      <c r="A12304" s="117">
        <v>45858</v>
      </c>
      <c r="B12304">
        <v>18.7685</v>
      </c>
    </row>
    <row r="12305" spans="1:2">
      <c r="A12305" s="117">
        <v>45859</v>
      </c>
      <c r="B12305">
        <v>18.7685</v>
      </c>
    </row>
    <row r="12306" spans="1:2">
      <c r="A12306" s="117">
        <v>45860</v>
      </c>
      <c r="B12306">
        <v>18.72</v>
      </c>
    </row>
    <row r="12307" spans="1:2">
      <c r="A12307" s="117">
        <v>45861</v>
      </c>
      <c r="B12307">
        <v>18.645499999999998</v>
      </c>
    </row>
    <row r="12308" spans="1:2">
      <c r="A12308" s="117">
        <v>45862</v>
      </c>
      <c r="B12308">
        <v>18.621200000000002</v>
      </c>
    </row>
    <row r="12309" spans="1:2">
      <c r="A12309" s="117">
        <v>45863</v>
      </c>
      <c r="B12309">
        <v>18.573499999999999</v>
      </c>
    </row>
    <row r="12310" spans="1:2">
      <c r="A12310" s="117">
        <v>45864</v>
      </c>
      <c r="B12310">
        <v>18.553799999999999</v>
      </c>
    </row>
    <row r="12311" spans="1:2">
      <c r="A12311" s="117">
        <v>45865</v>
      </c>
      <c r="B12311">
        <v>18.553799999999999</v>
      </c>
    </row>
    <row r="12312" spans="1:2">
      <c r="A12312" s="117">
        <v>45866</v>
      </c>
      <c r="B12312">
        <v>18.553799999999999</v>
      </c>
    </row>
    <row r="12313" spans="1:2">
      <c r="A12313" s="117">
        <v>45867</v>
      </c>
      <c r="B12313">
        <v>18.556999999999999</v>
      </c>
    </row>
    <row r="12314" spans="1:2">
      <c r="A12314" s="117">
        <v>45868</v>
      </c>
      <c r="B12314">
        <v>18.726700000000001</v>
      </c>
    </row>
    <row r="12315" spans="1:2">
      <c r="A12315" s="117">
        <v>45869</v>
      </c>
      <c r="B12315">
        <v>18.764199999999999</v>
      </c>
    </row>
    <row r="12316" spans="1:2">
      <c r="A12316" s="117">
        <v>45870</v>
      </c>
      <c r="B12316">
        <v>18.795999999999999</v>
      </c>
    </row>
    <row r="12317" spans="1:2">
      <c r="A12317" s="117">
        <v>45871</v>
      </c>
      <c r="B12317">
        <v>18.796299999999999</v>
      </c>
    </row>
    <row r="12318" spans="1:2">
      <c r="A12318" s="117">
        <v>45872</v>
      </c>
      <c r="B12318">
        <v>18.796299999999999</v>
      </c>
    </row>
    <row r="12319" spans="1:2">
      <c r="A12319" s="117">
        <v>45873</v>
      </c>
      <c r="B12319">
        <v>18.796299999999999</v>
      </c>
    </row>
    <row r="12320" spans="1:2">
      <c r="A12320" s="117">
        <v>45874</v>
      </c>
      <c r="B12320">
        <v>18.916</v>
      </c>
    </row>
    <row r="12321" spans="1:2">
      <c r="A12321" s="117">
        <v>45875</v>
      </c>
      <c r="B12321">
        <v>18.878299999999999</v>
      </c>
    </row>
    <row r="12322" spans="1:2">
      <c r="A12322" s="117">
        <v>45876</v>
      </c>
      <c r="B12322">
        <v>18.762</v>
      </c>
    </row>
    <row r="12323" spans="1:2">
      <c r="A12323" s="117">
        <v>45877</v>
      </c>
      <c r="B12323">
        <v>18.619199999999999</v>
      </c>
    </row>
    <row r="12324" spans="1:2">
      <c r="A12324" s="117">
        <v>45878</v>
      </c>
      <c r="B12324">
        <v>18.676500000000001</v>
      </c>
    </row>
    <row r="12325" spans="1:2">
      <c r="A12325" s="117">
        <v>45879</v>
      </c>
      <c r="B12325">
        <v>18.676500000000001</v>
      </c>
    </row>
    <row r="12326" spans="1:2">
      <c r="A12326" s="117">
        <v>45880</v>
      </c>
      <c r="B12326">
        <v>18.676500000000001</v>
      </c>
    </row>
    <row r="12327" spans="1:2">
      <c r="A12327" s="117">
        <v>45881</v>
      </c>
      <c r="B12327">
        <v>18.5518</v>
      </c>
    </row>
    <row r="12328" spans="1:2">
      <c r="A12328" s="117">
        <v>45882</v>
      </c>
      <c r="B12328">
        <v>18.668299999999999</v>
      </c>
    </row>
    <row r="12329" spans="1:2">
      <c r="A12329" s="117">
        <v>45883</v>
      </c>
      <c r="B12329">
        <v>18.5657</v>
      </c>
    </row>
    <row r="12330" spans="1:2">
      <c r="A12330" s="117">
        <v>45884</v>
      </c>
      <c r="B12330">
        <v>18.635300000000001</v>
      </c>
    </row>
    <row r="12331" spans="1:2">
      <c r="A12331" s="117">
        <v>45885</v>
      </c>
      <c r="B12331">
        <v>18.813700000000001</v>
      </c>
    </row>
    <row r="12332" spans="1:2">
      <c r="A12332" s="117">
        <v>45886</v>
      </c>
      <c r="B12332">
        <v>18.813700000000001</v>
      </c>
    </row>
    <row r="12333" spans="1:2">
      <c r="A12333" s="117">
        <v>45887</v>
      </c>
      <c r="B12333">
        <v>18.813700000000001</v>
      </c>
    </row>
    <row r="12334" spans="1:2">
      <c r="A12334" s="117">
        <v>45888</v>
      </c>
      <c r="B12334">
        <v>18.729500000000002</v>
      </c>
    </row>
    <row r="12335" spans="1:2">
      <c r="A12335" s="117">
        <v>45889</v>
      </c>
      <c r="B12335">
        <v>18.783999999999999</v>
      </c>
    </row>
    <row r="12336" spans="1:2">
      <c r="A12336" s="117">
        <v>45890</v>
      </c>
      <c r="B12336">
        <v>18.798200000000001</v>
      </c>
    </row>
    <row r="12337" spans="1:2">
      <c r="A12337" s="117">
        <v>45891</v>
      </c>
      <c r="B12337">
        <v>18.757200000000001</v>
      </c>
    </row>
    <row r="12338" spans="1:2">
      <c r="A12338" s="117">
        <v>45892</v>
      </c>
      <c r="B12338">
        <v>18.773700000000002</v>
      </c>
    </row>
    <row r="12339" spans="1:2">
      <c r="A12339" s="117">
        <v>45893</v>
      </c>
      <c r="B12339">
        <v>18.773700000000002</v>
      </c>
    </row>
    <row r="12340" spans="1:2">
      <c r="A12340" s="117">
        <v>45894</v>
      </c>
      <c r="B12340">
        <v>18.773700000000002</v>
      </c>
    </row>
    <row r="12341" spans="1:2">
      <c r="A12341" s="117">
        <v>45895</v>
      </c>
      <c r="B12341">
        <v>18.594999999999999</v>
      </c>
    </row>
    <row r="12342" spans="1:2">
      <c r="A12342" s="117">
        <v>45896</v>
      </c>
      <c r="B12342">
        <v>18.636800000000001</v>
      </c>
    </row>
    <row r="12343" spans="1:2">
      <c r="A12343" s="117">
        <v>45897</v>
      </c>
      <c r="B12343">
        <v>18.6843</v>
      </c>
    </row>
    <row r="12344" spans="1:2">
      <c r="A12344" s="117">
        <v>45898</v>
      </c>
      <c r="B12344">
        <v>18.691199999999998</v>
      </c>
    </row>
    <row r="12345" spans="1:2">
      <c r="A12345" s="117">
        <v>45899</v>
      </c>
      <c r="B12345">
        <v>18.652200000000001</v>
      </c>
    </row>
    <row r="12346" spans="1:2">
      <c r="A12346" s="117">
        <v>45900</v>
      </c>
      <c r="B12346">
        <v>18.652200000000001</v>
      </c>
    </row>
    <row r="12347" spans="1:2">
      <c r="A12347" s="117">
        <v>45901</v>
      </c>
      <c r="B12347">
        <v>18.652200000000001</v>
      </c>
    </row>
    <row r="12348" spans="1:2">
      <c r="A12348" s="117">
        <v>45902</v>
      </c>
      <c r="B12348">
        <v>18.643999999999998</v>
      </c>
    </row>
    <row r="12349" spans="1:2">
      <c r="A12349" s="117">
        <v>45903</v>
      </c>
      <c r="B12349">
        <v>18.646000000000001</v>
      </c>
    </row>
    <row r="12350" spans="1:2">
      <c r="A12350" s="117">
        <v>45904</v>
      </c>
      <c r="B12350">
        <v>18.7072</v>
      </c>
    </row>
    <row r="12351" spans="1:2">
      <c r="A12351" s="117">
        <v>45905</v>
      </c>
      <c r="B12351">
        <v>18.6873</v>
      </c>
    </row>
    <row r="12352" spans="1:2">
      <c r="A12352" s="117">
        <v>45906</v>
      </c>
      <c r="B12352">
        <v>18.7577</v>
      </c>
    </row>
    <row r="12353" spans="1:2">
      <c r="A12353" s="117">
        <v>45907</v>
      </c>
      <c r="B12353">
        <v>18.7577</v>
      </c>
    </row>
    <row r="12354" spans="1:2">
      <c r="A12354" s="117">
        <v>45908</v>
      </c>
      <c r="B12354">
        <v>18.7577</v>
      </c>
    </row>
    <row r="12355" spans="1:2">
      <c r="A12355" s="117">
        <v>45909</v>
      </c>
      <c r="B12355">
        <v>18.679200000000002</v>
      </c>
    </row>
    <row r="12356" spans="1:2">
      <c r="A12356" s="117">
        <v>45910</v>
      </c>
      <c r="B12356">
        <v>18.655000000000001</v>
      </c>
    </row>
    <row r="12357" spans="1:2">
      <c r="A12357" s="117">
        <v>45911</v>
      </c>
      <c r="B12357">
        <v>18.635300000000001</v>
      </c>
    </row>
    <row r="12358" spans="1:2">
      <c r="A12358" s="117">
        <v>45912</v>
      </c>
      <c r="B12358">
        <v>18.591999999999999</v>
      </c>
    </row>
    <row r="12359" spans="1:2">
      <c r="A12359" s="117">
        <v>45913</v>
      </c>
      <c r="B12359">
        <v>18.528700000000001</v>
      </c>
    </row>
    <row r="12360" spans="1:2">
      <c r="A12360" s="117">
        <v>45914</v>
      </c>
      <c r="B12360">
        <v>18.528700000000001</v>
      </c>
    </row>
    <row r="12361" spans="1:2">
      <c r="A12361" s="117">
        <v>45915</v>
      </c>
      <c r="B12361">
        <v>18.528700000000001</v>
      </c>
    </row>
    <row r="12362" spans="1:2">
      <c r="A12362" s="117">
        <v>45916</v>
      </c>
      <c r="B12362">
        <v>18.4757</v>
      </c>
    </row>
    <row r="12363" spans="1:2">
      <c r="A12363" s="117">
        <v>45917</v>
      </c>
      <c r="B12363">
        <v>18.4757</v>
      </c>
    </row>
    <row r="12364" spans="1:2">
      <c r="A12364" s="117">
        <v>45918</v>
      </c>
      <c r="B12364">
        <v>18.363499999999998</v>
      </c>
    </row>
    <row r="12365" spans="1:2">
      <c r="A12365" s="117">
        <v>45919</v>
      </c>
      <c r="B12365">
        <v>18.325700000000001</v>
      </c>
    </row>
    <row r="12366" spans="1:2">
      <c r="A12366" s="117">
        <v>45920</v>
      </c>
      <c r="B12366">
        <v>18.361000000000001</v>
      </c>
    </row>
    <row r="12367" spans="1:2">
      <c r="A12367" s="117">
        <v>45921</v>
      </c>
      <c r="B12367">
        <v>18.361000000000001</v>
      </c>
    </row>
    <row r="12368" spans="1:2">
      <c r="A12368" s="117">
        <v>45922</v>
      </c>
      <c r="B12368">
        <v>18.361000000000001</v>
      </c>
    </row>
    <row r="12369" spans="1:2">
      <c r="A12369" s="117">
        <v>45923</v>
      </c>
      <c r="B12369">
        <v>18.389199999999999</v>
      </c>
    </row>
    <row r="12370" spans="1:2">
      <c r="A12370" s="117">
        <v>45924</v>
      </c>
      <c r="B12370">
        <v>18.408200000000001</v>
      </c>
    </row>
    <row r="12371" spans="1:2">
      <c r="A12371" s="117">
        <v>45925</v>
      </c>
      <c r="B12371">
        <v>18.3232</v>
      </c>
    </row>
    <row r="12372" spans="1:2">
      <c r="A12372" s="117">
        <v>45926</v>
      </c>
      <c r="B12372">
        <v>18.4312</v>
      </c>
    </row>
    <row r="12373" spans="1:2">
      <c r="A12373" s="117">
        <v>45927</v>
      </c>
      <c r="B12373">
        <v>18.445699999999999</v>
      </c>
    </row>
    <row r="12374" spans="1:2">
      <c r="A12374" s="117">
        <v>45928</v>
      </c>
      <c r="B12374">
        <v>18.445699999999999</v>
      </c>
    </row>
    <row r="12375" spans="1:2">
      <c r="A12375" s="117">
        <v>45929</v>
      </c>
      <c r="B12375">
        <v>18.445699999999999</v>
      </c>
    </row>
    <row r="12376" spans="1:2">
      <c r="A12376" s="117">
        <v>45930</v>
      </c>
      <c r="B12376">
        <v>18.3825</v>
      </c>
    </row>
    <row r="12377" spans="1:2">
      <c r="A12377" s="117">
        <v>45931</v>
      </c>
      <c r="B12377">
        <v>18.3507</v>
      </c>
    </row>
    <row r="12378" spans="1:2">
      <c r="A12378" s="117">
        <v>45932</v>
      </c>
      <c r="B12378">
        <v>18.334199999999999</v>
      </c>
    </row>
    <row r="12379" spans="1:2">
      <c r="A12379" s="117">
        <v>45933</v>
      </c>
      <c r="B12379">
        <v>18.3477</v>
      </c>
    </row>
    <row r="12380" spans="1:2">
      <c r="A12380" s="117">
        <v>45934</v>
      </c>
      <c r="B12380">
        <v>18.484300000000001</v>
      </c>
    </row>
    <row r="12381" spans="1:2">
      <c r="A12381" s="117">
        <v>45935</v>
      </c>
      <c r="B12381">
        <v>18.484300000000001</v>
      </c>
    </row>
    <row r="12382" spans="1:2">
      <c r="A12382" s="117">
        <v>45936</v>
      </c>
      <c r="B12382">
        <v>18.484300000000001</v>
      </c>
    </row>
    <row r="12383" spans="1:2">
      <c r="A12383" s="117">
        <v>45937</v>
      </c>
      <c r="B12383">
        <v>18.3902</v>
      </c>
    </row>
    <row r="12384" spans="1:2">
      <c r="A12384" s="117">
        <v>45938</v>
      </c>
      <c r="B12384">
        <v>18.352799999999998</v>
      </c>
    </row>
    <row r="12385" spans="1:2">
      <c r="A12385" s="117">
        <v>45939</v>
      </c>
      <c r="B12385">
        <v>18.376200000000001</v>
      </c>
    </row>
    <row r="12386" spans="1:2">
      <c r="A12386" s="117">
        <v>45940</v>
      </c>
      <c r="B12386">
        <v>18.3477</v>
      </c>
    </row>
    <row r="12387" spans="1:2">
      <c r="A12387" s="117">
        <v>45941</v>
      </c>
      <c r="B12387">
        <v>18.382999999999999</v>
      </c>
    </row>
    <row r="12388" spans="1:2">
      <c r="A12388" s="117">
        <v>45942</v>
      </c>
      <c r="B12388">
        <v>18.382999999999999</v>
      </c>
    </row>
    <row r="12389" spans="1:2">
      <c r="A12389" s="117">
        <v>45943</v>
      </c>
      <c r="B12389">
        <v>18.382999999999999</v>
      </c>
    </row>
    <row r="12390" spans="1:2">
      <c r="A12390" s="117">
        <v>45944</v>
      </c>
      <c r="B12390">
        <v>18.556699999999999</v>
      </c>
    </row>
    <row r="12391" spans="1:2">
      <c r="A12391" s="117">
        <v>45945</v>
      </c>
      <c r="B12391">
        <v>18.440000000000001</v>
      </c>
    </row>
    <row r="12392" spans="1:2">
      <c r="A12392" s="117">
        <v>45946</v>
      </c>
      <c r="B12392">
        <v>18.521999999999998</v>
      </c>
    </row>
    <row r="12393" spans="1:2">
      <c r="A12393" s="117">
        <v>45947</v>
      </c>
      <c r="B12393">
        <v>18.480799999999999</v>
      </c>
    </row>
    <row r="12394" spans="1:2">
      <c r="A12394" s="117">
        <v>45948</v>
      </c>
      <c r="B12394">
        <v>18.410799999999998</v>
      </c>
    </row>
    <row r="12395" spans="1:2">
      <c r="A12395" s="117">
        <v>45949</v>
      </c>
      <c r="B12395">
        <v>18.410799999999998</v>
      </c>
    </row>
    <row r="12396" spans="1:2">
      <c r="A12396" s="117">
        <v>45950</v>
      </c>
      <c r="B12396">
        <v>18.410799999999998</v>
      </c>
    </row>
    <row r="12397" spans="1:2">
      <c r="A12397" s="117">
        <v>45951</v>
      </c>
      <c r="B12397">
        <v>18.407</v>
      </c>
    </row>
    <row r="12398" spans="1:2">
      <c r="A12398" s="117">
        <v>45952</v>
      </c>
      <c r="B12398">
        <v>18.403199999999998</v>
      </c>
    </row>
    <row r="12399" spans="1:2">
      <c r="A12399" s="117">
        <v>45953</v>
      </c>
      <c r="B12399">
        <v>18.4252</v>
      </c>
    </row>
    <row r="12400" spans="1:2">
      <c r="A12400" s="117">
        <v>45954</v>
      </c>
      <c r="B12400">
        <v>18.433299999999999</v>
      </c>
    </row>
    <row r="12401" spans="1:2">
      <c r="A12401" s="117">
        <v>45955</v>
      </c>
      <c r="B12401">
        <v>18.403300000000002</v>
      </c>
    </row>
    <row r="12402" spans="1:2">
      <c r="A12402" s="117">
        <v>45956</v>
      </c>
      <c r="B12402">
        <v>18.403300000000002</v>
      </c>
    </row>
    <row r="12403" spans="1:2">
      <c r="A12403" s="117">
        <v>45957</v>
      </c>
      <c r="B12403">
        <v>18.403300000000002</v>
      </c>
    </row>
    <row r="12404" spans="1:2">
      <c r="A12404" s="117">
        <v>45958</v>
      </c>
      <c r="B12404">
        <v>18.3948</v>
      </c>
    </row>
    <row r="12405" spans="1:2">
      <c r="A12405" s="117">
        <v>45959</v>
      </c>
      <c r="B12405">
        <v>18.389199999999999</v>
      </c>
    </row>
    <row r="12406" spans="1:2">
      <c r="A12406" s="117">
        <v>45960</v>
      </c>
      <c r="B12406">
        <v>18.4145</v>
      </c>
    </row>
    <row r="12407" spans="1:2">
      <c r="A12407" s="117">
        <v>45961</v>
      </c>
      <c r="B12407">
        <v>18.4072</v>
      </c>
    </row>
    <row r="12408" spans="1:2">
      <c r="A12408" s="117">
        <v>45962</v>
      </c>
      <c r="B12408">
        <v>18.538</v>
      </c>
    </row>
    <row r="12409" spans="1:2">
      <c r="A12409" s="117">
        <v>45963</v>
      </c>
      <c r="B12409">
        <v>18.538</v>
      </c>
    </row>
    <row r="12410" spans="1:2">
      <c r="A12410" s="117">
        <v>45964</v>
      </c>
      <c r="B12410">
        <v>18.538</v>
      </c>
    </row>
    <row r="12411" spans="1:2">
      <c r="A12411" s="117">
        <v>45965</v>
      </c>
      <c r="B12411">
        <v>18.572500000000002</v>
      </c>
    </row>
    <row r="12412" spans="1:2">
      <c r="A12412" s="117">
        <v>45966</v>
      </c>
      <c r="B12412">
        <v>18.483499999999999</v>
      </c>
    </row>
    <row r="12413" spans="1:2">
      <c r="A12413" s="117">
        <v>45967</v>
      </c>
      <c r="B12413">
        <v>18.613299999999999</v>
      </c>
    </row>
    <row r="12414" spans="1:2">
      <c r="A12414" s="117">
        <v>45968</v>
      </c>
      <c r="B12414">
        <v>18.5947</v>
      </c>
    </row>
    <row r="12415" spans="1:2">
      <c r="A12415" s="117">
        <v>45969</v>
      </c>
      <c r="B12415">
        <v>18.6233</v>
      </c>
    </row>
    <row r="12416" spans="1:2">
      <c r="A12416" s="117">
        <v>45970</v>
      </c>
      <c r="B12416">
        <v>18.6233</v>
      </c>
    </row>
    <row r="12417" spans="1:2">
      <c r="A12417" s="117">
        <v>45971</v>
      </c>
      <c r="B12417">
        <v>18.6233</v>
      </c>
    </row>
    <row r="12418" spans="1:2">
      <c r="A12418" s="117">
        <v>45972</v>
      </c>
      <c r="B12418">
        <v>18.5</v>
      </c>
    </row>
    <row r="12419" spans="1:2">
      <c r="A12419" s="117">
        <v>45973</v>
      </c>
      <c r="B12419">
        <v>18.392199999999999</v>
      </c>
    </row>
    <row r="12420" spans="1:2">
      <c r="A12420" s="117">
        <v>45974</v>
      </c>
      <c r="B12420">
        <v>18.333300000000001</v>
      </c>
    </row>
    <row r="12421" spans="1:2">
      <c r="A12421" s="117">
        <v>45975</v>
      </c>
      <c r="B12421">
        <v>18.298200000000001</v>
      </c>
    </row>
    <row r="12422" spans="1:2">
      <c r="A12422" s="117">
        <v>45976</v>
      </c>
      <c r="B12422">
        <v>18.2805</v>
      </c>
    </row>
    <row r="12423" spans="1:2">
      <c r="A12423" s="117">
        <v>45977</v>
      </c>
      <c r="B12423">
        <v>18.2805</v>
      </c>
    </row>
    <row r="12424" spans="1:2">
      <c r="A12424" s="117">
        <v>45978</v>
      </c>
      <c r="B12424">
        <v>18.2805</v>
      </c>
    </row>
    <row r="12425" spans="1:2">
      <c r="A12425" s="117">
        <v>45979</v>
      </c>
      <c r="B12425">
        <v>18.2805</v>
      </c>
    </row>
    <row r="12426" spans="1:2">
      <c r="A12426" s="117">
        <v>45980</v>
      </c>
      <c r="B12426">
        <v>18.3262</v>
      </c>
    </row>
    <row r="12427" spans="1:2">
      <c r="A12427" s="117">
        <v>45981</v>
      </c>
      <c r="B12427">
        <v>18.372800000000002</v>
      </c>
    </row>
    <row r="12428" spans="1:2">
      <c r="A12428" s="117">
        <v>45982</v>
      </c>
      <c r="B12428">
        <v>18.341000000000001</v>
      </c>
    </row>
    <row r="12429" spans="1:2">
      <c r="A12429" s="117">
        <v>45983</v>
      </c>
      <c r="B12429">
        <v>18.355</v>
      </c>
    </row>
    <row r="12430" spans="1:2">
      <c r="A12430" s="117">
        <v>45984</v>
      </c>
      <c r="B12430">
        <v>18.355</v>
      </c>
    </row>
    <row r="12431" spans="1:2">
      <c r="A12431" s="117">
        <v>45985</v>
      </c>
      <c r="B12431">
        <v>18.355</v>
      </c>
    </row>
    <row r="12432" spans="1:2">
      <c r="A12432" s="117">
        <v>45986</v>
      </c>
      <c r="B12432">
        <v>18.496500000000001</v>
      </c>
    </row>
    <row r="12433" spans="1:2">
      <c r="A12433" s="117">
        <v>45987</v>
      </c>
      <c r="B12433">
        <v>18.499700000000001</v>
      </c>
    </row>
    <row r="12434" spans="1:2">
      <c r="A12434" s="117">
        <v>45988</v>
      </c>
      <c r="B12434">
        <v>18.430800000000001</v>
      </c>
    </row>
    <row r="12435" spans="1:2">
      <c r="A12435" s="117">
        <v>45989</v>
      </c>
      <c r="B12435">
        <v>18.356000000000002</v>
      </c>
    </row>
    <row r="12436" spans="1:2">
      <c r="A12436" s="117">
        <v>45990</v>
      </c>
      <c r="B12436">
        <v>18.346699999999998</v>
      </c>
    </row>
    <row r="12437" spans="1:2">
      <c r="A12437" s="117">
        <v>45991</v>
      </c>
      <c r="B12437">
        <v>18.346699999999998</v>
      </c>
    </row>
    <row r="12438" spans="1:2">
      <c r="A12438" s="117">
        <v>45992</v>
      </c>
      <c r="B12438">
        <v>18.346699999999998</v>
      </c>
    </row>
    <row r="12439" spans="1:2">
      <c r="A12439" s="117">
        <v>45993</v>
      </c>
      <c r="B12439">
        <v>18.307500000000001</v>
      </c>
    </row>
    <row r="12440" spans="1:2">
      <c r="A12440" s="117">
        <v>45994</v>
      </c>
      <c r="B12440">
        <v>18.275700000000001</v>
      </c>
    </row>
    <row r="12441" spans="1:2">
      <c r="A12441" s="117">
        <v>45995</v>
      </c>
      <c r="B12441">
        <v>18.291</v>
      </c>
    </row>
    <row r="12442" spans="1:2">
      <c r="A12442" s="117">
        <v>45996</v>
      </c>
      <c r="B12442">
        <v>18.264199999999999</v>
      </c>
    </row>
    <row r="12443" spans="1:2">
      <c r="A12443" s="117">
        <v>45997</v>
      </c>
      <c r="B12443">
        <v>18.229299999999999</v>
      </c>
    </row>
    <row r="12444" spans="1:2">
      <c r="A12444" s="117">
        <v>45998</v>
      </c>
      <c r="B12444">
        <v>18.229299999999999</v>
      </c>
    </row>
    <row r="12445" spans="1:2">
      <c r="A12445" s="117">
        <v>45999</v>
      </c>
      <c r="B12445">
        <v>18.229299999999999</v>
      </c>
    </row>
    <row r="12446" spans="1:2">
      <c r="A12446" s="117">
        <v>46000</v>
      </c>
      <c r="B12446">
        <v>18.186</v>
      </c>
    </row>
    <row r="12447" spans="1:2">
      <c r="A12447" s="117">
        <v>46001</v>
      </c>
      <c r="B12447">
        <v>18.236699999999999</v>
      </c>
    </row>
    <row r="12448" spans="1:2">
      <c r="A12448" s="117">
        <v>46002</v>
      </c>
      <c r="B12448">
        <v>18.193999999999999</v>
      </c>
    </row>
    <row r="12449" spans="1:2">
      <c r="A12449" s="117">
        <v>46003</v>
      </c>
      <c r="B12449">
        <v>18.208500000000001</v>
      </c>
    </row>
    <row r="12450" spans="1:2">
      <c r="A12450" s="117">
        <v>46004</v>
      </c>
      <c r="B12450">
        <v>18.208500000000001</v>
      </c>
    </row>
    <row r="12451" spans="1:2">
      <c r="A12451" s="117">
        <v>46005</v>
      </c>
      <c r="B12451">
        <v>18.208500000000001</v>
      </c>
    </row>
    <row r="12452" spans="1:2">
      <c r="A12452" s="117">
        <v>46006</v>
      </c>
      <c r="B12452">
        <v>18.208500000000001</v>
      </c>
    </row>
    <row r="12453" spans="1:2">
      <c r="A12453" s="117">
        <v>46007</v>
      </c>
      <c r="B12453">
        <v>18.054300000000001</v>
      </c>
    </row>
    <row r="12454" spans="1:2">
      <c r="A12454" s="117">
        <v>46008</v>
      </c>
      <c r="B12454">
        <v>17.9925</v>
      </c>
    </row>
    <row r="12455" spans="1:2">
      <c r="A12455" s="117">
        <v>46009</v>
      </c>
      <c r="B12455">
        <v>17.952500000000001</v>
      </c>
    </row>
    <row r="12456" spans="1:2">
      <c r="A12456" s="117">
        <v>46010</v>
      </c>
      <c r="B12456">
        <v>18.02</v>
      </c>
    </row>
    <row r="12457" spans="1:2">
      <c r="A12457" s="117">
        <v>46011</v>
      </c>
      <c r="B12457">
        <v>17.979199999999999</v>
      </c>
    </row>
    <row r="12458" spans="1:2">
      <c r="A12458" s="117">
        <v>46012</v>
      </c>
      <c r="B12458">
        <v>17.979199999999999</v>
      </c>
    </row>
    <row r="12459" spans="1:2">
      <c r="A12459" s="117">
        <v>46013</v>
      </c>
      <c r="B12459">
        <v>17.979199999999999</v>
      </c>
    </row>
    <row r="12460" spans="1:2">
      <c r="A12460" s="117">
        <v>46014</v>
      </c>
      <c r="B12460">
        <v>18.006499999999999</v>
      </c>
    </row>
    <row r="12461" spans="1:2">
      <c r="A12461" s="117">
        <v>46015</v>
      </c>
      <c r="B12461">
        <v>17.9785</v>
      </c>
    </row>
    <row r="12462" spans="1:2">
      <c r="A12462" s="117">
        <v>46016</v>
      </c>
      <c r="B12462">
        <v>17.933199999999999</v>
      </c>
    </row>
    <row r="12463" spans="1:2">
      <c r="A12463" s="117">
        <v>46017</v>
      </c>
      <c r="B12463">
        <v>17.933199999999999</v>
      </c>
    </row>
    <row r="12464" spans="1:2">
      <c r="A12464" s="117">
        <v>46018</v>
      </c>
      <c r="B12464">
        <v>17.924800000000001</v>
      </c>
    </row>
    <row r="12465" spans="1:2">
      <c r="A12465" s="117">
        <v>46019</v>
      </c>
      <c r="B12465">
        <v>17.924800000000001</v>
      </c>
    </row>
    <row r="12466" spans="1:2">
      <c r="A12466" s="117">
        <v>46020</v>
      </c>
      <c r="B12466">
        <v>17.924800000000001</v>
      </c>
    </row>
    <row r="12467" spans="1:2">
      <c r="A12467" s="117">
        <v>46021</v>
      </c>
      <c r="B12467">
        <v>17.904199999999999</v>
      </c>
    </row>
    <row r="12468" spans="1:2">
      <c r="A12468" s="117">
        <v>46022</v>
      </c>
      <c r="B12468">
        <v>17.966699999999999</v>
      </c>
    </row>
    <row r="12469" spans="1:2">
      <c r="A12469" s="117">
        <v>46023</v>
      </c>
      <c r="B12469">
        <v>17.9528</v>
      </c>
    </row>
    <row r="12470" spans="1:2">
      <c r="A12470" s="117">
        <v>46024</v>
      </c>
      <c r="B12470">
        <v>17.9528</v>
      </c>
    </row>
    <row r="12471" spans="1:2">
      <c r="A12471" s="117">
        <v>46025</v>
      </c>
      <c r="B12471">
        <v>18.001200000000001</v>
      </c>
    </row>
    <row r="12472" spans="1:2">
      <c r="A12472" s="117">
        <v>46026</v>
      </c>
      <c r="B12472">
        <v>18.001200000000001</v>
      </c>
    </row>
    <row r="12473" spans="1:2">
      <c r="A12473" s="117">
        <v>46027</v>
      </c>
      <c r="B12473">
        <v>18.001200000000001</v>
      </c>
    </row>
    <row r="12474" spans="1:2">
      <c r="A12474" s="117">
        <v>46028</v>
      </c>
      <c r="B12474">
        <v>17.880299999999998</v>
      </c>
    </row>
    <row r="12475" spans="1:2">
      <c r="A12475" s="117">
        <v>46029</v>
      </c>
      <c r="B12475">
        <v>17.890499999999999</v>
      </c>
    </row>
    <row r="12476" spans="1:2">
      <c r="A12476" s="117">
        <v>46030</v>
      </c>
      <c r="B12476">
        <v>17.9697</v>
      </c>
    </row>
    <row r="12477" spans="1:2">
      <c r="A12477" s="117">
        <v>46031</v>
      </c>
      <c r="B12477">
        <v>17.9587</v>
      </c>
    </row>
    <row r="12478" spans="1:2">
      <c r="A12478" s="117">
        <v>46032</v>
      </c>
      <c r="B12478">
        <v>17.980699999999999</v>
      </c>
    </row>
    <row r="12479" spans="1:2">
      <c r="A12479" s="117">
        <v>46033</v>
      </c>
      <c r="B12479">
        <v>17.980699999999999</v>
      </c>
    </row>
    <row r="12480" spans="1:2">
      <c r="A12480" s="117">
        <v>46034</v>
      </c>
      <c r="B12480">
        <v>17.980699999999999</v>
      </c>
    </row>
    <row r="12481" spans="1:2">
      <c r="A12481" s="117">
        <v>46035</v>
      </c>
      <c r="B12481">
        <v>17.984200000000001</v>
      </c>
    </row>
    <row r="12482" spans="1:2">
      <c r="A12482" s="117">
        <v>46036</v>
      </c>
      <c r="B12482">
        <v>17.907499999999999</v>
      </c>
    </row>
    <row r="12483" spans="1:2">
      <c r="A12483" s="117">
        <v>46037</v>
      </c>
      <c r="B12483">
        <v>17.853999999999999</v>
      </c>
    </row>
    <row r="12484" spans="1:2">
      <c r="A12484" s="117">
        <v>46038</v>
      </c>
      <c r="B12484">
        <v>17.816700000000001</v>
      </c>
    </row>
    <row r="12485" spans="1:2">
      <c r="A12485" s="117">
        <v>46039</v>
      </c>
      <c r="B12485">
        <v>17.689699999999998</v>
      </c>
    </row>
    <row r="12486" spans="1:2">
      <c r="A12486" s="117">
        <v>46040</v>
      </c>
      <c r="B12486">
        <v>17.689699999999998</v>
      </c>
    </row>
    <row r="12487" spans="1:2">
      <c r="A12487" s="117">
        <v>46041</v>
      </c>
      <c r="B12487">
        <v>17.689699999999998</v>
      </c>
    </row>
    <row r="12488" spans="1:2">
      <c r="A12488" s="117">
        <v>46042</v>
      </c>
      <c r="B12488">
        <v>17.686699999999998</v>
      </c>
    </row>
    <row r="12489" spans="1:2">
      <c r="A12489" s="117">
        <v>46043</v>
      </c>
      <c r="B12489">
        <v>17.599</v>
      </c>
    </row>
    <row r="12490" spans="1:2">
      <c r="A12490" s="117">
        <v>46044</v>
      </c>
      <c r="B12490">
        <v>17.6008</v>
      </c>
    </row>
    <row r="12491" spans="1:2">
      <c r="A12491" s="117">
        <v>46045</v>
      </c>
      <c r="B12491">
        <v>17.452000000000002</v>
      </c>
    </row>
    <row r="12492" spans="1:2">
      <c r="A12492" s="117">
        <v>46046</v>
      </c>
      <c r="B12492">
        <v>17.482800000000001</v>
      </c>
    </row>
    <row r="12493" spans="1:2">
      <c r="A12493" s="117">
        <v>46047</v>
      </c>
      <c r="B12493">
        <v>17.482800000000001</v>
      </c>
    </row>
    <row r="12494" spans="1:2">
      <c r="A12494" s="117">
        <v>46048</v>
      </c>
      <c r="B12494">
        <v>17.482800000000001</v>
      </c>
    </row>
    <row r="12495" spans="1:2">
      <c r="A12495" s="117">
        <v>46049</v>
      </c>
      <c r="B12495">
        <v>17.454499999999999</v>
      </c>
    </row>
    <row r="12496" spans="1:2">
      <c r="A12496" s="117">
        <v>46050</v>
      </c>
      <c r="B12496">
        <v>17.283000000000001</v>
      </c>
    </row>
    <row r="12497" spans="1:2">
      <c r="A12497" s="117">
        <v>46051</v>
      </c>
      <c r="B12497">
        <v>17.235700000000001</v>
      </c>
    </row>
    <row r="12498" spans="1:2">
      <c r="A12498" s="117">
        <v>46052</v>
      </c>
      <c r="B12498">
        <v>17.232199999999999</v>
      </c>
    </row>
    <row r="12499" spans="1:2">
      <c r="A12499" s="117">
        <v>46053</v>
      </c>
      <c r="B12499">
        <v>17.2532</v>
      </c>
    </row>
    <row r="12500" spans="1:2">
      <c r="A12500" s="117">
        <v>46054</v>
      </c>
      <c r="B12500">
        <v>17.2532</v>
      </c>
    </row>
    <row r="12501" spans="1:2">
      <c r="A12501" s="117">
        <v>46055</v>
      </c>
      <c r="B12501">
        <v>17.2532</v>
      </c>
    </row>
    <row r="12502" spans="1:2">
      <c r="A12502" s="117">
        <v>46056</v>
      </c>
      <c r="B12502">
        <v>17.2532</v>
      </c>
    </row>
    <row r="12503" spans="1:2">
      <c r="A12503" s="117">
        <v>46057</v>
      </c>
      <c r="B12503">
        <v>17.331</v>
      </c>
    </row>
    <row r="12504" spans="1:2">
      <c r="A12504" s="117">
        <v>46058</v>
      </c>
      <c r="B12504">
        <v>17.234999999999999</v>
      </c>
    </row>
    <row r="12505" spans="1:2">
      <c r="A12505" s="117">
        <v>46059</v>
      </c>
      <c r="B12505">
        <v>17.2925</v>
      </c>
    </row>
    <row r="12506" spans="1:2">
      <c r="A12506" s="117">
        <v>46060</v>
      </c>
      <c r="B12506">
        <v>17.407</v>
      </c>
    </row>
    <row r="12507" spans="1:2">
      <c r="A12507" s="117">
        <v>46061</v>
      </c>
      <c r="B12507">
        <v>17.407</v>
      </c>
    </row>
    <row r="12508" spans="1:2">
      <c r="A12508" s="117">
        <v>46062</v>
      </c>
      <c r="B12508">
        <v>17.407</v>
      </c>
    </row>
    <row r="12509" spans="1:2">
      <c r="A12509" s="117">
        <v>46063</v>
      </c>
      <c r="B12509">
        <v>17.2988</v>
      </c>
    </row>
    <row r="12510" spans="1:2">
      <c r="A12510" s="117">
        <v>46064</v>
      </c>
      <c r="B12510">
        <v>17.1907</v>
      </c>
    </row>
    <row r="12511" spans="1:2">
      <c r="A12511" s="117">
        <v>46065</v>
      </c>
      <c r="B12511">
        <v>17.2315</v>
      </c>
    </row>
    <row r="12512" spans="1:2">
      <c r="A12512" s="117">
        <v>46066</v>
      </c>
      <c r="B12512">
        <v>17.215499999999999</v>
      </c>
    </row>
    <row r="12513" spans="1:2">
      <c r="A12513" s="117">
        <v>46067</v>
      </c>
      <c r="B12513">
        <v>17.2</v>
      </c>
    </row>
    <row r="12514" spans="1:2">
      <c r="A12514" s="117">
        <v>46068</v>
      </c>
      <c r="B12514">
        <v>17.2</v>
      </c>
    </row>
    <row r="12515" spans="1:2">
      <c r="A12515" s="117">
        <v>46069</v>
      </c>
      <c r="B12515">
        <v>17.2</v>
      </c>
    </row>
    <row r="12516" spans="1:2">
      <c r="A12516" s="117">
        <v>46070</v>
      </c>
      <c r="B12516">
        <v>17.1798</v>
      </c>
    </row>
    <row r="12517" spans="1:2">
      <c r="A12517" s="117">
        <v>46071</v>
      </c>
      <c r="B12517">
        <v>17.1723</v>
      </c>
    </row>
    <row r="12518" spans="1:2">
      <c r="A12518" s="117">
        <v>46072</v>
      </c>
      <c r="B12518">
        <v>17.1753</v>
      </c>
    </row>
    <row r="12519" spans="1:2">
      <c r="A12519" s="117">
        <v>46073</v>
      </c>
      <c r="B12519">
        <v>17.139199999999999</v>
      </c>
    </row>
    <row r="12520" spans="1:2">
      <c r="A12520" s="117">
        <v>46074</v>
      </c>
      <c r="B12520">
        <v>17.27</v>
      </c>
    </row>
    <row r="12521" spans="1:2">
      <c r="A12521" s="117">
        <v>46075</v>
      </c>
      <c r="B12521">
        <v>17.27</v>
      </c>
    </row>
    <row r="12522" spans="1:2">
      <c r="A12522" s="117">
        <v>46076</v>
      </c>
      <c r="B12522">
        <v>17.27</v>
      </c>
    </row>
    <row r="12523" spans="1:2">
      <c r="A12523" s="117">
        <v>46077</v>
      </c>
      <c r="B12523">
        <v>17.1722</v>
      </c>
    </row>
    <row r="12524" spans="1:2">
      <c r="A12524" s="117">
        <v>46078</v>
      </c>
      <c r="B12524">
        <v>17.216200000000001</v>
      </c>
    </row>
    <row r="12525" spans="1:2">
      <c r="A12525" s="117">
        <v>46079</v>
      </c>
      <c r="B12525">
        <v>17.190999999999999</v>
      </c>
    </row>
    <row r="12526" spans="1:2">
      <c r="A12526" s="117">
        <v>46080</v>
      </c>
      <c r="B12526">
        <v>17.170000000000002</v>
      </c>
    </row>
    <row r="12527" spans="1:2">
      <c r="A12527" s="117">
        <v>46081</v>
      </c>
      <c r="B12527">
        <v>17.2563</v>
      </c>
    </row>
    <row r="12528" spans="1:2">
      <c r="A12528" s="117">
        <v>46082</v>
      </c>
      <c r="B12528">
        <v>17.2563</v>
      </c>
    </row>
    <row r="12529" spans="1:2">
      <c r="A12529" s="117">
        <v>46083</v>
      </c>
      <c r="B12529">
        <v>17.2563</v>
      </c>
    </row>
    <row r="12530" spans="1:2">
      <c r="A12530" s="117">
        <v>46084</v>
      </c>
      <c r="B12530">
        <v>17.2193</v>
      </c>
    </row>
    <row r="12531" spans="1:2">
      <c r="A12531" s="117">
        <v>46085</v>
      </c>
      <c r="B12531">
        <v>17.348500000000001</v>
      </c>
    </row>
    <row r="12532" spans="1:2">
      <c r="A12532" s="117">
        <v>46086</v>
      </c>
      <c r="B12532">
        <v>17.722799999999999</v>
      </c>
    </row>
    <row r="12533" spans="1:2">
      <c r="A12533" s="117">
        <v>46087</v>
      </c>
      <c r="B12533">
        <v>17.544499999999999</v>
      </c>
    </row>
    <row r="12534" spans="1:2">
      <c r="A12534" s="117">
        <v>46088</v>
      </c>
      <c r="B12534">
        <v>17.677</v>
      </c>
    </row>
    <row r="12535" spans="1:2">
      <c r="A12535" s="117">
        <v>46089</v>
      </c>
      <c r="B12535">
        <v>17.677</v>
      </c>
    </row>
    <row r="12536" spans="1:2">
      <c r="A12536" s="117">
        <v>46090</v>
      </c>
      <c r="B12536">
        <v>17.677</v>
      </c>
    </row>
    <row r="12537" spans="1:2">
      <c r="A12537" s="117">
        <v>46091</v>
      </c>
      <c r="B12537">
        <v>17.796199999999999</v>
      </c>
    </row>
    <row r="12538" spans="1:2">
      <c r="A12538" s="117">
        <v>46092</v>
      </c>
      <c r="B12538">
        <v>17.768699999999999</v>
      </c>
    </row>
    <row r="12539" spans="1:2">
      <c r="A12539" s="117">
        <v>46093</v>
      </c>
      <c r="B12539">
        <v>17.503699999999998</v>
      </c>
    </row>
    <row r="12540" spans="1:2">
      <c r="A12540" s="117">
        <v>46094</v>
      </c>
      <c r="B12540">
        <v>17.654299999999999</v>
      </c>
    </row>
    <row r="12541" spans="1:2">
      <c r="A12541" s="117">
        <v>46095</v>
      </c>
      <c r="B12541">
        <v>17.8368</v>
      </c>
    </row>
    <row r="12542" spans="1:2">
      <c r="A12542" s="117">
        <v>46096</v>
      </c>
      <c r="B12542">
        <v>17.8368</v>
      </c>
    </row>
    <row r="12543" spans="1:2">
      <c r="A12543" s="117">
        <v>46097</v>
      </c>
      <c r="B12543">
        <v>17.8368</v>
      </c>
    </row>
    <row r="12544" spans="1:2">
      <c r="A12544" s="117">
        <v>46098</v>
      </c>
      <c r="B12544">
        <v>17.8368</v>
      </c>
    </row>
    <row r="12545" spans="1:2">
      <c r="A12545" s="117">
        <v>46099</v>
      </c>
      <c r="B12545">
        <v>17.921800000000001</v>
      </c>
    </row>
    <row r="12546" spans="1:2">
      <c r="A12546" s="117">
        <v>46100</v>
      </c>
      <c r="B12546">
        <v>17.6922</v>
      </c>
    </row>
    <row r="12547" spans="1:2">
      <c r="A12547" s="117">
        <v>46101</v>
      </c>
      <c r="B12547">
        <v>17.669</v>
      </c>
    </row>
    <row r="12548" spans="1:2">
      <c r="A12548" s="117">
        <v>46102</v>
      </c>
      <c r="B12548">
        <v>17.811699999999998</v>
      </c>
    </row>
    <row r="12549" spans="1:2">
      <c r="A12549" s="117">
        <v>46103</v>
      </c>
      <c r="B12549">
        <v>17.811699999999998</v>
      </c>
    </row>
    <row r="12550" spans="1:2">
      <c r="A12550" s="117">
        <v>46104</v>
      </c>
      <c r="B12550">
        <v>17.811699999999998</v>
      </c>
    </row>
    <row r="12551" spans="1:2">
      <c r="A12551" s="117">
        <v>46105</v>
      </c>
      <c r="B12551">
        <v>17.899799999999999</v>
      </c>
    </row>
    <row r="12552" spans="1:2">
      <c r="A12552" s="117">
        <v>46106</v>
      </c>
      <c r="B12552">
        <v>17.777999999999999</v>
      </c>
    </row>
    <row r="12553" spans="1:2">
      <c r="A12553" s="117">
        <v>46107</v>
      </c>
      <c r="B12553">
        <v>17.8047</v>
      </c>
    </row>
    <row r="12554" spans="1:2">
      <c r="A12554" s="117">
        <v>46108</v>
      </c>
      <c r="B12554">
        <v>17.754799999999999</v>
      </c>
    </row>
    <row r="12555" spans="1:2">
      <c r="A12555" s="117">
        <v>46109</v>
      </c>
      <c r="B12555">
        <v>17.7957</v>
      </c>
    </row>
    <row r="12556" spans="1:2">
      <c r="A12556" s="117">
        <v>46110</v>
      </c>
      <c r="B12556">
        <v>17.7957</v>
      </c>
    </row>
    <row r="12557" spans="1:2">
      <c r="A12557" s="117">
        <v>46111</v>
      </c>
      <c r="B12557">
        <v>17.7957</v>
      </c>
    </row>
    <row r="12558" spans="1:2">
      <c r="A12558" s="117">
        <v>46112</v>
      </c>
      <c r="B12558">
        <v>18.066700000000001</v>
      </c>
    </row>
    <row r="12559" spans="1:2">
      <c r="A12559" s="117">
        <v>46113</v>
      </c>
      <c r="B12559">
        <v>18.103300000000001</v>
      </c>
    </row>
    <row r="12560" spans="1:2">
      <c r="A12560" s="117">
        <v>46114</v>
      </c>
      <c r="B12560">
        <v>18.003299999999999</v>
      </c>
    </row>
    <row r="12561" spans="1:2">
      <c r="A12561" s="117">
        <v>46115</v>
      </c>
      <c r="B12561">
        <v>18.003299999999999</v>
      </c>
    </row>
    <row r="12562" spans="1:2">
      <c r="A12562" s="117">
        <v>46116</v>
      </c>
      <c r="B12562">
        <v>18.003299999999999</v>
      </c>
    </row>
    <row r="12563" spans="1:2">
      <c r="A12563" s="117">
        <v>46117</v>
      </c>
      <c r="B12563">
        <v>18.003299999999999</v>
      </c>
    </row>
    <row r="12564" spans="1:2">
      <c r="A12564" s="117">
        <v>46118</v>
      </c>
      <c r="B12564">
        <v>18.003299999999999</v>
      </c>
    </row>
    <row r="12565" spans="1:2">
      <c r="A12565" s="117">
        <v>46119</v>
      </c>
      <c r="B12565">
        <v>17.811699999999998</v>
      </c>
    </row>
    <row r="12566" spans="1:2">
      <c r="A12566" s="117">
        <v>46120</v>
      </c>
      <c r="B12566">
        <v>17.793199999999999</v>
      </c>
    </row>
    <row r="12567" spans="1:2">
      <c r="A12567" s="117">
        <v>46121</v>
      </c>
      <c r="B12567">
        <v>17.757999999999999</v>
      </c>
    </row>
    <row r="12568" spans="1:2">
      <c r="A12568" s="117">
        <v>46122</v>
      </c>
      <c r="B12568">
        <v>17.415700000000001</v>
      </c>
    </row>
    <row r="12569" spans="1:2">
      <c r="A12569" s="117">
        <v>46123</v>
      </c>
      <c r="B12569">
        <v>17.359300000000001</v>
      </c>
    </row>
    <row r="12570" spans="1:2">
      <c r="A12570" s="117">
        <v>46124</v>
      </c>
      <c r="B12570">
        <v>17.359300000000001</v>
      </c>
    </row>
    <row r="12571" spans="1:2">
      <c r="A12571" s="117">
        <v>46125</v>
      </c>
      <c r="B12571">
        <v>17.359300000000001</v>
      </c>
    </row>
    <row r="12572" spans="1:2">
      <c r="A12572" s="117">
        <v>46126</v>
      </c>
      <c r="B12572">
        <v>17.3033</v>
      </c>
    </row>
    <row r="12573" spans="1:2">
      <c r="A12573" s="117">
        <v>46127</v>
      </c>
      <c r="B12573">
        <v>17.347000000000001</v>
      </c>
    </row>
    <row r="12574" spans="1:2">
      <c r="A12574" s="117">
        <v>46128</v>
      </c>
      <c r="B12574">
        <v>17.268799999999999</v>
      </c>
    </row>
    <row r="12575" spans="1:2">
      <c r="A12575" s="117">
        <v>46129</v>
      </c>
      <c r="B12575">
        <v>17.2623</v>
      </c>
    </row>
    <row r="12576" spans="1:2">
      <c r="A12576" s="117">
        <v>46130</v>
      </c>
      <c r="B12576">
        <v>17.272300000000001</v>
      </c>
    </row>
    <row r="12577" spans="1:113">
      <c r="A12577" s="117">
        <v>46131</v>
      </c>
      <c r="B12577">
        <v>17.272300000000001</v>
      </c>
    </row>
    <row r="12578" spans="1:113">
      <c r="A12578" s="117">
        <v>46132</v>
      </c>
      <c r="B12578">
        <v>17.272300000000001</v>
      </c>
    </row>
    <row r="12579" spans="1:113">
      <c r="A12579" s="117">
        <v>46133</v>
      </c>
      <c r="B12579">
        <v>17.244700000000002</v>
      </c>
    </row>
    <row r="12580" spans="1:113">
      <c r="BG12580" s="118"/>
      <c r="CA12580">
        <f ca="1">$B$12579*EXP(
(AVERAGE($B$2:CA$12579)-(_xlfn.STDEV.P($B$2:CA$12579)^2)/2)*(1/365)
+_xlfn.STDEV.P($B$2:$B$12579)*SQRT(1/365)*_xlfn.NORM.S.INV(RAND()))</f>
        <v>0</v>
      </c>
      <c r="CB12580">
        <f ca="1">$B$12579*EXP(
(AVERAGE($B$2:CB$12579)-(_xlfn.STDEV.P($B$2:CB$12579)^2)/2)*(1/365)
+_xlfn.STDEV.P($B$2:$B$12579)*SQRT(1/365)*_xlfn.NORM.S.INV(RAND()))</f>
        <v>0</v>
      </c>
      <c r="CC12580">
        <f ca="1">$B$12579*EXP(
(AVERAGE($B$2:CC$12579)-(_xlfn.STDEV.P($B$2:CC$12579)^2)/2)*(1/365)
+_xlfn.STDEV.P($B$2:$B$12579)*SQRT(1/365)*_xlfn.NORM.S.INV(RAND()))</f>
        <v>0</v>
      </c>
      <c r="CD12580">
        <f ca="1">$B$12579*EXP(
(AVERAGE($B$2:CD$12579)-(_xlfn.STDEV.P($B$2:CD$12579)^2)/2)*(1/365)
+_xlfn.STDEV.P($B$2:$B$12579)*SQRT(1/365)*_xlfn.NORM.S.INV(RAND()))</f>
        <v>0</v>
      </c>
      <c r="CE12580">
        <f ca="1">$B$12579*EXP(
(AVERAGE($B$2:CE$12579)-(_xlfn.STDEV.P($B$2:CE$12579)^2)/2)*(1/365)
+_xlfn.STDEV.P($B$2:$B$12579)*SQRT(1/365)*_xlfn.NORM.S.INV(RAND()))</f>
        <v>0</v>
      </c>
      <c r="CF12580">
        <f ca="1">$B$12579*EXP(
(AVERAGE($B$2:CF$12579)-(_xlfn.STDEV.P($B$2:CF$12579)^2)/2)*(1/365)
+_xlfn.STDEV.P($B$2:$B$12579)*SQRT(1/365)*_xlfn.NORM.S.INV(RAND()))</f>
        <v>0</v>
      </c>
      <c r="CG12580">
        <f ca="1">$B$12579*EXP(
(AVERAGE($B$2:CG$12579)-(_xlfn.STDEV.P($B$2:CG$12579)^2)/2)*(1/365)
+_xlfn.STDEV.P($B$2:$B$12579)*SQRT(1/365)*_xlfn.NORM.S.INV(RAND()))</f>
        <v>0</v>
      </c>
      <c r="CH12580">
        <f ca="1">$B$12579*EXP(
(AVERAGE($B$2:CH$12579)-(_xlfn.STDEV.P($B$2:CH$12579)^2)/2)*(1/365)
+_xlfn.STDEV.P($B$2:$B$12579)*SQRT(1/365)*_xlfn.NORM.S.INV(RAND()))</f>
        <v>0</v>
      </c>
      <c r="CI12580">
        <f ca="1">$B$12579*EXP(
(AVERAGE($B$2:CI$12579)-(_xlfn.STDEV.P($B$2:CI$12579)^2)/2)*(1/365)
+_xlfn.STDEV.P($B$2:$B$12579)*SQRT(1/365)*_xlfn.NORM.S.INV(RAND()))</f>
        <v>0</v>
      </c>
      <c r="CJ12580">
        <f ca="1">$B$12579*EXP(
(AVERAGE($B$2:CJ$12579)-(_xlfn.STDEV.P($B$2:CJ$12579)^2)/2)*(1/365)
+_xlfn.STDEV.P($B$2:$B$12579)*SQRT(1/365)*_xlfn.NORM.S.INV(RAND()))</f>
        <v>0</v>
      </c>
      <c r="CK12580">
        <f ca="1">$B$12579*EXP(
(AVERAGE($B$2:CK$12579)-(_xlfn.STDEV.P($B$2:CK$12579)^2)/2)*(1/365)
+_xlfn.STDEV.P($B$2:$B$12579)*SQRT(1/365)*_xlfn.NORM.S.INV(RAND()))</f>
        <v>0</v>
      </c>
      <c r="CL12580">
        <f ca="1">$B$12579*EXP(
(AVERAGE($B$2:CL$12579)-(_xlfn.STDEV.P($B$2:CL$12579)^2)/2)*(1/365)
+_xlfn.STDEV.P($B$2:$B$12579)*SQRT(1/365)*_xlfn.NORM.S.INV(RAND()))</f>
        <v>0</v>
      </c>
      <c r="CM12580">
        <f ca="1">$B$12579*EXP(
(AVERAGE($B$2:CM$12579)-(_xlfn.STDEV.P($B$2:CM$12579)^2)/2)*(1/365)
+_xlfn.STDEV.P($B$2:$B$12579)*SQRT(1/365)*_xlfn.NORM.S.INV(RAND()))</f>
        <v>0</v>
      </c>
      <c r="CN12580">
        <f ca="1">$B$12579*EXP(
(AVERAGE($B$2:CN$12579)-(_xlfn.STDEV.P($B$2:CN$12579)^2)/2)*(1/365)
+_xlfn.STDEV.P($B$2:$B$12579)*SQRT(1/365)*_xlfn.NORM.S.INV(RAND()))</f>
        <v>0</v>
      </c>
      <c r="CO12580">
        <f ca="1">$B$12579*EXP(
(AVERAGE($B$2:CO$12579)-(_xlfn.STDEV.P($B$2:CO$12579)^2)/2)*(1/365)
+_xlfn.STDEV.P($B$2:$B$12579)*SQRT(1/365)*_xlfn.NORM.S.INV(RAND()))</f>
        <v>0</v>
      </c>
      <c r="CP12580">
        <f ca="1">$B$12579*EXP(
(AVERAGE($B$2:CP$12579)-(_xlfn.STDEV.P($B$2:CP$12579)^2)/2)*(1/365)
+_xlfn.STDEV.P($B$2:$B$12579)*SQRT(1/365)*_xlfn.NORM.S.INV(RAND()))</f>
        <v>0</v>
      </c>
      <c r="CQ12580">
        <f ca="1">$B$12579*EXP(
(AVERAGE($B$2:CQ$12579)-(_xlfn.STDEV.P($B$2:CQ$12579)^2)/2)*(1/365)
+_xlfn.STDEV.P($B$2:$B$12579)*SQRT(1/365)*_xlfn.NORM.S.INV(RAND()))</f>
        <v>0</v>
      </c>
      <c r="CR12580">
        <f ca="1">$B$12579*EXP(
(AVERAGE($B$2:CR$12579)-(_xlfn.STDEV.P($B$2:CR$12579)^2)/2)*(1/365)
+_xlfn.STDEV.P($B$2:$B$12579)*SQRT(1/365)*_xlfn.NORM.S.INV(RAND()))</f>
        <v>0</v>
      </c>
      <c r="CS12580">
        <f ca="1">$B$12579*EXP(
(AVERAGE($B$2:CS$12579)-(_xlfn.STDEV.P($B$2:CS$12579)^2)/2)*(1/365)
+_xlfn.STDEV.P($B$2:$B$12579)*SQRT(1/365)*_xlfn.NORM.S.INV(RAND()))</f>
        <v>0</v>
      </c>
      <c r="CT12580">
        <f ca="1">$B$12579*EXP(
(AVERAGE($B$2:CT$12579)-(_xlfn.STDEV.P($B$2:CT$12579)^2)/2)*(1/365)
+_xlfn.STDEV.P($B$2:$B$12579)*SQRT(1/365)*_xlfn.NORM.S.INV(RAND()))</f>
        <v>0</v>
      </c>
      <c r="CU12580">
        <f ca="1">$B$12579*EXP(
(AVERAGE($B$2:CU$12579)-(_xlfn.STDEV.P($B$2:CU$12579)^2)/2)*(1/365)
+_xlfn.STDEV.P($B$2:$B$12579)*SQRT(1/365)*_xlfn.NORM.S.INV(RAND()))</f>
        <v>0</v>
      </c>
      <c r="CV12580">
        <f ca="1">$B$12579*EXP(
(AVERAGE($B$2:CV$12579)-(_xlfn.STDEV.P($B$2:CV$12579)^2)/2)*(1/365)
+_xlfn.STDEV.P($B$2:$B$12579)*SQRT(1/365)*_xlfn.NORM.S.INV(RAND()))</f>
        <v>0</v>
      </c>
      <c r="CW12580">
        <f ca="1">$B$12579*EXP(
(AVERAGE($B$2:CW$12579)-(_xlfn.STDEV.P($B$2:CW$12579)^2)/2)*(1/365)
+_xlfn.STDEV.P($B$2:$B$12579)*SQRT(1/365)*_xlfn.NORM.S.INV(RAND()))</f>
        <v>0</v>
      </c>
      <c r="CX12580">
        <f ca="1">$B$12579*EXP(
(AVERAGE($B$2:CX$12579)-(_xlfn.STDEV.P($B$2:CX$12579)^2)/2)*(1/365)
+_xlfn.STDEV.P($B$2:$B$12579)*SQRT(1/365)*_xlfn.NORM.S.INV(RAND()))</f>
        <v>0</v>
      </c>
      <c r="CY12580">
        <f ca="1">$B$12579*EXP(
(AVERAGE($B$2:CY$12579)-(_xlfn.STDEV.P($B$2:CY$12579)^2)/2)*(1/365)
+_xlfn.STDEV.P($B$2:$B$12579)*SQRT(1/365)*_xlfn.NORM.S.INV(RAND()))</f>
        <v>0</v>
      </c>
      <c r="CZ12580">
        <f ca="1">$B$12579*EXP(
(AVERAGE($B$2:CZ$12579)-(_xlfn.STDEV.P($B$2:CZ$12579)^2)/2)*(1/365)
+_xlfn.STDEV.P($B$2:$B$12579)*SQRT(1/365)*_xlfn.NORM.S.INV(RAND()))</f>
        <v>0</v>
      </c>
      <c r="DA12580">
        <f ca="1">$B$12579*EXP(
(AVERAGE($B$2:DA$12579)-(_xlfn.STDEV.P($B$2:DA$12579)^2)/2)*(1/365)
+_xlfn.STDEV.P($B$2:$B$12579)*SQRT(1/365)*_xlfn.NORM.S.INV(RAND()))</f>
        <v>0</v>
      </c>
      <c r="DB12580">
        <f ca="1">$B$12579*EXP(
(AVERAGE($B$2:DB$12579)-(_xlfn.STDEV.P($B$2:DB$12579)^2)/2)*(1/365)
+_xlfn.STDEV.P($B$2:$B$12579)*SQRT(1/365)*_xlfn.NORM.S.INV(RAND()))</f>
        <v>0</v>
      </c>
      <c r="DC12580">
        <f ca="1">$B$12579*EXP(
(AVERAGE($B$2:DC$12579)-(_xlfn.STDEV.P($B$2:DC$12579)^2)/2)*(1/365)
+_xlfn.STDEV.P($B$2:$B$12579)*SQRT(1/365)*_xlfn.NORM.S.INV(RAND()))</f>
        <v>0</v>
      </c>
      <c r="DD12580">
        <f ca="1">$B$12579*EXP(
(AVERAGE($B$2:DD$12579)-(_xlfn.STDEV.P($B$2:DD$12579)^2)/2)*(1/365)
+_xlfn.STDEV.P($B$2:$B$12579)*SQRT(1/365)*_xlfn.NORM.S.INV(RAND()))</f>
        <v>0</v>
      </c>
      <c r="DE12580">
        <f ca="1">$B$12579*EXP(
(AVERAGE($B$2:DE$12579)-(_xlfn.STDEV.P($B$2:DE$12579)^2)/2)*(1/365)
+_xlfn.STDEV.P($B$2:$B$12579)*SQRT(1/365)*_xlfn.NORM.S.INV(RAND()))</f>
        <v>0</v>
      </c>
      <c r="DF12580">
        <f ca="1">$B$12579*EXP(
(AVERAGE($B$2:DF$12579)-(_xlfn.STDEV.P($B$2:DF$12579)^2)/2)*(1/365)
+_xlfn.STDEV.P($B$2:$B$12579)*SQRT(1/365)*_xlfn.NORM.S.INV(RAND()))</f>
        <v>0</v>
      </c>
      <c r="DG12580">
        <f ca="1">$B$12579*EXP(
(AVERAGE($B$2:DG$12579)-(_xlfn.STDEV.P($B$2:DG$12579)^2)/2)*(1/365)
+_xlfn.STDEV.P($B$2:$B$12579)*SQRT(1/365)*_xlfn.NORM.S.INV(RAND()))</f>
        <v>0</v>
      </c>
      <c r="DH12580">
        <f ca="1">$B$12579*EXP(
(AVERAGE($B$2:DH$12579)-(_xlfn.STDEV.P($B$2:DH$12579)^2)/2)*(1/365)
+_xlfn.STDEV.P($B$2:$B$12579)*SQRT(1/365)*_xlfn.NORM.S.INV(RAND()))</f>
        <v>0</v>
      </c>
      <c r="DI12580">
        <f ca="1">$B$12579*EXP(
(AVERAGE($B$2:DI$12579)-(_xlfn.STDEV.P($B$2:DI$12579)^2)/2)*(1/365)
+_xlfn.STDEV.P($B$2:$B$12579)*SQRT(1/365)*_xlfn.NORM.S.INV(RAND()))</f>
        <v>0</v>
      </c>
    </row>
    <row r="12581" spans="1:113">
      <c r="BG12581" s="118"/>
    </row>
    <row r="12582" spans="1:113">
      <c r="BG12582" s="118"/>
    </row>
    <row r="12583" spans="1:113">
      <c r="BG12583" s="118"/>
    </row>
    <row r="12584" spans="1:113">
      <c r="BG12584" s="118"/>
    </row>
    <row r="12585" spans="1:113">
      <c r="BG12585" s="118"/>
    </row>
    <row r="12586" spans="1:113">
      <c r="BG12586" s="118"/>
    </row>
    <row r="12587" spans="1:113">
      <c r="BG12587" s="118"/>
    </row>
    <row r="12588" spans="1:113">
      <c r="BG12588" s="118"/>
    </row>
    <row r="12589" spans="1:113">
      <c r="BG12589" s="118"/>
    </row>
    <row r="12590" spans="1:113">
      <c r="BG12590" s="118"/>
    </row>
    <row r="12591" spans="1:113">
      <c r="BG12591" s="118"/>
    </row>
    <row r="12592" spans="1:113">
      <c r="BG12592" s="118"/>
    </row>
    <row r="12593" spans="59:59">
      <c r="BG12593" s="118"/>
    </row>
    <row r="12594" spans="59:59">
      <c r="BG12594" s="118"/>
    </row>
    <row r="12595" spans="59:59">
      <c r="BG12595" s="118"/>
    </row>
    <row r="12596" spans="59:59">
      <c r="BG12596" s="118"/>
    </row>
    <row r="12597" spans="59:59">
      <c r="BG12597" s="118"/>
    </row>
    <row r="12598" spans="59:59">
      <c r="BG12598" s="118"/>
    </row>
    <row r="12599" spans="59:59">
      <c r="BG12599" s="118"/>
    </row>
    <row r="12600" spans="59:59">
      <c r="BG12600" s="118"/>
    </row>
    <row r="12601" spans="59:59">
      <c r="BG12601" s="118"/>
    </row>
    <row r="12602" spans="59:59">
      <c r="BG12602" s="118"/>
    </row>
    <row r="12603" spans="59:59">
      <c r="BG12603" s="118"/>
    </row>
    <row r="12604" spans="59:59">
      <c r="BG12604" s="118"/>
    </row>
    <row r="12605" spans="59:59">
      <c r="BG12605" s="118"/>
    </row>
    <row r="12606" spans="59:59">
      <c r="BG12606" s="118"/>
    </row>
    <row r="12607" spans="59:59">
      <c r="BG12607" s="118"/>
    </row>
    <row r="12608" spans="59:59">
      <c r="BG12608" s="118"/>
    </row>
    <row r="12609" spans="59:59">
      <c r="BG12609" s="118"/>
    </row>
    <row r="12610" spans="59:59">
      <c r="BG12610" s="118"/>
    </row>
    <row r="12611" spans="59:59">
      <c r="BG12611" s="118"/>
    </row>
    <row r="12612" spans="59:59">
      <c r="BG12612" s="118"/>
    </row>
    <row r="12613" spans="59:59">
      <c r="BG12613" s="118"/>
    </row>
    <row r="12614" spans="59:59">
      <c r="BG12614" s="118"/>
    </row>
    <row r="12615" spans="59:59">
      <c r="BG12615" s="118"/>
    </row>
    <row r="12616" spans="59:59">
      <c r="BG12616" s="118"/>
    </row>
    <row r="12617" spans="59:59">
      <c r="BG12617" s="118"/>
    </row>
    <row r="12618" spans="59:59">
      <c r="BG12618" s="118"/>
    </row>
    <row r="12619" spans="59:59">
      <c r="BG12619" s="118"/>
    </row>
    <row r="12620" spans="59:59">
      <c r="BG12620" s="118"/>
    </row>
    <row r="12621" spans="59:59">
      <c r="BG12621" s="118"/>
    </row>
    <row r="12622" spans="59:59">
      <c r="BG12622" s="118"/>
    </row>
    <row r="12623" spans="59:59">
      <c r="BG12623" s="118"/>
    </row>
    <row r="12624" spans="59:59">
      <c r="BG12624" s="118"/>
    </row>
    <row r="12625" spans="59:59">
      <c r="BG12625" s="118"/>
    </row>
    <row r="12626" spans="59:59">
      <c r="BG12626" s="118"/>
    </row>
    <row r="12627" spans="59:59">
      <c r="BG12627" s="118"/>
    </row>
    <row r="12628" spans="59:59">
      <c r="BG12628" s="118"/>
    </row>
    <row r="12629" spans="59:59">
      <c r="BG12629" s="118"/>
    </row>
    <row r="12630" spans="59:59">
      <c r="BG12630" s="118"/>
    </row>
    <row r="12631" spans="59:59">
      <c r="BG12631" s="118"/>
    </row>
    <row r="12632" spans="59:59">
      <c r="BG12632" s="118"/>
    </row>
    <row r="12633" spans="59:59">
      <c r="BG12633" s="118"/>
    </row>
    <row r="12634" spans="59:59">
      <c r="BG12634" s="118"/>
    </row>
    <row r="12635" spans="59:59">
      <c r="BG12635" s="118"/>
    </row>
    <row r="12636" spans="59:59">
      <c r="BG12636" s="118"/>
    </row>
    <row r="12637" spans="59:59">
      <c r="BG12637" s="118"/>
    </row>
    <row r="12638" spans="59:59">
      <c r="BG12638" s="118"/>
    </row>
    <row r="12639" spans="59:59">
      <c r="BG12639" s="118"/>
    </row>
    <row r="12640" spans="59:59">
      <c r="BG12640" s="118"/>
    </row>
    <row r="12641" spans="59:59">
      <c r="BG12641" s="118"/>
    </row>
    <row r="12642" spans="59:59">
      <c r="BG12642" s="118"/>
    </row>
    <row r="12643" spans="59:59">
      <c r="BG12643" s="118"/>
    </row>
    <row r="12644" spans="59:59">
      <c r="BG12644" s="118"/>
    </row>
    <row r="12645" spans="59:59">
      <c r="BG12645" s="118"/>
    </row>
    <row r="12646" spans="59:59">
      <c r="BG12646" s="118"/>
    </row>
    <row r="12647" spans="59:59">
      <c r="BG12647" s="118"/>
    </row>
    <row r="12648" spans="59:59">
      <c r="BG12648" s="118"/>
    </row>
    <row r="12649" spans="59:59">
      <c r="BG12649" s="118"/>
    </row>
    <row r="12650" spans="59:59">
      <c r="BG12650" s="118"/>
    </row>
    <row r="12651" spans="59:59">
      <c r="BG12651" s="118"/>
    </row>
    <row r="12652" spans="59:59">
      <c r="BG12652" s="118"/>
    </row>
    <row r="12653" spans="59:59">
      <c r="BG12653" s="118"/>
    </row>
    <row r="12654" spans="59:59">
      <c r="BG12654" s="118"/>
    </row>
    <row r="12655" spans="59:59">
      <c r="BG12655" s="118"/>
    </row>
    <row r="12656" spans="59:59">
      <c r="BG12656" s="118"/>
    </row>
    <row r="12657" spans="59:59">
      <c r="BG12657" s="118"/>
    </row>
    <row r="12658" spans="59:59">
      <c r="BG12658" s="118"/>
    </row>
    <row r="12659" spans="59:59">
      <c r="BG12659" s="118"/>
    </row>
    <row r="12660" spans="59:59">
      <c r="BG12660" s="118"/>
    </row>
    <row r="12661" spans="59:59">
      <c r="BG12661" s="118"/>
    </row>
    <row r="12662" spans="59:59">
      <c r="BG12662" s="118"/>
    </row>
    <row r="12663" spans="59:59">
      <c r="BG12663" s="118"/>
    </row>
    <row r="12664" spans="59:59">
      <c r="BG12664" s="118"/>
    </row>
    <row r="12665" spans="59:59">
      <c r="BG12665" s="118"/>
    </row>
    <row r="12666" spans="59:59">
      <c r="BG12666" s="118"/>
    </row>
    <row r="12667" spans="59:59">
      <c r="BG12667" s="118"/>
    </row>
    <row r="12668" spans="59:59">
      <c r="BG12668" s="118"/>
    </row>
    <row r="12669" spans="59:59">
      <c r="BG12669" s="118"/>
    </row>
    <row r="12670" spans="59:59">
      <c r="BG12670" s="118"/>
    </row>
    <row r="12671" spans="59:59">
      <c r="BG12671" s="118"/>
    </row>
    <row r="12672" spans="59:59">
      <c r="BG12672" s="118"/>
    </row>
    <row r="12673" spans="59:59">
      <c r="BG12673" s="118"/>
    </row>
    <row r="12674" spans="59:59">
      <c r="BG12674" s="118"/>
    </row>
    <row r="12675" spans="59:59">
      <c r="BG12675" s="118"/>
    </row>
    <row r="12676" spans="59:59">
      <c r="BG12676" s="118"/>
    </row>
    <row r="12677" spans="59:59">
      <c r="BG12677" s="118"/>
    </row>
    <row r="12678" spans="59:59">
      <c r="BG12678" s="118"/>
    </row>
    <row r="12679" spans="59:59">
      <c r="BG12679" s="118"/>
    </row>
    <row r="12680" spans="59:59">
      <c r="BG12680" s="118"/>
    </row>
    <row r="12681" spans="59:59">
      <c r="BG12681" s="118"/>
    </row>
    <row r="12682" spans="59:59">
      <c r="BG12682" s="118"/>
    </row>
    <row r="12683" spans="59:59">
      <c r="BG12683" s="118"/>
    </row>
    <row r="12684" spans="59:59">
      <c r="BG12684" s="118"/>
    </row>
    <row r="12685" spans="59:59">
      <c r="BG12685" s="118"/>
    </row>
    <row r="12686" spans="59:59">
      <c r="BG12686" s="118"/>
    </row>
    <row r="12687" spans="59:59">
      <c r="BG12687" s="118"/>
    </row>
    <row r="12688" spans="59:59">
      <c r="BG12688" s="118"/>
    </row>
    <row r="12689" spans="59:59">
      <c r="BG12689" s="118"/>
    </row>
    <row r="12690" spans="59:59">
      <c r="BG12690" s="118"/>
    </row>
    <row r="12691" spans="59:59">
      <c r="BG12691" s="118"/>
    </row>
    <row r="12692" spans="59:59">
      <c r="BG12692" s="118"/>
    </row>
    <row r="12693" spans="59:59">
      <c r="BG12693" s="118"/>
    </row>
    <row r="12694" spans="59:59">
      <c r="BG12694" s="118"/>
    </row>
    <row r="12695" spans="59:59">
      <c r="BG12695" s="118"/>
    </row>
    <row r="12696" spans="59:59">
      <c r="BG12696" s="118"/>
    </row>
    <row r="12697" spans="59:59">
      <c r="BG12697" s="118"/>
    </row>
    <row r="12698" spans="59:59">
      <c r="BG12698" s="118"/>
    </row>
    <row r="12699" spans="59:59">
      <c r="BG12699" s="118"/>
    </row>
    <row r="12700" spans="59:59">
      <c r="BG12700" s="118"/>
    </row>
    <row r="12701" spans="59:59">
      <c r="BG12701" s="118"/>
    </row>
    <row r="12702" spans="59:59">
      <c r="BG12702" s="118"/>
    </row>
    <row r="12703" spans="59:59">
      <c r="BG12703" s="118"/>
    </row>
    <row r="12704" spans="59:59">
      <c r="BG12704" s="118"/>
    </row>
    <row r="12705" spans="59:59">
      <c r="BG12705" s="118"/>
    </row>
    <row r="12706" spans="59:59">
      <c r="BG12706" s="118"/>
    </row>
    <row r="12707" spans="59:59">
      <c r="BG12707" s="118"/>
    </row>
    <row r="12708" spans="59:59">
      <c r="BG12708" s="118"/>
    </row>
    <row r="12709" spans="59:59">
      <c r="BG12709" s="118"/>
    </row>
    <row r="12710" spans="59:59">
      <c r="BG12710" s="118"/>
    </row>
    <row r="12711" spans="59:59">
      <c r="BG12711" s="118"/>
    </row>
    <row r="12712" spans="59:59">
      <c r="BG12712" s="118"/>
    </row>
    <row r="12713" spans="59:59">
      <c r="BG12713" s="118"/>
    </row>
    <row r="12714" spans="59:59">
      <c r="BG12714" s="118"/>
    </row>
    <row r="12715" spans="59:59">
      <c r="BG12715" s="118"/>
    </row>
    <row r="12716" spans="59:59">
      <c r="BG12716" s="118"/>
    </row>
    <row r="12717" spans="59:59">
      <c r="BG12717" s="118"/>
    </row>
    <row r="12718" spans="59:59">
      <c r="BG12718" s="118"/>
    </row>
    <row r="12719" spans="59:59">
      <c r="BG12719" s="118"/>
    </row>
    <row r="12720" spans="59:59">
      <c r="BG12720" s="118"/>
    </row>
    <row r="12721" spans="59:59">
      <c r="BG12721" s="118"/>
    </row>
    <row r="12722" spans="59:59">
      <c r="BG12722" s="118"/>
    </row>
    <row r="12723" spans="59:59">
      <c r="BG12723" s="118"/>
    </row>
    <row r="12724" spans="59:59">
      <c r="BG12724" s="118"/>
    </row>
    <row r="12725" spans="59:59">
      <c r="BG12725" s="118"/>
    </row>
    <row r="12726" spans="59:59">
      <c r="BG12726" s="118"/>
    </row>
    <row r="12727" spans="59:59">
      <c r="BG12727" s="118"/>
    </row>
    <row r="12728" spans="59:59">
      <c r="BG12728" s="118"/>
    </row>
    <row r="12729" spans="59:59">
      <c r="BG12729" s="118"/>
    </row>
    <row r="12730" spans="59:59">
      <c r="BG12730" s="118"/>
    </row>
    <row r="12731" spans="59:59">
      <c r="BG12731" s="118"/>
    </row>
    <row r="12732" spans="59:59">
      <c r="BG12732" s="118"/>
    </row>
    <row r="12733" spans="59:59">
      <c r="BG12733" s="118"/>
    </row>
    <row r="12734" spans="59:59">
      <c r="BG12734" s="118"/>
    </row>
    <row r="12735" spans="59:59">
      <c r="BG12735" s="118"/>
    </row>
    <row r="12736" spans="59:59">
      <c r="BG12736" s="118"/>
    </row>
    <row r="12737" spans="59:59">
      <c r="BG12737" s="118"/>
    </row>
    <row r="12738" spans="59:59">
      <c r="BG12738" s="118"/>
    </row>
    <row r="12739" spans="59:59">
      <c r="BG12739" s="118"/>
    </row>
    <row r="12740" spans="59:59">
      <c r="BG12740" s="118"/>
    </row>
    <row r="12741" spans="59:59">
      <c r="BG12741" s="118"/>
    </row>
    <row r="12742" spans="59:59">
      <c r="BG12742" s="118"/>
    </row>
    <row r="12743" spans="59:59">
      <c r="BG12743" s="118"/>
    </row>
    <row r="12744" spans="59:59">
      <c r="BG12744" s="118"/>
    </row>
    <row r="12745" spans="59:59">
      <c r="BG12745" s="118"/>
    </row>
    <row r="12746" spans="59:59">
      <c r="BG12746" s="118"/>
    </row>
    <row r="12747" spans="59:59">
      <c r="BG12747" s="118"/>
    </row>
    <row r="12748" spans="59:59">
      <c r="BG12748" s="118"/>
    </row>
    <row r="12749" spans="59:59">
      <c r="BG12749" s="118"/>
    </row>
    <row r="12750" spans="59:59">
      <c r="BG12750" s="118"/>
    </row>
    <row r="12751" spans="59:59">
      <c r="BG12751" s="118"/>
    </row>
    <row r="12752" spans="59:59">
      <c r="BG12752" s="118"/>
    </row>
    <row r="12753" spans="59:59">
      <c r="BG12753" s="118"/>
    </row>
    <row r="12754" spans="59:59">
      <c r="BG12754" s="118"/>
    </row>
    <row r="12755" spans="59:59">
      <c r="BG12755" s="118"/>
    </row>
    <row r="12756" spans="59:59">
      <c r="BG12756" s="118"/>
    </row>
    <row r="12757" spans="59:59">
      <c r="BG12757" s="118"/>
    </row>
    <row r="12758" spans="59:59">
      <c r="BG12758" s="118"/>
    </row>
    <row r="12759" spans="59:59">
      <c r="BG12759" s="118"/>
    </row>
    <row r="12760" spans="59:59">
      <c r="BG12760" s="118"/>
    </row>
    <row r="12761" spans="59:59">
      <c r="BG12761" s="118"/>
    </row>
    <row r="12762" spans="59:59">
      <c r="BG12762" s="118"/>
    </row>
    <row r="12763" spans="59:59">
      <c r="BG12763" s="118"/>
    </row>
    <row r="12764" spans="59:59">
      <c r="BG12764" s="118"/>
    </row>
    <row r="12765" spans="59:59">
      <c r="BG12765" s="118"/>
    </row>
    <row r="12766" spans="59:59">
      <c r="BG12766" s="118"/>
    </row>
    <row r="12767" spans="59:59">
      <c r="BG12767" s="118"/>
    </row>
    <row r="12768" spans="59:59">
      <c r="BG12768" s="118"/>
    </row>
    <row r="12769" spans="59:59">
      <c r="BG12769" s="118"/>
    </row>
    <row r="12770" spans="59:59">
      <c r="BG12770" s="118"/>
    </row>
    <row r="12771" spans="59:59">
      <c r="BG12771" s="118"/>
    </row>
    <row r="12772" spans="59:59">
      <c r="BG12772" s="118"/>
    </row>
    <row r="12773" spans="59:59">
      <c r="BG12773" s="118"/>
    </row>
    <row r="12774" spans="59:59">
      <c r="BG12774" s="118"/>
    </row>
    <row r="12775" spans="59:59">
      <c r="BG12775" s="118"/>
    </row>
    <row r="12776" spans="59:59">
      <c r="BG12776" s="118"/>
    </row>
    <row r="12777" spans="59:59">
      <c r="BG12777" s="118"/>
    </row>
    <row r="12778" spans="59:59">
      <c r="BG12778" s="118"/>
    </row>
    <row r="12779" spans="59:59">
      <c r="BG12779" s="118"/>
    </row>
    <row r="12780" spans="59:59">
      <c r="BG12780" s="118"/>
    </row>
    <row r="12781" spans="59:59">
      <c r="BG12781" s="118"/>
    </row>
    <row r="12782" spans="59:59">
      <c r="BG12782" s="118"/>
    </row>
    <row r="12783" spans="59:59">
      <c r="BG12783" s="118"/>
    </row>
    <row r="12784" spans="59:59">
      <c r="BG12784" s="118"/>
    </row>
    <row r="12785" spans="59:59">
      <c r="BG12785" s="118"/>
    </row>
    <row r="12786" spans="59:59">
      <c r="BG12786" s="118"/>
    </row>
    <row r="12787" spans="59:59">
      <c r="BG12787" s="118"/>
    </row>
    <row r="12788" spans="59:59">
      <c r="BG12788" s="118"/>
    </row>
    <row r="12789" spans="59:59">
      <c r="BG12789" s="118"/>
    </row>
    <row r="12790" spans="59:59">
      <c r="BG12790" s="118"/>
    </row>
    <row r="12791" spans="59:59">
      <c r="BG12791" s="118"/>
    </row>
    <row r="12792" spans="59:59">
      <c r="BG12792" s="118"/>
    </row>
    <row r="12793" spans="59:59">
      <c r="BG12793" s="118"/>
    </row>
    <row r="12794" spans="59:59">
      <c r="BG12794" s="118"/>
    </row>
    <row r="12795" spans="59:59">
      <c r="BG12795" s="118"/>
    </row>
    <row r="12796" spans="59:59">
      <c r="BG12796" s="118"/>
    </row>
    <row r="12797" spans="59:59">
      <c r="BG12797" s="118"/>
    </row>
    <row r="12798" spans="59:59">
      <c r="BG12798" s="118"/>
    </row>
    <row r="12799" spans="59:59">
      <c r="BG12799" s="118"/>
    </row>
    <row r="12800" spans="59:59">
      <c r="BG12800" s="118"/>
    </row>
    <row r="12801" spans="59:59">
      <c r="BG12801" s="118"/>
    </row>
    <row r="12802" spans="59:59">
      <c r="BG12802" s="118"/>
    </row>
    <row r="12803" spans="59:59">
      <c r="BG12803" s="118"/>
    </row>
    <row r="12804" spans="59:59">
      <c r="BG12804" s="118"/>
    </row>
    <row r="12805" spans="59:59">
      <c r="BG12805" s="118"/>
    </row>
    <row r="12806" spans="59:59">
      <c r="BG12806" s="118"/>
    </row>
    <row r="12807" spans="59:59">
      <c r="BG12807" s="118"/>
    </row>
    <row r="12808" spans="59:59">
      <c r="BG12808" s="118"/>
    </row>
    <row r="12809" spans="59:59">
      <c r="BG12809" s="118"/>
    </row>
    <row r="12810" spans="59:59">
      <c r="BG12810" s="118"/>
    </row>
    <row r="12811" spans="59:59">
      <c r="BG12811" s="118"/>
    </row>
    <row r="12812" spans="59:59">
      <c r="BG12812" s="118"/>
    </row>
    <row r="12813" spans="59:59">
      <c r="BG12813" s="118"/>
    </row>
    <row r="12814" spans="59:59">
      <c r="BG12814" s="118"/>
    </row>
    <row r="12815" spans="59:59">
      <c r="BG12815" s="118"/>
    </row>
    <row r="12816" spans="59:59">
      <c r="BG12816" s="118"/>
    </row>
    <row r="12817" spans="59:59">
      <c r="BG12817" s="118"/>
    </row>
    <row r="12818" spans="59:59">
      <c r="BG12818" s="118"/>
    </row>
    <row r="12819" spans="59:59">
      <c r="BG12819" s="118"/>
    </row>
    <row r="12820" spans="59:59">
      <c r="BG12820" s="118"/>
    </row>
    <row r="12821" spans="59:59">
      <c r="BG12821" s="118"/>
    </row>
    <row r="12822" spans="59:59">
      <c r="BG12822" s="118"/>
    </row>
    <row r="12823" spans="59:59">
      <c r="BG12823" s="118"/>
    </row>
    <row r="12824" spans="59:59">
      <c r="BG12824" s="118"/>
    </row>
    <row r="12825" spans="59:59">
      <c r="BG12825" s="118"/>
    </row>
    <row r="12826" spans="59:59">
      <c r="BG12826" s="118"/>
    </row>
    <row r="12827" spans="59:59">
      <c r="BG12827" s="118"/>
    </row>
    <row r="12828" spans="59:59">
      <c r="BG12828" s="118"/>
    </row>
    <row r="12829" spans="59:59">
      <c r="BG12829" s="118"/>
    </row>
    <row r="12830" spans="59:59">
      <c r="BG12830" s="118"/>
    </row>
    <row r="12831" spans="59:59">
      <c r="BG12831" s="118"/>
    </row>
    <row r="12832" spans="59:59">
      <c r="BG12832" s="118"/>
    </row>
    <row r="12833" spans="59:59">
      <c r="BG12833" s="118"/>
    </row>
    <row r="12834" spans="59:59">
      <c r="BG12834" s="118"/>
    </row>
    <row r="12835" spans="59:59">
      <c r="BG12835" s="118"/>
    </row>
    <row r="12836" spans="59:59">
      <c r="BG12836" s="118"/>
    </row>
    <row r="12837" spans="59:59">
      <c r="BG12837" s="118"/>
    </row>
    <row r="12838" spans="59:59">
      <c r="BG12838" s="118"/>
    </row>
    <row r="12839" spans="59:59">
      <c r="BG12839" s="118"/>
    </row>
    <row r="12840" spans="59:59">
      <c r="BG12840" s="118"/>
    </row>
    <row r="12841" spans="59:59">
      <c r="BG12841" s="118"/>
    </row>
    <row r="12842" spans="59:59">
      <c r="BG12842" s="118"/>
    </row>
    <row r="12843" spans="59:59">
      <c r="BG12843" s="118"/>
    </row>
    <row r="12844" spans="59:59">
      <c r="BG12844" s="118"/>
    </row>
    <row r="12845" spans="59:59">
      <c r="BG12845" s="118"/>
    </row>
    <row r="12846" spans="59:59">
      <c r="BG12846" s="118"/>
    </row>
    <row r="12847" spans="59:59">
      <c r="BG12847" s="118"/>
    </row>
    <row r="12848" spans="59:59">
      <c r="BG12848" s="118"/>
    </row>
    <row r="12849" spans="59:59">
      <c r="BG12849" s="118"/>
    </row>
    <row r="12850" spans="59:59">
      <c r="BG12850" s="118"/>
    </row>
    <row r="12851" spans="59:59">
      <c r="BG12851" s="118"/>
    </row>
    <row r="12852" spans="59:59">
      <c r="BG12852" s="118"/>
    </row>
    <row r="12853" spans="59:59">
      <c r="BG12853" s="118"/>
    </row>
    <row r="12854" spans="59:59">
      <c r="BG12854" s="118"/>
    </row>
  </sheetData>
  <sortState xmlns:xlrd2="http://schemas.microsoft.com/office/spreadsheetml/2017/richdata2" ref="A2:B12597">
    <sortCondition ref="A1:A12597"/>
  </sortState>
  <mergeCells count="6">
    <mergeCell ref="L36:N36"/>
    <mergeCell ref="G27:G28"/>
    <mergeCell ref="H27:H28"/>
    <mergeCell ref="K29:N29"/>
    <mergeCell ref="L30:N30"/>
    <mergeCell ref="K35:N3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FDC4D-CB9C-4457-941C-3DEB4667B2F4}">
  <dimension ref="A1:J46"/>
  <sheetViews>
    <sheetView showGridLines="0" topLeftCell="A27" zoomScale="87" workbookViewId="0">
      <selection activeCell="G25" sqref="G25"/>
    </sheetView>
  </sheetViews>
  <sheetFormatPr defaultColWidth="16.75" defaultRowHeight="16"/>
  <cols>
    <col min="1" max="1" width="26.1640625" bestFit="1" customWidth="1"/>
    <col min="2" max="2" width="10.33203125" customWidth="1"/>
    <col min="3" max="3" width="38.58203125" customWidth="1"/>
    <col min="4" max="4" width="15.5" bestFit="1" customWidth="1"/>
    <col min="5" max="5" width="26.1640625" bestFit="1" customWidth="1"/>
    <col min="6" max="6" width="13.6640625" customWidth="1"/>
    <col min="7" max="7" width="22.9140625" bestFit="1" customWidth="1"/>
    <col min="8" max="8" width="9.58203125" bestFit="1" customWidth="1"/>
    <col min="9" max="9" width="36.58203125" customWidth="1"/>
    <col min="10" max="10" width="9.75" bestFit="1" customWidth="1"/>
  </cols>
  <sheetData>
    <row r="1" spans="1:10">
      <c r="A1" s="560" t="s">
        <v>1464</v>
      </c>
      <c r="B1" s="560"/>
      <c r="C1" s="560"/>
      <c r="D1" s="560"/>
      <c r="E1" s="560"/>
      <c r="F1" s="560"/>
      <c r="G1" s="560"/>
      <c r="H1" s="560"/>
      <c r="I1" s="560"/>
      <c r="J1" s="560"/>
    </row>
    <row r="2" spans="1:10">
      <c r="A2" s="392"/>
      <c r="B2" s="392"/>
      <c r="C2" s="392"/>
      <c r="D2" s="392"/>
      <c r="E2" s="392"/>
      <c r="F2" s="392"/>
      <c r="G2" s="392"/>
      <c r="H2" s="392"/>
      <c r="I2" s="392"/>
      <c r="J2" s="392"/>
    </row>
    <row r="3" spans="1:10">
      <c r="A3" s="398" t="s">
        <v>1465</v>
      </c>
      <c r="B3" s="398" t="s">
        <v>1466</v>
      </c>
      <c r="C3" s="398" t="s">
        <v>1467</v>
      </c>
      <c r="D3" s="399"/>
      <c r="E3" s="392"/>
      <c r="F3" s="392"/>
      <c r="G3" s="398" t="s">
        <v>1468</v>
      </c>
      <c r="H3" s="398" t="s">
        <v>1466</v>
      </c>
      <c r="I3" s="398" t="s">
        <v>1469</v>
      </c>
      <c r="J3" s="398" t="s">
        <v>1467</v>
      </c>
    </row>
    <row r="4" spans="1:10">
      <c r="A4" s="392" t="s">
        <v>1470</v>
      </c>
      <c r="B4" s="392" t="s">
        <v>1471</v>
      </c>
      <c r="C4" s="400">
        <v>80</v>
      </c>
      <c r="D4" s="401"/>
      <c r="E4" s="392"/>
      <c r="F4" s="392"/>
      <c r="G4" s="392" t="s">
        <v>1472</v>
      </c>
      <c r="H4" s="392" t="s">
        <v>135</v>
      </c>
      <c r="I4" s="401" t="str">
        <f ca="1">_xlfn.FORMULATEXT(J4)</f>
        <v>=C9/12</v>
      </c>
      <c r="J4" s="393">
        <f>C9/12</f>
        <v>0.25</v>
      </c>
    </row>
    <row r="5" spans="1:10">
      <c r="A5" s="392" t="s">
        <v>1473</v>
      </c>
      <c r="B5" s="392" t="s">
        <v>114</v>
      </c>
      <c r="C5" s="400">
        <v>85</v>
      </c>
      <c r="D5" s="401"/>
      <c r="E5" s="392"/>
      <c r="F5" s="392"/>
      <c r="G5" s="392" t="s">
        <v>1474</v>
      </c>
      <c r="H5" s="392" t="s">
        <v>1475</v>
      </c>
      <c r="I5" s="401" t="str">
        <f t="shared" ref="I5:I15" ca="1" si="0">_xlfn.FORMULATEXT(J5)</f>
        <v>=C8/SQRT(3)</v>
      </c>
      <c r="J5" s="394">
        <f>C8/SQRT(3)</f>
        <v>0.11547005383792516</v>
      </c>
    </row>
    <row r="6" spans="1:10">
      <c r="A6" s="392" t="s">
        <v>1476</v>
      </c>
      <c r="B6" s="392" t="s">
        <v>125</v>
      </c>
      <c r="C6" s="402">
        <v>0.05</v>
      </c>
      <c r="D6" s="401"/>
      <c r="E6" s="392"/>
      <c r="F6" s="392"/>
      <c r="G6" s="392" t="s">
        <v>1477</v>
      </c>
      <c r="H6" s="392" t="s">
        <v>1478</v>
      </c>
      <c r="I6" s="401" t="str">
        <f t="shared" ca="1" si="0"/>
        <v>=0.5*(C7-C8^2/6)</v>
      </c>
      <c r="J6" s="394">
        <f>0.5*(C7-C8^2/6)</f>
        <v>3.6666666666666667E-2</v>
      </c>
    </row>
    <row r="7" spans="1:10">
      <c r="A7" s="392" t="s">
        <v>1479</v>
      </c>
      <c r="B7" s="392" t="s">
        <v>1480</v>
      </c>
      <c r="C7" s="402">
        <v>0.08</v>
      </c>
      <c r="D7" s="401"/>
      <c r="E7" s="392"/>
      <c r="F7" s="392"/>
      <c r="G7" s="392" t="s">
        <v>1481</v>
      </c>
      <c r="H7" s="392" t="s">
        <v>1482</v>
      </c>
      <c r="I7" s="401" t="str">
        <f t="shared" ca="1" si="0"/>
        <v>=LN(C4/C5)</v>
      </c>
      <c r="J7" s="393">
        <f>LN(C4/C5)</f>
        <v>-6.0624621816434854E-2</v>
      </c>
    </row>
    <row r="8" spans="1:10">
      <c r="A8" s="392" t="s">
        <v>1483</v>
      </c>
      <c r="B8" s="392" t="s">
        <v>1484</v>
      </c>
      <c r="C8" s="402">
        <v>0.2</v>
      </c>
      <c r="D8" s="401"/>
      <c r="E8" s="392"/>
      <c r="F8" s="392"/>
      <c r="G8" s="392" t="s">
        <v>866</v>
      </c>
      <c r="H8" s="392" t="s">
        <v>866</v>
      </c>
      <c r="I8" s="401" t="str">
        <f t="shared" ca="1" si="0"/>
        <v>=(J7+(J6+0.5*J5^2)*J4)/(J5*SQRT(J4))</v>
      </c>
      <c r="J8" s="393">
        <f>(J7+(J6+0.5*J5^2)*J4)/(J5*SQRT(J4))</f>
        <v>-0.86241041427050924</v>
      </c>
    </row>
    <row r="9" spans="1:10">
      <c r="A9" s="392" t="s">
        <v>1485</v>
      </c>
      <c r="B9" s="392" t="s">
        <v>1486</v>
      </c>
      <c r="C9" s="403">
        <v>3</v>
      </c>
      <c r="D9" s="401"/>
      <c r="E9" s="392"/>
      <c r="F9" s="392"/>
      <c r="G9" s="392" t="s">
        <v>869</v>
      </c>
      <c r="H9" s="392" t="s">
        <v>869</v>
      </c>
      <c r="I9" s="401" t="str">
        <f t="shared" ca="1" si="0"/>
        <v>=J8-J5*SQRT(J4)</v>
      </c>
      <c r="J9" s="393">
        <f>J8-J5*SQRT(J4)</f>
        <v>-0.92014544118947184</v>
      </c>
    </row>
    <row r="10" spans="1:10">
      <c r="A10" s="392" t="s">
        <v>1487</v>
      </c>
      <c r="B10" s="392" t="s">
        <v>1488</v>
      </c>
      <c r="C10" s="404" t="s">
        <v>86</v>
      </c>
      <c r="D10" s="401"/>
      <c r="E10" s="392"/>
      <c r="F10" s="392"/>
      <c r="G10" s="392" t="s">
        <v>146</v>
      </c>
      <c r="H10" s="392" t="s">
        <v>146</v>
      </c>
      <c r="I10" s="401" t="str">
        <f t="shared" ca="1" si="0"/>
        <v>=NORM.S.DIST(J8,TRUE)</v>
      </c>
      <c r="J10" s="393">
        <f>_xlfn.NORM.S.DIST(J8,TRUE)</f>
        <v>0.1942308558509834</v>
      </c>
    </row>
    <row r="11" spans="1:10">
      <c r="A11" s="392"/>
      <c r="B11" s="392"/>
      <c r="C11" s="391"/>
      <c r="D11" s="392"/>
      <c r="E11" s="392"/>
      <c r="F11" s="392"/>
      <c r="G11" s="392" t="s">
        <v>149</v>
      </c>
      <c r="H11" s="392" t="s">
        <v>149</v>
      </c>
      <c r="I11" s="401" t="str">
        <f t="shared" ca="1" si="0"/>
        <v>=NORM.S.DIST(J9,TRUE)</v>
      </c>
      <c r="J11" s="393">
        <f>_xlfn.NORM.S.DIST(J9,TRUE)</f>
        <v>0.17874838036637761</v>
      </c>
    </row>
    <row r="12" spans="1:10">
      <c r="A12" s="392"/>
      <c r="B12" s="392"/>
      <c r="C12" s="392"/>
      <c r="D12" s="392"/>
      <c r="E12" s="392"/>
      <c r="F12" s="392"/>
      <c r="G12" s="392" t="s">
        <v>152</v>
      </c>
      <c r="H12" s="392" t="s">
        <v>152</v>
      </c>
      <c r="I12" s="401" t="str">
        <f t="shared" ca="1" si="0"/>
        <v>=NORM.S.DIST(-J8,TRUE)</v>
      </c>
      <c r="J12" s="393">
        <f>_xlfn.NORM.S.DIST(-J8,TRUE)</f>
        <v>0.80576914414901657</v>
      </c>
    </row>
    <row r="13" spans="1:10">
      <c r="A13" s="392"/>
      <c r="B13" s="392"/>
      <c r="C13" s="392"/>
      <c r="D13" s="392"/>
      <c r="E13" s="392"/>
      <c r="F13" s="392"/>
      <c r="G13" s="392" t="s">
        <v>1489</v>
      </c>
      <c r="H13" s="392" t="s">
        <v>1489</v>
      </c>
      <c r="I13" s="401" t="str">
        <f t="shared" ca="1" si="0"/>
        <v>=NORM.S.DIST(-J9,TRUE)</v>
      </c>
      <c r="J13" s="393">
        <f>_xlfn.NORM.S.DIST(-J9,TRUE)</f>
        <v>0.82125161963362237</v>
      </c>
    </row>
    <row r="14" spans="1:10" ht="32">
      <c r="A14" s="392"/>
      <c r="B14" s="392"/>
      <c r="C14" s="392"/>
      <c r="D14" s="392"/>
      <c r="E14" s="392"/>
      <c r="F14" s="392"/>
      <c r="G14" s="392" t="s">
        <v>1490</v>
      </c>
      <c r="H14" s="392" t="s">
        <v>110</v>
      </c>
      <c r="I14" s="401" t="str">
        <f t="shared" ca="1" si="0"/>
        <v>=C4*EXP((J6-C6)*J4)*J10-C5*EXP(-C6*J4)*J11</v>
      </c>
      <c r="J14" s="395">
        <f>C4*EXP((J6-C6)*J4)*J10-C5*EXP(-C6*J4)*J11</f>
        <v>0.48188555462727933</v>
      </c>
    </row>
    <row r="15" spans="1:10" ht="32">
      <c r="A15" s="392"/>
      <c r="B15" s="392"/>
      <c r="C15" s="392"/>
      <c r="D15" s="392"/>
      <c r="E15" s="392"/>
      <c r="F15" s="392"/>
      <c r="G15" s="392" t="s">
        <v>1491</v>
      </c>
      <c r="H15" s="392" t="s">
        <v>115</v>
      </c>
      <c r="I15" s="401" t="str">
        <f t="shared" ca="1" si="0"/>
        <v>=C5*EXP(-C6*J4)*J13-C4*EXP((J6-C6)*J4)*J12</v>
      </c>
      <c r="J15" s="395">
        <f>C5*EXP(-C6*J4)*J13-C4*EXP((J6-C6)*J4)*J12</f>
        <v>4.6922213122453371</v>
      </c>
    </row>
    <row r="16" spans="1:10">
      <c r="A16" s="392"/>
      <c r="B16" s="392"/>
      <c r="C16" s="392"/>
      <c r="D16" s="392"/>
      <c r="E16" s="392"/>
      <c r="F16" s="392"/>
      <c r="G16" s="405" t="s">
        <v>1467</v>
      </c>
      <c r="H16" s="405" t="s">
        <v>1492</v>
      </c>
      <c r="I16" s="405"/>
      <c r="J16" s="406">
        <f>IF(LOWER(C10)="call",J14,J15)</f>
        <v>4.6922213122453371</v>
      </c>
    </row>
    <row r="17" spans="1:10">
      <c r="A17" s="392"/>
      <c r="B17" s="392"/>
      <c r="C17" s="392"/>
      <c r="D17" s="392"/>
      <c r="E17" s="392"/>
      <c r="F17" s="392"/>
      <c r="G17" s="392"/>
      <c r="H17" s="392"/>
      <c r="I17" s="392"/>
      <c r="J17" s="392"/>
    </row>
    <row r="19" spans="1:10">
      <c r="A19" s="555" t="s">
        <v>1493</v>
      </c>
      <c r="B19" s="555"/>
      <c r="C19" s="555"/>
      <c r="D19" s="555"/>
      <c r="E19" s="555"/>
      <c r="F19" s="555"/>
      <c r="G19" s="555"/>
      <c r="H19" s="555"/>
      <c r="I19" s="555"/>
      <c r="J19" s="555"/>
    </row>
    <row r="20" spans="1:10">
      <c r="A20" s="559" t="s">
        <v>1494</v>
      </c>
      <c r="B20" s="559"/>
      <c r="C20" s="559"/>
      <c r="D20" s="559"/>
      <c r="E20" s="559"/>
      <c r="F20" s="559"/>
      <c r="G20" s="559"/>
      <c r="H20" s="559"/>
      <c r="I20" s="559"/>
      <c r="J20" s="559"/>
    </row>
    <row r="21" spans="1:10">
      <c r="A21" s="78"/>
      <c r="B21" s="78"/>
      <c r="C21" s="78"/>
      <c r="D21" s="78"/>
      <c r="E21" s="78"/>
      <c r="F21" s="78"/>
      <c r="G21" s="78"/>
      <c r="H21" s="78"/>
      <c r="I21" s="78"/>
      <c r="J21" s="78"/>
    </row>
    <row r="22" spans="1:10">
      <c r="A22" s="555" t="s">
        <v>1495</v>
      </c>
      <c r="B22" s="555"/>
      <c r="C22" s="555"/>
      <c r="D22" s="555"/>
      <c r="E22" s="555"/>
      <c r="F22" s="407"/>
      <c r="G22" s="555" t="s">
        <v>1496</v>
      </c>
      <c r="H22" s="555"/>
      <c r="I22" s="555"/>
      <c r="J22" s="555"/>
    </row>
    <row r="23" spans="1:10">
      <c r="A23" s="408" t="s">
        <v>1468</v>
      </c>
      <c r="B23" s="408" t="s">
        <v>1466</v>
      </c>
      <c r="C23" s="408" t="s">
        <v>1497</v>
      </c>
      <c r="D23" s="408" t="s">
        <v>1467</v>
      </c>
      <c r="E23" s="408"/>
      <c r="F23" s="408"/>
      <c r="G23" s="408" t="s">
        <v>1468</v>
      </c>
      <c r="H23" s="408" t="s">
        <v>1466</v>
      </c>
      <c r="I23" s="408" t="s">
        <v>1497</v>
      </c>
      <c r="J23" s="408" t="s">
        <v>1467</v>
      </c>
    </row>
    <row r="24" spans="1:10">
      <c r="A24" s="396" t="s">
        <v>1472</v>
      </c>
      <c r="B24" s="396" t="s">
        <v>135</v>
      </c>
      <c r="C24" s="396" t="str">
        <f ca="1">_xlfn.FORMULATEXT(D24)</f>
        <v>=$C$9/12</v>
      </c>
      <c r="D24" s="397">
        <f>$C$9/12</f>
        <v>0.25</v>
      </c>
      <c r="E24" s="396" t="s">
        <v>1498</v>
      </c>
      <c r="F24" s="396"/>
      <c r="G24" s="396" t="s">
        <v>1499</v>
      </c>
      <c r="H24" s="396" t="s">
        <v>866</v>
      </c>
      <c r="I24" s="396" t="s">
        <v>1500</v>
      </c>
      <c r="J24" s="397">
        <f>(LN($C$4/$C$5)+($C$7+0.5*$C$8^2)*$J$4)/($C$8*SQRT($J$4))</f>
        <v>-0.35624621816434848</v>
      </c>
    </row>
    <row r="25" spans="1:10" ht="32">
      <c r="A25" s="396" t="s">
        <v>1501</v>
      </c>
      <c r="B25" s="396" t="s">
        <v>1502</v>
      </c>
      <c r="C25" s="396" t="s">
        <v>1503</v>
      </c>
      <c r="D25" s="397">
        <f>IF(ABS($C$7)&lt;0.000000000001,$C$4,$C$4*(EXP($C$7*D24)-1)/($C$7*D24))</f>
        <v>80.805360107023105</v>
      </c>
      <c r="E25" s="396" t="s">
        <v>1504</v>
      </c>
      <c r="F25" s="396"/>
      <c r="G25" s="396" t="s">
        <v>1505</v>
      </c>
      <c r="H25" s="396" t="s">
        <v>869</v>
      </c>
      <c r="I25" s="396" t="str">
        <f ca="1">_xlfn.FORMULATEXT(J25)</f>
        <v>=J24-$C$8*SQRT($J$4)</v>
      </c>
      <c r="J25" s="397">
        <f>J24-$C$8*SQRT($J$4)</f>
        <v>-0.45624621816434852</v>
      </c>
    </row>
    <row r="26" spans="1:10" ht="32">
      <c r="A26" s="396" t="s">
        <v>1506</v>
      </c>
      <c r="B26" s="396" t="s">
        <v>1507</v>
      </c>
      <c r="C26" s="396" t="s">
        <v>1508</v>
      </c>
      <c r="D26" s="397">
        <f>2*$C$4^2*EXP((2*$C$7+$C$8^2)*D24)/(($C$7+$C$8^2)*(2*$C$7+$C$8^2)*D24^2)+2*$C$4^2/($C$7*D24^2)*(1/(2*$C$7+$C$8^2)-EXP($C$7*D24)/($C$7+$C$8^2))</f>
        <v>6551.4351712856442</v>
      </c>
      <c r="E26" s="396" t="s">
        <v>1509</v>
      </c>
      <c r="F26" s="396"/>
      <c r="G26" s="396" t="s">
        <v>152</v>
      </c>
      <c r="H26" s="396" t="s">
        <v>152</v>
      </c>
      <c r="I26" s="396" t="str">
        <f t="shared" ref="I26:I27" ca="1" si="1">_xlfn.FORMULATEXT(J26)</f>
        <v>=NORM.S.DIST(-J24,TRUE)</v>
      </c>
      <c r="J26" s="397">
        <f>_xlfn.NORM.S.DIST(-J24,TRUE)</f>
        <v>0.63917190888047948</v>
      </c>
    </row>
    <row r="27" spans="1:10" ht="32">
      <c r="A27" s="396" t="s">
        <v>1510</v>
      </c>
      <c r="B27" s="396" t="s">
        <v>1511</v>
      </c>
      <c r="C27" s="396" t="s">
        <v>1512</v>
      </c>
      <c r="D27" s="397">
        <f>LN(D26/D25^2)/D24</f>
        <v>1.3411248712575756E-2</v>
      </c>
      <c r="E27" s="396" t="s">
        <v>1513</v>
      </c>
      <c r="F27" s="396"/>
      <c r="G27" s="396" t="s">
        <v>1489</v>
      </c>
      <c r="H27" s="396" t="s">
        <v>1489</v>
      </c>
      <c r="I27" s="396" t="str">
        <f t="shared" ca="1" si="1"/>
        <v>=NORM.S.DIST(-J25,TRUE)</v>
      </c>
      <c r="J27" s="397">
        <f>_xlfn.NORM.S.DIST(-J25,TRUE)</f>
        <v>0.67589353326412605</v>
      </c>
    </row>
    <row r="28" spans="1:10" ht="32">
      <c r="A28" s="396" t="s">
        <v>1514</v>
      </c>
      <c r="B28" s="396" t="s">
        <v>1475</v>
      </c>
      <c r="C28" s="396" t="str">
        <f ca="1">_xlfn.FORMULATEXT(D28)</f>
        <v>=SQRT(D27)</v>
      </c>
      <c r="D28" s="397">
        <f>SQRT(D27)</f>
        <v>0.11580694587362088</v>
      </c>
      <c r="E28" s="396" t="s">
        <v>1515</v>
      </c>
      <c r="F28" s="396"/>
      <c r="G28" s="396" t="s">
        <v>452</v>
      </c>
      <c r="H28" s="396" t="s">
        <v>1516</v>
      </c>
      <c r="I28" s="396" t="s">
        <v>1517</v>
      </c>
      <c r="J28" s="397">
        <f>$C$4*EXP(($C$7-$C$6)*$J$4)*_xlfn.NORM.S.DIST(J24,TRUE)-$C$5*EXP(-$C$6*$J$4)*_xlfn.SINGLE(_xlfn.NORM.S.DIST(J25,TRUE))</f>
        <v>1.8767281595947907</v>
      </c>
    </row>
    <row r="29" spans="1:10">
      <c r="A29" s="396" t="s">
        <v>1518</v>
      </c>
      <c r="B29" s="396" t="s">
        <v>866</v>
      </c>
      <c r="C29" s="396" t="s">
        <v>1519</v>
      </c>
      <c r="D29" s="397">
        <f>(LN(D25/$C$5)+0.5*D27*D24)/(D28*SQRT(D24))</f>
        <v>-0.84505378752759186</v>
      </c>
      <c r="E29" s="396" t="s">
        <v>1520</v>
      </c>
      <c r="F29" s="396"/>
      <c r="G29" s="409" t="s">
        <v>1521</v>
      </c>
      <c r="H29" s="409" t="s">
        <v>1522</v>
      </c>
      <c r="I29" s="409" t="s">
        <v>1523</v>
      </c>
      <c r="J29" s="410">
        <f>$C$5*EXP(-$C$6*$J$4)*J27-$C$4*EXP(($C$7-$C$6)*$J$4)*J26</f>
        <v>5.2185855660120097</v>
      </c>
    </row>
    <row r="30" spans="1:10">
      <c r="A30" s="396" t="s">
        <v>1524</v>
      </c>
      <c r="B30" s="396" t="s">
        <v>869</v>
      </c>
      <c r="C30" s="396" t="str">
        <f ca="1">_xlfn.FORMULATEXT(D30)</f>
        <v>=D29-D28*SQRT(D24)</v>
      </c>
      <c r="D30" s="397">
        <f>D29-D28*SQRT(D24)</f>
        <v>-0.90295726046440228</v>
      </c>
      <c r="E30" s="396" t="s">
        <v>1525</v>
      </c>
      <c r="F30" s="396"/>
      <c r="G30" s="78"/>
      <c r="H30" s="78"/>
      <c r="I30" s="78"/>
      <c r="J30" s="78"/>
    </row>
    <row r="31" spans="1:10">
      <c r="A31" s="396" t="s">
        <v>152</v>
      </c>
      <c r="B31" s="396" t="s">
        <v>152</v>
      </c>
      <c r="C31" s="396" t="str">
        <f t="shared" ref="C31:C32" ca="1" si="2">_xlfn.FORMULATEXT(D31)</f>
        <v>=NORM.S.DIST(-D29,TRUE)</v>
      </c>
      <c r="D31" s="397">
        <f>_xlfn.NORM.S.DIST(-D29,TRUE)</f>
        <v>0.80095959575089559</v>
      </c>
      <c r="E31" s="396" t="s">
        <v>1526</v>
      </c>
      <c r="F31" s="396"/>
      <c r="G31" s="78"/>
      <c r="H31" s="78"/>
      <c r="I31" s="78"/>
      <c r="J31" s="78"/>
    </row>
    <row r="32" spans="1:10">
      <c r="A32" s="396" t="s">
        <v>1489</v>
      </c>
      <c r="B32" s="396" t="s">
        <v>1489</v>
      </c>
      <c r="C32" s="396" t="str">
        <f t="shared" ca="1" si="2"/>
        <v>=NORM.S.DIST(-D30,TRUE)</v>
      </c>
      <c r="D32" s="397">
        <f>_xlfn.NORM.S.DIST(-D30,TRUE)</f>
        <v>0.81672571066806765</v>
      </c>
      <c r="E32" s="396" t="s">
        <v>1526</v>
      </c>
      <c r="F32" s="396"/>
      <c r="G32" s="78"/>
      <c r="H32" s="78"/>
      <c r="I32" s="78"/>
      <c r="J32" s="78"/>
    </row>
    <row r="33" spans="1:10" ht="32">
      <c r="A33" s="409" t="s">
        <v>1527</v>
      </c>
      <c r="B33" s="409" t="s">
        <v>1528</v>
      </c>
      <c r="C33" s="409" t="s">
        <v>1529</v>
      </c>
      <c r="D33" s="410">
        <f>EXP(-$C$6*D24)*($C$5*D32-D25*D31)</f>
        <v>4.6414742816303978</v>
      </c>
      <c r="E33" s="396" t="s">
        <v>1530</v>
      </c>
      <c r="F33" s="396"/>
      <c r="G33" s="78"/>
      <c r="H33" s="78"/>
      <c r="I33" s="78"/>
      <c r="J33" s="78"/>
    </row>
    <row r="34" spans="1:10">
      <c r="A34" s="78"/>
      <c r="B34" s="78"/>
      <c r="C34" s="78"/>
      <c r="D34" s="78"/>
      <c r="E34" s="78"/>
      <c r="F34" s="78"/>
      <c r="G34" s="78"/>
      <c r="H34" s="78"/>
      <c r="I34" s="78"/>
      <c r="J34" s="78"/>
    </row>
    <row r="35" spans="1:10">
      <c r="A35" s="78"/>
      <c r="B35" s="78"/>
      <c r="C35" s="78"/>
      <c r="D35" s="78"/>
      <c r="E35" s="78"/>
      <c r="F35" s="78"/>
      <c r="G35" s="78"/>
      <c r="H35" s="78"/>
      <c r="I35" s="78"/>
      <c r="J35" s="78"/>
    </row>
    <row r="36" spans="1:10">
      <c r="A36" s="555" t="s">
        <v>1531</v>
      </c>
      <c r="B36" s="555"/>
      <c r="C36" s="555"/>
      <c r="D36" s="555"/>
      <c r="E36" s="555"/>
      <c r="F36" s="555"/>
      <c r="G36" s="555"/>
      <c r="H36" s="555"/>
      <c r="I36" s="555"/>
      <c r="J36" s="555"/>
    </row>
    <row r="37" spans="1:10">
      <c r="A37" s="408" t="s">
        <v>1532</v>
      </c>
      <c r="B37" s="408" t="s">
        <v>1533</v>
      </c>
      <c r="C37" s="408" t="s">
        <v>1534</v>
      </c>
      <c r="D37" s="411"/>
      <c r="E37" s="411"/>
      <c r="F37" s="411"/>
      <c r="G37" s="78"/>
      <c r="H37" s="411"/>
      <c r="I37" s="411"/>
      <c r="J37" s="411"/>
    </row>
    <row r="38" spans="1:10">
      <c r="A38" s="409" t="s">
        <v>1495</v>
      </c>
      <c r="B38" s="412">
        <f>D33</f>
        <v>4.6414742816303978</v>
      </c>
      <c r="C38" s="396" t="s">
        <v>1535</v>
      </c>
      <c r="D38" s="396"/>
      <c r="E38" s="396"/>
      <c r="F38" s="396"/>
      <c r="G38" s="78"/>
      <c r="H38" s="396"/>
      <c r="I38" s="396"/>
      <c r="J38" s="413"/>
    </row>
    <row r="39" spans="1:10">
      <c r="A39" s="409" t="s">
        <v>1536</v>
      </c>
      <c r="B39" s="412">
        <f>$J$15</f>
        <v>4.6922213122453371</v>
      </c>
      <c r="C39" s="396" t="s">
        <v>1537</v>
      </c>
      <c r="D39" s="396"/>
      <c r="E39" s="396"/>
      <c r="F39" s="396"/>
      <c r="G39" s="78"/>
      <c r="H39" s="396"/>
      <c r="I39" s="396"/>
      <c r="J39" s="413"/>
    </row>
    <row r="40" spans="1:10">
      <c r="A40" s="409" t="s">
        <v>1521</v>
      </c>
      <c r="B40" s="412">
        <f>J29</f>
        <v>5.2185855660120097</v>
      </c>
      <c r="C40" s="396" t="s">
        <v>1538</v>
      </c>
      <c r="D40" s="396"/>
      <c r="E40" s="396"/>
      <c r="F40" s="396"/>
      <c r="G40" s="78"/>
      <c r="H40" s="396"/>
      <c r="I40" s="396"/>
      <c r="J40" s="413"/>
    </row>
    <row r="41" spans="1:10">
      <c r="A41" s="409" t="s">
        <v>1539</v>
      </c>
      <c r="B41" s="554" t="str">
        <f>IF(AND(B38&lt;B39,B39&lt;B40),"Sí se cumple: P_arit &lt; P_geom &lt; P_vanilla","No se cumple con estos datos")</f>
        <v>Sí se cumple: P_arit &lt; P_geom &lt; P_vanilla</v>
      </c>
      <c r="C41" s="554"/>
      <c r="D41" s="554"/>
      <c r="E41" s="554"/>
      <c r="F41" s="554"/>
      <c r="G41" s="554"/>
      <c r="H41" s="554"/>
      <c r="I41" s="554"/>
      <c r="J41" s="554"/>
    </row>
    <row r="42" spans="1:10" ht="16.5" thickBot="1">
      <c r="A42" s="78"/>
      <c r="B42" s="78"/>
      <c r="C42" s="78"/>
      <c r="D42" s="78"/>
      <c r="E42" s="78"/>
      <c r="F42" s="78"/>
      <c r="G42" s="78"/>
      <c r="H42" s="78"/>
      <c r="I42" s="78"/>
      <c r="J42" s="78"/>
    </row>
    <row r="43" spans="1:10">
      <c r="A43" s="556" t="s">
        <v>1540</v>
      </c>
      <c r="B43" s="557"/>
      <c r="C43" s="557"/>
      <c r="D43" s="557"/>
      <c r="E43" s="557"/>
      <c r="F43" s="557"/>
      <c r="G43" s="557"/>
      <c r="H43" s="557"/>
      <c r="I43" s="557"/>
      <c r="J43" s="558"/>
    </row>
    <row r="44" spans="1:10">
      <c r="A44" s="561" t="s">
        <v>1541</v>
      </c>
      <c r="B44" s="562"/>
      <c r="C44" s="562"/>
      <c r="D44" s="562"/>
      <c r="E44" s="562"/>
      <c r="F44" s="562"/>
      <c r="G44" s="562"/>
      <c r="H44" s="562"/>
      <c r="I44" s="562"/>
      <c r="J44" s="563"/>
    </row>
    <row r="45" spans="1:10">
      <c r="A45" s="561" t="s">
        <v>1542</v>
      </c>
      <c r="B45" s="562"/>
      <c r="C45" s="562"/>
      <c r="D45" s="562"/>
      <c r="E45" s="562"/>
      <c r="F45" s="562"/>
      <c r="G45" s="562"/>
      <c r="H45" s="562"/>
      <c r="I45" s="562"/>
      <c r="J45" s="563"/>
    </row>
    <row r="46" spans="1:10" ht="16.5" thickBot="1">
      <c r="A46" s="551" t="s">
        <v>1543</v>
      </c>
      <c r="B46" s="552"/>
      <c r="C46" s="552"/>
      <c r="D46" s="552"/>
      <c r="E46" s="552"/>
      <c r="F46" s="552"/>
      <c r="G46" s="552"/>
      <c r="H46" s="552"/>
      <c r="I46" s="552"/>
      <c r="J46" s="553"/>
    </row>
  </sheetData>
  <mergeCells count="11">
    <mergeCell ref="A19:J19"/>
    <mergeCell ref="A20:J20"/>
    <mergeCell ref="A1:J1"/>
    <mergeCell ref="A44:J44"/>
    <mergeCell ref="A45:J45"/>
    <mergeCell ref="A46:J46"/>
    <mergeCell ref="B41:J41"/>
    <mergeCell ref="A22:E22"/>
    <mergeCell ref="G22:J22"/>
    <mergeCell ref="A36:J36"/>
    <mergeCell ref="A43:J43"/>
  </mergeCells>
  <dataValidations count="1">
    <dataValidation type="list" sqref="C10" xr:uid="{038CC446-DD21-40FE-9FDB-19D0AC7DA0B0}">
      <formula1>"call,put"</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1ADF-E302-40CD-8EDA-579D32B9F7AB}">
  <dimension ref="A1:J52"/>
  <sheetViews>
    <sheetView showGridLines="0" zoomScale="68" workbookViewId="0">
      <selection activeCell="A42" sqref="A1:XFD1048576"/>
    </sheetView>
  </sheetViews>
  <sheetFormatPr defaultColWidth="8.6640625" defaultRowHeight="16"/>
  <cols>
    <col min="1" max="1" width="24" style="415" customWidth="1"/>
    <col min="2" max="2" width="18" style="415" customWidth="1"/>
    <col min="3" max="4" width="14.08203125" style="415" customWidth="1"/>
    <col min="5" max="5" width="36" style="415" customWidth="1"/>
    <col min="6" max="6" width="15.1640625" style="415" customWidth="1"/>
    <col min="7" max="7" width="18.58203125" style="415" bestFit="1" customWidth="1"/>
    <col min="8" max="8" width="63.1640625" style="415" customWidth="1"/>
    <col min="9" max="9" width="16" style="415" customWidth="1"/>
    <col min="10" max="10" width="28" style="415" customWidth="1"/>
    <col min="11" max="16384" width="8.6640625" style="415"/>
  </cols>
  <sheetData>
    <row r="1" spans="1:10">
      <c r="A1" s="564" t="s">
        <v>1544</v>
      </c>
      <c r="B1" s="564"/>
      <c r="C1" s="564"/>
      <c r="D1" s="564"/>
      <c r="E1" s="564"/>
      <c r="F1" s="564"/>
      <c r="G1" s="564"/>
      <c r="H1" s="564"/>
      <c r="I1" s="564"/>
      <c r="J1" s="564"/>
    </row>
    <row r="2" spans="1:10">
      <c r="A2" s="416"/>
      <c r="B2" s="416"/>
      <c r="C2" s="416"/>
      <c r="D2" s="416"/>
      <c r="E2" s="416"/>
      <c r="F2" s="416"/>
      <c r="G2" s="416"/>
      <c r="H2" s="416"/>
      <c r="I2" s="416"/>
      <c r="J2" s="416"/>
    </row>
    <row r="3" spans="1:10">
      <c r="A3" s="565" t="s">
        <v>1545</v>
      </c>
      <c r="B3" s="565"/>
      <c r="C3" s="565"/>
      <c r="D3" s="565"/>
      <c r="E3" s="565"/>
      <c r="F3" s="565"/>
      <c r="G3" s="565"/>
      <c r="H3" s="565"/>
      <c r="I3" s="565"/>
      <c r="J3" s="565"/>
    </row>
    <row r="4" spans="1:10">
      <c r="A4" s="416"/>
      <c r="B4" s="416"/>
      <c r="C4" s="416"/>
      <c r="D4" s="416"/>
      <c r="E4" s="416"/>
      <c r="F4" s="416"/>
      <c r="G4" s="416"/>
      <c r="H4" s="416"/>
      <c r="I4" s="416"/>
      <c r="J4" s="416"/>
    </row>
    <row r="5" spans="1:10">
      <c r="A5" s="414" t="s">
        <v>1465</v>
      </c>
      <c r="B5" s="414" t="s">
        <v>1466</v>
      </c>
      <c r="C5" s="414" t="s">
        <v>1467</v>
      </c>
      <c r="D5" s="414" t="s">
        <v>1546</v>
      </c>
      <c r="E5" s="414" t="s">
        <v>1547</v>
      </c>
      <c r="F5" s="416"/>
      <c r="G5" s="414" t="s">
        <v>1468</v>
      </c>
      <c r="H5" s="414" t="s">
        <v>1548</v>
      </c>
      <c r="I5" s="414" t="s">
        <v>1467</v>
      </c>
      <c r="J5" s="414" t="s">
        <v>1549</v>
      </c>
    </row>
    <row r="6" spans="1:10">
      <c r="A6" s="417" t="s">
        <v>1550</v>
      </c>
      <c r="B6" s="417" t="s">
        <v>1551</v>
      </c>
      <c r="C6" s="418">
        <v>50</v>
      </c>
      <c r="D6" s="417" t="s">
        <v>1552</v>
      </c>
      <c r="E6" s="417"/>
      <c r="F6" s="416"/>
      <c r="G6" s="419" t="s">
        <v>1553</v>
      </c>
      <c r="H6" s="419" t="s">
        <v>1554</v>
      </c>
      <c r="I6" s="420">
        <f>C12</f>
        <v>0.25</v>
      </c>
      <c r="J6" s="419" t="s">
        <v>1555</v>
      </c>
    </row>
    <row r="7" spans="1:10">
      <c r="A7" s="417" t="s">
        <v>1556</v>
      </c>
      <c r="B7" s="417" t="s">
        <v>1557</v>
      </c>
      <c r="C7" s="418">
        <v>50</v>
      </c>
      <c r="D7" s="417" t="s">
        <v>1552</v>
      </c>
      <c r="E7" s="417" t="s">
        <v>1558</v>
      </c>
      <c r="F7" s="416"/>
      <c r="G7" s="419" t="s">
        <v>1559</v>
      </c>
      <c r="H7" s="419" t="s">
        <v>1560</v>
      </c>
      <c r="I7" s="420">
        <f>C10^2/(2*(C9-C8))</f>
        <v>0.80000000000000016</v>
      </c>
      <c r="J7" s="419" t="s">
        <v>1561</v>
      </c>
    </row>
    <row r="8" spans="1:10">
      <c r="A8" s="417" t="s">
        <v>1562</v>
      </c>
      <c r="B8" s="417" t="s">
        <v>1563</v>
      </c>
      <c r="C8" s="421">
        <v>0</v>
      </c>
      <c r="D8" s="417" t="s">
        <v>1564</v>
      </c>
      <c r="E8" s="417" t="s">
        <v>1565</v>
      </c>
      <c r="F8" s="416"/>
      <c r="G8" s="419" t="s">
        <v>1566</v>
      </c>
      <c r="H8" s="419" t="s">
        <v>1567</v>
      </c>
      <c r="I8" s="420">
        <f>(LN(C7/C6)+(-C9+C8+C10^2/2)*I6)/(C10*SQRT(I6))</f>
        <v>-2.4999999999999988E-2</v>
      </c>
      <c r="J8" s="419" t="s">
        <v>1568</v>
      </c>
    </row>
    <row r="9" spans="1:10">
      <c r="A9" s="417" t="s">
        <v>1569</v>
      </c>
      <c r="B9" s="417" t="s">
        <v>125</v>
      </c>
      <c r="C9" s="421">
        <v>0.1</v>
      </c>
      <c r="D9" s="417" t="s">
        <v>1564</v>
      </c>
      <c r="E9" s="417"/>
      <c r="F9" s="416"/>
      <c r="G9" s="419" t="s">
        <v>1570</v>
      </c>
      <c r="H9" s="419" t="s">
        <v>1571</v>
      </c>
      <c r="I9" s="420">
        <f>I8-C10*SQRT(I6)</f>
        <v>-0.22500000000000001</v>
      </c>
      <c r="J9" s="419" t="s">
        <v>1568</v>
      </c>
    </row>
    <row r="10" spans="1:10">
      <c r="A10" s="417" t="s">
        <v>1483</v>
      </c>
      <c r="B10" s="417" t="s">
        <v>1484</v>
      </c>
      <c r="C10" s="421">
        <v>0.4</v>
      </c>
      <c r="D10" s="417" t="s">
        <v>1564</v>
      </c>
      <c r="E10" s="417"/>
      <c r="F10" s="416"/>
      <c r="G10" s="419" t="s">
        <v>1572</v>
      </c>
      <c r="H10" s="419" t="s">
        <v>1573</v>
      </c>
      <c r="I10" s="420">
        <f>(LN(C7/C6)+(C9-C8-C10^2/2)*I6)/(C10*SQRT(I6))</f>
        <v>2.4999999999999988E-2</v>
      </c>
      <c r="J10" s="419" t="s">
        <v>1568</v>
      </c>
    </row>
    <row r="11" spans="1:10">
      <c r="A11" s="417" t="s">
        <v>1574</v>
      </c>
      <c r="B11" s="417" t="s">
        <v>1575</v>
      </c>
      <c r="C11" s="422">
        <v>3</v>
      </c>
      <c r="D11" s="417" t="s">
        <v>1575</v>
      </c>
      <c r="E11" s="417"/>
      <c r="F11" s="416"/>
      <c r="G11" s="419" t="s">
        <v>1576</v>
      </c>
      <c r="H11" s="419" t="s">
        <v>1577</v>
      </c>
      <c r="I11" s="420">
        <f>2*(C9-C8-C10^2/2)*LN(C7/C6)/(C10^2)</f>
        <v>0</v>
      </c>
      <c r="J11" s="419" t="s">
        <v>1578</v>
      </c>
    </row>
    <row r="12" spans="1:10">
      <c r="A12" s="417" t="s">
        <v>1574</v>
      </c>
      <c r="B12" s="417" t="s">
        <v>135</v>
      </c>
      <c r="C12" s="423">
        <f>C11/12</f>
        <v>0.25</v>
      </c>
      <c r="D12" s="417" t="s">
        <v>1579</v>
      </c>
      <c r="E12" s="417" t="s">
        <v>1580</v>
      </c>
      <c r="F12" s="416"/>
      <c r="G12" s="419" t="s">
        <v>1581</v>
      </c>
      <c r="H12" s="419" t="s">
        <v>1582</v>
      </c>
      <c r="I12" s="420">
        <f>_xlfn.NORM.S.DIST(I8,TRUE)</f>
        <v>0.49002748180476197</v>
      </c>
      <c r="J12" s="419" t="s">
        <v>1583</v>
      </c>
    </row>
    <row r="13" spans="1:10">
      <c r="A13" s="417" t="s">
        <v>1584</v>
      </c>
      <c r="B13" s="417" t="s">
        <v>114</v>
      </c>
      <c r="C13" s="424">
        <f>C6</f>
        <v>50</v>
      </c>
      <c r="D13" s="417" t="s">
        <v>1552</v>
      </c>
      <c r="E13" s="417" t="s">
        <v>1585</v>
      </c>
      <c r="F13" s="416"/>
      <c r="G13" s="419" t="s">
        <v>1586</v>
      </c>
      <c r="H13" s="419" t="s">
        <v>1582</v>
      </c>
      <c r="I13" s="420">
        <f>_xlfn.NORM.S.DIST(-I10,TRUE)</f>
        <v>0.49002748180476197</v>
      </c>
      <c r="J13" s="419" t="s">
        <v>1583</v>
      </c>
    </row>
    <row r="14" spans="1:10">
      <c r="A14" s="416"/>
      <c r="B14" s="416"/>
      <c r="C14" s="416"/>
      <c r="D14" s="416"/>
      <c r="E14" s="416"/>
      <c r="F14" s="416"/>
      <c r="G14" s="419" t="s">
        <v>1587</v>
      </c>
      <c r="H14" s="419" t="s">
        <v>1588</v>
      </c>
      <c r="I14" s="406">
        <f>C7*EXP(-C9*I6)*(_xlfn.NORM.S.DIST(I8,TRUE)-I7*EXP(I11)*_xlfn.NORM.S.DIST(-I10,TRUE))+C6*EXP(-C8*I6)*I7*_xlfn.NORM.S.DIST(-I9,TRUE)-C6*EXP(-C8*I6)*_xlfn.NORM.S.DIST(I9,TRUE)</f>
        <v>7.7902192598903461</v>
      </c>
      <c r="J14" s="419" t="s">
        <v>1533</v>
      </c>
    </row>
    <row r="15" spans="1:10">
      <c r="A15" s="416"/>
      <c r="B15" s="416"/>
      <c r="C15" s="416"/>
      <c r="D15" s="416"/>
      <c r="E15" s="416"/>
      <c r="F15" s="416"/>
      <c r="G15" s="419" t="s">
        <v>1499</v>
      </c>
      <c r="H15" s="419" t="s">
        <v>1589</v>
      </c>
      <c r="I15" s="420">
        <f>(LN(C6/C13)+(C9-C8+C10^2/2)*C12)/(C10*SQRT(C12))</f>
        <v>0.22500000000000001</v>
      </c>
      <c r="J15" s="419" t="s">
        <v>1590</v>
      </c>
    </row>
    <row r="16" spans="1:10">
      <c r="A16" s="416"/>
      <c r="B16" s="416"/>
      <c r="C16" s="416"/>
      <c r="D16" s="416"/>
      <c r="E16" s="416"/>
      <c r="F16" s="416"/>
      <c r="G16" s="419" t="s">
        <v>1505</v>
      </c>
      <c r="H16" s="419" t="s">
        <v>1591</v>
      </c>
      <c r="I16" s="420">
        <f>I15-C10*SQRT(C12)</f>
        <v>2.4999999999999994E-2</v>
      </c>
      <c r="J16" s="419" t="s">
        <v>1590</v>
      </c>
    </row>
    <row r="17" spans="1:10">
      <c r="A17" s="416"/>
      <c r="B17" s="416"/>
      <c r="C17" s="416"/>
      <c r="D17" s="416"/>
      <c r="E17" s="416"/>
      <c r="F17" s="416"/>
      <c r="G17" s="419" t="s">
        <v>1521</v>
      </c>
      <c r="H17" s="419" t="s">
        <v>1592</v>
      </c>
      <c r="I17" s="406">
        <f>C13*EXP(-C9*C12)*_xlfn.NORM.S.DIST(-I16,TRUE)-C6*EXP(-C8*C12)*_xlfn.NORM.S.DIST(-I15,TRUE)</f>
        <v>3.3469511519598711</v>
      </c>
      <c r="J17" s="419" t="s">
        <v>1593</v>
      </c>
    </row>
    <row r="18" spans="1:10">
      <c r="A18" s="416"/>
      <c r="B18" s="416"/>
      <c r="C18" s="416"/>
      <c r="D18" s="416"/>
      <c r="E18" s="416"/>
      <c r="F18" s="416"/>
      <c r="G18" s="419" t="s">
        <v>1594</v>
      </c>
      <c r="H18" s="419" t="s">
        <v>1595</v>
      </c>
      <c r="I18" s="406">
        <f>I14-I17</f>
        <v>4.443268107930475</v>
      </c>
      <c r="J18" s="419" t="s">
        <v>1596</v>
      </c>
    </row>
    <row r="19" spans="1:10">
      <c r="A19" s="416"/>
      <c r="B19" s="416"/>
      <c r="C19" s="416"/>
      <c r="D19" s="416"/>
      <c r="E19" s="416"/>
      <c r="F19" s="416"/>
      <c r="G19" s="419" t="s">
        <v>1597</v>
      </c>
      <c r="H19" s="419" t="s">
        <v>1598</v>
      </c>
      <c r="I19" s="425" t="str">
        <f>IF(I14&gt;=I17,"Se cumple","No se cumple")</f>
        <v>Se cumple</v>
      </c>
      <c r="J19" s="419" t="s">
        <v>1531</v>
      </c>
    </row>
    <row r="20" spans="1:10">
      <c r="A20" s="416"/>
      <c r="B20" s="416"/>
      <c r="C20" s="416"/>
      <c r="D20" s="416"/>
      <c r="E20" s="416"/>
      <c r="F20" s="416"/>
      <c r="G20" s="416"/>
      <c r="H20" s="416"/>
      <c r="I20" s="416"/>
      <c r="J20" s="416"/>
    </row>
    <row r="21" spans="1:10">
      <c r="A21" s="416"/>
      <c r="B21" s="416"/>
      <c r="C21" s="416"/>
      <c r="D21" s="416"/>
      <c r="E21" s="416"/>
      <c r="F21" s="416"/>
      <c r="G21" s="416"/>
      <c r="H21" s="416"/>
      <c r="I21" s="416"/>
      <c r="J21" s="416"/>
    </row>
    <row r="22" spans="1:10">
      <c r="A22" s="416"/>
      <c r="B22" s="416"/>
      <c r="C22" s="416"/>
      <c r="D22" s="416"/>
      <c r="E22" s="416"/>
      <c r="F22" s="416"/>
      <c r="G22" s="416"/>
      <c r="H22" s="416"/>
      <c r="I22" s="416"/>
      <c r="J22" s="416"/>
    </row>
    <row r="23" spans="1:10">
      <c r="A23" s="565" t="s">
        <v>1599</v>
      </c>
      <c r="B23" s="565"/>
      <c r="C23" s="565"/>
      <c r="D23" s="565"/>
      <c r="E23" s="565"/>
      <c r="F23" s="565"/>
      <c r="G23" s="565"/>
      <c r="H23" s="565"/>
      <c r="I23" s="565"/>
      <c r="J23" s="565"/>
    </row>
    <row r="24" spans="1:10">
      <c r="A24" s="416"/>
      <c r="B24" s="416"/>
      <c r="C24" s="416"/>
      <c r="D24" s="416"/>
      <c r="E24" s="416"/>
      <c r="F24" s="416"/>
      <c r="G24" s="416"/>
      <c r="H24" s="416"/>
      <c r="I24" s="416"/>
      <c r="J24" s="416"/>
    </row>
    <row r="25" spans="1:10">
      <c r="A25" s="414" t="s">
        <v>1465</v>
      </c>
      <c r="B25" s="414" t="s">
        <v>1466</v>
      </c>
      <c r="C25" s="414" t="s">
        <v>1467</v>
      </c>
      <c r="D25" s="414" t="s">
        <v>1546</v>
      </c>
      <c r="E25" s="414" t="s">
        <v>1547</v>
      </c>
      <c r="F25" s="416"/>
      <c r="G25" s="414" t="s">
        <v>1468</v>
      </c>
      <c r="H25" s="414" t="s">
        <v>1548</v>
      </c>
      <c r="I25" s="414" t="s">
        <v>1467</v>
      </c>
      <c r="J25" s="414" t="s">
        <v>1549</v>
      </c>
    </row>
    <row r="26" spans="1:10">
      <c r="A26" s="417" t="s">
        <v>1600</v>
      </c>
      <c r="B26" s="417" t="s">
        <v>1551</v>
      </c>
      <c r="C26" s="426">
        <v>400</v>
      </c>
      <c r="D26" s="417" t="s">
        <v>1601</v>
      </c>
      <c r="E26" s="417"/>
      <c r="F26" s="416"/>
      <c r="G26" s="419" t="s">
        <v>1553</v>
      </c>
      <c r="H26" s="419" t="s">
        <v>1554</v>
      </c>
      <c r="I26" s="420">
        <f>C32</f>
        <v>0.75</v>
      </c>
      <c r="J26" s="419" t="s">
        <v>1555</v>
      </c>
    </row>
    <row r="27" spans="1:10">
      <c r="A27" s="417" t="s">
        <v>1602</v>
      </c>
      <c r="B27" s="417" t="s">
        <v>1603</v>
      </c>
      <c r="C27" s="426">
        <v>400</v>
      </c>
      <c r="D27" s="417" t="s">
        <v>1601</v>
      </c>
      <c r="E27" s="417" t="s">
        <v>1604</v>
      </c>
      <c r="F27" s="416"/>
      <c r="G27" s="419" t="s">
        <v>1559</v>
      </c>
      <c r="H27" s="419" t="s">
        <v>1560</v>
      </c>
      <c r="I27" s="420">
        <f>C30^2/(2*(C29-C28))</f>
        <v>1.0000000000000004</v>
      </c>
      <c r="J27" s="419" t="s">
        <v>1561</v>
      </c>
    </row>
    <row r="28" spans="1:10">
      <c r="A28" s="417" t="s">
        <v>1562</v>
      </c>
      <c r="B28" s="417" t="s">
        <v>1563</v>
      </c>
      <c r="C28" s="421">
        <v>0.04</v>
      </c>
      <c r="D28" s="417" t="s">
        <v>1564</v>
      </c>
      <c r="E28" s="417"/>
      <c r="F28" s="416"/>
      <c r="G28" s="419" t="s">
        <v>1605</v>
      </c>
      <c r="H28" s="419" t="s">
        <v>1606</v>
      </c>
      <c r="I28" s="420">
        <f>(LN(C26/C27)+(C29-C28+C30^2/2)*I26)/(C30*SQRT(I26))</f>
        <v>0.17320508075688773</v>
      </c>
      <c r="J28" s="419" t="s">
        <v>1607</v>
      </c>
    </row>
    <row r="29" spans="1:10">
      <c r="A29" s="417" t="s">
        <v>1569</v>
      </c>
      <c r="B29" s="417" t="s">
        <v>125</v>
      </c>
      <c r="C29" s="421">
        <v>0.06</v>
      </c>
      <c r="D29" s="417" t="s">
        <v>1564</v>
      </c>
      <c r="E29" s="417"/>
      <c r="F29" s="416"/>
      <c r="G29" s="419" t="s">
        <v>1608</v>
      </c>
      <c r="H29" s="419" t="s">
        <v>1609</v>
      </c>
      <c r="I29" s="420">
        <f>I28-C30*SQRT(I26)</f>
        <v>0</v>
      </c>
      <c r="J29" s="419" t="s">
        <v>1607</v>
      </c>
    </row>
    <row r="30" spans="1:10">
      <c r="A30" s="417" t="s">
        <v>1483</v>
      </c>
      <c r="B30" s="417" t="s">
        <v>1484</v>
      </c>
      <c r="C30" s="421">
        <v>0.2</v>
      </c>
      <c r="D30" s="417" t="s">
        <v>1564</v>
      </c>
      <c r="E30" s="417"/>
      <c r="F30" s="416"/>
      <c r="G30" s="419" t="s">
        <v>1610</v>
      </c>
      <c r="H30" s="419" t="s">
        <v>1611</v>
      </c>
      <c r="I30" s="420">
        <f>(LN(C26/C27)+(-C29+C28+C30^2/2)*I26)/(C30*SQRT(I26))</f>
        <v>3.0046291974743189E-17</v>
      </c>
      <c r="J30" s="419" t="s">
        <v>1607</v>
      </c>
    </row>
    <row r="31" spans="1:10">
      <c r="A31" s="417" t="s">
        <v>1574</v>
      </c>
      <c r="B31" s="417" t="s">
        <v>1575</v>
      </c>
      <c r="C31" s="422">
        <v>9</v>
      </c>
      <c r="D31" s="417" t="s">
        <v>1575</v>
      </c>
      <c r="E31" s="417"/>
      <c r="F31" s="416"/>
      <c r="G31" s="419" t="s">
        <v>1612</v>
      </c>
      <c r="H31" s="419" t="s">
        <v>1613</v>
      </c>
      <c r="I31" s="420">
        <f>-2*(C29-C28-C30^2/2)*LN(C26/C27)/(C30^2)</f>
        <v>0</v>
      </c>
      <c r="J31" s="419" t="s">
        <v>1578</v>
      </c>
    </row>
    <row r="32" spans="1:10">
      <c r="A32" s="417" t="s">
        <v>1574</v>
      </c>
      <c r="B32" s="417" t="s">
        <v>135</v>
      </c>
      <c r="C32" s="423">
        <f>C31/12</f>
        <v>0.75</v>
      </c>
      <c r="D32" s="417" t="s">
        <v>1579</v>
      </c>
      <c r="E32" s="417" t="s">
        <v>1580</v>
      </c>
      <c r="F32" s="416"/>
      <c r="G32" s="419" t="s">
        <v>1614</v>
      </c>
      <c r="H32" s="419" t="s">
        <v>1582</v>
      </c>
      <c r="I32" s="420">
        <f>_xlfn.NORM.S.DIST(I28,TRUE)</f>
        <v>0.56875488493203918</v>
      </c>
      <c r="J32" s="419" t="s">
        <v>1583</v>
      </c>
    </row>
    <row r="33" spans="1:10">
      <c r="A33" s="417" t="s">
        <v>1584</v>
      </c>
      <c r="B33" s="417" t="s">
        <v>114</v>
      </c>
      <c r="C33" s="423">
        <f>C26</f>
        <v>400</v>
      </c>
      <c r="D33" s="417" t="s">
        <v>1601</v>
      </c>
      <c r="E33" s="417" t="s">
        <v>1585</v>
      </c>
      <c r="F33" s="416"/>
      <c r="G33" s="419" t="s">
        <v>1615</v>
      </c>
      <c r="H33" s="419" t="s">
        <v>1582</v>
      </c>
      <c r="I33" s="420">
        <f>_xlfn.NORM.S.DIST(-I30,TRUE)</f>
        <v>0.5</v>
      </c>
      <c r="J33" s="419" t="s">
        <v>1583</v>
      </c>
    </row>
    <row r="34" spans="1:10">
      <c r="A34" s="416"/>
      <c r="B34" s="416"/>
      <c r="C34" s="416"/>
      <c r="D34" s="416"/>
      <c r="E34" s="416"/>
      <c r="F34" s="416"/>
      <c r="G34" s="419" t="s">
        <v>1616</v>
      </c>
      <c r="H34" s="419" t="s">
        <v>1617</v>
      </c>
      <c r="I34" s="427">
        <f>C26*EXP(-C28*I26)*_xlfn.NORM.S.DIST(I28,TRUE)-C26*EXP(-C28*I26)*I27*_xlfn.NORM.S.DIST(-I28,TRUE)-C27*EXP(-C29*I26)*(_xlfn.NORM.S.DIST(I29,TRUE)-I27*EXP(I31)*_xlfn.NORM.S.DIST(-I30,TRUE))</f>
        <v>53.378296793551243</v>
      </c>
      <c r="J34" s="419" t="s">
        <v>1533</v>
      </c>
    </row>
    <row r="35" spans="1:10">
      <c r="A35" s="416"/>
      <c r="B35" s="416"/>
      <c r="C35" s="416"/>
      <c r="D35" s="416"/>
      <c r="E35" s="416"/>
      <c r="F35" s="416"/>
      <c r="G35" s="419" t="s">
        <v>1499</v>
      </c>
      <c r="H35" s="419" t="s">
        <v>1589</v>
      </c>
      <c r="I35" s="420">
        <f>(LN(C26/C33)+(C29-C28+C30^2/2)*C32)/(C30*SQRT(C32))</f>
        <v>0.17320508075688773</v>
      </c>
      <c r="J35" s="419" t="s">
        <v>1590</v>
      </c>
    </row>
    <row r="36" spans="1:10">
      <c r="A36" s="416"/>
      <c r="B36" s="416"/>
      <c r="C36" s="416"/>
      <c r="D36" s="416"/>
      <c r="E36" s="416"/>
      <c r="F36" s="416"/>
      <c r="G36" s="419" t="s">
        <v>1505</v>
      </c>
      <c r="H36" s="419" t="s">
        <v>1591</v>
      </c>
      <c r="I36" s="420">
        <f>I35-C30*SQRT(C32)</f>
        <v>0</v>
      </c>
      <c r="J36" s="419" t="s">
        <v>1590</v>
      </c>
    </row>
    <row r="37" spans="1:10">
      <c r="A37" s="416"/>
      <c r="B37" s="416"/>
      <c r="C37" s="416"/>
      <c r="D37" s="416"/>
      <c r="E37" s="416"/>
      <c r="F37" s="416"/>
      <c r="G37" s="419" t="s">
        <v>452</v>
      </c>
      <c r="H37" s="419" t="s">
        <v>1618</v>
      </c>
      <c r="I37" s="427">
        <f>C26*EXP(-C28*C32)*_xlfn.NORM.S.DIST(I35,TRUE)-C33*EXP(-C29*C32)*_xlfn.NORM.S.DIST(I36,TRUE)</f>
        <v>29.57875873985725</v>
      </c>
      <c r="J37" s="419" t="s">
        <v>1593</v>
      </c>
    </row>
    <row r="38" spans="1:10">
      <c r="A38" s="416"/>
      <c r="B38" s="416"/>
      <c r="C38" s="416"/>
      <c r="D38" s="416"/>
      <c r="E38" s="416"/>
      <c r="F38" s="416"/>
      <c r="G38" s="419" t="s">
        <v>1594</v>
      </c>
      <c r="H38" s="419" t="s">
        <v>1595</v>
      </c>
      <c r="I38" s="427">
        <f>I34-I37</f>
        <v>23.799538053693993</v>
      </c>
      <c r="J38" s="419" t="s">
        <v>1596</v>
      </c>
    </row>
    <row r="39" spans="1:10">
      <c r="A39" s="416"/>
      <c r="B39" s="416"/>
      <c r="C39" s="416"/>
      <c r="D39" s="416"/>
      <c r="E39" s="416"/>
      <c r="F39" s="416"/>
      <c r="G39" s="419" t="s">
        <v>1597</v>
      </c>
      <c r="H39" s="419" t="s">
        <v>1598</v>
      </c>
      <c r="I39" s="425" t="str">
        <f>IF(I34&gt;=I37,"Se cumple","No se cumple")</f>
        <v>Se cumple</v>
      </c>
      <c r="J39" s="419" t="s">
        <v>1531</v>
      </c>
    </row>
    <row r="40" spans="1:10">
      <c r="A40" s="416"/>
      <c r="B40" s="416"/>
      <c r="C40" s="416"/>
      <c r="D40" s="416"/>
      <c r="E40" s="416"/>
      <c r="F40" s="416"/>
      <c r="G40" s="416"/>
      <c r="H40" s="416"/>
      <c r="I40" s="416"/>
      <c r="J40" s="416"/>
    </row>
    <row r="41" spans="1:10">
      <c r="A41" s="416"/>
      <c r="B41" s="416"/>
      <c r="C41" s="416"/>
      <c r="D41" s="416"/>
      <c r="E41" s="416"/>
      <c r="F41" s="416"/>
      <c r="G41" s="416"/>
      <c r="H41" s="416"/>
      <c r="I41" s="416"/>
      <c r="J41" s="416"/>
    </row>
    <row r="42" spans="1:10">
      <c r="A42" s="566" t="s">
        <v>1531</v>
      </c>
      <c r="B42" s="566"/>
      <c r="C42" s="566"/>
      <c r="D42" s="566"/>
      <c r="E42" s="566"/>
      <c r="F42" s="566"/>
      <c r="G42" s="566"/>
      <c r="H42" s="566"/>
      <c r="I42" s="566"/>
      <c r="J42" s="566"/>
    </row>
    <row r="43" spans="1:10">
      <c r="A43" s="416"/>
      <c r="B43" s="416"/>
      <c r="C43" s="416"/>
      <c r="D43" s="416"/>
      <c r="E43" s="416"/>
      <c r="F43" s="416"/>
      <c r="G43" s="416"/>
      <c r="H43" s="416"/>
      <c r="I43" s="416"/>
      <c r="J43" s="416"/>
    </row>
    <row r="44" spans="1:10" ht="32">
      <c r="A44" s="414" t="s">
        <v>1619</v>
      </c>
      <c r="B44" s="568" t="s">
        <v>1620</v>
      </c>
      <c r="C44" s="568"/>
      <c r="D44" s="414" t="s">
        <v>1621</v>
      </c>
      <c r="E44" s="414" t="s">
        <v>1590</v>
      </c>
      <c r="F44" s="414" t="s">
        <v>1594</v>
      </c>
      <c r="G44" s="414" t="s">
        <v>1622</v>
      </c>
      <c r="H44" s="568" t="s">
        <v>1539</v>
      </c>
      <c r="I44" s="568"/>
      <c r="J44" s="414" t="s">
        <v>1623</v>
      </c>
    </row>
    <row r="45" spans="1:10" ht="16" customHeight="1">
      <c r="A45" s="419" t="s">
        <v>811</v>
      </c>
      <c r="B45" s="567" t="s">
        <v>1624</v>
      </c>
      <c r="C45" s="567"/>
      <c r="D45" s="428">
        <f>I14</f>
        <v>7.7902192598903461</v>
      </c>
      <c r="E45" s="428">
        <f>I17</f>
        <v>3.3469511519598711</v>
      </c>
      <c r="F45" s="428">
        <f>I18</f>
        <v>4.443268107930475</v>
      </c>
      <c r="G45" s="419" t="s">
        <v>1625</v>
      </c>
      <c r="H45" s="567" t="str">
        <f>IF(D45&gt;=E45,"La put floating lookback vale más que la put vanilla ATM.","Revisar supuestos o fórmula.")</f>
        <v>La put floating lookback vale más que la put vanilla ATM.</v>
      </c>
      <c r="I45" s="567"/>
      <c r="J45" s="419" t="s">
        <v>1626</v>
      </c>
    </row>
    <row r="46" spans="1:10" ht="16" customHeight="1">
      <c r="A46" s="419" t="s">
        <v>810</v>
      </c>
      <c r="B46" s="567" t="s">
        <v>1627</v>
      </c>
      <c r="C46" s="567"/>
      <c r="D46" s="429">
        <f>I34</f>
        <v>53.378296793551243</v>
      </c>
      <c r="E46" s="429">
        <f>I37</f>
        <v>29.57875873985725</v>
      </c>
      <c r="F46" s="429">
        <f>I38</f>
        <v>23.799538053693993</v>
      </c>
      <c r="G46" s="419" t="s">
        <v>1625</v>
      </c>
      <c r="H46" s="567" t="str">
        <f>IF(D46&gt;=E46,"La call floating lookback vale más que la call vanilla ATM.","Revisar supuestos o fórmula.")</f>
        <v>La call floating lookback vale más que la call vanilla ATM.</v>
      </c>
      <c r="I46" s="567"/>
      <c r="J46" s="419" t="s">
        <v>1628</v>
      </c>
    </row>
    <row r="47" spans="1:10">
      <c r="A47" s="416"/>
      <c r="B47" s="416"/>
      <c r="C47" s="416"/>
      <c r="D47" s="416"/>
      <c r="E47" s="416"/>
      <c r="F47" s="416"/>
      <c r="G47" s="416"/>
      <c r="H47" s="416"/>
      <c r="I47" s="416"/>
      <c r="J47" s="416"/>
    </row>
    <row r="48" spans="1:10">
      <c r="A48" s="416"/>
      <c r="B48" s="416"/>
      <c r="C48" s="416"/>
      <c r="D48" s="416"/>
      <c r="E48" s="416"/>
      <c r="F48" s="416"/>
      <c r="G48" s="416"/>
      <c r="H48" s="416"/>
      <c r="I48" s="416"/>
      <c r="J48" s="416"/>
    </row>
    <row r="49" spans="1:10">
      <c r="A49" s="430"/>
      <c r="B49" s="430"/>
      <c r="C49" s="416"/>
      <c r="D49" s="416"/>
      <c r="E49" s="416"/>
      <c r="F49" s="416"/>
      <c r="G49" s="416"/>
      <c r="H49" s="416"/>
      <c r="I49" s="416"/>
      <c r="J49" s="416"/>
    </row>
    <row r="50" spans="1:10">
      <c r="A50" s="430"/>
      <c r="B50" s="430"/>
      <c r="C50" s="416"/>
      <c r="D50" s="416"/>
      <c r="E50" s="416"/>
      <c r="F50" s="416"/>
      <c r="G50" s="416"/>
      <c r="H50" s="416"/>
      <c r="I50" s="416"/>
      <c r="J50" s="416"/>
    </row>
    <row r="51" spans="1:10">
      <c r="A51" s="430"/>
      <c r="B51" s="430"/>
      <c r="C51" s="416"/>
      <c r="D51" s="416"/>
      <c r="E51" s="416"/>
      <c r="F51" s="416"/>
      <c r="G51" s="416"/>
      <c r="H51" s="416"/>
      <c r="I51" s="416"/>
      <c r="J51" s="416"/>
    </row>
    <row r="52" spans="1:10">
      <c r="A52" s="430"/>
      <c r="B52" s="430"/>
      <c r="C52" s="416"/>
      <c r="D52" s="416"/>
      <c r="E52" s="416"/>
      <c r="F52" s="416"/>
      <c r="G52" s="416"/>
      <c r="H52" s="416"/>
      <c r="I52" s="416"/>
      <c r="J52" s="416"/>
    </row>
  </sheetData>
  <mergeCells count="10">
    <mergeCell ref="H46:I46"/>
    <mergeCell ref="H44:I44"/>
    <mergeCell ref="B45:C45"/>
    <mergeCell ref="B46:C46"/>
    <mergeCell ref="B44:C44"/>
    <mergeCell ref="A1:J1"/>
    <mergeCell ref="A3:J3"/>
    <mergeCell ref="A23:J23"/>
    <mergeCell ref="A42:J42"/>
    <mergeCell ref="H45:I4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97F7-B000-4AEA-A401-945A466B223D}">
  <dimension ref="A1:Q406"/>
  <sheetViews>
    <sheetView showGridLines="0" topLeftCell="B2" zoomScale="78" workbookViewId="0">
      <selection activeCell="F33" sqref="F33"/>
    </sheetView>
  </sheetViews>
  <sheetFormatPr defaultColWidth="8.6640625" defaultRowHeight="16"/>
  <cols>
    <col min="1" max="1" width="26.5" style="415" bestFit="1" customWidth="1"/>
    <col min="2" max="2" width="54.75" style="415" bestFit="1" customWidth="1"/>
    <col min="3" max="3" width="18.08203125" style="415" bestFit="1" customWidth="1"/>
    <col min="4" max="4" width="20.33203125" style="415" bestFit="1" customWidth="1"/>
    <col min="5" max="5" width="12.9140625" style="415" bestFit="1" customWidth="1"/>
    <col min="6" max="6" width="22.83203125" style="415" bestFit="1" customWidth="1"/>
    <col min="7" max="7" width="36.58203125" style="415" bestFit="1" customWidth="1"/>
    <col min="8" max="8" width="10.58203125" style="415" bestFit="1" customWidth="1"/>
    <col min="9" max="9" width="16.4140625" style="415" customWidth="1"/>
    <col min="10" max="10" width="3.83203125" style="415" bestFit="1" customWidth="1"/>
    <col min="11" max="11" width="9.08203125" style="415" bestFit="1" customWidth="1"/>
    <col min="12" max="12" width="8.6640625" style="415" bestFit="1" customWidth="1"/>
    <col min="13" max="13" width="12.58203125" style="415" bestFit="1" customWidth="1"/>
    <col min="14" max="14" width="10.25" style="415" bestFit="1" customWidth="1"/>
    <col min="15" max="15" width="9.08203125" style="415" bestFit="1" customWidth="1"/>
    <col min="16" max="16" width="12.58203125" style="415" bestFit="1" customWidth="1"/>
    <col min="17" max="17" width="10.25" style="415" bestFit="1" customWidth="1"/>
    <col min="18" max="16384" width="8.6640625" style="415"/>
  </cols>
  <sheetData>
    <row r="1" spans="1:17">
      <c r="A1" s="573" t="s">
        <v>1629</v>
      </c>
      <c r="B1" s="573"/>
      <c r="C1" s="573"/>
      <c r="D1" s="573"/>
      <c r="E1" s="573"/>
      <c r="F1" s="573"/>
      <c r="G1" s="573"/>
      <c r="H1" s="573"/>
      <c r="J1" s="572" t="s">
        <v>1630</v>
      </c>
      <c r="K1" s="572"/>
      <c r="L1" s="572"/>
      <c r="M1" s="572"/>
      <c r="N1" s="572"/>
      <c r="O1" s="572"/>
      <c r="P1" s="572"/>
      <c r="Q1" s="572"/>
    </row>
    <row r="2" spans="1:17">
      <c r="J2" s="416"/>
      <c r="K2" s="416"/>
      <c r="L2" s="416"/>
      <c r="M2" s="416"/>
      <c r="N2" s="416"/>
      <c r="O2" s="416"/>
      <c r="P2" s="416"/>
      <c r="Q2" s="416"/>
    </row>
    <row r="3" spans="1:17">
      <c r="A3" s="574" t="s">
        <v>1631</v>
      </c>
      <c r="B3" s="574"/>
      <c r="C3" s="574"/>
      <c r="D3" s="574"/>
      <c r="F3" s="574" t="s">
        <v>1632</v>
      </c>
      <c r="G3" s="574"/>
      <c r="H3" s="574"/>
      <c r="J3" s="570" t="s">
        <v>1633</v>
      </c>
      <c r="K3" s="570"/>
      <c r="L3" s="570"/>
      <c r="M3" s="570"/>
      <c r="N3" s="570"/>
      <c r="O3" s="570"/>
      <c r="P3" s="570"/>
      <c r="Q3" s="570"/>
    </row>
    <row r="4" spans="1:17">
      <c r="A4" s="431" t="s">
        <v>1465</v>
      </c>
      <c r="B4" s="431" t="s">
        <v>1466</v>
      </c>
      <c r="C4" s="431" t="s">
        <v>1467</v>
      </c>
      <c r="D4" s="431" t="s">
        <v>1623</v>
      </c>
      <c r="F4" s="431"/>
      <c r="G4" s="431" t="s">
        <v>1634</v>
      </c>
      <c r="H4" s="431" t="s">
        <v>1467</v>
      </c>
      <c r="J4" s="571" t="s">
        <v>1635</v>
      </c>
      <c r="K4" s="571"/>
      <c r="L4" s="571"/>
      <c r="M4" s="571"/>
      <c r="N4" s="571"/>
      <c r="O4" s="571"/>
      <c r="P4" s="571"/>
      <c r="Q4" s="571"/>
    </row>
    <row r="5" spans="1:17">
      <c r="A5" s="415" t="s">
        <v>1636</v>
      </c>
      <c r="B5" s="415" t="s">
        <v>1551</v>
      </c>
      <c r="C5" s="432">
        <v>500</v>
      </c>
      <c r="F5" s="415" t="s">
        <v>1637</v>
      </c>
      <c r="G5" s="415" t="s">
        <v>1638</v>
      </c>
      <c r="H5" s="433">
        <f>D92</f>
        <v>538.31650264435461</v>
      </c>
      <c r="J5" s="434" t="s">
        <v>1639</v>
      </c>
      <c r="K5" s="434" t="s">
        <v>1640</v>
      </c>
      <c r="L5" s="434" t="s">
        <v>1641</v>
      </c>
      <c r="M5" s="434" t="s">
        <v>1642</v>
      </c>
      <c r="N5" s="434" t="s">
        <v>1643</v>
      </c>
      <c r="O5" s="434" t="s">
        <v>1644</v>
      </c>
      <c r="P5" s="434" t="s">
        <v>1645</v>
      </c>
      <c r="Q5" s="434" t="s">
        <v>1646</v>
      </c>
    </row>
    <row r="6" spans="1:17">
      <c r="A6" s="415" t="s">
        <v>1647</v>
      </c>
      <c r="B6" s="415" t="s">
        <v>1648</v>
      </c>
      <c r="C6" s="432">
        <v>50</v>
      </c>
      <c r="F6" s="415" t="s">
        <v>1649</v>
      </c>
      <c r="G6" s="415" t="s">
        <v>1650</v>
      </c>
      <c r="H6" s="433">
        <f>C12-C11</f>
        <v>0.25</v>
      </c>
      <c r="J6" s="435">
        <f>0</f>
        <v>0</v>
      </c>
      <c r="K6" s="436">
        <f t="shared" ref="K6:K69" si="0">$C$14+(($H$8-$C$14)/$C$13)*J6</f>
        <v>-8</v>
      </c>
      <c r="L6" s="436">
        <f t="shared" ref="L6:L69" si="1">IF(OR(J6=0,J6=$C$13),1,IF(MOD(J6,2)=0,2,4))</f>
        <v>1</v>
      </c>
      <c r="M6" s="436">
        <f t="shared" ref="M6:M69" si="2">_xlfn.NORM.S.DIST(K6,FALSE)*_xlfn.NORM.S.DIST(($H$10-$H$7*K6)/SQRT(1-$H$7^2),TRUE)</f>
        <v>5.0522710835368912E-15</v>
      </c>
      <c r="N6" s="436">
        <f t="shared" ref="N6:N69" si="3">L6*M6</f>
        <v>5.0522710835368912E-15</v>
      </c>
      <c r="O6" s="436">
        <f t="shared" ref="O6:O69" si="4">$C$14+(($H$9-$C$14)/$C$13)*J6</f>
        <v>-8</v>
      </c>
      <c r="P6" s="436">
        <f t="shared" ref="P6:P69" si="5">_xlfn.NORM.S.DIST(O6,FALSE)*_xlfn.NORM.S.DIST(($H$11-$H$7*O6)/SQRT(1-$H$7^2),TRUE)</f>
        <v>5.0522710835368683E-15</v>
      </c>
      <c r="Q6" s="436">
        <f t="shared" ref="Q6:Q69" si="6">L6*P6</f>
        <v>5.0522710835368683E-15</v>
      </c>
    </row>
    <row r="7" spans="1:17">
      <c r="A7" s="415" t="s">
        <v>1651</v>
      </c>
      <c r="B7" s="415" t="s">
        <v>1652</v>
      </c>
      <c r="C7" s="432">
        <v>520</v>
      </c>
      <c r="F7" s="415" t="s">
        <v>1653</v>
      </c>
      <c r="G7" s="415" t="s">
        <v>1654</v>
      </c>
      <c r="H7" s="433">
        <f>SQRT(C11/C12)</f>
        <v>0.70710678118654757</v>
      </c>
      <c r="J7" s="435">
        <f>1</f>
        <v>1</v>
      </c>
      <c r="K7" s="436">
        <f t="shared" si="0"/>
        <v>-7.980657515480571</v>
      </c>
      <c r="L7" s="436">
        <f t="shared" si="1"/>
        <v>4</v>
      </c>
      <c r="M7" s="436">
        <f t="shared" si="2"/>
        <v>5.8966870249680611E-15</v>
      </c>
      <c r="N7" s="436">
        <f t="shared" si="3"/>
        <v>2.3586748099872244E-14</v>
      </c>
      <c r="O7" s="436">
        <f t="shared" si="4"/>
        <v>-7.9810950154805713</v>
      </c>
      <c r="P7" s="436">
        <f t="shared" si="5"/>
        <v>5.8761338587435382E-15</v>
      </c>
      <c r="Q7" s="436">
        <f t="shared" si="6"/>
        <v>2.3504535434974153E-14</v>
      </c>
    </row>
    <row r="8" spans="1:17">
      <c r="A8" s="415" t="s">
        <v>1569</v>
      </c>
      <c r="B8" s="415" t="s">
        <v>125</v>
      </c>
      <c r="C8" s="437">
        <v>0.08</v>
      </c>
      <c r="D8" s="415" t="s">
        <v>1655</v>
      </c>
      <c r="F8" s="415" t="s">
        <v>1605</v>
      </c>
      <c r="G8" s="415" t="s">
        <v>1656</v>
      </c>
      <c r="H8" s="433">
        <f>(LN(C5/H5)+(C8-C9+0.5*C10^2)*C11)/(C10*SQRT(C11))</f>
        <v>-0.26300619222846489</v>
      </c>
      <c r="J8" s="435">
        <f>2</f>
        <v>2</v>
      </c>
      <c r="K8" s="436">
        <f t="shared" si="0"/>
        <v>-7.961315030961142</v>
      </c>
      <c r="L8" s="436">
        <f t="shared" si="1"/>
        <v>2</v>
      </c>
      <c r="M8" s="436">
        <f t="shared" si="2"/>
        <v>6.8796608151203771E-15</v>
      </c>
      <c r="N8" s="436">
        <f t="shared" si="3"/>
        <v>1.3759321630240754E-14</v>
      </c>
      <c r="O8" s="436">
        <f t="shared" si="4"/>
        <v>-7.9621900309611426</v>
      </c>
      <c r="P8" s="436">
        <f t="shared" si="5"/>
        <v>6.8318999847013203E-15</v>
      </c>
      <c r="Q8" s="436">
        <f t="shared" si="6"/>
        <v>1.3663799969402641E-14</v>
      </c>
    </row>
    <row r="9" spans="1:17">
      <c r="A9" s="415" t="s">
        <v>1657</v>
      </c>
      <c r="B9" s="415" t="s">
        <v>1563</v>
      </c>
      <c r="C9" s="437">
        <v>0.03</v>
      </c>
      <c r="D9" s="415" t="s">
        <v>1655</v>
      </c>
      <c r="F9" s="415" t="s">
        <v>1608</v>
      </c>
      <c r="G9" s="415" t="s">
        <v>1658</v>
      </c>
      <c r="H9" s="433">
        <f>H8-C10*SQRT(C11)</f>
        <v>-0.43800619222846487</v>
      </c>
      <c r="J9" s="435">
        <f>3</f>
        <v>3</v>
      </c>
      <c r="K9" s="436">
        <f t="shared" si="0"/>
        <v>-7.9419725464417139</v>
      </c>
      <c r="L9" s="436">
        <f t="shared" si="1"/>
        <v>4</v>
      </c>
      <c r="M9" s="436">
        <f t="shared" si="2"/>
        <v>8.0234932749602256E-15</v>
      </c>
      <c r="N9" s="436">
        <f t="shared" si="3"/>
        <v>3.2093973099840902E-14</v>
      </c>
      <c r="O9" s="436">
        <f t="shared" si="4"/>
        <v>-7.9432850464417131</v>
      </c>
      <c r="P9" s="436">
        <f t="shared" si="5"/>
        <v>7.9402852252843816E-15</v>
      </c>
      <c r="Q9" s="436">
        <f t="shared" si="6"/>
        <v>3.1761140901137526E-14</v>
      </c>
    </row>
    <row r="10" spans="1:17">
      <c r="A10" s="415" t="s">
        <v>1483</v>
      </c>
      <c r="B10" s="415" t="s">
        <v>1484</v>
      </c>
      <c r="C10" s="437">
        <v>0.35</v>
      </c>
      <c r="F10" s="415" t="s">
        <v>1566</v>
      </c>
      <c r="G10" s="415" t="s">
        <v>1659</v>
      </c>
      <c r="H10" s="433">
        <f>(LN(C5/C7)+(C8-C9+0.5*C10^2)*C12)/(C10*SQRT(C12))</f>
        <v>6.6283328399109137E-2</v>
      </c>
      <c r="J10" s="435">
        <f>4</f>
        <v>4</v>
      </c>
      <c r="K10" s="436">
        <f t="shared" si="0"/>
        <v>-7.9226300619222849</v>
      </c>
      <c r="L10" s="436">
        <f t="shared" si="1"/>
        <v>2</v>
      </c>
      <c r="M10" s="436">
        <f t="shared" si="2"/>
        <v>9.3540023699761635E-15</v>
      </c>
      <c r="N10" s="436">
        <f t="shared" si="3"/>
        <v>1.8708004739952327E-14</v>
      </c>
      <c r="O10" s="436">
        <f t="shared" si="4"/>
        <v>-7.9243800619222844</v>
      </c>
      <c r="P10" s="436">
        <f t="shared" si="5"/>
        <v>9.2251936244841138E-15</v>
      </c>
      <c r="Q10" s="436">
        <f t="shared" si="6"/>
        <v>1.8450387248968228E-14</v>
      </c>
    </row>
    <row r="11" spans="1:17">
      <c r="A11" s="415" t="s">
        <v>1660</v>
      </c>
      <c r="B11" s="415" t="s">
        <v>1661</v>
      </c>
      <c r="C11" s="438">
        <v>0.25</v>
      </c>
      <c r="D11" s="415" t="s">
        <v>1662</v>
      </c>
      <c r="F11" s="415" t="s">
        <v>1570</v>
      </c>
      <c r="G11" s="415" t="s">
        <v>1663</v>
      </c>
      <c r="H11" s="433">
        <f>H10-C10*SQRT(C12)</f>
        <v>-0.18120404501618251</v>
      </c>
      <c r="J11" s="435">
        <f>5</f>
        <v>5</v>
      </c>
      <c r="K11" s="436">
        <f t="shared" si="0"/>
        <v>-7.9032875774028559</v>
      </c>
      <c r="L11" s="436">
        <f t="shared" si="1"/>
        <v>4</v>
      </c>
      <c r="M11" s="436">
        <f t="shared" si="2"/>
        <v>1.090106614741025E-14</v>
      </c>
      <c r="N11" s="436">
        <f t="shared" si="3"/>
        <v>4.3604264589641001E-14</v>
      </c>
      <c r="O11" s="436">
        <f t="shared" si="4"/>
        <v>-7.9054750774028557</v>
      </c>
      <c r="P11" s="436">
        <f t="shared" si="5"/>
        <v>1.0714197830783605E-14</v>
      </c>
      <c r="Q11" s="436">
        <f t="shared" si="6"/>
        <v>4.2856791323134419E-14</v>
      </c>
    </row>
    <row r="12" spans="1:17">
      <c r="A12" s="415" t="s">
        <v>1664</v>
      </c>
      <c r="B12" s="415" t="s">
        <v>1665</v>
      </c>
      <c r="C12" s="438">
        <v>0.5</v>
      </c>
      <c r="D12" s="415" t="s">
        <v>1666</v>
      </c>
      <c r="F12" s="415" t="s">
        <v>1667</v>
      </c>
      <c r="G12" s="415" t="s">
        <v>1668</v>
      </c>
      <c r="H12" s="433">
        <f>((H8-C14)/C13)/3*SUM(N6:N406)</f>
        <v>0.32681325894048846</v>
      </c>
      <c r="J12" s="435">
        <f>6</f>
        <v>6</v>
      </c>
      <c r="K12" s="436">
        <f t="shared" si="0"/>
        <v>-7.8839450928834269</v>
      </c>
      <c r="L12" s="436">
        <f t="shared" si="1"/>
        <v>2</v>
      </c>
      <c r="M12" s="436">
        <f t="shared" si="2"/>
        <v>1.2699247603690678E-14</v>
      </c>
      <c r="N12" s="436">
        <f t="shared" si="3"/>
        <v>2.5398495207381356E-14</v>
      </c>
      <c r="O12" s="436">
        <f t="shared" si="4"/>
        <v>-7.886570092883427</v>
      </c>
      <c r="P12" s="436">
        <f t="shared" si="5"/>
        <v>1.243909016437497E-14</v>
      </c>
      <c r="Q12" s="436">
        <f t="shared" si="6"/>
        <v>2.4878180328749941E-14</v>
      </c>
    </row>
    <row r="13" spans="1:17">
      <c r="A13" s="415" t="s">
        <v>1669</v>
      </c>
      <c r="B13" s="415" t="s">
        <v>1670</v>
      </c>
      <c r="C13" s="439">
        <v>400</v>
      </c>
      <c r="D13" s="415" t="s">
        <v>1671</v>
      </c>
      <c r="F13" s="415" t="s">
        <v>1672</v>
      </c>
      <c r="G13" s="415" t="s">
        <v>1668</v>
      </c>
      <c r="H13" s="433">
        <f>((H9-C14)/C13)/3*SUM(Q6:Q406)</f>
        <v>0.25454259903765702</v>
      </c>
      <c r="J13" s="435">
        <f>7</f>
        <v>7</v>
      </c>
      <c r="K13" s="436">
        <f t="shared" si="0"/>
        <v>-7.8646026083639979</v>
      </c>
      <c r="L13" s="436">
        <f t="shared" si="1"/>
        <v>4</v>
      </c>
      <c r="M13" s="436">
        <f t="shared" si="2"/>
        <v>1.4788513550147419E-14</v>
      </c>
      <c r="N13" s="436">
        <f t="shared" si="3"/>
        <v>5.9154054200589678E-14</v>
      </c>
      <c r="O13" s="436">
        <f t="shared" si="4"/>
        <v>-7.8676651083639983</v>
      </c>
      <c r="P13" s="436">
        <f t="shared" si="5"/>
        <v>1.4436514598311307E-14</v>
      </c>
      <c r="Q13" s="436">
        <f t="shared" si="6"/>
        <v>5.7746058393245227E-14</v>
      </c>
    </row>
    <row r="14" spans="1:17">
      <c r="A14" s="415" t="s">
        <v>1673</v>
      </c>
      <c r="B14" s="415" t="s">
        <v>1674</v>
      </c>
      <c r="C14" s="439">
        <v>-8</v>
      </c>
      <c r="D14" s="415" t="s">
        <v>1675</v>
      </c>
      <c r="F14" s="415" t="s">
        <v>1676</v>
      </c>
      <c r="G14" s="415" t="s">
        <v>1582</v>
      </c>
      <c r="H14" s="433">
        <f>_xlfn.NORM.S.DIST(H9,TRUE)</f>
        <v>0.33069089732585655</v>
      </c>
      <c r="J14" s="435">
        <f>8</f>
        <v>8</v>
      </c>
      <c r="K14" s="436">
        <f t="shared" si="0"/>
        <v>-7.8452601238445689</v>
      </c>
      <c r="L14" s="436">
        <f t="shared" si="1"/>
        <v>2</v>
      </c>
      <c r="M14" s="436">
        <f t="shared" si="2"/>
        <v>1.7215061277291907E-14</v>
      </c>
      <c r="N14" s="436">
        <f t="shared" si="3"/>
        <v>3.4430122554583815E-14</v>
      </c>
      <c r="O14" s="436">
        <f t="shared" si="4"/>
        <v>-7.8487601238445697</v>
      </c>
      <c r="P14" s="436">
        <f t="shared" si="5"/>
        <v>1.6748691249826023E-14</v>
      </c>
      <c r="Q14" s="436">
        <f t="shared" si="6"/>
        <v>3.3497382499652046E-14</v>
      </c>
    </row>
    <row r="15" spans="1:17">
      <c r="A15" s="415" t="s">
        <v>1677</v>
      </c>
      <c r="B15" s="415" t="s">
        <v>1678</v>
      </c>
      <c r="C15" s="439">
        <v>2000</v>
      </c>
      <c r="D15" s="415" t="s">
        <v>1679</v>
      </c>
      <c r="F15" s="440" t="s">
        <v>1680</v>
      </c>
      <c r="G15" s="440" t="s">
        <v>1681</v>
      </c>
      <c r="H15" s="441">
        <f>C5*EXP(-C9*C12)*H12-C7*EXP(-C8*C12)*H13-C6*EXP(-C8*C11)*H14</f>
        <v>17.594525455482124</v>
      </c>
      <c r="J15" s="435">
        <f>9</f>
        <v>9</v>
      </c>
      <c r="K15" s="436">
        <f t="shared" si="0"/>
        <v>-7.8259176393251408</v>
      </c>
      <c r="L15" s="436">
        <f t="shared" si="1"/>
        <v>4</v>
      </c>
      <c r="M15" s="436">
        <f t="shared" si="2"/>
        <v>2.0032268791943186E-14</v>
      </c>
      <c r="N15" s="436">
        <f t="shared" si="3"/>
        <v>8.0129075167772745E-14</v>
      </c>
      <c r="O15" s="436">
        <f t="shared" si="4"/>
        <v>-7.8298551393251401</v>
      </c>
      <c r="P15" s="436">
        <f t="shared" si="5"/>
        <v>1.942424659741802E-14</v>
      </c>
      <c r="Q15" s="436">
        <f t="shared" si="6"/>
        <v>7.7696986389672081E-14</v>
      </c>
    </row>
    <row r="16" spans="1:17">
      <c r="F16" s="415" t="s">
        <v>1682</v>
      </c>
      <c r="G16" s="415" t="s">
        <v>1683</v>
      </c>
      <c r="H16" s="442">
        <f>C5*EXP(-C9*C12)*_xlfn.NORM.S.DIST(H10,TRUE)-C7*EXP(-C8*C12)*_xlfn.NORM.S.DIST(H11,TRUE)</f>
        <v>45.408108680769203</v>
      </c>
      <c r="J16" s="435">
        <f>10</f>
        <v>10</v>
      </c>
      <c r="K16" s="436">
        <f t="shared" si="0"/>
        <v>-7.8065751548057118</v>
      </c>
      <c r="L16" s="436">
        <f t="shared" si="1"/>
        <v>2</v>
      </c>
      <c r="M16" s="436">
        <f t="shared" si="2"/>
        <v>2.3301786650039968E-14</v>
      </c>
      <c r="N16" s="436">
        <f t="shared" si="3"/>
        <v>4.6603573300079936E-14</v>
      </c>
      <c r="O16" s="436">
        <f t="shared" si="4"/>
        <v>-7.8109501548057114</v>
      </c>
      <c r="P16" s="436">
        <f t="shared" si="5"/>
        <v>2.2519164478568398E-14</v>
      </c>
      <c r="Q16" s="436">
        <f t="shared" si="6"/>
        <v>4.5038328957136796E-14</v>
      </c>
    </row>
    <row r="17" spans="1:17">
      <c r="H17" s="448"/>
      <c r="J17" s="435">
        <f>11</f>
        <v>11</v>
      </c>
      <c r="K17" s="436">
        <f t="shared" si="0"/>
        <v>-7.7872326702862829</v>
      </c>
      <c r="L17" s="436">
        <f t="shared" si="1"/>
        <v>4</v>
      </c>
      <c r="M17" s="436">
        <f t="shared" si="2"/>
        <v>2.7094791968122989E-14</v>
      </c>
      <c r="N17" s="436">
        <f t="shared" si="3"/>
        <v>1.0837916787249196E-13</v>
      </c>
      <c r="O17" s="436">
        <f t="shared" si="4"/>
        <v>-7.7920451702862827</v>
      </c>
      <c r="P17" s="436">
        <f t="shared" si="5"/>
        <v>2.609787501110633E-14</v>
      </c>
      <c r="Q17" s="436">
        <f t="shared" si="6"/>
        <v>1.0439150004442532E-13</v>
      </c>
    </row>
    <row r="18" spans="1:17">
      <c r="A18" s="443"/>
      <c r="B18" s="443"/>
      <c r="C18" s="443"/>
      <c r="D18" s="443"/>
      <c r="E18" s="443"/>
      <c r="F18" s="443"/>
      <c r="G18" s="443"/>
      <c r="H18" s="443"/>
      <c r="J18" s="435">
        <f>12</f>
        <v>12</v>
      </c>
      <c r="K18" s="436">
        <f t="shared" si="0"/>
        <v>-7.7678901857668539</v>
      </c>
      <c r="L18" s="436">
        <f t="shared" si="1"/>
        <v>2</v>
      </c>
      <c r="M18" s="436">
        <f t="shared" si="2"/>
        <v>3.149342811009625E-14</v>
      </c>
      <c r="N18" s="436">
        <f t="shared" si="3"/>
        <v>6.2986856220192501E-14</v>
      </c>
      <c r="O18" s="436">
        <f t="shared" si="4"/>
        <v>-7.7731401857668541</v>
      </c>
      <c r="P18" s="436">
        <f t="shared" si="5"/>
        <v>3.023450095092387E-14</v>
      </c>
      <c r="Q18" s="436">
        <f t="shared" si="6"/>
        <v>6.0469001901847739E-14</v>
      </c>
    </row>
    <row r="19" spans="1:17">
      <c r="A19" s="444" t="s">
        <v>1684</v>
      </c>
      <c r="B19" s="444" t="s">
        <v>1685</v>
      </c>
      <c r="C19" s="444" t="s">
        <v>1686</v>
      </c>
      <c r="J19" s="435">
        <f>13</f>
        <v>13</v>
      </c>
      <c r="K19" s="436">
        <f t="shared" si="0"/>
        <v>-7.7485477012474249</v>
      </c>
      <c r="L19" s="436">
        <f t="shared" si="1"/>
        <v>4</v>
      </c>
      <c r="M19" s="436">
        <f t="shared" si="2"/>
        <v>3.6592456860273502E-14</v>
      </c>
      <c r="N19" s="436">
        <f t="shared" si="3"/>
        <v>1.4636982744109401E-13</v>
      </c>
      <c r="O19" s="436">
        <f t="shared" si="4"/>
        <v>-7.7542352012474254</v>
      </c>
      <c r="P19" s="436">
        <f t="shared" si="5"/>
        <v>3.5014283686779192E-14</v>
      </c>
      <c r="Q19" s="436">
        <f t="shared" si="6"/>
        <v>1.4005713474711677E-13</v>
      </c>
    </row>
    <row r="20" spans="1:17">
      <c r="A20" s="416" t="s">
        <v>1687</v>
      </c>
      <c r="B20" s="416" t="s">
        <v>1688</v>
      </c>
      <c r="C20" s="416" t="s">
        <v>1689</v>
      </c>
      <c r="J20" s="435">
        <f>14</f>
        <v>14</v>
      </c>
      <c r="K20" s="436">
        <f t="shared" si="0"/>
        <v>-7.7292052167279959</v>
      </c>
      <c r="L20" s="436">
        <f t="shared" si="1"/>
        <v>2</v>
      </c>
      <c r="M20" s="436">
        <f t="shared" si="2"/>
        <v>4.2501153662348085E-14</v>
      </c>
      <c r="N20" s="436">
        <f t="shared" si="3"/>
        <v>8.500230732469617E-14</v>
      </c>
      <c r="O20" s="436">
        <f t="shared" si="4"/>
        <v>-7.7353302167279967</v>
      </c>
      <c r="P20" s="436">
        <f t="shared" si="5"/>
        <v>4.0535214120773059E-14</v>
      </c>
      <c r="Q20" s="436">
        <f t="shared" si="6"/>
        <v>8.1070428241546117E-14</v>
      </c>
    </row>
    <row r="21" spans="1:17">
      <c r="A21" s="416" t="s">
        <v>1690</v>
      </c>
      <c r="B21" s="416" t="s">
        <v>1691</v>
      </c>
      <c r="C21" s="416" t="s">
        <v>1692</v>
      </c>
      <c r="J21" s="435">
        <f>15</f>
        <v>15</v>
      </c>
      <c r="K21" s="436">
        <f t="shared" si="0"/>
        <v>-7.7098627322085678</v>
      </c>
      <c r="L21" s="436">
        <f t="shared" si="1"/>
        <v>4</v>
      </c>
      <c r="M21" s="436">
        <f t="shared" si="2"/>
        <v>4.9345480787097137E-14</v>
      </c>
      <c r="N21" s="436">
        <f t="shared" si="3"/>
        <v>1.9738192314838855E-13</v>
      </c>
      <c r="O21" s="436">
        <f t="shared" si="4"/>
        <v>-7.7164252322085671</v>
      </c>
      <c r="P21" s="436">
        <f t="shared" si="5"/>
        <v>4.6909897137416754E-14</v>
      </c>
      <c r="Q21" s="436">
        <f t="shared" si="6"/>
        <v>1.8763958854966701E-13</v>
      </c>
    </row>
    <row r="22" spans="1:17">
      <c r="A22" s="416" t="s">
        <v>1693</v>
      </c>
      <c r="B22" s="416" t="s">
        <v>1694</v>
      </c>
      <c r="C22" s="416" t="s">
        <v>1695</v>
      </c>
      <c r="J22" s="435">
        <f>16</f>
        <v>16</v>
      </c>
      <c r="K22" s="436">
        <f t="shared" si="0"/>
        <v>-7.6905202476891388</v>
      </c>
      <c r="L22" s="436">
        <f t="shared" si="1"/>
        <v>2</v>
      </c>
      <c r="M22" s="436">
        <f t="shared" si="2"/>
        <v>5.7270578157424036E-14</v>
      </c>
      <c r="N22" s="436">
        <f t="shared" si="3"/>
        <v>1.1454115631484807E-13</v>
      </c>
      <c r="O22" s="436">
        <f t="shared" si="4"/>
        <v>-7.6975202476891385</v>
      </c>
      <c r="P22" s="436">
        <f t="shared" si="5"/>
        <v>5.4267682277569658E-14</v>
      </c>
      <c r="Q22" s="436">
        <f t="shared" si="6"/>
        <v>1.0853536455513932E-13</v>
      </c>
    </row>
    <row r="23" spans="1:17">
      <c r="A23" s="416" t="s">
        <v>1696</v>
      </c>
      <c r="B23" s="416" t="s">
        <v>1697</v>
      </c>
      <c r="C23" s="416" t="s">
        <v>1698</v>
      </c>
      <c r="J23" s="435">
        <f>17</f>
        <v>17</v>
      </c>
      <c r="K23" s="436">
        <f t="shared" si="0"/>
        <v>-7.6711777631697098</v>
      </c>
      <c r="L23" s="436">
        <f t="shared" si="1"/>
        <v>4</v>
      </c>
      <c r="M23" s="436">
        <f t="shared" si="2"/>
        <v>6.6443617084494946E-14</v>
      </c>
      <c r="N23" s="436">
        <f t="shared" si="3"/>
        <v>2.6577446833797978E-13</v>
      </c>
      <c r="O23" s="436">
        <f t="shared" si="4"/>
        <v>-7.6786152631697098</v>
      </c>
      <c r="P23" s="436">
        <f t="shared" si="5"/>
        <v>6.2757097664994964E-14</v>
      </c>
      <c r="Q23" s="436">
        <f t="shared" si="6"/>
        <v>2.5102839065997986E-13</v>
      </c>
    </row>
    <row r="24" spans="1:17">
      <c r="A24" s="416" t="s">
        <v>1699</v>
      </c>
      <c r="B24" s="416" t="s">
        <v>1700</v>
      </c>
      <c r="C24" s="416" t="s">
        <v>1701</v>
      </c>
      <c r="J24" s="435">
        <f>18</f>
        <v>18</v>
      </c>
      <c r="K24" s="436">
        <f t="shared" si="0"/>
        <v>-7.6518352786502808</v>
      </c>
      <c r="L24" s="436">
        <f t="shared" si="1"/>
        <v>2</v>
      </c>
      <c r="M24" s="436">
        <f t="shared" si="2"/>
        <v>7.7057068439796366E-14</v>
      </c>
      <c r="N24" s="436">
        <f t="shared" si="3"/>
        <v>1.5411413687959273E-13</v>
      </c>
      <c r="O24" s="436">
        <f t="shared" si="4"/>
        <v>-7.6597102786502811</v>
      </c>
      <c r="P24" s="436">
        <f t="shared" si="5"/>
        <v>7.2548629249285869E-14</v>
      </c>
      <c r="Q24" s="436">
        <f t="shared" si="6"/>
        <v>1.4509725849857174E-13</v>
      </c>
    </row>
    <row r="25" spans="1:17">
      <c r="A25" s="416" t="s">
        <v>1702</v>
      </c>
      <c r="B25" s="416" t="s">
        <v>1703</v>
      </c>
      <c r="C25" s="416" t="s">
        <v>1704</v>
      </c>
      <c r="J25" s="435">
        <f>19</f>
        <v>19</v>
      </c>
      <c r="K25" s="436">
        <f t="shared" si="0"/>
        <v>-7.6324927941308518</v>
      </c>
      <c r="L25" s="436">
        <f t="shared" si="1"/>
        <v>4</v>
      </c>
      <c r="M25" s="436">
        <f t="shared" si="2"/>
        <v>8.9332443902360185E-14</v>
      </c>
      <c r="N25" s="436">
        <f t="shared" si="3"/>
        <v>3.5732977560944074E-13</v>
      </c>
      <c r="O25" s="436">
        <f t="shared" si="4"/>
        <v>-7.6408052941308524</v>
      </c>
      <c r="P25" s="436">
        <f t="shared" si="5"/>
        <v>8.3837893104148275E-14</v>
      </c>
      <c r="Q25" s="436">
        <f t="shared" si="6"/>
        <v>3.353515724165931E-13</v>
      </c>
    </row>
    <row r="26" spans="1:17">
      <c r="A26" s="416" t="s">
        <v>1705</v>
      </c>
      <c r="B26" s="416" t="s">
        <v>1706</v>
      </c>
      <c r="C26" s="416" t="s">
        <v>1707</v>
      </c>
      <c r="J26" s="435">
        <f>20</f>
        <v>20</v>
      </c>
      <c r="K26" s="436">
        <f t="shared" si="0"/>
        <v>-7.6131503096114237</v>
      </c>
      <c r="L26" s="436">
        <f t="shared" si="1"/>
        <v>2</v>
      </c>
      <c r="M26" s="436">
        <f t="shared" si="2"/>
        <v>1.0352457698799506E-13</v>
      </c>
      <c r="N26" s="436">
        <f t="shared" si="3"/>
        <v>2.0704915397599013E-13</v>
      </c>
      <c r="O26" s="436">
        <f t="shared" si="4"/>
        <v>-7.6219003096114228</v>
      </c>
      <c r="P26" s="436">
        <f t="shared" si="5"/>
        <v>9.6849254938292069E-14</v>
      </c>
      <c r="Q26" s="436">
        <f t="shared" si="6"/>
        <v>1.9369850987658414E-13</v>
      </c>
    </row>
    <row r="27" spans="1:17">
      <c r="A27" s="416" t="s">
        <v>1708</v>
      </c>
      <c r="B27" s="416" t="s">
        <v>1709</v>
      </c>
      <c r="C27" s="416" t="s">
        <v>1710</v>
      </c>
      <c r="J27" s="435">
        <f>21</f>
        <v>21</v>
      </c>
      <c r="K27" s="436">
        <f t="shared" si="0"/>
        <v>-7.5938078250919947</v>
      </c>
      <c r="L27" s="436">
        <f t="shared" si="1"/>
        <v>4</v>
      </c>
      <c r="M27" s="436">
        <f t="shared" si="2"/>
        <v>1.1992651971166187E-13</v>
      </c>
      <c r="N27" s="436">
        <f t="shared" si="3"/>
        <v>4.7970607884664747E-13</v>
      </c>
      <c r="O27" s="436">
        <f t="shared" si="4"/>
        <v>-7.6029953250919942</v>
      </c>
      <c r="P27" s="436">
        <f t="shared" si="5"/>
        <v>1.1183995823168786E-13</v>
      </c>
      <c r="Q27" s="436">
        <f t="shared" si="6"/>
        <v>4.4735983292675142E-13</v>
      </c>
    </row>
    <row r="28" spans="1:17">
      <c r="J28" s="435">
        <f>22</f>
        <v>22</v>
      </c>
      <c r="K28" s="436">
        <f t="shared" si="0"/>
        <v>-7.5744653405725657</v>
      </c>
      <c r="L28" s="436">
        <f t="shared" si="1"/>
        <v>2</v>
      </c>
      <c r="M28" s="436">
        <f t="shared" si="2"/>
        <v>1.3887514109410974E-13</v>
      </c>
      <c r="N28" s="436">
        <f t="shared" si="3"/>
        <v>2.7775028218821948E-13</v>
      </c>
      <c r="O28" s="436">
        <f t="shared" si="4"/>
        <v>-7.5840903405725655</v>
      </c>
      <c r="P28" s="436">
        <f t="shared" si="5"/>
        <v>1.2910483060832207E-13</v>
      </c>
      <c r="Q28" s="436">
        <f t="shared" si="6"/>
        <v>2.5820966121664415E-13</v>
      </c>
    </row>
    <row r="29" spans="1:17">
      <c r="J29" s="435">
        <f>23</f>
        <v>23</v>
      </c>
      <c r="K29" s="436">
        <f t="shared" si="0"/>
        <v>-7.5551228560531367</v>
      </c>
      <c r="L29" s="436">
        <f t="shared" si="1"/>
        <v>4</v>
      </c>
      <c r="M29" s="436">
        <f t="shared" si="2"/>
        <v>1.6075752545591876E-13</v>
      </c>
      <c r="N29" s="436">
        <f t="shared" si="3"/>
        <v>6.4303010182367505E-13</v>
      </c>
      <c r="O29" s="436">
        <f t="shared" si="4"/>
        <v>-7.5651853560531368</v>
      </c>
      <c r="P29" s="436">
        <f t="shared" si="5"/>
        <v>1.4898164731632557E-13</v>
      </c>
      <c r="Q29" s="436">
        <f t="shared" si="6"/>
        <v>5.959265892653023E-13</v>
      </c>
    </row>
    <row r="30" spans="1:17">
      <c r="A30" s="569" t="s">
        <v>1711</v>
      </c>
      <c r="B30" s="569"/>
      <c r="C30" s="569"/>
      <c r="D30" s="569"/>
      <c r="E30" s="569"/>
      <c r="F30" s="569"/>
      <c r="J30" s="435">
        <f>24</f>
        <v>24</v>
      </c>
      <c r="K30" s="436">
        <f t="shared" si="0"/>
        <v>-7.5357803715337077</v>
      </c>
      <c r="L30" s="436">
        <f t="shared" si="1"/>
        <v>2</v>
      </c>
      <c r="M30" s="436">
        <f t="shared" si="2"/>
        <v>1.860182817217248E-13</v>
      </c>
      <c r="N30" s="436">
        <f t="shared" si="3"/>
        <v>3.720365634434496E-13</v>
      </c>
      <c r="O30" s="436">
        <f t="shared" si="4"/>
        <v>-7.5462803715337081</v>
      </c>
      <c r="P30" s="436">
        <f t="shared" si="5"/>
        <v>1.7185724114038601E-13</v>
      </c>
      <c r="Q30" s="436">
        <f t="shared" si="6"/>
        <v>3.4371448228077202E-13</v>
      </c>
    </row>
    <row r="31" spans="1:17">
      <c r="A31" s="445" t="s">
        <v>1712</v>
      </c>
      <c r="B31" s="445" t="s">
        <v>1713</v>
      </c>
      <c r="C31" s="445" t="s">
        <v>1714</v>
      </c>
      <c r="D31" s="445" t="s">
        <v>1715</v>
      </c>
      <c r="E31" s="445" t="s">
        <v>1716</v>
      </c>
      <c r="F31" s="445" t="s">
        <v>1717</v>
      </c>
      <c r="J31" s="435">
        <f>25</f>
        <v>25</v>
      </c>
      <c r="K31" s="436">
        <f t="shared" si="0"/>
        <v>-7.5164378870142787</v>
      </c>
      <c r="L31" s="436">
        <f t="shared" si="1"/>
        <v>4</v>
      </c>
      <c r="M31" s="436">
        <f t="shared" si="2"/>
        <v>2.1516788998206185E-13</v>
      </c>
      <c r="N31" s="436">
        <f t="shared" si="3"/>
        <v>8.6067155992824741E-13</v>
      </c>
      <c r="O31" s="436">
        <f t="shared" si="4"/>
        <v>-7.5273753870142794</v>
      </c>
      <c r="P31" s="436">
        <f t="shared" si="5"/>
        <v>1.9817445986851679E-13</v>
      </c>
      <c r="Q31" s="436">
        <f t="shared" si="6"/>
        <v>7.9269783947406715E-13</v>
      </c>
    </row>
    <row r="32" spans="1:17">
      <c r="A32" s="435">
        <f>0</f>
        <v>0</v>
      </c>
      <c r="B32" s="433">
        <f>0.000001</f>
        <v>9.9999999999999995E-7</v>
      </c>
      <c r="C32" s="433">
        <f>C15</f>
        <v>2000</v>
      </c>
      <c r="D32" s="433">
        <f t="shared" ref="D32:D63" si="7">(B32+C32)/2</f>
        <v>1000.0000005000001</v>
      </c>
      <c r="E32" s="433">
        <f t="shared" ref="E32:E63" si="8">IF(D32&lt;=0,0,D32*EXP(-$C$9*($C$12-$C$11))*_xlfn.NORM.S.DIST((LN(D32/$C$7)+($C$8-$C$9+0.5*$C$10^2)*($C$12-$C$11))/($C$10*SQRT($C$12-$C$11)),TRUE)-$C$7*EXP(-$C$8*($C$12-$C$11))*_xlfn.NORM.S.DIST((LN(D32/$C$7)+($C$8-$C$9+0.5*$C$10^2)*($C$12-$C$11))/($C$10*SQRT($C$12-$C$11))-$C$10*SQRT($C$12-$C$11),TRUE))</f>
        <v>482.82678496088329</v>
      </c>
      <c r="F32" s="433">
        <f t="shared" ref="F32:F63" si="9">E32-$C$6</f>
        <v>432.82678496088329</v>
      </c>
      <c r="J32" s="435">
        <f>26</f>
        <v>26</v>
      </c>
      <c r="K32" s="436">
        <f t="shared" si="0"/>
        <v>-7.4970954024948506</v>
      </c>
      <c r="L32" s="436">
        <f t="shared" si="1"/>
        <v>2</v>
      </c>
      <c r="M32" s="436">
        <f t="shared" si="2"/>
        <v>2.4879222855139759E-13</v>
      </c>
      <c r="N32" s="436">
        <f t="shared" si="3"/>
        <v>4.9758445710279517E-13</v>
      </c>
      <c r="O32" s="436">
        <f t="shared" si="4"/>
        <v>-7.5084704024948499</v>
      </c>
      <c r="P32" s="436">
        <f t="shared" si="5"/>
        <v>2.2844008574235685E-13</v>
      </c>
      <c r="Q32" s="436">
        <f t="shared" si="6"/>
        <v>4.568801714847137E-13</v>
      </c>
    </row>
    <row r="33" spans="1:17">
      <c r="A33" s="435">
        <f t="shared" ref="A33:A64" si="10">A32+1</f>
        <v>1</v>
      </c>
      <c r="B33" s="433">
        <f t="shared" ref="B33:B64" si="11">IF(F32&lt;0,D32,B32)</f>
        <v>9.9999999999999995E-7</v>
      </c>
      <c r="C33" s="433">
        <f t="shared" ref="C33:C64" si="12">IF(F32&lt;0,C32,D32)</f>
        <v>1000.0000005000001</v>
      </c>
      <c r="D33" s="433">
        <f t="shared" si="7"/>
        <v>500.00000075000003</v>
      </c>
      <c r="E33" s="433">
        <f t="shared" si="8"/>
        <v>28.758317961000444</v>
      </c>
      <c r="F33" s="433">
        <f t="shared" si="9"/>
        <v>-21.241682038999556</v>
      </c>
      <c r="J33" s="435">
        <f>27</f>
        <v>27</v>
      </c>
      <c r="K33" s="436">
        <f t="shared" si="0"/>
        <v>-7.4777529179754216</v>
      </c>
      <c r="L33" s="436">
        <f t="shared" si="1"/>
        <v>4</v>
      </c>
      <c r="M33" s="436">
        <f t="shared" si="2"/>
        <v>2.8756344396724973E-13</v>
      </c>
      <c r="N33" s="436">
        <f t="shared" si="3"/>
        <v>1.1502537758689989E-12</v>
      </c>
      <c r="O33" s="436">
        <f t="shared" si="4"/>
        <v>-7.4895654179754212</v>
      </c>
      <c r="P33" s="436">
        <f t="shared" si="5"/>
        <v>2.6323384632392159E-13</v>
      </c>
      <c r="Q33" s="436">
        <f t="shared" si="6"/>
        <v>1.0529353852956864E-12</v>
      </c>
    </row>
    <row r="34" spans="1:17">
      <c r="A34" s="435">
        <f t="shared" si="10"/>
        <v>2</v>
      </c>
      <c r="B34" s="433">
        <f t="shared" si="11"/>
        <v>500.00000075000003</v>
      </c>
      <c r="C34" s="433">
        <f t="shared" si="12"/>
        <v>1000.0000005000001</v>
      </c>
      <c r="D34" s="433">
        <f t="shared" si="7"/>
        <v>750.00000062499998</v>
      </c>
      <c r="E34" s="433">
        <f t="shared" si="8"/>
        <v>235.27382016394506</v>
      </c>
      <c r="F34" s="433">
        <f t="shared" si="9"/>
        <v>185.27382016394506</v>
      </c>
      <c r="J34" s="435">
        <f>28</f>
        <v>28</v>
      </c>
      <c r="K34" s="436">
        <f t="shared" si="0"/>
        <v>-7.4584104334559926</v>
      </c>
      <c r="L34" s="436">
        <f t="shared" si="1"/>
        <v>2</v>
      </c>
      <c r="M34" s="436">
        <f t="shared" si="2"/>
        <v>3.3225234807553999E-13</v>
      </c>
      <c r="N34" s="436">
        <f t="shared" si="3"/>
        <v>6.6450469615107997E-13</v>
      </c>
      <c r="O34" s="436">
        <f t="shared" si="4"/>
        <v>-7.4706604334559925</v>
      </c>
      <c r="P34" s="436">
        <f t="shared" si="5"/>
        <v>3.0321866312108792E-13</v>
      </c>
      <c r="Q34" s="436">
        <f t="shared" si="6"/>
        <v>6.0643732624217583E-13</v>
      </c>
    </row>
    <row r="35" spans="1:17">
      <c r="A35" s="435">
        <f t="shared" si="10"/>
        <v>3</v>
      </c>
      <c r="B35" s="433">
        <f t="shared" si="11"/>
        <v>500.00000075000003</v>
      </c>
      <c r="C35" s="433">
        <f t="shared" si="12"/>
        <v>750.00000062499998</v>
      </c>
      <c r="D35" s="433">
        <f t="shared" si="7"/>
        <v>625.00000068750001</v>
      </c>
      <c r="E35" s="433">
        <f t="shared" si="8"/>
        <v>117.06889777534138</v>
      </c>
      <c r="F35" s="433">
        <f t="shared" si="9"/>
        <v>67.068897775341384</v>
      </c>
      <c r="J35" s="435">
        <f>29</f>
        <v>29</v>
      </c>
      <c r="K35" s="436">
        <f t="shared" si="0"/>
        <v>-7.4390679489365636</v>
      </c>
      <c r="L35" s="436">
        <f t="shared" si="1"/>
        <v>4</v>
      </c>
      <c r="M35" s="436">
        <f t="shared" si="2"/>
        <v>3.8374255085428229E-13</v>
      </c>
      <c r="N35" s="436">
        <f t="shared" si="3"/>
        <v>1.5349702034171291E-12</v>
      </c>
      <c r="O35" s="436">
        <f t="shared" si="4"/>
        <v>-7.4517554489365638</v>
      </c>
      <c r="P35" s="436">
        <f t="shared" si="5"/>
        <v>3.4915230336263797E-13</v>
      </c>
      <c r="Q35" s="436">
        <f t="shared" si="6"/>
        <v>1.3966092134505519E-12</v>
      </c>
    </row>
    <row r="36" spans="1:17">
      <c r="A36" s="435">
        <f t="shared" si="10"/>
        <v>4</v>
      </c>
      <c r="B36" s="433">
        <f t="shared" si="11"/>
        <v>500.00000075000003</v>
      </c>
      <c r="C36" s="433">
        <f t="shared" si="12"/>
        <v>625.00000068750001</v>
      </c>
      <c r="D36" s="433">
        <f t="shared" si="7"/>
        <v>562.50000071875002</v>
      </c>
      <c r="E36" s="433">
        <f t="shared" si="8"/>
        <v>66.443859368930191</v>
      </c>
      <c r="F36" s="433">
        <f t="shared" si="9"/>
        <v>16.443859368930191</v>
      </c>
      <c r="J36" s="435">
        <f>30</f>
        <v>30</v>
      </c>
      <c r="K36" s="436">
        <f t="shared" si="0"/>
        <v>-7.4197254644171347</v>
      </c>
      <c r="L36" s="436">
        <f t="shared" si="1"/>
        <v>2</v>
      </c>
      <c r="M36" s="436">
        <f t="shared" si="2"/>
        <v>4.4304656529151071E-13</v>
      </c>
      <c r="N36" s="436">
        <f t="shared" si="3"/>
        <v>8.8609313058302142E-13</v>
      </c>
      <c r="O36" s="436">
        <f t="shared" si="4"/>
        <v>-7.4328504644171352</v>
      </c>
      <c r="P36" s="436">
        <f t="shared" si="5"/>
        <v>4.0190062176288566E-13</v>
      </c>
      <c r="Q36" s="436">
        <f t="shared" si="6"/>
        <v>8.0380124352577133E-13</v>
      </c>
    </row>
    <row r="37" spans="1:17">
      <c r="A37" s="435">
        <f t="shared" si="10"/>
        <v>5</v>
      </c>
      <c r="B37" s="433">
        <f t="shared" si="11"/>
        <v>500.00000075000003</v>
      </c>
      <c r="C37" s="433">
        <f t="shared" si="12"/>
        <v>562.50000071875002</v>
      </c>
      <c r="D37" s="433">
        <f t="shared" si="7"/>
        <v>531.25000073437502</v>
      </c>
      <c r="E37" s="433">
        <f t="shared" si="8"/>
        <v>45.615482409052447</v>
      </c>
      <c r="F37" s="433">
        <f t="shared" si="9"/>
        <v>-4.3845175909475529</v>
      </c>
      <c r="J37" s="435">
        <f>31</f>
        <v>31</v>
      </c>
      <c r="K37" s="436">
        <f t="shared" si="0"/>
        <v>-7.4003829798977065</v>
      </c>
      <c r="L37" s="436">
        <f t="shared" si="1"/>
        <v>4</v>
      </c>
      <c r="M37" s="436">
        <f t="shared" si="2"/>
        <v>5.1132415184645429E-13</v>
      </c>
      <c r="N37" s="436">
        <f t="shared" si="3"/>
        <v>2.0452966073858172E-12</v>
      </c>
      <c r="O37" s="436">
        <f t="shared" si="4"/>
        <v>-7.4139454798977056</v>
      </c>
      <c r="P37" s="436">
        <f t="shared" si="5"/>
        <v>4.6245260325746886E-13</v>
      </c>
      <c r="Q37" s="436">
        <f t="shared" si="6"/>
        <v>1.8498104130298754E-12</v>
      </c>
    </row>
    <row r="38" spans="1:17">
      <c r="A38" s="435">
        <f t="shared" si="10"/>
        <v>6</v>
      </c>
      <c r="B38" s="433">
        <f t="shared" si="11"/>
        <v>531.25000073437502</v>
      </c>
      <c r="C38" s="433">
        <f t="shared" si="12"/>
        <v>562.50000071875002</v>
      </c>
      <c r="D38" s="433">
        <f t="shared" si="7"/>
        <v>546.87500072656258</v>
      </c>
      <c r="E38" s="433">
        <f t="shared" si="8"/>
        <v>55.573125074968743</v>
      </c>
      <c r="F38" s="433">
        <f t="shared" si="9"/>
        <v>5.5731250749687433</v>
      </c>
      <c r="J38" s="435">
        <f>32</f>
        <v>32</v>
      </c>
      <c r="K38" s="436">
        <f t="shared" si="0"/>
        <v>-7.3810404953782776</v>
      </c>
      <c r="L38" s="436">
        <f t="shared" si="1"/>
        <v>2</v>
      </c>
      <c r="M38" s="436">
        <f t="shared" si="2"/>
        <v>5.8990320522442284E-13</v>
      </c>
      <c r="N38" s="436">
        <f t="shared" si="3"/>
        <v>1.1798064104488457E-12</v>
      </c>
      <c r="O38" s="436">
        <f t="shared" si="4"/>
        <v>-7.3950404953782769</v>
      </c>
      <c r="P38" s="436">
        <f t="shared" si="5"/>
        <v>5.3193744485195027E-13</v>
      </c>
      <c r="Q38" s="436">
        <f t="shared" si="6"/>
        <v>1.0638748897039005E-12</v>
      </c>
    </row>
    <row r="39" spans="1:17">
      <c r="A39" s="435">
        <f t="shared" si="10"/>
        <v>7</v>
      </c>
      <c r="B39" s="433">
        <f t="shared" si="11"/>
        <v>531.25000073437502</v>
      </c>
      <c r="C39" s="433">
        <f t="shared" si="12"/>
        <v>546.87500072656258</v>
      </c>
      <c r="D39" s="433">
        <f t="shared" si="7"/>
        <v>539.06250073046886</v>
      </c>
      <c r="E39" s="433">
        <f t="shared" si="8"/>
        <v>50.474492406891216</v>
      </c>
      <c r="F39" s="433">
        <f t="shared" si="9"/>
        <v>0.47449240689121552</v>
      </c>
      <c r="J39" s="435">
        <f>33</f>
        <v>33</v>
      </c>
      <c r="K39" s="436">
        <f t="shared" si="0"/>
        <v>-7.3616980108588486</v>
      </c>
      <c r="L39" s="436">
        <f t="shared" si="1"/>
        <v>4</v>
      </c>
      <c r="M39" s="436">
        <f t="shared" si="2"/>
        <v>6.8030352587708656E-13</v>
      </c>
      <c r="N39" s="436">
        <f t="shared" si="3"/>
        <v>2.7212141035083462E-12</v>
      </c>
      <c r="O39" s="436">
        <f t="shared" si="4"/>
        <v>-7.3761355108588482</v>
      </c>
      <c r="P39" s="436">
        <f t="shared" si="5"/>
        <v>6.1164394526752459E-13</v>
      </c>
      <c r="Q39" s="436">
        <f t="shared" si="6"/>
        <v>2.4465757810700984E-12</v>
      </c>
    </row>
    <row r="40" spans="1:17">
      <c r="A40" s="435">
        <f t="shared" si="10"/>
        <v>8</v>
      </c>
      <c r="B40" s="433">
        <f t="shared" si="11"/>
        <v>531.25000073437502</v>
      </c>
      <c r="C40" s="433">
        <f t="shared" si="12"/>
        <v>539.06250073046886</v>
      </c>
      <c r="D40" s="433">
        <f t="shared" si="7"/>
        <v>535.156250732422</v>
      </c>
      <c r="E40" s="433">
        <f t="shared" si="8"/>
        <v>48.01437385901977</v>
      </c>
      <c r="F40" s="433">
        <f t="shared" si="9"/>
        <v>-1.98562614098023</v>
      </c>
      <c r="J40" s="435">
        <f>34</f>
        <v>34</v>
      </c>
      <c r="K40" s="436">
        <f t="shared" si="0"/>
        <v>-7.3423555263394196</v>
      </c>
      <c r="L40" s="436">
        <f t="shared" si="1"/>
        <v>2</v>
      </c>
      <c r="M40" s="436">
        <f t="shared" si="2"/>
        <v>7.842638633502993E-13</v>
      </c>
      <c r="N40" s="436">
        <f t="shared" si="3"/>
        <v>1.5685277267005986E-12</v>
      </c>
      <c r="O40" s="436">
        <f t="shared" si="4"/>
        <v>-7.3572305263394195</v>
      </c>
      <c r="P40" s="436">
        <f t="shared" si="5"/>
        <v>7.03042505399175E-13</v>
      </c>
      <c r="Q40" s="436">
        <f t="shared" si="6"/>
        <v>1.40608501079835E-12</v>
      </c>
    </row>
    <row r="41" spans="1:17">
      <c r="A41" s="435">
        <f t="shared" si="10"/>
        <v>9</v>
      </c>
      <c r="B41" s="433">
        <f t="shared" si="11"/>
        <v>535.156250732422</v>
      </c>
      <c r="C41" s="433">
        <f t="shared" si="12"/>
        <v>539.06250073046886</v>
      </c>
      <c r="D41" s="433">
        <f t="shared" si="7"/>
        <v>537.10937573144543</v>
      </c>
      <c r="E41" s="433">
        <f t="shared" si="8"/>
        <v>49.236859779111967</v>
      </c>
      <c r="F41" s="433">
        <f t="shared" si="9"/>
        <v>-0.76314022088803313</v>
      </c>
      <c r="J41" s="435">
        <f>35</f>
        <v>35</v>
      </c>
      <c r="K41" s="436">
        <f t="shared" si="0"/>
        <v>-7.3230130418199906</v>
      </c>
      <c r="L41" s="436">
        <f t="shared" si="1"/>
        <v>4</v>
      </c>
      <c r="M41" s="436">
        <f t="shared" si="2"/>
        <v>9.0377266895530368E-13</v>
      </c>
      <c r="N41" s="436">
        <f t="shared" si="3"/>
        <v>3.6150906758212147E-12</v>
      </c>
      <c r="O41" s="436">
        <f t="shared" si="4"/>
        <v>-7.3383255418199909</v>
      </c>
      <c r="P41" s="436">
        <f t="shared" si="5"/>
        <v>8.0781008117438579E-13</v>
      </c>
      <c r="Q41" s="436">
        <f t="shared" si="6"/>
        <v>3.2312403246975432E-12</v>
      </c>
    </row>
    <row r="42" spans="1:17">
      <c r="A42" s="435">
        <f t="shared" si="10"/>
        <v>10</v>
      </c>
      <c r="B42" s="433">
        <f t="shared" si="11"/>
        <v>537.10937573144543</v>
      </c>
      <c r="C42" s="433">
        <f t="shared" si="12"/>
        <v>539.06250073046886</v>
      </c>
      <c r="D42" s="433">
        <f t="shared" si="7"/>
        <v>538.08593823095714</v>
      </c>
      <c r="E42" s="433">
        <f t="shared" si="8"/>
        <v>49.853792994171215</v>
      </c>
      <c r="F42" s="433">
        <f t="shared" si="9"/>
        <v>-0.14620700582878499</v>
      </c>
      <c r="J42" s="435">
        <f>36</f>
        <v>36</v>
      </c>
      <c r="K42" s="436">
        <f t="shared" si="0"/>
        <v>-7.3036705573005616</v>
      </c>
      <c r="L42" s="436">
        <f t="shared" si="1"/>
        <v>2</v>
      </c>
      <c r="M42" s="436">
        <f t="shared" si="2"/>
        <v>1.0411030519221668E-12</v>
      </c>
      <c r="N42" s="436">
        <f t="shared" si="3"/>
        <v>2.0822061038443337E-12</v>
      </c>
      <c r="O42" s="436">
        <f t="shared" si="4"/>
        <v>-7.3194205573005622</v>
      </c>
      <c r="P42" s="436">
        <f t="shared" si="5"/>
        <v>9.2785847371957608E-13</v>
      </c>
      <c r="Q42" s="436">
        <f t="shared" si="6"/>
        <v>1.8557169474391522E-12</v>
      </c>
    </row>
    <row r="43" spans="1:17">
      <c r="A43" s="435">
        <f t="shared" si="10"/>
        <v>11</v>
      </c>
      <c r="B43" s="433">
        <f t="shared" si="11"/>
        <v>538.08593823095714</v>
      </c>
      <c r="C43" s="433">
        <f t="shared" si="12"/>
        <v>539.06250073046886</v>
      </c>
      <c r="D43" s="433">
        <f t="shared" si="7"/>
        <v>538.57421948071305</v>
      </c>
      <c r="E43" s="433">
        <f t="shared" si="8"/>
        <v>50.163673219876955</v>
      </c>
      <c r="F43" s="433">
        <f t="shared" si="9"/>
        <v>0.16367321987695505</v>
      </c>
      <c r="J43" s="435">
        <f>37</f>
        <v>37</v>
      </c>
      <c r="K43" s="436">
        <f t="shared" si="0"/>
        <v>-7.2843280727811326</v>
      </c>
      <c r="L43" s="436">
        <f t="shared" si="1"/>
        <v>4</v>
      </c>
      <c r="M43" s="436">
        <f t="shared" si="2"/>
        <v>1.1988524969727854E-12</v>
      </c>
      <c r="N43" s="436">
        <f t="shared" si="3"/>
        <v>4.7954099878911418E-12</v>
      </c>
      <c r="O43" s="436">
        <f t="shared" si="4"/>
        <v>-7.3005155727811335</v>
      </c>
      <c r="P43" s="436">
        <f t="shared" si="5"/>
        <v>1.065366390369406E-12</v>
      </c>
      <c r="Q43" s="436">
        <f t="shared" si="6"/>
        <v>4.261465561477624E-12</v>
      </c>
    </row>
    <row r="44" spans="1:17">
      <c r="A44" s="435">
        <f t="shared" si="10"/>
        <v>12</v>
      </c>
      <c r="B44" s="433">
        <f t="shared" si="11"/>
        <v>538.08593823095714</v>
      </c>
      <c r="C44" s="433">
        <f t="shared" si="12"/>
        <v>538.57421948071305</v>
      </c>
      <c r="D44" s="433">
        <f t="shared" si="7"/>
        <v>538.33007885583515</v>
      </c>
      <c r="E44" s="433">
        <f t="shared" si="8"/>
        <v>50.008615574486328</v>
      </c>
      <c r="F44" s="433">
        <f t="shared" si="9"/>
        <v>8.6155744863276595E-3</v>
      </c>
      <c r="J44" s="435">
        <f>38</f>
        <v>38</v>
      </c>
      <c r="K44" s="436">
        <f t="shared" si="0"/>
        <v>-7.2649855882617045</v>
      </c>
      <c r="L44" s="436">
        <f t="shared" si="1"/>
        <v>2</v>
      </c>
      <c r="M44" s="436">
        <f t="shared" si="2"/>
        <v>1.3799879729791722E-12</v>
      </c>
      <c r="N44" s="436">
        <f t="shared" si="3"/>
        <v>2.7599759459583444E-12</v>
      </c>
      <c r="O44" s="436">
        <f t="shared" si="4"/>
        <v>-7.2816105882617039</v>
      </c>
      <c r="P44" s="436">
        <f t="shared" si="5"/>
        <v>1.2228157646174877E-12</v>
      </c>
      <c r="Q44" s="436">
        <f t="shared" si="6"/>
        <v>2.4456315292349753E-12</v>
      </c>
    </row>
    <row r="45" spans="1:17">
      <c r="A45" s="435">
        <f t="shared" si="10"/>
        <v>13</v>
      </c>
      <c r="B45" s="433">
        <f t="shared" si="11"/>
        <v>538.08593823095714</v>
      </c>
      <c r="C45" s="433">
        <f t="shared" si="12"/>
        <v>538.33007885583515</v>
      </c>
      <c r="D45" s="433">
        <f t="shared" si="7"/>
        <v>538.20800854339609</v>
      </c>
      <c r="E45" s="433">
        <f t="shared" si="8"/>
        <v>49.931174880951176</v>
      </c>
      <c r="F45" s="433">
        <f t="shared" si="9"/>
        <v>-6.882511904882449E-2</v>
      </c>
      <c r="J45" s="435">
        <f>39</f>
        <v>39</v>
      </c>
      <c r="K45" s="436">
        <f t="shared" si="0"/>
        <v>-7.2456431037422755</v>
      </c>
      <c r="L45" s="436">
        <f t="shared" si="1"/>
        <v>4</v>
      </c>
      <c r="M45" s="436">
        <f t="shared" si="2"/>
        <v>1.5878971430050266E-12</v>
      </c>
      <c r="N45" s="436">
        <f t="shared" si="3"/>
        <v>6.3515885720201065E-12</v>
      </c>
      <c r="O45" s="436">
        <f t="shared" si="4"/>
        <v>-7.2627056037422753</v>
      </c>
      <c r="P45" s="436">
        <f t="shared" si="5"/>
        <v>1.4030328843028875E-12</v>
      </c>
      <c r="Q45" s="436">
        <f t="shared" si="6"/>
        <v>5.6121315372115502E-12</v>
      </c>
    </row>
    <row r="46" spans="1:17">
      <c r="A46" s="435">
        <f t="shared" si="10"/>
        <v>14</v>
      </c>
      <c r="B46" s="433">
        <f t="shared" si="11"/>
        <v>538.20800854339609</v>
      </c>
      <c r="C46" s="433">
        <f t="shared" si="12"/>
        <v>538.33007885583515</v>
      </c>
      <c r="D46" s="433">
        <f t="shared" si="7"/>
        <v>538.26904369961562</v>
      </c>
      <c r="E46" s="433">
        <f t="shared" si="8"/>
        <v>49.969887879402393</v>
      </c>
      <c r="F46" s="433">
        <f t="shared" si="9"/>
        <v>-3.0112120597607372E-2</v>
      </c>
      <c r="J46" s="435">
        <f>40</f>
        <v>40</v>
      </c>
      <c r="K46" s="436">
        <f t="shared" si="0"/>
        <v>-7.2263006192228465</v>
      </c>
      <c r="L46" s="436">
        <f t="shared" si="1"/>
        <v>2</v>
      </c>
      <c r="M46" s="436">
        <f t="shared" si="2"/>
        <v>1.8264464766269598E-12</v>
      </c>
      <c r="N46" s="436">
        <f t="shared" si="3"/>
        <v>3.6528929532539196E-12</v>
      </c>
      <c r="O46" s="436">
        <f t="shared" si="4"/>
        <v>-7.2438006192228466</v>
      </c>
      <c r="P46" s="436">
        <f t="shared" si="5"/>
        <v>1.6092349459313179E-12</v>
      </c>
      <c r="Q46" s="436">
        <f t="shared" si="6"/>
        <v>3.2184698918626358E-12</v>
      </c>
    </row>
    <row r="47" spans="1:17">
      <c r="A47" s="435">
        <f t="shared" si="10"/>
        <v>15</v>
      </c>
      <c r="B47" s="433">
        <f t="shared" si="11"/>
        <v>538.26904369961562</v>
      </c>
      <c r="C47" s="433">
        <f t="shared" si="12"/>
        <v>538.33007885583515</v>
      </c>
      <c r="D47" s="433">
        <f t="shared" si="7"/>
        <v>538.29956127772539</v>
      </c>
      <c r="E47" s="433">
        <f t="shared" si="8"/>
        <v>49.989249890181441</v>
      </c>
      <c r="F47" s="433">
        <f t="shared" si="9"/>
        <v>-1.0750109818559395E-2</v>
      </c>
      <c r="J47" s="435">
        <f>41</f>
        <v>41</v>
      </c>
      <c r="K47" s="436">
        <f t="shared" si="0"/>
        <v>-7.2069581347034175</v>
      </c>
      <c r="L47" s="436">
        <f t="shared" si="1"/>
        <v>4</v>
      </c>
      <c r="M47" s="436">
        <f t="shared" si="2"/>
        <v>2.1000471671816909E-12</v>
      </c>
      <c r="N47" s="436">
        <f t="shared" si="3"/>
        <v>8.4001886687267636E-12</v>
      </c>
      <c r="O47" s="436">
        <f t="shared" si="4"/>
        <v>-7.2248956347034179</v>
      </c>
      <c r="P47" s="436">
        <f t="shared" si="5"/>
        <v>1.8450827299048305E-12</v>
      </c>
      <c r="Q47" s="436">
        <f t="shared" si="6"/>
        <v>7.3803309196193218E-12</v>
      </c>
    </row>
    <row r="48" spans="1:17">
      <c r="A48" s="435">
        <f t="shared" si="10"/>
        <v>16</v>
      </c>
      <c r="B48" s="433">
        <f t="shared" si="11"/>
        <v>538.29956127772539</v>
      </c>
      <c r="C48" s="433">
        <f t="shared" si="12"/>
        <v>538.33007885583515</v>
      </c>
      <c r="D48" s="433">
        <f t="shared" si="7"/>
        <v>538.31482006678027</v>
      </c>
      <c r="E48" s="433">
        <f t="shared" si="8"/>
        <v>49.998932273182788</v>
      </c>
      <c r="F48" s="433">
        <f t="shared" si="9"/>
        <v>-1.0677268172116783E-3</v>
      </c>
      <c r="J48" s="435">
        <f>42</f>
        <v>42</v>
      </c>
      <c r="K48" s="436">
        <f t="shared" si="0"/>
        <v>-7.1876156501839885</v>
      </c>
      <c r="L48" s="436">
        <f t="shared" si="1"/>
        <v>2</v>
      </c>
      <c r="M48" s="436">
        <f t="shared" si="2"/>
        <v>2.4137298708046163E-12</v>
      </c>
      <c r="N48" s="436">
        <f t="shared" si="3"/>
        <v>4.8274597416092325E-12</v>
      </c>
      <c r="O48" s="436">
        <f t="shared" si="4"/>
        <v>-7.2059906501839892</v>
      </c>
      <c r="P48" s="436">
        <f t="shared" si="5"/>
        <v>2.1147401775388577E-12</v>
      </c>
      <c r="Q48" s="436">
        <f t="shared" si="6"/>
        <v>4.2294803550777153E-12</v>
      </c>
    </row>
    <row r="49" spans="1:17">
      <c r="A49" s="435">
        <f t="shared" si="10"/>
        <v>17</v>
      </c>
      <c r="B49" s="433">
        <f t="shared" si="11"/>
        <v>538.31482006678027</v>
      </c>
      <c r="C49" s="433">
        <f t="shared" si="12"/>
        <v>538.33007885583515</v>
      </c>
      <c r="D49" s="433">
        <f t="shared" si="7"/>
        <v>538.32244946130777</v>
      </c>
      <c r="E49" s="433">
        <f t="shared" si="8"/>
        <v>50.003773809051665</v>
      </c>
      <c r="F49" s="433">
        <f t="shared" si="9"/>
        <v>3.7738090516654665E-3</v>
      </c>
      <c r="J49" s="435">
        <f>43</f>
        <v>43</v>
      </c>
      <c r="K49" s="436">
        <f t="shared" si="0"/>
        <v>-7.1682731656645604</v>
      </c>
      <c r="L49" s="436">
        <f t="shared" si="1"/>
        <v>4</v>
      </c>
      <c r="M49" s="436">
        <f t="shared" si="2"/>
        <v>2.7732294122830464E-12</v>
      </c>
      <c r="N49" s="436">
        <f t="shared" si="3"/>
        <v>1.1092917649132186E-11</v>
      </c>
      <c r="O49" s="436">
        <f t="shared" si="4"/>
        <v>-7.1870856656645596</v>
      </c>
      <c r="P49" s="436">
        <f t="shared" si="5"/>
        <v>2.4229417471448217E-12</v>
      </c>
      <c r="Q49" s="436">
        <f t="shared" si="6"/>
        <v>9.6917669885792868E-12</v>
      </c>
    </row>
    <row r="50" spans="1:17">
      <c r="A50" s="435">
        <f t="shared" si="10"/>
        <v>18</v>
      </c>
      <c r="B50" s="433">
        <f t="shared" si="11"/>
        <v>538.31482006678027</v>
      </c>
      <c r="C50" s="433">
        <f t="shared" si="12"/>
        <v>538.32244946130777</v>
      </c>
      <c r="D50" s="433">
        <f t="shared" si="7"/>
        <v>538.31863476404396</v>
      </c>
      <c r="E50" s="433">
        <f t="shared" si="8"/>
        <v>50.001353012420793</v>
      </c>
      <c r="F50" s="433">
        <f t="shared" si="9"/>
        <v>1.3530124207932204E-3</v>
      </c>
      <c r="J50" s="435">
        <f>44</f>
        <v>44</v>
      </c>
      <c r="K50" s="436">
        <f t="shared" si="0"/>
        <v>-7.1489306811451314</v>
      </c>
      <c r="L50" s="436">
        <f t="shared" si="1"/>
        <v>2</v>
      </c>
      <c r="M50" s="436">
        <f t="shared" si="2"/>
        <v>3.1850807464760567E-12</v>
      </c>
      <c r="N50" s="436">
        <f t="shared" si="3"/>
        <v>6.3701614929521135E-12</v>
      </c>
      <c r="O50" s="436">
        <f t="shared" si="4"/>
        <v>-7.168180681145131</v>
      </c>
      <c r="P50" s="436">
        <f t="shared" si="5"/>
        <v>2.7750685343329469E-12</v>
      </c>
      <c r="Q50" s="436">
        <f t="shared" si="6"/>
        <v>5.5501370686658939E-12</v>
      </c>
    </row>
    <row r="51" spans="1:17">
      <c r="A51" s="435">
        <f t="shared" si="10"/>
        <v>19</v>
      </c>
      <c r="B51" s="433">
        <f t="shared" si="11"/>
        <v>538.31482006678027</v>
      </c>
      <c r="C51" s="433">
        <f t="shared" si="12"/>
        <v>538.31863476404396</v>
      </c>
      <c r="D51" s="433">
        <f t="shared" si="7"/>
        <v>538.31672741541206</v>
      </c>
      <c r="E51" s="433">
        <f t="shared" si="8"/>
        <v>50.000142635627526</v>
      </c>
      <c r="F51" s="433">
        <f t="shared" si="9"/>
        <v>1.426356275260332E-4</v>
      </c>
      <c r="J51" s="435">
        <f>45</f>
        <v>45</v>
      </c>
      <c r="K51" s="436">
        <f t="shared" si="0"/>
        <v>-7.1295881966257024</v>
      </c>
      <c r="L51" s="436">
        <f t="shared" si="1"/>
        <v>4</v>
      </c>
      <c r="M51" s="436">
        <f t="shared" si="2"/>
        <v>3.656727625169571E-12</v>
      </c>
      <c r="N51" s="436">
        <f t="shared" si="3"/>
        <v>1.4626910500678284E-11</v>
      </c>
      <c r="O51" s="436">
        <f t="shared" si="4"/>
        <v>-7.1492756966257023</v>
      </c>
      <c r="P51" s="436">
        <f t="shared" si="5"/>
        <v>3.1772342623560498E-12</v>
      </c>
      <c r="Q51" s="436">
        <f t="shared" si="6"/>
        <v>1.2708937049424199E-11</v>
      </c>
    </row>
    <row r="52" spans="1:17">
      <c r="A52" s="435">
        <f t="shared" si="10"/>
        <v>20</v>
      </c>
      <c r="B52" s="433">
        <f t="shared" si="11"/>
        <v>538.31482006678027</v>
      </c>
      <c r="C52" s="433">
        <f t="shared" si="12"/>
        <v>538.31672741541206</v>
      </c>
      <c r="D52" s="433">
        <f t="shared" si="7"/>
        <v>538.31577374109611</v>
      </c>
      <c r="E52" s="433">
        <f t="shared" si="8"/>
        <v>49.999537452611548</v>
      </c>
      <c r="F52" s="433">
        <f t="shared" si="9"/>
        <v>-4.6254738845163956E-4</v>
      </c>
      <c r="J52" s="435">
        <f>46</f>
        <v>46</v>
      </c>
      <c r="K52" s="436">
        <f t="shared" si="0"/>
        <v>-7.1102457121062734</v>
      </c>
      <c r="L52" s="436">
        <f t="shared" si="1"/>
        <v>2</v>
      </c>
      <c r="M52" s="436">
        <f t="shared" si="2"/>
        <v>4.1966455997576173E-12</v>
      </c>
      <c r="N52" s="436">
        <f t="shared" si="3"/>
        <v>8.3932911995152346E-12</v>
      </c>
      <c r="O52" s="436">
        <f t="shared" si="4"/>
        <v>-7.1303707121062736</v>
      </c>
      <c r="P52" s="436">
        <f t="shared" si="5"/>
        <v>3.6363823832255099E-12</v>
      </c>
      <c r="Q52" s="436">
        <f t="shared" si="6"/>
        <v>7.2727647664510198E-12</v>
      </c>
    </row>
    <row r="53" spans="1:17">
      <c r="A53" s="435">
        <f t="shared" si="10"/>
        <v>21</v>
      </c>
      <c r="B53" s="433">
        <f t="shared" si="11"/>
        <v>538.31577374109611</v>
      </c>
      <c r="C53" s="433">
        <f t="shared" si="12"/>
        <v>538.31672741541206</v>
      </c>
      <c r="D53" s="433">
        <f t="shared" si="7"/>
        <v>538.31625057825408</v>
      </c>
      <c r="E53" s="433">
        <f t="shared" si="8"/>
        <v>49.999840043671156</v>
      </c>
      <c r="F53" s="433">
        <f t="shared" si="9"/>
        <v>-1.5995632884369115E-4</v>
      </c>
      <c r="J53" s="435">
        <f>47</f>
        <v>47</v>
      </c>
      <c r="K53" s="436">
        <f t="shared" si="0"/>
        <v>-7.0909032275868444</v>
      </c>
      <c r="L53" s="436">
        <f t="shared" si="1"/>
        <v>4</v>
      </c>
      <c r="M53" s="436">
        <f t="shared" si="2"/>
        <v>4.8144811923107966E-12</v>
      </c>
      <c r="N53" s="436">
        <f t="shared" si="3"/>
        <v>1.9257924769243186E-11</v>
      </c>
      <c r="O53" s="436">
        <f t="shared" si="4"/>
        <v>-7.1114657275868449</v>
      </c>
      <c r="P53" s="436">
        <f t="shared" si="5"/>
        <v>4.1603956811006782E-12</v>
      </c>
      <c r="Q53" s="436">
        <f t="shared" si="6"/>
        <v>1.6641582724402713E-11</v>
      </c>
    </row>
    <row r="54" spans="1:17">
      <c r="A54" s="435">
        <f t="shared" si="10"/>
        <v>22</v>
      </c>
      <c r="B54" s="433">
        <f t="shared" si="11"/>
        <v>538.31625057825408</v>
      </c>
      <c r="C54" s="433">
        <f t="shared" si="12"/>
        <v>538.31672741541206</v>
      </c>
      <c r="D54" s="433">
        <f t="shared" si="7"/>
        <v>538.31648899683307</v>
      </c>
      <c r="E54" s="433">
        <f t="shared" si="8"/>
        <v>49.999991339537303</v>
      </c>
      <c r="F54" s="433">
        <f t="shared" si="9"/>
        <v>-8.6604626972075494E-6</v>
      </c>
      <c r="J54" s="435">
        <f>48</f>
        <v>48</v>
      </c>
      <c r="K54" s="436">
        <f t="shared" si="0"/>
        <v>-7.0715607430674154</v>
      </c>
      <c r="L54" s="436">
        <f t="shared" si="1"/>
        <v>2</v>
      </c>
      <c r="M54" s="436">
        <f t="shared" si="2"/>
        <v>5.5212092938996117E-12</v>
      </c>
      <c r="N54" s="436">
        <f t="shared" si="3"/>
        <v>1.1042418587799223E-11</v>
      </c>
      <c r="O54" s="436">
        <f t="shared" si="4"/>
        <v>-7.0925607430674162</v>
      </c>
      <c r="P54" s="436">
        <f t="shared" si="5"/>
        <v>4.7582199378689939E-12</v>
      </c>
      <c r="Q54" s="436">
        <f t="shared" si="6"/>
        <v>9.5164398757379878E-12</v>
      </c>
    </row>
    <row r="55" spans="1:17">
      <c r="A55" s="435">
        <f t="shared" si="10"/>
        <v>23</v>
      </c>
      <c r="B55" s="433">
        <f t="shared" si="11"/>
        <v>538.31648899683307</v>
      </c>
      <c r="C55" s="433">
        <f t="shared" si="12"/>
        <v>538.31672741541206</v>
      </c>
      <c r="D55" s="433">
        <f t="shared" si="7"/>
        <v>538.31660820612251</v>
      </c>
      <c r="E55" s="433">
        <f t="shared" si="8"/>
        <v>50.000066987554419</v>
      </c>
      <c r="F55" s="433">
        <f t="shared" si="9"/>
        <v>6.6987554419029038E-5</v>
      </c>
      <c r="J55" s="435">
        <f>49</f>
        <v>49</v>
      </c>
      <c r="K55" s="436">
        <f t="shared" si="0"/>
        <v>-7.0522182585479873</v>
      </c>
      <c r="L55" s="436">
        <f t="shared" si="1"/>
        <v>4</v>
      </c>
      <c r="M55" s="436">
        <f t="shared" si="2"/>
        <v>6.329311102245156E-12</v>
      </c>
      <c r="N55" s="436">
        <f t="shared" si="3"/>
        <v>2.5317244408980624E-11</v>
      </c>
      <c r="O55" s="436">
        <f t="shared" si="4"/>
        <v>-7.0736557585479867</v>
      </c>
      <c r="P55" s="436">
        <f t="shared" si="5"/>
        <v>5.4400034088782989E-12</v>
      </c>
      <c r="Q55" s="436">
        <f t="shared" si="6"/>
        <v>2.1760013635513196E-11</v>
      </c>
    </row>
    <row r="56" spans="1:17">
      <c r="A56" s="435">
        <f t="shared" si="10"/>
        <v>24</v>
      </c>
      <c r="B56" s="433">
        <f t="shared" si="11"/>
        <v>538.31648899683307</v>
      </c>
      <c r="C56" s="433">
        <f t="shared" si="12"/>
        <v>538.31660820612251</v>
      </c>
      <c r="D56" s="433">
        <f t="shared" si="7"/>
        <v>538.31654860147773</v>
      </c>
      <c r="E56" s="433">
        <f t="shared" si="8"/>
        <v>50.000029163538727</v>
      </c>
      <c r="F56" s="433">
        <f t="shared" si="9"/>
        <v>2.9163538727061677E-5</v>
      </c>
      <c r="J56" s="435">
        <f>50</f>
        <v>50</v>
      </c>
      <c r="K56" s="436">
        <f t="shared" si="0"/>
        <v>-7.0328757740285583</v>
      </c>
      <c r="L56" s="436">
        <f t="shared" si="1"/>
        <v>2</v>
      </c>
      <c r="M56" s="436">
        <f t="shared" si="2"/>
        <v>7.2529751939351846E-12</v>
      </c>
      <c r="N56" s="436">
        <f t="shared" si="3"/>
        <v>1.4505950387870369E-11</v>
      </c>
      <c r="O56" s="436">
        <f t="shared" si="4"/>
        <v>-7.054750774028558</v>
      </c>
      <c r="P56" s="436">
        <f t="shared" si="5"/>
        <v>6.2172540666458582E-12</v>
      </c>
      <c r="Q56" s="436">
        <f t="shared" si="6"/>
        <v>1.2434508133291716E-11</v>
      </c>
    </row>
    <row r="57" spans="1:17">
      <c r="A57" s="435">
        <f t="shared" si="10"/>
        <v>25</v>
      </c>
      <c r="B57" s="433">
        <f t="shared" si="11"/>
        <v>538.31648899683307</v>
      </c>
      <c r="C57" s="433">
        <f t="shared" si="12"/>
        <v>538.31654860147773</v>
      </c>
      <c r="D57" s="433">
        <f t="shared" si="7"/>
        <v>538.31651879915535</v>
      </c>
      <c r="E57" s="433">
        <f t="shared" si="8"/>
        <v>50.000010251536253</v>
      </c>
      <c r="F57" s="433">
        <f t="shared" si="9"/>
        <v>1.0251536252781079E-5</v>
      </c>
      <c r="J57" s="435">
        <f>51</f>
        <v>51</v>
      </c>
      <c r="K57" s="436">
        <f t="shared" si="0"/>
        <v>-7.0135332895091294</v>
      </c>
      <c r="L57" s="436">
        <f t="shared" si="1"/>
        <v>4</v>
      </c>
      <c r="M57" s="436">
        <f t="shared" si="2"/>
        <v>8.30832464296344E-12</v>
      </c>
      <c r="N57" s="436">
        <f t="shared" si="3"/>
        <v>3.323329857185376E-11</v>
      </c>
      <c r="O57" s="436">
        <f t="shared" si="4"/>
        <v>-7.0358457895091293</v>
      </c>
      <c r="P57" s="436">
        <f t="shared" si="5"/>
        <v>7.1030168044784446E-12</v>
      </c>
      <c r="Q57" s="436">
        <f t="shared" si="6"/>
        <v>2.8412067217913778E-11</v>
      </c>
    </row>
    <row r="58" spans="1:17">
      <c r="A58" s="435">
        <f t="shared" si="10"/>
        <v>26</v>
      </c>
      <c r="B58" s="433">
        <f t="shared" si="11"/>
        <v>538.31648899683307</v>
      </c>
      <c r="C58" s="433">
        <f t="shared" si="12"/>
        <v>538.31651879915535</v>
      </c>
      <c r="D58" s="433">
        <f t="shared" si="7"/>
        <v>538.31650389799415</v>
      </c>
      <c r="E58" s="433">
        <f t="shared" si="8"/>
        <v>50.000000795536323</v>
      </c>
      <c r="F58" s="433">
        <f t="shared" si="9"/>
        <v>7.9553632303941413E-7</v>
      </c>
      <c r="J58" s="435">
        <f>52</f>
        <v>52</v>
      </c>
      <c r="K58" s="436">
        <f t="shared" si="0"/>
        <v>-6.9941908049897004</v>
      </c>
      <c r="L58" s="436">
        <f t="shared" si="1"/>
        <v>2</v>
      </c>
      <c r="M58" s="436">
        <f t="shared" si="2"/>
        <v>9.5136734509867156E-12</v>
      </c>
      <c r="N58" s="436">
        <f t="shared" si="3"/>
        <v>1.9027346901973431E-11</v>
      </c>
      <c r="O58" s="436">
        <f t="shared" si="4"/>
        <v>-7.0169408049897006</v>
      </c>
      <c r="P58" s="436">
        <f t="shared" si="5"/>
        <v>8.1120730529727251E-12</v>
      </c>
      <c r="Q58" s="436">
        <f t="shared" si="6"/>
        <v>1.622414610594545E-11</v>
      </c>
    </row>
    <row r="59" spans="1:17">
      <c r="A59" s="435">
        <f t="shared" si="10"/>
        <v>27</v>
      </c>
      <c r="B59" s="433">
        <f t="shared" si="11"/>
        <v>538.31648899683307</v>
      </c>
      <c r="C59" s="433">
        <f t="shared" si="12"/>
        <v>538.31650389799415</v>
      </c>
      <c r="D59" s="433">
        <f t="shared" si="7"/>
        <v>538.31649644741356</v>
      </c>
      <c r="E59" s="433">
        <f t="shared" si="8"/>
        <v>49.999996067536642</v>
      </c>
      <c r="F59" s="433">
        <f t="shared" si="9"/>
        <v>-3.9324633576143242E-6</v>
      </c>
      <c r="J59" s="435">
        <f>53</f>
        <v>53</v>
      </c>
      <c r="K59" s="436">
        <f t="shared" si="0"/>
        <v>-6.9748483204702714</v>
      </c>
      <c r="L59" s="436">
        <f t="shared" si="1"/>
        <v>4</v>
      </c>
      <c r="M59" s="436">
        <f t="shared" si="2"/>
        <v>1.0889815949608058E-11</v>
      </c>
      <c r="N59" s="436">
        <f t="shared" si="3"/>
        <v>4.3559263798432232E-11</v>
      </c>
      <c r="O59" s="436">
        <f t="shared" si="4"/>
        <v>-6.998035820470272</v>
      </c>
      <c r="P59" s="436">
        <f t="shared" si="5"/>
        <v>9.2611655532958152E-12</v>
      </c>
      <c r="Q59" s="436">
        <f t="shared" si="6"/>
        <v>3.7044662213183261E-11</v>
      </c>
    </row>
    <row r="60" spans="1:17">
      <c r="A60" s="435">
        <f t="shared" si="10"/>
        <v>28</v>
      </c>
      <c r="B60" s="433">
        <f t="shared" si="11"/>
        <v>538.31649644741356</v>
      </c>
      <c r="C60" s="433">
        <f t="shared" si="12"/>
        <v>538.31650389799415</v>
      </c>
      <c r="D60" s="433">
        <f t="shared" si="7"/>
        <v>538.31650017270385</v>
      </c>
      <c r="E60" s="433">
        <f t="shared" si="8"/>
        <v>49.999998431536426</v>
      </c>
      <c r="F60" s="433">
        <f t="shared" si="9"/>
        <v>-1.5684635741308739E-6</v>
      </c>
      <c r="J60" s="435">
        <f>54</f>
        <v>54</v>
      </c>
      <c r="K60" s="436">
        <f t="shared" si="0"/>
        <v>-6.9555058359508433</v>
      </c>
      <c r="L60" s="436">
        <f t="shared" si="1"/>
        <v>2</v>
      </c>
      <c r="M60" s="436">
        <f t="shared" si="2"/>
        <v>1.2460353275794319E-11</v>
      </c>
      <c r="N60" s="436">
        <f t="shared" si="3"/>
        <v>2.4920706551588638E-11</v>
      </c>
      <c r="O60" s="436">
        <f t="shared" si="4"/>
        <v>-6.9791308359508424</v>
      </c>
      <c r="P60" s="436">
        <f t="shared" si="5"/>
        <v>1.0569251355240738E-11</v>
      </c>
      <c r="Q60" s="436">
        <f t="shared" si="6"/>
        <v>2.1138502710481476E-11</v>
      </c>
    </row>
    <row r="61" spans="1:17">
      <c r="A61" s="435">
        <f t="shared" si="10"/>
        <v>29</v>
      </c>
      <c r="B61" s="433">
        <f t="shared" si="11"/>
        <v>538.31650017270385</v>
      </c>
      <c r="C61" s="433">
        <f t="shared" si="12"/>
        <v>538.31650389799415</v>
      </c>
      <c r="D61" s="433">
        <f t="shared" si="7"/>
        <v>538.316502035349</v>
      </c>
      <c r="E61" s="433">
        <f t="shared" si="8"/>
        <v>49.999999613536318</v>
      </c>
      <c r="F61" s="433">
        <f t="shared" si="9"/>
        <v>-3.8646368238914874E-7</v>
      </c>
      <c r="J61" s="435">
        <f>55</f>
        <v>55</v>
      </c>
      <c r="K61" s="436">
        <f t="shared" si="0"/>
        <v>-6.9361633514314143</v>
      </c>
      <c r="L61" s="436">
        <f t="shared" si="1"/>
        <v>4</v>
      </c>
      <c r="M61" s="436">
        <f t="shared" si="2"/>
        <v>1.4252061513319918E-11</v>
      </c>
      <c r="N61" s="436">
        <f t="shared" si="3"/>
        <v>5.7008246053279673E-11</v>
      </c>
      <c r="O61" s="436">
        <f t="shared" si="4"/>
        <v>-6.9602258514314137</v>
      </c>
      <c r="P61" s="436">
        <f t="shared" si="5"/>
        <v>1.2057786468932445E-11</v>
      </c>
      <c r="Q61" s="436">
        <f t="shared" si="6"/>
        <v>4.8231145875729781E-11</v>
      </c>
    </row>
    <row r="62" spans="1:17">
      <c r="A62" s="435">
        <f t="shared" si="10"/>
        <v>30</v>
      </c>
      <c r="B62" s="433">
        <f t="shared" si="11"/>
        <v>538.316502035349</v>
      </c>
      <c r="C62" s="433">
        <f t="shared" si="12"/>
        <v>538.31650389799415</v>
      </c>
      <c r="D62" s="433">
        <f t="shared" si="7"/>
        <v>538.31650296667158</v>
      </c>
      <c r="E62" s="433">
        <f t="shared" si="8"/>
        <v>50.000000204536377</v>
      </c>
      <c r="F62" s="433">
        <f t="shared" si="9"/>
        <v>2.0453637716855155E-7</v>
      </c>
      <c r="J62" s="435">
        <f>56</f>
        <v>56</v>
      </c>
      <c r="K62" s="436">
        <f t="shared" si="0"/>
        <v>-6.9168208669119853</v>
      </c>
      <c r="L62" s="436">
        <f t="shared" si="1"/>
        <v>2</v>
      </c>
      <c r="M62" s="436">
        <f t="shared" si="2"/>
        <v>1.6295306641521035E-11</v>
      </c>
      <c r="N62" s="436">
        <f t="shared" si="3"/>
        <v>3.259061328304207E-11</v>
      </c>
      <c r="O62" s="436">
        <f t="shared" si="4"/>
        <v>-6.941320866911985</v>
      </c>
      <c r="P62" s="436">
        <f t="shared" si="5"/>
        <v>1.3751046000714912E-11</v>
      </c>
      <c r="Q62" s="436">
        <f t="shared" si="6"/>
        <v>2.7502092001429825E-11</v>
      </c>
    </row>
    <row r="63" spans="1:17">
      <c r="A63" s="435">
        <f t="shared" si="10"/>
        <v>31</v>
      </c>
      <c r="B63" s="433">
        <f t="shared" si="11"/>
        <v>538.316502035349</v>
      </c>
      <c r="C63" s="433">
        <f t="shared" si="12"/>
        <v>538.31650296667158</v>
      </c>
      <c r="D63" s="433">
        <f t="shared" si="7"/>
        <v>538.31650250101029</v>
      </c>
      <c r="E63" s="433">
        <f t="shared" si="8"/>
        <v>49.999999909036319</v>
      </c>
      <c r="F63" s="433">
        <f t="shared" si="9"/>
        <v>-9.0963681032008026E-8</v>
      </c>
      <c r="J63" s="435">
        <f>57</f>
        <v>57</v>
      </c>
      <c r="K63" s="436">
        <f t="shared" si="0"/>
        <v>-6.8974783823925563</v>
      </c>
      <c r="L63" s="436">
        <f t="shared" si="1"/>
        <v>4</v>
      </c>
      <c r="M63" s="436">
        <f t="shared" si="2"/>
        <v>1.8624512043881485E-11</v>
      </c>
      <c r="N63" s="436">
        <f t="shared" si="3"/>
        <v>7.4498048175525941E-11</v>
      </c>
      <c r="O63" s="436">
        <f t="shared" si="4"/>
        <v>-6.9224158823925563</v>
      </c>
      <c r="P63" s="436">
        <f t="shared" si="5"/>
        <v>1.5676484050578033E-11</v>
      </c>
      <c r="Q63" s="436">
        <f t="shared" si="6"/>
        <v>6.2705936202312134E-11</v>
      </c>
    </row>
    <row r="64" spans="1:17">
      <c r="A64" s="435">
        <f t="shared" si="10"/>
        <v>32</v>
      </c>
      <c r="B64" s="433">
        <f t="shared" si="11"/>
        <v>538.31650250101029</v>
      </c>
      <c r="C64" s="433">
        <f t="shared" si="12"/>
        <v>538.31650296667158</v>
      </c>
      <c r="D64" s="433">
        <f t="shared" ref="D64:D92" si="13">(B64+C64)/2</f>
        <v>538.31650273384093</v>
      </c>
      <c r="E64" s="433">
        <f t="shared" ref="E64:E92" si="14">IF(D64&lt;=0,0,D64*EXP(-$C$9*($C$12-$C$11))*_xlfn.NORM.S.DIST((LN(D64/$C$7)+($C$8-$C$9+0.5*$C$10^2)*($C$12-$C$11))/($C$10*SQRT($C$12-$C$11)),TRUE)-$C$7*EXP(-$C$8*($C$12-$C$11))*_xlfn.NORM.S.DIST((LN(D64/$C$7)+($C$8-$C$9+0.5*$C$10^2)*($C$12-$C$11))/($C$10*SQRT($C$12-$C$11))-$C$10*SQRT($C$12-$C$11),TRUE))</f>
        <v>50.000000056786348</v>
      </c>
      <c r="F64" s="433">
        <f t="shared" ref="F64:F92" si="15">E64-$C$6</f>
        <v>5.6786348068271764E-8</v>
      </c>
      <c r="J64" s="435">
        <f>58</f>
        <v>58</v>
      </c>
      <c r="K64" s="436">
        <f t="shared" si="0"/>
        <v>-6.8781358978731273</v>
      </c>
      <c r="L64" s="436">
        <f t="shared" si="1"/>
        <v>2</v>
      </c>
      <c r="M64" s="436">
        <f t="shared" si="2"/>
        <v>2.1278685009906502E-11</v>
      </c>
      <c r="N64" s="436">
        <f t="shared" si="3"/>
        <v>4.2557370019813005E-11</v>
      </c>
      <c r="O64" s="436">
        <f t="shared" si="4"/>
        <v>-6.9035108978731277</v>
      </c>
      <c r="P64" s="436">
        <f t="shared" si="5"/>
        <v>1.7865138145345644E-11</v>
      </c>
      <c r="Q64" s="436">
        <f t="shared" si="6"/>
        <v>3.5730276290691288E-11</v>
      </c>
    </row>
    <row r="65" spans="1:17">
      <c r="A65" s="435">
        <f t="shared" ref="A65:A92" si="16">A64+1</f>
        <v>33</v>
      </c>
      <c r="B65" s="433">
        <f t="shared" ref="B65:B92" si="17">IF(F64&lt;0,D64,B64)</f>
        <v>538.31650250101029</v>
      </c>
      <c r="C65" s="433">
        <f t="shared" ref="C65:C92" si="18">IF(F64&lt;0,C64,D64)</f>
        <v>538.31650273384093</v>
      </c>
      <c r="D65" s="433">
        <f t="shared" si="13"/>
        <v>538.31650261742561</v>
      </c>
      <c r="E65" s="433">
        <f t="shared" si="14"/>
        <v>49.999999982911447</v>
      </c>
      <c r="F65" s="433">
        <f t="shared" si="15"/>
        <v>-1.7088552795030409E-8</v>
      </c>
      <c r="J65" s="435">
        <f>59</f>
        <v>59</v>
      </c>
      <c r="K65" s="436">
        <f t="shared" si="0"/>
        <v>-6.8587934133536983</v>
      </c>
      <c r="L65" s="436">
        <f t="shared" si="1"/>
        <v>4</v>
      </c>
      <c r="M65" s="436">
        <f t="shared" si="2"/>
        <v>2.4302009421975303E-11</v>
      </c>
      <c r="N65" s="436">
        <f t="shared" si="3"/>
        <v>9.7208037687901211E-11</v>
      </c>
      <c r="O65" s="436">
        <f t="shared" si="4"/>
        <v>-6.884605913353699</v>
      </c>
      <c r="P65" s="436">
        <f t="shared" si="5"/>
        <v>2.0352083534076843E-11</v>
      </c>
      <c r="Q65" s="436">
        <f t="shared" si="6"/>
        <v>8.1408334136307372E-11</v>
      </c>
    </row>
    <row r="66" spans="1:17">
      <c r="A66" s="435">
        <f t="shared" si="16"/>
        <v>34</v>
      </c>
      <c r="B66" s="433">
        <f t="shared" si="17"/>
        <v>538.31650261742561</v>
      </c>
      <c r="C66" s="433">
        <f t="shared" si="18"/>
        <v>538.31650273384093</v>
      </c>
      <c r="D66" s="433">
        <f t="shared" si="13"/>
        <v>538.31650267563327</v>
      </c>
      <c r="E66" s="433">
        <f t="shared" si="14"/>
        <v>50.000000019848869</v>
      </c>
      <c r="F66" s="433">
        <f t="shared" si="15"/>
        <v>1.9848869214911247E-8</v>
      </c>
      <c r="J66" s="435">
        <f>60</f>
        <v>60</v>
      </c>
      <c r="K66" s="436">
        <f t="shared" si="0"/>
        <v>-6.8394509288342693</v>
      </c>
      <c r="L66" s="436">
        <f t="shared" si="1"/>
        <v>2</v>
      </c>
      <c r="M66" s="436">
        <f t="shared" si="2"/>
        <v>2.7744512662744128E-11</v>
      </c>
      <c r="N66" s="436">
        <f t="shared" si="3"/>
        <v>5.5489025325488255E-11</v>
      </c>
      <c r="O66" s="436">
        <f t="shared" si="4"/>
        <v>-6.8657009288342703</v>
      </c>
      <c r="P66" s="436">
        <f t="shared" si="5"/>
        <v>2.3176943285632458E-11</v>
      </c>
      <c r="Q66" s="436">
        <f t="shared" si="6"/>
        <v>4.6353886571264917E-11</v>
      </c>
    </row>
    <row r="67" spans="1:17">
      <c r="A67" s="435">
        <f t="shared" si="16"/>
        <v>35</v>
      </c>
      <c r="B67" s="433">
        <f t="shared" si="17"/>
        <v>538.31650261742561</v>
      </c>
      <c r="C67" s="433">
        <f t="shared" si="18"/>
        <v>538.31650267563327</v>
      </c>
      <c r="D67" s="433">
        <f t="shared" si="13"/>
        <v>538.31650264652944</v>
      </c>
      <c r="E67" s="433">
        <f t="shared" si="14"/>
        <v>50.000000001380101</v>
      </c>
      <c r="F67" s="433">
        <f t="shared" si="15"/>
        <v>1.3801013665215578E-9</v>
      </c>
      <c r="J67" s="435">
        <f>61</f>
        <v>61</v>
      </c>
      <c r="K67" s="436">
        <f t="shared" si="0"/>
        <v>-6.8201084443148412</v>
      </c>
      <c r="L67" s="436">
        <f t="shared" si="1"/>
        <v>4</v>
      </c>
      <c r="M67" s="436">
        <f t="shared" si="2"/>
        <v>3.1662815717430399E-11</v>
      </c>
      <c r="N67" s="436">
        <f t="shared" si="3"/>
        <v>1.266512628697216E-10</v>
      </c>
      <c r="O67" s="436">
        <f t="shared" si="4"/>
        <v>-6.8467959443148407</v>
      </c>
      <c r="P67" s="436">
        <f t="shared" si="5"/>
        <v>2.6384460809598051E-11</v>
      </c>
      <c r="Q67" s="436">
        <f t="shared" si="6"/>
        <v>1.0553784323839221E-10</v>
      </c>
    </row>
    <row r="68" spans="1:17">
      <c r="A68" s="435">
        <f t="shared" si="16"/>
        <v>36</v>
      </c>
      <c r="B68" s="433">
        <f t="shared" si="17"/>
        <v>538.31650261742561</v>
      </c>
      <c r="C68" s="433">
        <f t="shared" si="18"/>
        <v>538.31650264652944</v>
      </c>
      <c r="D68" s="433">
        <f t="shared" si="13"/>
        <v>538.31650263197753</v>
      </c>
      <c r="E68" s="433">
        <f t="shared" si="14"/>
        <v>49.999999992145717</v>
      </c>
      <c r="F68" s="433">
        <f t="shared" si="15"/>
        <v>-7.8542825576732866E-9</v>
      </c>
      <c r="J68" s="435">
        <f>62</f>
        <v>62</v>
      </c>
      <c r="K68" s="436">
        <f t="shared" si="0"/>
        <v>-6.8007659597954122</v>
      </c>
      <c r="L68" s="436">
        <f t="shared" si="1"/>
        <v>2</v>
      </c>
      <c r="M68" s="436">
        <f t="shared" si="2"/>
        <v>3.6120976489094915E-11</v>
      </c>
      <c r="N68" s="436">
        <f t="shared" si="3"/>
        <v>7.2241952978189829E-11</v>
      </c>
      <c r="O68" s="436">
        <f t="shared" si="4"/>
        <v>-6.8278909597954121</v>
      </c>
      <c r="P68" s="436">
        <f t="shared" si="5"/>
        <v>3.0025142177868859E-11</v>
      </c>
      <c r="Q68" s="436">
        <f t="shared" si="6"/>
        <v>6.0050284355737719E-11</v>
      </c>
    </row>
    <row r="69" spans="1:17">
      <c r="A69" s="435">
        <f t="shared" si="16"/>
        <v>37</v>
      </c>
      <c r="B69" s="433">
        <f t="shared" si="17"/>
        <v>538.31650263197753</v>
      </c>
      <c r="C69" s="433">
        <f t="shared" si="18"/>
        <v>538.31650264652944</v>
      </c>
      <c r="D69" s="433">
        <f t="shared" si="13"/>
        <v>538.31650263925349</v>
      </c>
      <c r="E69" s="433">
        <f t="shared" si="14"/>
        <v>49.999999996762938</v>
      </c>
      <c r="F69" s="433">
        <f t="shared" si="15"/>
        <v>-3.237062173866434E-9</v>
      </c>
      <c r="J69" s="435">
        <f>63</f>
        <v>63</v>
      </c>
      <c r="K69" s="436">
        <f t="shared" si="0"/>
        <v>-6.7814234752759832</v>
      </c>
      <c r="L69" s="436">
        <f t="shared" si="1"/>
        <v>4</v>
      </c>
      <c r="M69" s="436">
        <f t="shared" si="2"/>
        <v>4.119143750503642E-11</v>
      </c>
      <c r="N69" s="436">
        <f t="shared" si="3"/>
        <v>1.6476575002014568E-10</v>
      </c>
      <c r="O69" s="436">
        <f t="shared" si="4"/>
        <v>-6.8089859752759834</v>
      </c>
      <c r="P69" s="436">
        <f t="shared" si="5"/>
        <v>3.4155976463031717E-11</v>
      </c>
      <c r="Q69" s="436">
        <f t="shared" si="6"/>
        <v>1.3662390585212687E-10</v>
      </c>
    </row>
    <row r="70" spans="1:17">
      <c r="A70" s="435">
        <f t="shared" si="16"/>
        <v>38</v>
      </c>
      <c r="B70" s="433">
        <f t="shared" si="17"/>
        <v>538.31650263925349</v>
      </c>
      <c r="C70" s="433">
        <f t="shared" si="18"/>
        <v>538.31650264652944</v>
      </c>
      <c r="D70" s="433">
        <f t="shared" si="13"/>
        <v>538.31650264289146</v>
      </c>
      <c r="E70" s="433">
        <f t="shared" si="14"/>
        <v>49.999999999071463</v>
      </c>
      <c r="F70" s="433">
        <f t="shared" si="15"/>
        <v>-9.2853724709129892E-10</v>
      </c>
      <c r="J70" s="435">
        <f>64</f>
        <v>64</v>
      </c>
      <c r="K70" s="436">
        <f t="shared" ref="K70:K133" si="19">$C$14+(($H$8-$C$14)/$C$13)*J70</f>
        <v>-6.7620809907565542</v>
      </c>
      <c r="L70" s="436">
        <f t="shared" ref="L70:L133" si="20">IF(OR(J70=0,J70=$C$13),1,IF(MOD(J70,2)=0,2,4))</f>
        <v>2</v>
      </c>
      <c r="M70" s="436">
        <f t="shared" ref="M70:M133" si="21">_xlfn.NORM.S.DIST(K70,FALSE)*_xlfn.NORM.S.DIST(($H$10-$H$7*K70)/SQRT(1-$H$7^2),TRUE)</f>
        <v>4.6956090480941126E-11</v>
      </c>
      <c r="N70" s="436">
        <f t="shared" ref="N70:N133" si="22">L70*M70</f>
        <v>9.3912180961882252E-11</v>
      </c>
      <c r="O70" s="436">
        <f t="shared" ref="O70:O133" si="23">$C$14+(($H$9-$C$14)/$C$13)*J70</f>
        <v>-6.7900809907565547</v>
      </c>
      <c r="P70" s="436">
        <f t="shared" ref="P70:P133" si="24">_xlfn.NORM.S.DIST(O70,FALSE)*_xlfn.NORM.S.DIST(($H$11-$H$7*O70)/SQRT(1-$H$7^2),TRUE)</f>
        <v>3.8841243239822477E-11</v>
      </c>
      <c r="Q70" s="436">
        <f t="shared" ref="Q70:Q133" si="25">L70*P70</f>
        <v>7.7682486479644954E-11</v>
      </c>
    </row>
    <row r="71" spans="1:17">
      <c r="A71" s="435">
        <f t="shared" si="16"/>
        <v>39</v>
      </c>
      <c r="B71" s="433">
        <f t="shared" si="17"/>
        <v>538.31650264289146</v>
      </c>
      <c r="C71" s="433">
        <f t="shared" si="18"/>
        <v>538.31650264652944</v>
      </c>
      <c r="D71" s="433">
        <f t="shared" si="13"/>
        <v>538.31650264471045</v>
      </c>
      <c r="E71" s="433">
        <f t="shared" si="14"/>
        <v>50.000000000225782</v>
      </c>
      <c r="F71" s="433">
        <f t="shared" si="15"/>
        <v>2.2578205971512944E-10</v>
      </c>
      <c r="J71" s="435">
        <f>65</f>
        <v>65</v>
      </c>
      <c r="K71" s="436">
        <f t="shared" si="19"/>
        <v>-6.7427385062371261</v>
      </c>
      <c r="L71" s="436">
        <f t="shared" si="20"/>
        <v>4</v>
      </c>
      <c r="M71" s="436">
        <f t="shared" si="21"/>
        <v>5.3507471640005213E-11</v>
      </c>
      <c r="N71" s="436">
        <f t="shared" si="22"/>
        <v>2.1402988656002085E-10</v>
      </c>
      <c r="O71" s="436">
        <f t="shared" si="23"/>
        <v>-6.7711760062371251</v>
      </c>
      <c r="P71" s="436">
        <f t="shared" si="24"/>
        <v>4.4153417426885786E-11</v>
      </c>
      <c r="Q71" s="436">
        <f t="shared" si="25"/>
        <v>1.7661366970754314E-10</v>
      </c>
    </row>
    <row r="72" spans="1:17">
      <c r="A72" s="435">
        <f t="shared" si="16"/>
        <v>40</v>
      </c>
      <c r="B72" s="433">
        <f t="shared" si="17"/>
        <v>538.31650264289146</v>
      </c>
      <c r="C72" s="433">
        <f t="shared" si="18"/>
        <v>538.31650264471045</v>
      </c>
      <c r="D72" s="433">
        <f t="shared" si="13"/>
        <v>538.31650264380096</v>
      </c>
      <c r="E72" s="433">
        <f t="shared" si="14"/>
        <v>49.999999999648537</v>
      </c>
      <c r="F72" s="433">
        <f t="shared" si="15"/>
        <v>-3.5146285881637596E-10</v>
      </c>
      <c r="J72" s="435">
        <f>66</f>
        <v>66</v>
      </c>
      <c r="K72" s="436">
        <f t="shared" si="19"/>
        <v>-6.7233960217176971</v>
      </c>
      <c r="L72" s="436">
        <f t="shared" si="20"/>
        <v>2</v>
      </c>
      <c r="M72" s="436">
        <f t="shared" si="21"/>
        <v>6.0950103271772706E-11</v>
      </c>
      <c r="N72" s="436">
        <f t="shared" si="22"/>
        <v>1.2190020654354541E-10</v>
      </c>
      <c r="O72" s="436">
        <f t="shared" si="23"/>
        <v>-6.7522710217176964</v>
      </c>
      <c r="P72" s="436">
        <f t="shared" si="24"/>
        <v>5.0174182788164516E-11</v>
      </c>
      <c r="Q72" s="436">
        <f t="shared" si="25"/>
        <v>1.0034836557632903E-10</v>
      </c>
    </row>
    <row r="73" spans="1:17">
      <c r="A73" s="435">
        <f t="shared" si="16"/>
        <v>41</v>
      </c>
      <c r="B73" s="433">
        <f t="shared" si="17"/>
        <v>538.31650264380096</v>
      </c>
      <c r="C73" s="433">
        <f t="shared" si="18"/>
        <v>538.31650264471045</v>
      </c>
      <c r="D73" s="433">
        <f t="shared" si="13"/>
        <v>538.31650264425571</v>
      </c>
      <c r="E73" s="433">
        <f t="shared" si="14"/>
        <v>49.999999999937245</v>
      </c>
      <c r="F73" s="433">
        <f t="shared" si="15"/>
        <v>-6.2755134422332048E-11</v>
      </c>
      <c r="J73" s="435">
        <f>67</f>
        <v>67</v>
      </c>
      <c r="K73" s="436">
        <f t="shared" si="19"/>
        <v>-6.7040535371982681</v>
      </c>
      <c r="L73" s="436">
        <f t="shared" si="20"/>
        <v>4</v>
      </c>
      <c r="M73" s="436">
        <f t="shared" si="21"/>
        <v>6.9401998776230297E-11</v>
      </c>
      <c r="N73" s="436">
        <f t="shared" si="22"/>
        <v>2.7760799510492119E-10</v>
      </c>
      <c r="O73" s="436">
        <f t="shared" si="23"/>
        <v>-6.7333660371982678</v>
      </c>
      <c r="P73" s="436">
        <f t="shared" si="24"/>
        <v>5.6995566677931784E-11</v>
      </c>
      <c r="Q73" s="436">
        <f t="shared" si="25"/>
        <v>2.2798226671172714E-10</v>
      </c>
    </row>
    <row r="74" spans="1:17">
      <c r="A74" s="435">
        <f t="shared" si="16"/>
        <v>42</v>
      </c>
      <c r="B74" s="433">
        <f t="shared" si="17"/>
        <v>538.31650264425571</v>
      </c>
      <c r="C74" s="433">
        <f t="shared" si="18"/>
        <v>538.31650264471045</v>
      </c>
      <c r="D74" s="433">
        <f t="shared" si="13"/>
        <v>538.31650264448308</v>
      </c>
      <c r="E74" s="433">
        <f t="shared" si="14"/>
        <v>50.000000000081457</v>
      </c>
      <c r="F74" s="433">
        <f t="shared" si="15"/>
        <v>8.1456619227537885E-11</v>
      </c>
      <c r="J74" s="435">
        <f>68</f>
        <v>68</v>
      </c>
      <c r="K74" s="436">
        <f t="shared" si="19"/>
        <v>-6.6847110526788391</v>
      </c>
      <c r="L74" s="436">
        <f t="shared" si="20"/>
        <v>2</v>
      </c>
      <c r="M74" s="436">
        <f t="shared" si="21"/>
        <v>7.8996350390753812E-11</v>
      </c>
      <c r="N74" s="436">
        <f t="shared" si="22"/>
        <v>1.5799270078150762E-10</v>
      </c>
      <c r="O74" s="436">
        <f t="shared" si="23"/>
        <v>-6.7144610526788391</v>
      </c>
      <c r="P74" s="436">
        <f t="shared" si="24"/>
        <v>6.4721210013204838E-11</v>
      </c>
      <c r="Q74" s="436">
        <f t="shared" si="25"/>
        <v>1.2944242002640968E-10</v>
      </c>
    </row>
    <row r="75" spans="1:17">
      <c r="A75" s="435">
        <f t="shared" si="16"/>
        <v>43</v>
      </c>
      <c r="B75" s="433">
        <f t="shared" si="17"/>
        <v>538.31650264425571</v>
      </c>
      <c r="C75" s="433">
        <f t="shared" si="18"/>
        <v>538.31650264448308</v>
      </c>
      <c r="D75" s="433">
        <f t="shared" si="13"/>
        <v>538.31650264436939</v>
      </c>
      <c r="E75" s="433">
        <f t="shared" si="14"/>
        <v>50.000000000009322</v>
      </c>
      <c r="F75" s="433">
        <f t="shared" si="15"/>
        <v>9.3223206931725144E-12</v>
      </c>
      <c r="J75" s="435">
        <f>69</f>
        <v>69</v>
      </c>
      <c r="K75" s="436">
        <f t="shared" si="19"/>
        <v>-6.6653685681594101</v>
      </c>
      <c r="L75" s="436">
        <f t="shared" si="20"/>
        <v>4</v>
      </c>
      <c r="M75" s="436">
        <f t="shared" si="21"/>
        <v>8.9883420960466384E-11</v>
      </c>
      <c r="N75" s="436">
        <f t="shared" si="22"/>
        <v>3.5953368384186554E-10</v>
      </c>
      <c r="O75" s="436">
        <f t="shared" si="23"/>
        <v>-6.6955560681594104</v>
      </c>
      <c r="P75" s="436">
        <f t="shared" si="24"/>
        <v>7.3467788005777839E-11</v>
      </c>
      <c r="Q75" s="436">
        <f t="shared" si="25"/>
        <v>2.9387115202311136E-10</v>
      </c>
    </row>
    <row r="76" spans="1:17">
      <c r="A76" s="435">
        <f t="shared" si="16"/>
        <v>44</v>
      </c>
      <c r="B76" s="433">
        <f t="shared" si="17"/>
        <v>538.31650264425571</v>
      </c>
      <c r="C76" s="433">
        <f t="shared" si="18"/>
        <v>538.31650264436939</v>
      </c>
      <c r="D76" s="433">
        <f t="shared" si="13"/>
        <v>538.31650264431255</v>
      </c>
      <c r="E76" s="433">
        <f t="shared" si="14"/>
        <v>49.99999999997334</v>
      </c>
      <c r="F76" s="433">
        <f t="shared" si="15"/>
        <v>-2.6659563445718959E-11</v>
      </c>
      <c r="J76" s="435">
        <f>70</f>
        <v>70</v>
      </c>
      <c r="K76" s="436">
        <f t="shared" si="19"/>
        <v>-6.6460260836399812</v>
      </c>
      <c r="L76" s="436">
        <f t="shared" si="20"/>
        <v>2</v>
      </c>
      <c r="M76" s="436">
        <f t="shared" si="21"/>
        <v>1.0223266350808017E-10</v>
      </c>
      <c r="N76" s="436">
        <f t="shared" si="22"/>
        <v>2.0446532701616033E-10</v>
      </c>
      <c r="O76" s="436">
        <f t="shared" si="23"/>
        <v>-6.6766510836399817</v>
      </c>
      <c r="P76" s="436">
        <f t="shared" si="24"/>
        <v>8.3366598898345758E-11</v>
      </c>
      <c r="Q76" s="436">
        <f t="shared" si="25"/>
        <v>1.6673319779669152E-10</v>
      </c>
    </row>
    <row r="77" spans="1:17">
      <c r="A77" s="435">
        <f t="shared" si="16"/>
        <v>45</v>
      </c>
      <c r="B77" s="433">
        <f t="shared" si="17"/>
        <v>538.31650264431255</v>
      </c>
      <c r="C77" s="433">
        <f t="shared" si="18"/>
        <v>538.31650264436939</v>
      </c>
      <c r="D77" s="433">
        <f t="shared" si="13"/>
        <v>538.31650264434097</v>
      </c>
      <c r="E77" s="433">
        <f t="shared" si="14"/>
        <v>49.999999999991303</v>
      </c>
      <c r="F77" s="433">
        <f t="shared" si="15"/>
        <v>-8.6970430857036263E-12</v>
      </c>
      <c r="J77" s="435">
        <f>71</f>
        <v>71</v>
      </c>
      <c r="K77" s="436">
        <f t="shared" si="19"/>
        <v>-6.6266835991205522</v>
      </c>
      <c r="L77" s="436">
        <f t="shared" si="20"/>
        <v>4</v>
      </c>
      <c r="M77" s="436">
        <f t="shared" si="21"/>
        <v>1.1623509501100831E-10</v>
      </c>
      <c r="N77" s="436">
        <f t="shared" si="22"/>
        <v>4.6494038004403324E-10</v>
      </c>
      <c r="O77" s="436">
        <f t="shared" si="23"/>
        <v>-6.657746099120553</v>
      </c>
      <c r="P77" s="436">
        <f t="shared" si="24"/>
        <v>9.4565339841598287E-11</v>
      </c>
      <c r="Q77" s="436">
        <f t="shared" si="25"/>
        <v>3.7826135936639315E-10</v>
      </c>
    </row>
    <row r="78" spans="1:17">
      <c r="A78" s="435">
        <f t="shared" si="16"/>
        <v>46</v>
      </c>
      <c r="B78" s="433">
        <f t="shared" si="17"/>
        <v>538.31650264434097</v>
      </c>
      <c r="C78" s="433">
        <f t="shared" si="18"/>
        <v>538.31650264436939</v>
      </c>
      <c r="D78" s="433">
        <f t="shared" si="13"/>
        <v>538.31650264435518</v>
      </c>
      <c r="E78" s="433">
        <f t="shared" si="14"/>
        <v>50.000000000000341</v>
      </c>
      <c r="F78" s="433">
        <f t="shared" si="15"/>
        <v>3.4106051316484809E-13</v>
      </c>
      <c r="J78" s="435">
        <f>72</f>
        <v>72</v>
      </c>
      <c r="K78" s="436">
        <f t="shared" si="19"/>
        <v>-6.6073411146011241</v>
      </c>
      <c r="L78" s="436">
        <f t="shared" si="20"/>
        <v>2</v>
      </c>
      <c r="M78" s="436">
        <f t="shared" si="21"/>
        <v>1.3210595372740374E-10</v>
      </c>
      <c r="N78" s="436">
        <f t="shared" si="22"/>
        <v>2.6421190745480748E-10</v>
      </c>
      <c r="O78" s="436">
        <f t="shared" si="23"/>
        <v>-6.6388411146011235</v>
      </c>
      <c r="P78" s="436">
        <f t="shared" si="24"/>
        <v>1.0723009113970669E-10</v>
      </c>
      <c r="Q78" s="436">
        <f t="shared" si="25"/>
        <v>2.1446018227941338E-10</v>
      </c>
    </row>
    <row r="79" spans="1:17">
      <c r="A79" s="435">
        <f t="shared" si="16"/>
        <v>47</v>
      </c>
      <c r="B79" s="433">
        <f t="shared" si="17"/>
        <v>538.31650264434097</v>
      </c>
      <c r="C79" s="433">
        <f t="shared" si="18"/>
        <v>538.31650264435518</v>
      </c>
      <c r="D79" s="433">
        <f t="shared" si="13"/>
        <v>538.31650264434802</v>
      </c>
      <c r="E79" s="433">
        <f t="shared" si="14"/>
        <v>49.999999999995794</v>
      </c>
      <c r="F79" s="433">
        <f t="shared" si="15"/>
        <v>-4.2064129956997931E-12</v>
      </c>
      <c r="J79" s="435">
        <f>73</f>
        <v>73</v>
      </c>
      <c r="K79" s="436">
        <f t="shared" si="19"/>
        <v>-6.5879986300816951</v>
      </c>
      <c r="L79" s="436">
        <f t="shared" si="20"/>
        <v>4</v>
      </c>
      <c r="M79" s="436">
        <f t="shared" si="21"/>
        <v>1.5008767265717036E-10</v>
      </c>
      <c r="N79" s="436">
        <f t="shared" si="22"/>
        <v>6.0035069062868143E-10</v>
      </c>
      <c r="O79" s="436">
        <f t="shared" si="23"/>
        <v>-6.6199361300816948</v>
      </c>
      <c r="P79" s="436">
        <f t="shared" si="24"/>
        <v>1.2154753239993578E-10</v>
      </c>
      <c r="Q79" s="436">
        <f t="shared" si="25"/>
        <v>4.8619012959974314E-10</v>
      </c>
    </row>
    <row r="80" spans="1:17">
      <c r="A80" s="435">
        <f t="shared" si="16"/>
        <v>48</v>
      </c>
      <c r="B80" s="433">
        <f t="shared" si="17"/>
        <v>538.31650264434802</v>
      </c>
      <c r="C80" s="433">
        <f t="shared" si="18"/>
        <v>538.31650264435518</v>
      </c>
      <c r="D80" s="433">
        <f t="shared" si="13"/>
        <v>538.31650264435166</v>
      </c>
      <c r="E80" s="433">
        <f t="shared" si="14"/>
        <v>49.999999999998124</v>
      </c>
      <c r="F80" s="433">
        <f t="shared" si="15"/>
        <v>-1.8758328224066645E-12</v>
      </c>
      <c r="J80" s="435">
        <f>74</f>
        <v>74</v>
      </c>
      <c r="K80" s="436">
        <f t="shared" si="19"/>
        <v>-6.5686561455622661</v>
      </c>
      <c r="L80" s="436">
        <f t="shared" si="20"/>
        <v>2</v>
      </c>
      <c r="M80" s="436">
        <f t="shared" si="21"/>
        <v>1.7045320531000752E-10</v>
      </c>
      <c r="N80" s="436">
        <f t="shared" si="22"/>
        <v>3.4090641062001504E-10</v>
      </c>
      <c r="O80" s="436">
        <f t="shared" si="23"/>
        <v>-6.6010311455622661</v>
      </c>
      <c r="P80" s="436">
        <f t="shared" si="24"/>
        <v>1.377274166696816E-10</v>
      </c>
      <c r="Q80" s="436">
        <f t="shared" si="25"/>
        <v>2.7545483333936321E-10</v>
      </c>
    </row>
    <row r="81" spans="1:17">
      <c r="A81" s="435">
        <f t="shared" si="16"/>
        <v>49</v>
      </c>
      <c r="B81" s="433">
        <f t="shared" si="17"/>
        <v>538.31650264435166</v>
      </c>
      <c r="C81" s="433">
        <f t="shared" si="18"/>
        <v>538.31650264435518</v>
      </c>
      <c r="D81" s="433">
        <f t="shared" si="13"/>
        <v>538.31650264435348</v>
      </c>
      <c r="E81" s="433">
        <f t="shared" si="14"/>
        <v>49.999999999999204</v>
      </c>
      <c r="F81" s="433">
        <f t="shared" si="15"/>
        <v>-7.9580786405131221E-13</v>
      </c>
      <c r="J81" s="435">
        <f>75</f>
        <v>75</v>
      </c>
      <c r="K81" s="436">
        <f t="shared" si="19"/>
        <v>-6.5493136610428371</v>
      </c>
      <c r="L81" s="436">
        <f t="shared" si="20"/>
        <v>4</v>
      </c>
      <c r="M81" s="436">
        <f t="shared" si="21"/>
        <v>1.9350974391412296E-10</v>
      </c>
      <c r="N81" s="436">
        <f t="shared" si="22"/>
        <v>7.7403897565649182E-10</v>
      </c>
      <c r="O81" s="436">
        <f t="shared" si="23"/>
        <v>-6.5821261610428374</v>
      </c>
      <c r="P81" s="436">
        <f t="shared" si="24"/>
        <v>1.5600533145446426E-10</v>
      </c>
      <c r="Q81" s="436">
        <f t="shared" si="25"/>
        <v>6.2402132581785704E-10</v>
      </c>
    </row>
    <row r="82" spans="1:17">
      <c r="A82" s="435">
        <f t="shared" si="16"/>
        <v>50</v>
      </c>
      <c r="B82" s="433">
        <f t="shared" si="17"/>
        <v>538.31650264435348</v>
      </c>
      <c r="C82" s="433">
        <f t="shared" si="18"/>
        <v>538.31650264435518</v>
      </c>
      <c r="D82" s="433">
        <f t="shared" si="13"/>
        <v>538.31650264435439</v>
      </c>
      <c r="E82" s="433">
        <f t="shared" si="14"/>
        <v>49.999999999999886</v>
      </c>
      <c r="F82" s="433">
        <f t="shared" si="15"/>
        <v>-1.1368683772161603E-13</v>
      </c>
      <c r="J82" s="435">
        <f>76</f>
        <v>76</v>
      </c>
      <c r="K82" s="436">
        <f t="shared" si="19"/>
        <v>-6.5299711765234081</v>
      </c>
      <c r="L82" s="436">
        <f t="shared" si="20"/>
        <v>2</v>
      </c>
      <c r="M82" s="436">
        <f t="shared" si="21"/>
        <v>2.1960287457353202E-10</v>
      </c>
      <c r="N82" s="436">
        <f t="shared" si="22"/>
        <v>4.3920574914706405E-10</v>
      </c>
      <c r="O82" s="436">
        <f t="shared" si="23"/>
        <v>-6.5632211765234088</v>
      </c>
      <c r="P82" s="436">
        <f t="shared" si="24"/>
        <v>1.7664577860896068E-10</v>
      </c>
      <c r="Q82" s="436">
        <f t="shared" si="25"/>
        <v>3.5329155721792137E-10</v>
      </c>
    </row>
    <row r="83" spans="1:17">
      <c r="A83" s="435">
        <f t="shared" si="16"/>
        <v>51</v>
      </c>
      <c r="B83" s="433">
        <f t="shared" si="17"/>
        <v>538.31650264435439</v>
      </c>
      <c r="C83" s="433">
        <f t="shared" si="18"/>
        <v>538.31650264435518</v>
      </c>
      <c r="D83" s="433">
        <f t="shared" si="13"/>
        <v>538.31650264435484</v>
      </c>
      <c r="E83" s="433">
        <f t="shared" si="14"/>
        <v>50.000000000000171</v>
      </c>
      <c r="F83" s="433">
        <f t="shared" si="15"/>
        <v>1.7053025658242404E-13</v>
      </c>
      <c r="J83" s="435">
        <f>77</f>
        <v>77</v>
      </c>
      <c r="K83" s="436">
        <f t="shared" si="19"/>
        <v>-6.51062869200398</v>
      </c>
      <c r="L83" s="436">
        <f t="shared" si="20"/>
        <v>4</v>
      </c>
      <c r="M83" s="436">
        <f t="shared" si="21"/>
        <v>2.4912121870935549E-10</v>
      </c>
      <c r="N83" s="436">
        <f t="shared" si="22"/>
        <v>9.9648487483742195E-10</v>
      </c>
      <c r="O83" s="436">
        <f t="shared" si="23"/>
        <v>-6.5443161920039792</v>
      </c>
      <c r="P83" s="436">
        <f t="shared" si="24"/>
        <v>1.9994560850790212E-10</v>
      </c>
      <c r="Q83" s="436">
        <f t="shared" si="25"/>
        <v>7.9978243403160848E-10</v>
      </c>
    </row>
    <row r="84" spans="1:17">
      <c r="A84" s="435">
        <f t="shared" si="16"/>
        <v>52</v>
      </c>
      <c r="B84" s="433">
        <f t="shared" si="17"/>
        <v>538.31650264435439</v>
      </c>
      <c r="C84" s="433">
        <f t="shared" si="18"/>
        <v>538.31650264435484</v>
      </c>
      <c r="D84" s="433">
        <f t="shared" si="13"/>
        <v>538.31650264435461</v>
      </c>
      <c r="E84" s="433">
        <f t="shared" si="14"/>
        <v>50.000000000000057</v>
      </c>
      <c r="F84" s="433">
        <f t="shared" si="15"/>
        <v>5.6843418860808015E-14</v>
      </c>
      <c r="J84" s="435">
        <f>78</f>
        <v>78</v>
      </c>
      <c r="K84" s="436">
        <f t="shared" si="19"/>
        <v>-6.491286207484551</v>
      </c>
      <c r="L84" s="436">
        <f t="shared" si="20"/>
        <v>2</v>
      </c>
      <c r="M84" s="436">
        <f t="shared" si="21"/>
        <v>2.8250161544557254E-10</v>
      </c>
      <c r="N84" s="436">
        <f t="shared" si="22"/>
        <v>5.6500323089114507E-10</v>
      </c>
      <c r="O84" s="436">
        <f t="shared" si="23"/>
        <v>-6.5254112074845505</v>
      </c>
      <c r="P84" s="436">
        <f t="shared" si="24"/>
        <v>2.2623784766506279E-10</v>
      </c>
      <c r="Q84" s="436">
        <f t="shared" si="25"/>
        <v>4.5247569533012559E-10</v>
      </c>
    </row>
    <row r="85" spans="1:17">
      <c r="A85" s="435">
        <f t="shared" si="16"/>
        <v>53</v>
      </c>
      <c r="B85" s="433">
        <f t="shared" si="17"/>
        <v>538.31650264435439</v>
      </c>
      <c r="C85" s="433">
        <f t="shared" si="18"/>
        <v>538.31650264435461</v>
      </c>
      <c r="D85" s="433">
        <f t="shared" si="13"/>
        <v>538.3165026443545</v>
      </c>
      <c r="E85" s="433">
        <f t="shared" si="14"/>
        <v>49.999999999999943</v>
      </c>
      <c r="F85" s="433">
        <f t="shared" si="15"/>
        <v>-5.6843418860808015E-14</v>
      </c>
      <c r="J85" s="435">
        <f>79</f>
        <v>79</v>
      </c>
      <c r="K85" s="436">
        <f t="shared" si="19"/>
        <v>-6.471943722965122</v>
      </c>
      <c r="L85" s="436">
        <f t="shared" si="20"/>
        <v>4</v>
      </c>
      <c r="M85" s="436">
        <f t="shared" si="21"/>
        <v>3.2023490547040792E-10</v>
      </c>
      <c r="N85" s="436">
        <f t="shared" si="22"/>
        <v>1.2809396218816317E-9</v>
      </c>
      <c r="O85" s="436">
        <f t="shared" si="23"/>
        <v>-6.5065062229651218</v>
      </c>
      <c r="P85" s="436">
        <f t="shared" si="24"/>
        <v>2.5589596310987382E-10</v>
      </c>
      <c r="Q85" s="436">
        <f t="shared" si="25"/>
        <v>1.0235838524394953E-9</v>
      </c>
    </row>
    <row r="86" spans="1:17">
      <c r="A86" s="435">
        <f t="shared" si="16"/>
        <v>54</v>
      </c>
      <c r="B86" s="433">
        <f t="shared" si="17"/>
        <v>538.3165026443545</v>
      </c>
      <c r="C86" s="433">
        <f t="shared" si="18"/>
        <v>538.31650264435461</v>
      </c>
      <c r="D86" s="433">
        <f t="shared" si="13"/>
        <v>538.31650264435461</v>
      </c>
      <c r="E86" s="433">
        <f t="shared" si="14"/>
        <v>50.000000000000057</v>
      </c>
      <c r="F86" s="433">
        <f t="shared" si="15"/>
        <v>5.6843418860808015E-14</v>
      </c>
      <c r="J86" s="435">
        <f>80</f>
        <v>80</v>
      </c>
      <c r="K86" s="436">
        <f t="shared" si="19"/>
        <v>-6.452601238445693</v>
      </c>
      <c r="L86" s="436">
        <f t="shared" si="20"/>
        <v>2</v>
      </c>
      <c r="M86" s="436">
        <f t="shared" si="21"/>
        <v>3.628723833737477E-10</v>
      </c>
      <c r="N86" s="436">
        <f t="shared" si="22"/>
        <v>7.257447667474954E-10</v>
      </c>
      <c r="O86" s="436">
        <f t="shared" si="23"/>
        <v>-6.4876012384456931</v>
      </c>
      <c r="P86" s="436">
        <f t="shared" si="24"/>
        <v>2.8933861138838225E-10</v>
      </c>
      <c r="Q86" s="436">
        <f t="shared" si="25"/>
        <v>5.7867722277676449E-10</v>
      </c>
    </row>
    <row r="87" spans="1:17">
      <c r="A87" s="435">
        <f t="shared" si="16"/>
        <v>55</v>
      </c>
      <c r="B87" s="433">
        <f t="shared" si="17"/>
        <v>538.3165026443545</v>
      </c>
      <c r="C87" s="433">
        <f t="shared" si="18"/>
        <v>538.31650264435461</v>
      </c>
      <c r="D87" s="433">
        <f t="shared" si="13"/>
        <v>538.31650264435461</v>
      </c>
      <c r="E87" s="433">
        <f t="shared" si="14"/>
        <v>50.000000000000057</v>
      </c>
      <c r="F87" s="433">
        <f t="shared" si="15"/>
        <v>5.6843418860808015E-14</v>
      </c>
      <c r="J87" s="435">
        <f>81</f>
        <v>81</v>
      </c>
      <c r="K87" s="436">
        <f t="shared" si="19"/>
        <v>-6.433258753926264</v>
      </c>
      <c r="L87" s="436">
        <f t="shared" si="20"/>
        <v>4</v>
      </c>
      <c r="M87" s="436">
        <f t="shared" si="21"/>
        <v>4.1103299258581153E-10</v>
      </c>
      <c r="N87" s="436">
        <f t="shared" si="22"/>
        <v>1.6441319703432461E-9</v>
      </c>
      <c r="O87" s="436">
        <f t="shared" si="23"/>
        <v>-6.4686962539262645</v>
      </c>
      <c r="P87" s="436">
        <f t="shared" si="24"/>
        <v>3.2703492506794288E-10</v>
      </c>
      <c r="Q87" s="436">
        <f t="shared" si="25"/>
        <v>1.3081397002717715E-9</v>
      </c>
    </row>
    <row r="88" spans="1:17">
      <c r="A88" s="435">
        <f t="shared" si="16"/>
        <v>56</v>
      </c>
      <c r="B88" s="433">
        <f t="shared" si="17"/>
        <v>538.3165026443545</v>
      </c>
      <c r="C88" s="433">
        <f t="shared" si="18"/>
        <v>538.31650264435461</v>
      </c>
      <c r="D88" s="433">
        <f t="shared" si="13"/>
        <v>538.31650264435461</v>
      </c>
      <c r="E88" s="433">
        <f t="shared" si="14"/>
        <v>50.000000000000057</v>
      </c>
      <c r="F88" s="433">
        <f t="shared" si="15"/>
        <v>5.6843418860808015E-14</v>
      </c>
      <c r="J88" s="435">
        <f>82</f>
        <v>82</v>
      </c>
      <c r="K88" s="436">
        <f t="shared" si="19"/>
        <v>-6.413916269406835</v>
      </c>
      <c r="L88" s="436">
        <f t="shared" si="20"/>
        <v>2</v>
      </c>
      <c r="M88" s="436">
        <f t="shared" si="21"/>
        <v>4.6541134488535958E-10</v>
      </c>
      <c r="N88" s="436">
        <f t="shared" si="22"/>
        <v>9.3082268977071917E-10</v>
      </c>
      <c r="O88" s="436">
        <f t="shared" si="23"/>
        <v>-6.4497912694068358</v>
      </c>
      <c r="P88" s="436">
        <f t="shared" si="24"/>
        <v>3.6951039513569112E-10</v>
      </c>
      <c r="Q88" s="436">
        <f t="shared" si="25"/>
        <v>7.3902079027138224E-10</v>
      </c>
    </row>
    <row r="89" spans="1:17">
      <c r="A89" s="435">
        <f t="shared" si="16"/>
        <v>57</v>
      </c>
      <c r="B89" s="433">
        <f t="shared" si="17"/>
        <v>538.3165026443545</v>
      </c>
      <c r="C89" s="433">
        <f t="shared" si="18"/>
        <v>538.31650264435461</v>
      </c>
      <c r="D89" s="433">
        <f t="shared" si="13"/>
        <v>538.31650264435461</v>
      </c>
      <c r="E89" s="433">
        <f t="shared" si="14"/>
        <v>50.000000000000057</v>
      </c>
      <c r="F89" s="433">
        <f t="shared" si="15"/>
        <v>5.6843418860808015E-14</v>
      </c>
      <c r="J89" s="435">
        <f>83</f>
        <v>83</v>
      </c>
      <c r="K89" s="436">
        <f t="shared" si="19"/>
        <v>-6.394573784887406</v>
      </c>
      <c r="L89" s="436">
        <f t="shared" si="20"/>
        <v>4</v>
      </c>
      <c r="M89" s="436">
        <f t="shared" si="21"/>
        <v>5.2678665507478859E-10</v>
      </c>
      <c r="N89" s="436">
        <f t="shared" si="22"/>
        <v>2.1071466202991544E-9</v>
      </c>
      <c r="O89" s="436">
        <f t="shared" si="23"/>
        <v>-6.4308862848874071</v>
      </c>
      <c r="P89" s="436">
        <f t="shared" si="24"/>
        <v>4.1735341373623628E-10</v>
      </c>
      <c r="Q89" s="436">
        <f t="shared" si="25"/>
        <v>1.6694136549449451E-9</v>
      </c>
    </row>
    <row r="90" spans="1:17">
      <c r="A90" s="435">
        <f t="shared" si="16"/>
        <v>58</v>
      </c>
      <c r="B90" s="433">
        <f t="shared" si="17"/>
        <v>538.3165026443545</v>
      </c>
      <c r="C90" s="433">
        <f t="shared" si="18"/>
        <v>538.31650264435461</v>
      </c>
      <c r="D90" s="433">
        <f t="shared" si="13"/>
        <v>538.31650264435461</v>
      </c>
      <c r="E90" s="433">
        <f t="shared" si="14"/>
        <v>50.000000000000057</v>
      </c>
      <c r="F90" s="433">
        <f t="shared" si="15"/>
        <v>5.6843418860808015E-14</v>
      </c>
      <c r="J90" s="435">
        <f>84</f>
        <v>84</v>
      </c>
      <c r="K90" s="436">
        <f t="shared" si="19"/>
        <v>-6.3752313003679779</v>
      </c>
      <c r="L90" s="436">
        <f t="shared" si="20"/>
        <v>2</v>
      </c>
      <c r="M90" s="436">
        <f t="shared" si="21"/>
        <v>5.960326909085104E-10</v>
      </c>
      <c r="N90" s="436">
        <f t="shared" si="22"/>
        <v>1.1920653818170208E-9</v>
      </c>
      <c r="O90" s="436">
        <f t="shared" si="23"/>
        <v>-6.4119813003679775</v>
      </c>
      <c r="P90" s="436">
        <f t="shared" si="24"/>
        <v>4.7122254834463627E-10</v>
      </c>
      <c r="Q90" s="436">
        <f t="shared" si="25"/>
        <v>9.4244509668927254E-10</v>
      </c>
    </row>
    <row r="91" spans="1:17">
      <c r="A91" s="435">
        <f t="shared" si="16"/>
        <v>59</v>
      </c>
      <c r="B91" s="433">
        <f t="shared" si="17"/>
        <v>538.3165026443545</v>
      </c>
      <c r="C91" s="433">
        <f t="shared" si="18"/>
        <v>538.31650264435461</v>
      </c>
      <c r="D91" s="433">
        <f t="shared" si="13"/>
        <v>538.31650264435461</v>
      </c>
      <c r="E91" s="433">
        <f t="shared" si="14"/>
        <v>50.000000000000057</v>
      </c>
      <c r="F91" s="433">
        <f t="shared" si="15"/>
        <v>5.6843418860808015E-14</v>
      </c>
      <c r="J91" s="435">
        <f>85</f>
        <v>85</v>
      </c>
      <c r="K91" s="436">
        <f t="shared" si="19"/>
        <v>-6.3558888158485489</v>
      </c>
      <c r="L91" s="436">
        <f t="shared" si="20"/>
        <v>4</v>
      </c>
      <c r="M91" s="436">
        <f t="shared" si="21"/>
        <v>6.7412884879021048E-10</v>
      </c>
      <c r="N91" s="436">
        <f t="shared" si="22"/>
        <v>2.6965153951608419E-9</v>
      </c>
      <c r="O91" s="436">
        <f t="shared" si="23"/>
        <v>-6.3930763158485489</v>
      </c>
      <c r="P91" s="436">
        <f t="shared" si="24"/>
        <v>5.3185462577135151E-10</v>
      </c>
      <c r="Q91" s="436">
        <f t="shared" si="25"/>
        <v>2.127418503085406E-9</v>
      </c>
    </row>
    <row r="92" spans="1:17">
      <c r="A92" s="435">
        <f t="shared" si="16"/>
        <v>60</v>
      </c>
      <c r="B92" s="433">
        <f t="shared" si="17"/>
        <v>538.3165026443545</v>
      </c>
      <c r="C92" s="433">
        <f t="shared" si="18"/>
        <v>538.31650264435461</v>
      </c>
      <c r="D92" s="433">
        <f t="shared" si="13"/>
        <v>538.31650264435461</v>
      </c>
      <c r="E92" s="433">
        <f t="shared" si="14"/>
        <v>50.000000000000057</v>
      </c>
      <c r="F92" s="433">
        <f t="shared" si="15"/>
        <v>5.6843418860808015E-14</v>
      </c>
      <c r="J92" s="435">
        <f>86</f>
        <v>86</v>
      </c>
      <c r="K92" s="436">
        <f t="shared" si="19"/>
        <v>-6.3365463313291199</v>
      </c>
      <c r="L92" s="436">
        <f t="shared" si="20"/>
        <v>2</v>
      </c>
      <c r="M92" s="436">
        <f t="shared" si="21"/>
        <v>7.6217247721115514E-10</v>
      </c>
      <c r="N92" s="436">
        <f t="shared" si="22"/>
        <v>1.5243449544223103E-9</v>
      </c>
      <c r="O92" s="436">
        <f t="shared" si="23"/>
        <v>-6.3741713313291202</v>
      </c>
      <c r="P92" s="436">
        <f t="shared" si="24"/>
        <v>6.0007371240635335E-10</v>
      </c>
      <c r="Q92" s="436">
        <f t="shared" si="25"/>
        <v>1.2001474248127067E-9</v>
      </c>
    </row>
    <row r="93" spans="1:17">
      <c r="J93" s="435">
        <f>87</f>
        <v>87</v>
      </c>
      <c r="K93" s="436">
        <f t="shared" si="19"/>
        <v>-6.3172038468096909</v>
      </c>
      <c r="L93" s="436">
        <f t="shared" si="20"/>
        <v>4</v>
      </c>
      <c r="M93" s="436">
        <f t="shared" si="21"/>
        <v>8.6139258248033527E-10</v>
      </c>
      <c r="N93" s="436">
        <f t="shared" si="22"/>
        <v>3.4455703299213411E-9</v>
      </c>
      <c r="O93" s="436">
        <f t="shared" si="23"/>
        <v>-6.3552663468096915</v>
      </c>
      <c r="P93" s="436">
        <f t="shared" si="24"/>
        <v>6.7680108589419388E-10</v>
      </c>
      <c r="Q93" s="436">
        <f t="shared" si="25"/>
        <v>2.7072043435767755E-9</v>
      </c>
    </row>
    <row r="94" spans="1:17">
      <c r="J94" s="435">
        <f>88</f>
        <v>88</v>
      </c>
      <c r="K94" s="436">
        <f t="shared" si="19"/>
        <v>-6.2978613622902628</v>
      </c>
      <c r="L94" s="436">
        <f t="shared" si="20"/>
        <v>2</v>
      </c>
      <c r="M94" s="436">
        <f t="shared" si="21"/>
        <v>9.7316506510038219E-10</v>
      </c>
      <c r="N94" s="436">
        <f t="shared" si="22"/>
        <v>1.9463301302007644E-9</v>
      </c>
      <c r="O94" s="436">
        <f t="shared" si="23"/>
        <v>-6.3363613622902619</v>
      </c>
      <c r="P94" s="436">
        <f t="shared" si="24"/>
        <v>7.6306630306094576E-10</v>
      </c>
      <c r="Q94" s="436">
        <f t="shared" si="25"/>
        <v>1.5261326061218915E-9</v>
      </c>
    </row>
    <row r="95" spans="1:17">
      <c r="A95" s="443"/>
      <c r="B95" s="443"/>
      <c r="C95" s="443"/>
      <c r="D95" s="443"/>
      <c r="E95" s="443"/>
      <c r="F95" s="443"/>
      <c r="G95" s="443"/>
      <c r="H95" s="443"/>
      <c r="J95" s="435">
        <f>89</f>
        <v>89</v>
      </c>
      <c r="K95" s="436">
        <f t="shared" si="19"/>
        <v>-6.2785188777708338</v>
      </c>
      <c r="L95" s="436">
        <f t="shared" si="20"/>
        <v>4</v>
      </c>
      <c r="M95" s="436">
        <f t="shared" si="21"/>
        <v>1.0990296502822325E-9</v>
      </c>
      <c r="N95" s="436">
        <f t="shared" si="22"/>
        <v>4.3961186011289302E-9</v>
      </c>
      <c r="O95" s="436">
        <f t="shared" si="23"/>
        <v>-6.3174563777708332</v>
      </c>
      <c r="P95" s="436">
        <f t="shared" si="24"/>
        <v>8.6001947946318238E-10</v>
      </c>
      <c r="Q95" s="436">
        <f t="shared" si="25"/>
        <v>3.4400779178527295E-9</v>
      </c>
    </row>
    <row r="96" spans="1:17">
      <c r="B96" s="416"/>
      <c r="J96" s="435">
        <f>90</f>
        <v>90</v>
      </c>
      <c r="K96" s="436">
        <f t="shared" si="19"/>
        <v>-6.2591763932514048</v>
      </c>
      <c r="L96" s="436">
        <f t="shared" si="20"/>
        <v>2</v>
      </c>
      <c r="M96" s="436">
        <f t="shared" si="21"/>
        <v>1.240708692686789E-9</v>
      </c>
      <c r="N96" s="436">
        <f t="shared" si="22"/>
        <v>2.4814173853735781E-9</v>
      </c>
      <c r="O96" s="436">
        <f t="shared" si="23"/>
        <v>-6.2985513932514046</v>
      </c>
      <c r="P96" s="436">
        <f t="shared" si="24"/>
        <v>9.6894490748087513E-10</v>
      </c>
      <c r="Q96" s="436">
        <f t="shared" si="25"/>
        <v>1.9378898149617503E-9</v>
      </c>
    </row>
    <row r="97" spans="1:17">
      <c r="B97" s="416"/>
      <c r="J97" s="435">
        <f>91</f>
        <v>91</v>
      </c>
      <c r="K97" s="436">
        <f t="shared" si="19"/>
        <v>-6.2398339087319759</v>
      </c>
      <c r="L97" s="436">
        <f t="shared" si="20"/>
        <v>4</v>
      </c>
      <c r="M97" s="436">
        <f t="shared" si="21"/>
        <v>1.4001280536640732E-9</v>
      </c>
      <c r="N97" s="436">
        <f t="shared" si="22"/>
        <v>5.600512214656293E-9</v>
      </c>
      <c r="O97" s="436">
        <f t="shared" si="23"/>
        <v>-6.2796464087319759</v>
      </c>
      <c r="P97" s="436">
        <f t="shared" si="24"/>
        <v>1.0912761525188409E-9</v>
      </c>
      <c r="Q97" s="436">
        <f t="shared" si="25"/>
        <v>4.3651046100753634E-9</v>
      </c>
    </row>
    <row r="98" spans="1:17">
      <c r="J98" s="435">
        <f>92</f>
        <v>92</v>
      </c>
      <c r="K98" s="436">
        <f t="shared" si="19"/>
        <v>-6.2204914242125469</v>
      </c>
      <c r="L98" s="436">
        <f t="shared" si="20"/>
        <v>2</v>
      </c>
      <c r="M98" s="436">
        <f t="shared" si="21"/>
        <v>1.5794402691701241E-9</v>
      </c>
      <c r="N98" s="436">
        <f t="shared" si="22"/>
        <v>3.1588805383402481E-9</v>
      </c>
      <c r="O98" s="436">
        <f t="shared" si="23"/>
        <v>-6.2607414242125472</v>
      </c>
      <c r="P98" s="436">
        <f t="shared" si="24"/>
        <v>1.2286127807117001E-9</v>
      </c>
      <c r="Q98" s="436">
        <f t="shared" si="25"/>
        <v>2.4572255614234003E-9</v>
      </c>
    </row>
    <row r="99" spans="1:17">
      <c r="A99" s="446"/>
      <c r="B99" s="447"/>
      <c r="C99" s="446"/>
      <c r="D99" s="446"/>
      <c r="E99" s="446"/>
      <c r="F99" s="446"/>
      <c r="G99" s="446"/>
      <c r="H99" s="446"/>
      <c r="J99" s="435">
        <f>93</f>
        <v>93</v>
      </c>
      <c r="K99" s="436">
        <f t="shared" si="19"/>
        <v>-6.2011489396931179</v>
      </c>
      <c r="L99" s="436">
        <f t="shared" si="20"/>
        <v>4</v>
      </c>
      <c r="M99" s="436">
        <f t="shared" si="21"/>
        <v>1.7810502483322947E-9</v>
      </c>
      <c r="N99" s="436">
        <f t="shared" si="22"/>
        <v>7.124200993329179E-9</v>
      </c>
      <c r="O99" s="436">
        <f t="shared" si="23"/>
        <v>-6.2418364396931185</v>
      </c>
      <c r="P99" s="436">
        <f t="shared" si="24"/>
        <v>1.3827388866485662E-9</v>
      </c>
      <c r="Q99" s="436">
        <f t="shared" si="25"/>
        <v>5.5309555465942649E-9</v>
      </c>
    </row>
    <row r="100" spans="1:17">
      <c r="J100" s="435">
        <f>94</f>
        <v>94</v>
      </c>
      <c r="K100" s="436">
        <f t="shared" si="19"/>
        <v>-6.1818064551736889</v>
      </c>
      <c r="L100" s="436">
        <f t="shared" si="20"/>
        <v>2</v>
      </c>
      <c r="M100" s="436">
        <f t="shared" si="21"/>
        <v>2.0076437664689293E-9</v>
      </c>
      <c r="N100" s="436">
        <f t="shared" si="22"/>
        <v>4.0152875329378586E-9</v>
      </c>
      <c r="O100" s="436">
        <f t="shared" si="23"/>
        <v>-6.2229314551736898</v>
      </c>
      <c r="P100" s="436">
        <f t="shared" si="24"/>
        <v>1.5556436061582192E-9</v>
      </c>
      <c r="Q100" s="436">
        <f t="shared" si="25"/>
        <v>3.1112872123164383E-9</v>
      </c>
    </row>
    <row r="101" spans="1:17">
      <c r="J101" s="435">
        <f>95</f>
        <v>95</v>
      </c>
      <c r="K101" s="436">
        <f t="shared" si="19"/>
        <v>-6.1624639706542608</v>
      </c>
      <c r="L101" s="436">
        <f t="shared" si="20"/>
        <v>4</v>
      </c>
      <c r="M101" s="436">
        <f t="shared" si="21"/>
        <v>2.2622190424278565E-9</v>
      </c>
      <c r="N101" s="436">
        <f t="shared" si="22"/>
        <v>9.048876169711426E-9</v>
      </c>
      <c r="O101" s="436">
        <f t="shared" si="23"/>
        <v>-6.2040264706542603</v>
      </c>
      <c r="P101" s="436">
        <f t="shared" si="24"/>
        <v>1.7495438172443985E-9</v>
      </c>
      <c r="Q101" s="436">
        <f t="shared" si="25"/>
        <v>6.9981752689775942E-9</v>
      </c>
    </row>
    <row r="102" spans="1:17">
      <c r="J102" s="435">
        <f>96</f>
        <v>96</v>
      </c>
      <c r="K102" s="436">
        <f t="shared" si="19"/>
        <v>-6.1431214861348318</v>
      </c>
      <c r="L102" s="436">
        <f t="shared" si="20"/>
        <v>2</v>
      </c>
      <c r="M102" s="436">
        <f t="shared" si="21"/>
        <v>2.5481217185813372E-9</v>
      </c>
      <c r="N102" s="436">
        <f t="shared" si="22"/>
        <v>5.0962434371626743E-9</v>
      </c>
      <c r="O102" s="436">
        <f t="shared" si="23"/>
        <v>-6.1851214861348316</v>
      </c>
      <c r="P102" s="436">
        <f t="shared" si="24"/>
        <v>1.9669092519642032E-9</v>
      </c>
      <c r="Q102" s="436">
        <f t="shared" si="25"/>
        <v>3.9338185039284064E-9</v>
      </c>
    </row>
    <row r="103" spans="1:17">
      <c r="J103" s="435">
        <f>97</f>
        <v>97</v>
      </c>
      <c r="K103" s="436">
        <f t="shared" si="19"/>
        <v>-6.1237790016154028</v>
      </c>
      <c r="L103" s="436">
        <f t="shared" si="20"/>
        <v>4</v>
      </c>
      <c r="M103" s="436">
        <f t="shared" si="21"/>
        <v>2.8690835929098814E-9</v>
      </c>
      <c r="N103" s="436">
        <f t="shared" si="22"/>
        <v>1.1476334371639526E-8</v>
      </c>
      <c r="O103" s="436">
        <f t="shared" si="23"/>
        <v>-6.1662165016154029</v>
      </c>
      <c r="P103" s="436">
        <f t="shared" si="24"/>
        <v>2.2104902635415657E-9</v>
      </c>
      <c r="Q103" s="436">
        <f t="shared" si="25"/>
        <v>8.8419610541662629E-9</v>
      </c>
    </row>
    <row r="104" spans="1:17">
      <c r="J104" s="435">
        <f>98</f>
        <v>98</v>
      </c>
      <c r="K104" s="436">
        <f t="shared" si="19"/>
        <v>-6.1044365170959738</v>
      </c>
      <c r="L104" s="436">
        <f t="shared" si="20"/>
        <v>2</v>
      </c>
      <c r="M104" s="436">
        <f t="shared" si="21"/>
        <v>3.2292654865472579E-9</v>
      </c>
      <c r="N104" s="436">
        <f t="shared" si="22"/>
        <v>6.4585309730945158E-9</v>
      </c>
      <c r="O104" s="436">
        <f t="shared" si="23"/>
        <v>-6.1473115170959742</v>
      </c>
      <c r="P104" s="436">
        <f t="shared" si="24"/>
        <v>2.4833485164530091E-9</v>
      </c>
      <c r="Q104" s="436">
        <f t="shared" si="25"/>
        <v>4.9666970329060183E-9</v>
      </c>
    </row>
    <row r="105" spans="1:17">
      <c r="J105" s="435">
        <f>99</f>
        <v>99</v>
      </c>
      <c r="K105" s="436">
        <f t="shared" si="19"/>
        <v>-6.0850940325765457</v>
      </c>
      <c r="L105" s="436">
        <f t="shared" si="20"/>
        <v>4</v>
      </c>
      <c r="M105" s="436">
        <f t="shared" si="21"/>
        <v>3.6333046671822404E-9</v>
      </c>
      <c r="N105" s="436">
        <f t="shared" si="22"/>
        <v>1.4533218668728962E-8</v>
      </c>
      <c r="O105" s="436">
        <f t="shared" si="23"/>
        <v>-6.1284065325765447</v>
      </c>
      <c r="P105" s="436">
        <f t="shared" si="24"/>
        <v>2.7888908927783143E-9</v>
      </c>
      <c r="Q105" s="436">
        <f t="shared" si="25"/>
        <v>1.1155563571113257E-8</v>
      </c>
    </row>
    <row r="106" spans="1:17">
      <c r="J106" s="435">
        <f>100</f>
        <v>100</v>
      </c>
      <c r="K106" s="436">
        <f t="shared" si="19"/>
        <v>-6.0657515480571167</v>
      </c>
      <c r="L106" s="436">
        <f t="shared" si="20"/>
        <v>2</v>
      </c>
      <c r="M106" s="436">
        <f t="shared" si="21"/>
        <v>4.0863672890796192E-9</v>
      </c>
      <c r="N106" s="436">
        <f t="shared" si="22"/>
        <v>8.1727345781592385E-9</v>
      </c>
      <c r="O106" s="436">
        <f t="shared" si="23"/>
        <v>-6.109501548057116</v>
      </c>
      <c r="P106" s="436">
        <f t="shared" si="24"/>
        <v>3.1309069359489234E-9</v>
      </c>
      <c r="Q106" s="436">
        <f t="shared" si="25"/>
        <v>6.2618138718978468E-9</v>
      </c>
    </row>
    <row r="107" spans="1:17">
      <c r="J107" s="435">
        <f>101</f>
        <v>101</v>
      </c>
      <c r="K107" s="436">
        <f t="shared" si="19"/>
        <v>-6.0464090635376877</v>
      </c>
      <c r="L107" s="436">
        <f t="shared" si="20"/>
        <v>4</v>
      </c>
      <c r="M107" s="436">
        <f t="shared" si="21"/>
        <v>4.5942063544683156E-9</v>
      </c>
      <c r="N107" s="436">
        <f t="shared" si="22"/>
        <v>1.8376825417873262E-8</v>
      </c>
      <c r="O107" s="436">
        <f t="shared" si="23"/>
        <v>-6.0905965635376873</v>
      </c>
      <c r="P107" s="436">
        <f t="shared" si="24"/>
        <v>3.5136101833407606E-9</v>
      </c>
      <c r="Q107" s="436">
        <f t="shared" si="25"/>
        <v>1.4054440733363042E-8</v>
      </c>
    </row>
    <row r="108" spans="1:17">
      <c r="J108" s="435">
        <f>102</f>
        <v>102</v>
      </c>
      <c r="K108" s="436">
        <f t="shared" si="19"/>
        <v>-6.0270665790182587</v>
      </c>
      <c r="L108" s="436">
        <f t="shared" si="20"/>
        <v>2</v>
      </c>
      <c r="M108" s="436">
        <f t="shared" si="21"/>
        <v>5.1632257489489658E-9</v>
      </c>
      <c r="N108" s="436">
        <f t="shared" si="22"/>
        <v>1.0326451497897932E-8</v>
      </c>
      <c r="O108" s="436">
        <f t="shared" si="23"/>
        <v>-6.0716915790182586</v>
      </c>
      <c r="P108" s="436">
        <f t="shared" si="24"/>
        <v>3.941683772147004E-9</v>
      </c>
      <c r="Q108" s="436">
        <f t="shared" si="25"/>
        <v>7.8833675442940079E-9</v>
      </c>
    </row>
    <row r="109" spans="1:17">
      <c r="J109" s="435">
        <f>103</f>
        <v>103</v>
      </c>
      <c r="K109" s="436">
        <f t="shared" si="19"/>
        <v>-6.0077240944988297</v>
      </c>
      <c r="L109" s="436">
        <f t="shared" si="20"/>
        <v>4</v>
      </c>
      <c r="M109" s="436">
        <f t="shared" si="21"/>
        <v>5.8005509557138296E-9</v>
      </c>
      <c r="N109" s="436">
        <f t="shared" si="22"/>
        <v>2.3202203822855318E-8</v>
      </c>
      <c r="O109" s="436">
        <f t="shared" si="23"/>
        <v>-6.0527865944988299</v>
      </c>
      <c r="P109" s="436">
        <f t="shared" si="24"/>
        <v>4.4203307388497985E-9</v>
      </c>
      <c r="Q109" s="436">
        <f t="shared" si="25"/>
        <v>1.7681322955399194E-8</v>
      </c>
    </row>
    <row r="110" spans="1:17">
      <c r="J110" s="435">
        <f>104</f>
        <v>104</v>
      </c>
      <c r="K110" s="436">
        <f t="shared" si="19"/>
        <v>-5.9883816099794007</v>
      </c>
      <c r="L110" s="436">
        <f t="shared" si="20"/>
        <v>2</v>
      </c>
      <c r="M110" s="436">
        <f t="shared" si="21"/>
        <v>6.5141071100936489E-9</v>
      </c>
      <c r="N110" s="436">
        <f t="shared" si="22"/>
        <v>1.3028214220187298E-8</v>
      </c>
      <c r="O110" s="436">
        <f t="shared" si="23"/>
        <v>-6.0338816099794013</v>
      </c>
      <c r="P110" s="436">
        <f t="shared" si="24"/>
        <v>4.9553294716173879E-9</v>
      </c>
      <c r="Q110" s="436">
        <f t="shared" si="25"/>
        <v>9.9106589432347758E-9</v>
      </c>
    </row>
    <row r="111" spans="1:17">
      <c r="J111" s="435">
        <f>105</f>
        <v>105</v>
      </c>
      <c r="K111" s="436">
        <f t="shared" si="19"/>
        <v>-5.9690391254599717</v>
      </c>
      <c r="L111" s="436">
        <f t="shared" si="20"/>
        <v>4</v>
      </c>
      <c r="M111" s="436">
        <f t="shared" si="21"/>
        <v>7.3127051176157559E-9</v>
      </c>
      <c r="N111" s="436">
        <f t="shared" si="22"/>
        <v>2.9250820470463024E-8</v>
      </c>
      <c r="O111" s="436">
        <f t="shared" si="23"/>
        <v>-6.0149766254599726</v>
      </c>
      <c r="P111" s="436">
        <f t="shared" si="24"/>
        <v>5.5530948173378477E-9</v>
      </c>
      <c r="Q111" s="436">
        <f t="shared" si="25"/>
        <v>2.2212379269351391E-8</v>
      </c>
    </row>
    <row r="112" spans="1:17">
      <c r="J112" s="435">
        <f>106</f>
        <v>106</v>
      </c>
      <c r="K112" s="436">
        <f t="shared" si="19"/>
        <v>-5.9496966409405427</v>
      </c>
      <c r="L112" s="436">
        <f t="shared" si="20"/>
        <v>2</v>
      </c>
      <c r="M112" s="436">
        <f t="shared" si="21"/>
        <v>8.2061366257676568E-9</v>
      </c>
      <c r="N112" s="436">
        <f t="shared" si="22"/>
        <v>1.6412273251535314E-8</v>
      </c>
      <c r="O112" s="436">
        <f t="shared" si="23"/>
        <v>-5.9960716409405439</v>
      </c>
      <c r="P112" s="436">
        <f t="shared" si="24"/>
        <v>6.2207453910275568E-9</v>
      </c>
      <c r="Q112" s="436">
        <f t="shared" si="25"/>
        <v>1.2441490782055114E-8</v>
      </c>
    </row>
    <row r="113" spans="10:17">
      <c r="J113" s="435">
        <f>107</f>
        <v>107</v>
      </c>
      <c r="K113" s="436">
        <f t="shared" si="19"/>
        <v>-5.9303541564211146</v>
      </c>
      <c r="L113" s="436">
        <f t="shared" si="20"/>
        <v>4</v>
      </c>
      <c r="M113" s="436">
        <f t="shared" si="21"/>
        <v>9.205278712434336E-9</v>
      </c>
      <c r="N113" s="436">
        <f t="shared" si="22"/>
        <v>3.6821114849737344E-8</v>
      </c>
      <c r="O113" s="436">
        <f t="shared" si="23"/>
        <v>-5.9771666564211143</v>
      </c>
      <c r="P113" s="436">
        <f t="shared" si="24"/>
        <v>6.9661776853088378E-9</v>
      </c>
      <c r="Q113" s="436">
        <f t="shared" si="25"/>
        <v>2.7864710741235351E-8</v>
      </c>
    </row>
    <row r="114" spans="10:17">
      <c r="J114" s="435">
        <f>108</f>
        <v>108</v>
      </c>
      <c r="K114" s="436">
        <f t="shared" si="19"/>
        <v>-5.9110116719016856</v>
      </c>
      <c r="L114" s="436">
        <f t="shared" si="20"/>
        <v>2</v>
      </c>
      <c r="M114" s="436">
        <f t="shared" si="21"/>
        <v>1.0322209232963277E-8</v>
      </c>
      <c r="N114" s="436">
        <f t="shared" si="22"/>
        <v>2.0644418465926553E-8</v>
      </c>
      <c r="O114" s="436">
        <f t="shared" si="23"/>
        <v>-5.9582616719016857</v>
      </c>
      <c r="P114" s="436">
        <f t="shared" si="24"/>
        <v>7.7981476318430792E-9</v>
      </c>
      <c r="Q114" s="436">
        <f t="shared" si="25"/>
        <v>1.5596295263686158E-8</v>
      </c>
    </row>
    <row r="115" spans="10:17">
      <c r="J115" s="435">
        <f>109</f>
        <v>109</v>
      </c>
      <c r="K115" s="436">
        <f t="shared" si="19"/>
        <v>-5.8916691873822566</v>
      </c>
      <c r="L115" s="436">
        <f t="shared" si="20"/>
        <v>4</v>
      </c>
      <c r="M115" s="436">
        <f t="shared" si="21"/>
        <v>1.157033385348923E-8</v>
      </c>
      <c r="N115" s="436">
        <f t="shared" si="22"/>
        <v>4.628133541395692E-8</v>
      </c>
      <c r="O115" s="436">
        <f t="shared" si="23"/>
        <v>-5.939356687382257</v>
      </c>
      <c r="P115" s="436">
        <f t="shared" si="24"/>
        <v>8.7263603253600512E-9</v>
      </c>
      <c r="Q115" s="436">
        <f t="shared" si="25"/>
        <v>3.4905441301440205E-8</v>
      </c>
    </row>
    <row r="116" spans="10:17">
      <c r="J116" s="435">
        <f>110</f>
        <v>110</v>
      </c>
      <c r="K116" s="436">
        <f t="shared" si="19"/>
        <v>-5.8723267028628285</v>
      </c>
      <c r="L116" s="436">
        <f t="shared" si="20"/>
        <v>2</v>
      </c>
      <c r="M116" s="436">
        <f t="shared" si="21"/>
        <v>1.2964525891039237E-8</v>
      </c>
      <c r="N116" s="436">
        <f t="shared" si="22"/>
        <v>2.5929051782078474E-8</v>
      </c>
      <c r="O116" s="436">
        <f t="shared" si="23"/>
        <v>-5.9204517028628274</v>
      </c>
      <c r="P116" s="436">
        <f t="shared" si="24"/>
        <v>9.7615686845894794E-9</v>
      </c>
      <c r="Q116" s="436">
        <f t="shared" si="25"/>
        <v>1.9523137369178959E-8</v>
      </c>
    </row>
    <row r="117" spans="10:17">
      <c r="J117" s="435">
        <f>111</f>
        <v>111</v>
      </c>
      <c r="K117" s="436">
        <f t="shared" si="19"/>
        <v>-5.8529842183433995</v>
      </c>
      <c r="L117" s="436">
        <f t="shared" si="20"/>
        <v>4</v>
      </c>
      <c r="M117" s="436">
        <f t="shared" si="21"/>
        <v>1.4521280181577104E-8</v>
      </c>
      <c r="N117" s="436">
        <f t="shared" si="22"/>
        <v>5.8085120726308417E-8</v>
      </c>
      <c r="O117" s="436">
        <f t="shared" si="23"/>
        <v>-5.9015467183433987</v>
      </c>
      <c r="P117" s="436">
        <f t="shared" si="24"/>
        <v>1.0915681893351143E-8</v>
      </c>
      <c r="Q117" s="436">
        <f t="shared" si="25"/>
        <v>4.3662727573404573E-8</v>
      </c>
    </row>
    <row r="118" spans="10:17">
      <c r="J118" s="435">
        <f>112</f>
        <v>112</v>
      </c>
      <c r="K118" s="436">
        <f t="shared" si="19"/>
        <v>-5.8336417338239706</v>
      </c>
      <c r="L118" s="436">
        <f t="shared" si="20"/>
        <v>2</v>
      </c>
      <c r="M118" s="436">
        <f t="shared" si="21"/>
        <v>1.6258882306125028E-8</v>
      </c>
      <c r="N118" s="436">
        <f t="shared" si="22"/>
        <v>3.2517764612250057E-8</v>
      </c>
      <c r="O118" s="436">
        <f t="shared" si="23"/>
        <v>-5.88264173382397</v>
      </c>
      <c r="P118" s="436">
        <f t="shared" si="24"/>
        <v>1.2201884539692679E-8</v>
      </c>
      <c r="Q118" s="436">
        <f t="shared" si="25"/>
        <v>2.4403769079385358E-8</v>
      </c>
    </row>
    <row r="119" spans="10:17">
      <c r="J119" s="435">
        <f>113</f>
        <v>113</v>
      </c>
      <c r="K119" s="436">
        <f t="shared" si="19"/>
        <v>-5.8142992493045416</v>
      </c>
      <c r="L119" s="436">
        <f t="shared" si="20"/>
        <v>4</v>
      </c>
      <c r="M119" s="436">
        <f t="shared" si="21"/>
        <v>1.8197594623037892E-8</v>
      </c>
      <c r="N119" s="436">
        <f t="shared" si="22"/>
        <v>7.2790378492151567E-8</v>
      </c>
      <c r="O119" s="436">
        <f t="shared" si="23"/>
        <v>-5.8637367493045414</v>
      </c>
      <c r="P119" s="436">
        <f t="shared" si="24"/>
        <v>1.3634767451698718E-8</v>
      </c>
      <c r="Q119" s="436">
        <f t="shared" si="25"/>
        <v>5.4539069806794874E-8</v>
      </c>
    </row>
    <row r="120" spans="10:17">
      <c r="J120" s="435">
        <f>114</f>
        <v>114</v>
      </c>
      <c r="K120" s="436">
        <f t="shared" si="19"/>
        <v>-5.7949567647851126</v>
      </c>
      <c r="L120" s="436">
        <f t="shared" si="20"/>
        <v>2</v>
      </c>
      <c r="M120" s="436">
        <f t="shared" si="21"/>
        <v>2.0359860682061594E-8</v>
      </c>
      <c r="N120" s="436">
        <f t="shared" si="22"/>
        <v>4.0719721364123189E-8</v>
      </c>
      <c r="O120" s="436">
        <f t="shared" si="23"/>
        <v>-5.8448317647851127</v>
      </c>
      <c r="P120" s="436">
        <f t="shared" si="24"/>
        <v>1.5230471315890356E-8</v>
      </c>
      <c r="Q120" s="436">
        <f t="shared" si="25"/>
        <v>3.0460942631780711E-8</v>
      </c>
    </row>
    <row r="121" spans="10:17">
      <c r="J121" s="435">
        <f>115</f>
        <v>115</v>
      </c>
      <c r="K121" s="436">
        <f t="shared" si="19"/>
        <v>-5.7756142802656836</v>
      </c>
      <c r="L121" s="436">
        <f t="shared" si="20"/>
        <v>4</v>
      </c>
      <c r="M121" s="436">
        <f t="shared" si="21"/>
        <v>2.2770529733684359E-8</v>
      </c>
      <c r="N121" s="436">
        <f t="shared" si="22"/>
        <v>9.1082118934737438E-8</v>
      </c>
      <c r="O121" s="436">
        <f t="shared" si="23"/>
        <v>-5.825926780265684</v>
      </c>
      <c r="P121" s="436">
        <f t="shared" si="24"/>
        <v>1.7006844258457256E-8</v>
      </c>
      <c r="Q121" s="436">
        <f t="shared" si="25"/>
        <v>6.8027377033829022E-8</v>
      </c>
    </row>
    <row r="122" spans="10:17">
      <c r="J122" s="435">
        <f>116</f>
        <v>116</v>
      </c>
      <c r="K122" s="436">
        <f t="shared" si="19"/>
        <v>-5.7562717957462546</v>
      </c>
      <c r="L122" s="436">
        <f t="shared" si="20"/>
        <v>2</v>
      </c>
      <c r="M122" s="436">
        <f t="shared" si="21"/>
        <v>2.5457103196236633E-8</v>
      </c>
      <c r="N122" s="436">
        <f t="shared" si="22"/>
        <v>5.0914206392473267E-8</v>
      </c>
      <c r="O122" s="436">
        <f t="shared" si="23"/>
        <v>-5.8070217957462553</v>
      </c>
      <c r="P122" s="436">
        <f t="shared" si="24"/>
        <v>1.8983614671439344E-8</v>
      </c>
      <c r="Q122" s="436">
        <f t="shared" si="25"/>
        <v>3.7967229342878688E-8</v>
      </c>
    </row>
    <row r="123" spans="10:17">
      <c r="J123" s="435">
        <f>117</f>
        <v>117</v>
      </c>
      <c r="K123" s="436">
        <f t="shared" si="19"/>
        <v>-5.7369293112268256</v>
      </c>
      <c r="L123" s="436">
        <f t="shared" si="20"/>
        <v>4</v>
      </c>
      <c r="M123" s="436">
        <f t="shared" si="21"/>
        <v>2.8450005103997443E-8</v>
      </c>
      <c r="N123" s="436">
        <f t="shared" si="22"/>
        <v>1.1380002041598977E-7</v>
      </c>
      <c r="O123" s="436">
        <f t="shared" si="23"/>
        <v>-5.7881168112268266</v>
      </c>
      <c r="P123" s="436">
        <f t="shared" si="24"/>
        <v>2.1182580675927283E-8</v>
      </c>
      <c r="Q123" s="436">
        <f t="shared" si="25"/>
        <v>8.4730322703709131E-8</v>
      </c>
    </row>
    <row r="124" spans="10:17">
      <c r="J124" s="435">
        <f>118</f>
        <v>118</v>
      </c>
      <c r="K124" s="436">
        <f t="shared" si="19"/>
        <v>-5.7175868267073966</v>
      </c>
      <c r="L124" s="436">
        <f t="shared" si="20"/>
        <v>2</v>
      </c>
      <c r="M124" s="436">
        <f t="shared" si="21"/>
        <v>3.1782878733066075E-8</v>
      </c>
      <c r="N124" s="436">
        <f t="shared" si="22"/>
        <v>6.3565757466132151E-8</v>
      </c>
      <c r="O124" s="436">
        <f t="shared" si="23"/>
        <v>-5.769211826707398</v>
      </c>
      <c r="P124" s="436">
        <f t="shared" si="24"/>
        <v>2.3627817732967271E-8</v>
      </c>
      <c r="Q124" s="436">
        <f t="shared" si="25"/>
        <v>4.7255635465934543E-8</v>
      </c>
    </row>
    <row r="125" spans="10:17">
      <c r="J125" s="435">
        <f>119</f>
        <v>119</v>
      </c>
      <c r="K125" s="436">
        <f t="shared" si="19"/>
        <v>-5.6982443421879685</v>
      </c>
      <c r="L125" s="436">
        <f t="shared" si="20"/>
        <v>4</v>
      </c>
      <c r="M125" s="436">
        <f t="shared" si="21"/>
        <v>3.5492911788842075E-8</v>
      </c>
      <c r="N125" s="436">
        <f t="shared" si="22"/>
        <v>1.419716471553683E-7</v>
      </c>
      <c r="O125" s="436">
        <f t="shared" si="23"/>
        <v>-5.7503068421879684</v>
      </c>
      <c r="P125" s="436">
        <f t="shared" si="24"/>
        <v>2.6345906040735597E-8</v>
      </c>
      <c r="Q125" s="436">
        <f t="shared" si="25"/>
        <v>1.0538362416294239E-7</v>
      </c>
    </row>
    <row r="126" spans="10:17">
      <c r="J126" s="435">
        <f>120</f>
        <v>120</v>
      </c>
      <c r="K126" s="436">
        <f t="shared" si="19"/>
        <v>-5.6789018576685395</v>
      </c>
      <c r="L126" s="436">
        <f t="shared" si="20"/>
        <v>2</v>
      </c>
      <c r="M126" s="436">
        <f t="shared" si="21"/>
        <v>3.9621192740564681E-8</v>
      </c>
      <c r="N126" s="436">
        <f t="shared" si="22"/>
        <v>7.9242385481129361E-8</v>
      </c>
      <c r="O126" s="436">
        <f t="shared" si="23"/>
        <v>-5.7314018576685397</v>
      </c>
      <c r="P126" s="436">
        <f t="shared" si="24"/>
        <v>2.9366179494338153E-8</v>
      </c>
      <c r="Q126" s="436">
        <f t="shared" si="25"/>
        <v>5.8732358988676306E-8</v>
      </c>
    </row>
    <row r="127" spans="10:17">
      <c r="J127" s="435">
        <f>121</f>
        <v>121</v>
      </c>
      <c r="K127" s="436">
        <f t="shared" si="19"/>
        <v>-5.6595593731491114</v>
      </c>
      <c r="L127" s="436">
        <f t="shared" si="20"/>
        <v>4</v>
      </c>
      <c r="M127" s="436">
        <f t="shared" si="21"/>
        <v>4.4213101105485072E-8</v>
      </c>
      <c r="N127" s="436">
        <f t="shared" si="22"/>
        <v>1.7685240442194029E-7</v>
      </c>
      <c r="O127" s="436">
        <f t="shared" si="23"/>
        <v>-5.7124968731491101</v>
      </c>
      <c r="P127" s="436">
        <f t="shared" si="24"/>
        <v>3.2720998132976515E-8</v>
      </c>
      <c r="Q127" s="436">
        <f t="shared" si="25"/>
        <v>1.3088399253190606E-7</v>
      </c>
    </row>
    <row r="128" spans="10:17">
      <c r="J128" s="435">
        <f>122</f>
        <v>122</v>
      </c>
      <c r="K128" s="436">
        <f t="shared" si="19"/>
        <v>-5.6402168886296824</v>
      </c>
      <c r="L128" s="436">
        <f t="shared" si="20"/>
        <v>2</v>
      </c>
      <c r="M128" s="436">
        <f t="shared" si="21"/>
        <v>4.9318734718934554E-8</v>
      </c>
      <c r="N128" s="436">
        <f t="shared" si="22"/>
        <v>9.8637469437869108E-8</v>
      </c>
      <c r="O128" s="436">
        <f t="shared" si="23"/>
        <v>-5.6935918886296815</v>
      </c>
      <c r="P128" s="436">
        <f t="shared" si="24"/>
        <v>3.6446046158912601E-8</v>
      </c>
      <c r="Q128" s="436">
        <f t="shared" si="25"/>
        <v>7.2892092317825203E-8</v>
      </c>
    </row>
    <row r="129" spans="10:17">
      <c r="J129" s="435">
        <f>123</f>
        <v>123</v>
      </c>
      <c r="K129" s="436">
        <f t="shared" si="19"/>
        <v>-5.6208744041102534</v>
      </c>
      <c r="L129" s="436">
        <f t="shared" si="20"/>
        <v>4</v>
      </c>
      <c r="M129" s="436">
        <f t="shared" si="21"/>
        <v>5.4993377277900597E-8</v>
      </c>
      <c r="N129" s="436">
        <f t="shared" si="22"/>
        <v>2.1997350911160239E-7</v>
      </c>
      <c r="O129" s="436">
        <f t="shared" si="23"/>
        <v>-5.6746869041102528</v>
      </c>
      <c r="P129" s="436">
        <f t="shared" si="24"/>
        <v>4.0580657784439083E-8</v>
      </c>
      <c r="Q129" s="436">
        <f t="shared" si="25"/>
        <v>1.6232263113775633E-7</v>
      </c>
    </row>
    <row r="130" spans="10:17">
      <c r="J130" s="435">
        <f>124</f>
        <v>124</v>
      </c>
      <c r="K130" s="436">
        <f t="shared" si="19"/>
        <v>-5.6015319195908244</v>
      </c>
      <c r="L130" s="436">
        <f t="shared" si="20"/>
        <v>2</v>
      </c>
      <c r="M130" s="436">
        <f t="shared" si="21"/>
        <v>6.1298009715916578E-8</v>
      </c>
      <c r="N130" s="436">
        <f t="shared" si="22"/>
        <v>1.2259601943183316E-7</v>
      </c>
      <c r="O130" s="436">
        <f t="shared" si="23"/>
        <v>-5.6557819195908241</v>
      </c>
      <c r="P130" s="436">
        <f t="shared" si="24"/>
        <v>4.5168173347699359E-8</v>
      </c>
      <c r="Q130" s="436">
        <f t="shared" si="25"/>
        <v>9.0336346695398717E-8</v>
      </c>
    </row>
    <row r="131" spans="10:17">
      <c r="J131" s="435">
        <f>125</f>
        <v>125</v>
      </c>
      <c r="K131" s="436">
        <f t="shared" si="19"/>
        <v>-5.5821894350713954</v>
      </c>
      <c r="L131" s="436">
        <f t="shared" si="20"/>
        <v>4</v>
      </c>
      <c r="M131" s="436">
        <f t="shared" si="21"/>
        <v>6.8299869257308437E-8</v>
      </c>
      <c r="N131" s="436">
        <f t="shared" si="22"/>
        <v>2.7319947702923375E-7</v>
      </c>
      <c r="O131" s="436">
        <f t="shared" si="23"/>
        <v>-5.6368769350713954</v>
      </c>
      <c r="P131" s="436">
        <f t="shared" si="24"/>
        <v>5.0256328336574592E-8</v>
      </c>
      <c r="Q131" s="436">
        <f t="shared" si="25"/>
        <v>2.0102531334629837E-7</v>
      </c>
    </row>
    <row r="132" spans="10:17">
      <c r="J132" s="435">
        <f>126</f>
        <v>126</v>
      </c>
      <c r="K132" s="436">
        <f t="shared" si="19"/>
        <v>-5.5628469505519664</v>
      </c>
      <c r="L132" s="436">
        <f t="shared" si="20"/>
        <v>2</v>
      </c>
      <c r="M132" s="436">
        <f t="shared" si="21"/>
        <v>7.6073060310430986E-8</v>
      </c>
      <c r="N132" s="436">
        <f t="shared" si="22"/>
        <v>1.5214612062086197E-7</v>
      </c>
      <c r="O132" s="436">
        <f t="shared" si="23"/>
        <v>-5.6179719505519667</v>
      </c>
      <c r="P132" s="436">
        <f t="shared" si="24"/>
        <v>5.5897678172829786E-8</v>
      </c>
      <c r="Q132" s="436">
        <f t="shared" si="25"/>
        <v>1.1179535634565957E-7</v>
      </c>
    </row>
    <row r="133" spans="10:17">
      <c r="J133" s="435">
        <f>127</f>
        <v>127</v>
      </c>
      <c r="K133" s="436">
        <f t="shared" si="19"/>
        <v>-5.5435044660325374</v>
      </c>
      <c r="L133" s="436">
        <f t="shared" si="20"/>
        <v>4</v>
      </c>
      <c r="M133" s="436">
        <f t="shared" si="21"/>
        <v>8.4699221693809628E-8</v>
      </c>
      <c r="N133" s="436">
        <f t="shared" si="22"/>
        <v>3.3879688677523851E-7</v>
      </c>
      <c r="O133" s="436">
        <f t="shared" si="23"/>
        <v>-5.5990669660325381</v>
      </c>
      <c r="P133" s="436">
        <f t="shared" si="24"/>
        <v>6.2150061837242339E-8</v>
      </c>
      <c r="Q133" s="436">
        <f t="shared" si="25"/>
        <v>2.4860024734896935E-7</v>
      </c>
    </row>
    <row r="134" spans="10:17">
      <c r="J134" s="435">
        <f>128</f>
        <v>128</v>
      </c>
      <c r="K134" s="436">
        <f t="shared" ref="K134:K197" si="26">$C$14+(($H$8-$C$14)/$C$13)*J134</f>
        <v>-5.5241619815131084</v>
      </c>
      <c r="L134" s="436">
        <f t="shared" ref="L134:L197" si="27">IF(OR(J134=0,J134=$C$13),1,IF(MOD(J134,2)=0,2,4))</f>
        <v>2</v>
      </c>
      <c r="M134" s="436">
        <f t="shared" ref="M134:M197" si="28">_xlfn.NORM.S.DIST(K134,FALSE)*_xlfn.NORM.S.DIST(($H$10-$H$7*K134)/SQRT(1-$H$7^2),TRUE)</f>
        <v>9.4268255047500198E-8</v>
      </c>
      <c r="N134" s="436">
        <f t="shared" ref="N134:N197" si="29">L134*M134</f>
        <v>1.885365100950004E-7</v>
      </c>
      <c r="O134" s="436">
        <f t="shared" ref="O134:O197" si="30">$C$14+(($H$9-$C$14)/$C$13)*J134</f>
        <v>-5.5801619815131094</v>
      </c>
      <c r="P134" s="436">
        <f t="shared" ref="P134:P197" si="31">_xlfn.NORM.S.DIST(O134,FALSE)*_xlfn.NORM.S.DIST(($H$11-$H$7*O134)/SQRT(1-$H$7^2),TRUE)</f>
        <v>6.9077107661501678E-8</v>
      </c>
      <c r="Q134" s="436">
        <f t="shared" ref="Q134:Q197" si="32">L134*P134</f>
        <v>1.3815421532300336E-7</v>
      </c>
    </row>
    <row r="135" spans="10:17">
      <c r="J135" s="435">
        <f>129</f>
        <v>129</v>
      </c>
      <c r="K135" s="436">
        <f t="shared" si="26"/>
        <v>-5.5048194969936795</v>
      </c>
      <c r="L135" s="436">
        <f t="shared" si="27"/>
        <v>4</v>
      </c>
      <c r="M135" s="436">
        <f t="shared" si="28"/>
        <v>1.0487911966597119E-7</v>
      </c>
      <c r="N135" s="436">
        <f t="shared" si="29"/>
        <v>4.1951647866388475E-7</v>
      </c>
      <c r="O135" s="436">
        <f t="shared" si="30"/>
        <v>-5.5612569969936807</v>
      </c>
      <c r="P135" s="436">
        <f t="shared" si="31"/>
        <v>7.6748784875301724E-8</v>
      </c>
      <c r="Q135" s="436">
        <f t="shared" si="32"/>
        <v>3.069951395012069E-7</v>
      </c>
    </row>
    <row r="136" spans="10:17">
      <c r="J136" s="435">
        <f>130</f>
        <v>130</v>
      </c>
      <c r="K136" s="436">
        <f t="shared" si="26"/>
        <v>-5.4854770124742513</v>
      </c>
      <c r="L136" s="436">
        <f t="shared" si="27"/>
        <v>2</v>
      </c>
      <c r="M136" s="436">
        <f t="shared" si="28"/>
        <v>1.1664069939996181E-7</v>
      </c>
      <c r="N136" s="436">
        <f t="shared" si="29"/>
        <v>2.3328139879992362E-7</v>
      </c>
      <c r="O136" s="436">
        <f t="shared" si="30"/>
        <v>-5.5423520124742511</v>
      </c>
      <c r="P136" s="436">
        <f t="shared" si="31"/>
        <v>8.5242004778334689E-8</v>
      </c>
      <c r="Q136" s="436">
        <f t="shared" si="32"/>
        <v>1.7048400955666938E-7</v>
      </c>
    </row>
    <row r="137" spans="10:17">
      <c r="J137" s="435">
        <f>131</f>
        <v>131</v>
      </c>
      <c r="K137" s="436">
        <f t="shared" si="26"/>
        <v>-5.4661345279548224</v>
      </c>
      <c r="L137" s="436">
        <f t="shared" si="27"/>
        <v>4</v>
      </c>
      <c r="M137" s="436">
        <f t="shared" si="28"/>
        <v>1.2967274771468861E-7</v>
      </c>
      <c r="N137" s="436">
        <f t="shared" si="29"/>
        <v>5.1869099085875444E-7</v>
      </c>
      <c r="O137" s="436">
        <f t="shared" si="30"/>
        <v>-5.5234470279548225</v>
      </c>
      <c r="P137" s="436">
        <f t="shared" si="31"/>
        <v>9.4641275707970504E-8</v>
      </c>
      <c r="Q137" s="436">
        <f t="shared" si="32"/>
        <v>3.7856510283188202E-7</v>
      </c>
    </row>
    <row r="138" spans="10:17">
      <c r="J138" s="435">
        <f>132</f>
        <v>132</v>
      </c>
      <c r="K138" s="436">
        <f t="shared" si="26"/>
        <v>-5.4467920434353934</v>
      </c>
      <c r="L138" s="436">
        <f t="shared" si="27"/>
        <v>2</v>
      </c>
      <c r="M138" s="436">
        <f t="shared" si="28"/>
        <v>1.4410691746215174E-7</v>
      </c>
      <c r="N138" s="436">
        <f t="shared" si="29"/>
        <v>2.8821383492430347E-7</v>
      </c>
      <c r="O138" s="436">
        <f t="shared" si="30"/>
        <v>-5.5045420434353938</v>
      </c>
      <c r="P138" s="436">
        <f t="shared" si="31"/>
        <v>1.0503941629546277E-7</v>
      </c>
      <c r="Q138" s="436">
        <f t="shared" si="32"/>
        <v>2.1007883259092553E-7</v>
      </c>
    </row>
    <row r="139" spans="10:17">
      <c r="J139" s="435">
        <f>133</f>
        <v>133</v>
      </c>
      <c r="K139" s="436">
        <f t="shared" si="26"/>
        <v>-5.4274495589159653</v>
      </c>
      <c r="L139" s="436">
        <f t="shared" si="27"/>
        <v>4</v>
      </c>
      <c r="M139" s="436">
        <f t="shared" si="28"/>
        <v>1.6008788242792472E-7</v>
      </c>
      <c r="N139" s="436">
        <f t="shared" si="29"/>
        <v>6.4035152971169887E-7</v>
      </c>
      <c r="O139" s="436">
        <f t="shared" si="30"/>
        <v>-5.4856370589159642</v>
      </c>
      <c r="P139" s="436">
        <f t="shared" si="31"/>
        <v>1.1653833184778232E-7</v>
      </c>
      <c r="Q139" s="436">
        <f t="shared" si="32"/>
        <v>4.661533273911293E-7</v>
      </c>
    </row>
    <row r="140" spans="10:17">
      <c r="J140" s="435">
        <f>134</f>
        <v>134</v>
      </c>
      <c r="K140" s="436">
        <f t="shared" si="26"/>
        <v>-5.4081070743965363</v>
      </c>
      <c r="L140" s="436">
        <f t="shared" si="27"/>
        <v>2</v>
      </c>
      <c r="M140" s="436">
        <f t="shared" si="28"/>
        <v>1.7777455824948712E-7</v>
      </c>
      <c r="N140" s="436">
        <f t="shared" si="29"/>
        <v>3.5554911649897425E-7</v>
      </c>
      <c r="O140" s="436">
        <f t="shared" si="30"/>
        <v>-5.4667320743965355</v>
      </c>
      <c r="P140" s="436">
        <f t="shared" si="31"/>
        <v>1.2924985905996836E-7</v>
      </c>
      <c r="Q140" s="436">
        <f t="shared" si="32"/>
        <v>2.5849971811993672E-7</v>
      </c>
    </row>
    <row r="141" spans="10:17">
      <c r="J141" s="435">
        <f>135</f>
        <v>135</v>
      </c>
      <c r="K141" s="436">
        <f t="shared" si="26"/>
        <v>-5.3887645898771073</v>
      </c>
      <c r="L141" s="436">
        <f t="shared" si="27"/>
        <v>4</v>
      </c>
      <c r="M141" s="436">
        <f t="shared" si="28"/>
        <v>1.9734143087580442E-7</v>
      </c>
      <c r="N141" s="436">
        <f t="shared" si="29"/>
        <v>7.893657235032177E-7</v>
      </c>
      <c r="O141" s="436">
        <f t="shared" si="30"/>
        <v>-5.4478270898771068</v>
      </c>
      <c r="P141" s="436">
        <f t="shared" si="31"/>
        <v>1.4329668465553948E-7</v>
      </c>
      <c r="Q141" s="436">
        <f t="shared" si="32"/>
        <v>5.7318673862215791E-7</v>
      </c>
    </row>
    <row r="142" spans="10:17">
      <c r="J142" s="435">
        <f>136</f>
        <v>136</v>
      </c>
      <c r="K142" s="436">
        <f t="shared" si="26"/>
        <v>-5.3694221053576783</v>
      </c>
      <c r="L142" s="436">
        <f t="shared" si="27"/>
        <v>2</v>
      </c>
      <c r="M142" s="436">
        <f t="shared" si="28"/>
        <v>2.1898000134850101E-7</v>
      </c>
      <c r="N142" s="436">
        <f t="shared" si="29"/>
        <v>4.3796000269700202E-7</v>
      </c>
      <c r="O142" s="436">
        <f t="shared" si="30"/>
        <v>-5.4289221053576782</v>
      </c>
      <c r="P142" s="436">
        <f t="shared" si="31"/>
        <v>1.5881334397139748E-7</v>
      </c>
      <c r="Q142" s="436">
        <f t="shared" si="32"/>
        <v>3.1762668794279496E-7</v>
      </c>
    </row>
    <row r="143" spans="10:17">
      <c r="J143" s="435">
        <f>137</f>
        <v>137</v>
      </c>
      <c r="K143" s="436">
        <f t="shared" si="26"/>
        <v>-5.3500796208382493</v>
      </c>
      <c r="L143" s="436">
        <f t="shared" si="27"/>
        <v>4</v>
      </c>
      <c r="M143" s="436">
        <f t="shared" si="28"/>
        <v>2.4290035633554401E-7</v>
      </c>
      <c r="N143" s="436">
        <f t="shared" si="29"/>
        <v>9.7160142534217603E-7</v>
      </c>
      <c r="O143" s="436">
        <f t="shared" si="30"/>
        <v>-5.4100171208382495</v>
      </c>
      <c r="P143" s="436">
        <f t="shared" si="31"/>
        <v>1.7594730595032727E-7</v>
      </c>
      <c r="Q143" s="436">
        <f t="shared" si="32"/>
        <v>7.0378922380130907E-7</v>
      </c>
    </row>
    <row r="144" spans="10:17">
      <c r="J144" s="435">
        <f>138</f>
        <v>138</v>
      </c>
      <c r="K144" s="436">
        <f t="shared" si="26"/>
        <v>-5.3307371363188203</v>
      </c>
      <c r="L144" s="436">
        <f t="shared" si="27"/>
        <v>2</v>
      </c>
      <c r="M144" s="436">
        <f t="shared" si="28"/>
        <v>2.6933287454110322E-7</v>
      </c>
      <c r="N144" s="436">
        <f t="shared" si="29"/>
        <v>5.3866574908220643E-7</v>
      </c>
      <c r="O144" s="436">
        <f t="shared" si="30"/>
        <v>-5.3911121363188208</v>
      </c>
      <c r="P144" s="436">
        <f t="shared" si="31"/>
        <v>1.9486015148005503E-7</v>
      </c>
      <c r="Q144" s="436">
        <f t="shared" si="32"/>
        <v>3.8972030296011005E-7</v>
      </c>
    </row>
    <row r="145" spans="10:17">
      <c r="J145" s="435">
        <f>139</f>
        <v>139</v>
      </c>
      <c r="K145" s="436">
        <f t="shared" si="26"/>
        <v>-5.3113946517993913</v>
      </c>
      <c r="L145" s="436">
        <f t="shared" si="27"/>
        <v>4</v>
      </c>
      <c r="M145" s="436">
        <f t="shared" si="28"/>
        <v>2.9853007985227416E-7</v>
      </c>
      <c r="N145" s="436">
        <f t="shared" si="29"/>
        <v>1.1941203194090966E-6</v>
      </c>
      <c r="O145" s="436">
        <f t="shared" si="30"/>
        <v>-5.3722071517993921</v>
      </c>
      <c r="P145" s="436">
        <f t="shared" si="31"/>
        <v>2.1572885252454766E-7</v>
      </c>
      <c r="Q145" s="436">
        <f t="shared" si="32"/>
        <v>8.6291541009819063E-7</v>
      </c>
    </row>
    <row r="146" spans="10:17">
      <c r="J146" s="435">
        <f>140</f>
        <v>140</v>
      </c>
      <c r="K146" s="436">
        <f t="shared" si="26"/>
        <v>-5.2920521672799623</v>
      </c>
      <c r="L146" s="436">
        <f t="shared" si="27"/>
        <v>2</v>
      </c>
      <c r="M146" s="436">
        <f t="shared" si="28"/>
        <v>3.307686528669257E-7</v>
      </c>
      <c r="N146" s="436">
        <f t="shared" si="29"/>
        <v>6.615373057338514E-7</v>
      </c>
      <c r="O146" s="436">
        <f t="shared" si="30"/>
        <v>-5.3533021672799634</v>
      </c>
      <c r="P146" s="436">
        <f t="shared" si="31"/>
        <v>2.3874716003236323E-7</v>
      </c>
      <c r="Q146" s="436">
        <f t="shared" si="32"/>
        <v>4.7749432006472647E-7</v>
      </c>
    </row>
    <row r="147" spans="10:17">
      <c r="J147" s="435">
        <f>141</f>
        <v>141</v>
      </c>
      <c r="K147" s="436">
        <f t="shared" si="26"/>
        <v>-5.2727096827605342</v>
      </c>
      <c r="L147" s="436">
        <f t="shared" si="27"/>
        <v>4</v>
      </c>
      <c r="M147" s="436">
        <f t="shared" si="28"/>
        <v>3.6635161327939363E-7</v>
      </c>
      <c r="N147" s="436">
        <f t="shared" si="29"/>
        <v>1.4654064531175745E-6</v>
      </c>
      <c r="O147" s="436">
        <f t="shared" si="30"/>
        <v>-5.3343971827605339</v>
      </c>
      <c r="P147" s="436">
        <f t="shared" si="31"/>
        <v>2.6412710918013809E-7</v>
      </c>
      <c r="Q147" s="436">
        <f t="shared" si="32"/>
        <v>1.0565084367205524E-6</v>
      </c>
    </row>
    <row r="148" spans="10:17">
      <c r="J148" s="435">
        <f>142</f>
        <v>142</v>
      </c>
      <c r="K148" s="436">
        <f t="shared" si="26"/>
        <v>-5.2533671982411052</v>
      </c>
      <c r="L148" s="436">
        <f t="shared" si="27"/>
        <v>2</v>
      </c>
      <c r="M148" s="436">
        <f t="shared" si="28"/>
        <v>4.0561068648443169E-7</v>
      </c>
      <c r="N148" s="436">
        <f t="shared" si="29"/>
        <v>8.1122137296886337E-7</v>
      </c>
      <c r="O148" s="436">
        <f t="shared" si="30"/>
        <v>-5.3154921982411052</v>
      </c>
      <c r="P148" s="436">
        <f t="shared" si="31"/>
        <v>2.9210065111839383E-7</v>
      </c>
      <c r="Q148" s="436">
        <f t="shared" si="32"/>
        <v>5.8420130223678765E-7</v>
      </c>
    </row>
    <row r="149" spans="10:17">
      <c r="J149" s="435">
        <f>143</f>
        <v>143</v>
      </c>
      <c r="K149" s="436">
        <f t="shared" si="26"/>
        <v>-5.2340247137216762</v>
      </c>
      <c r="L149" s="436">
        <f t="shared" si="27"/>
        <v>4</v>
      </c>
      <c r="M149" s="436">
        <f t="shared" si="28"/>
        <v>4.489088686971747E-7</v>
      </c>
      <c r="N149" s="436">
        <f t="shared" si="29"/>
        <v>1.7956354747886988E-6</v>
      </c>
      <c r="O149" s="436">
        <f t="shared" si="30"/>
        <v>-5.2965872137216765</v>
      </c>
      <c r="P149" s="436">
        <f t="shared" si="31"/>
        <v>3.2292142103362938E-7</v>
      </c>
      <c r="Q149" s="436">
        <f t="shared" si="32"/>
        <v>1.2916856841345175E-6</v>
      </c>
    </row>
    <row r="150" spans="10:17">
      <c r="J150" s="435">
        <f>144</f>
        <v>144</v>
      </c>
      <c r="K150" s="436">
        <f t="shared" si="26"/>
        <v>-5.2146822292022481</v>
      </c>
      <c r="L150" s="436">
        <f t="shared" si="27"/>
        <v>2</v>
      </c>
      <c r="M150" s="436">
        <f t="shared" si="28"/>
        <v>4.9664320588043851E-7</v>
      </c>
      <c r="N150" s="436">
        <f t="shared" si="29"/>
        <v>9.9328641176087702E-7</v>
      </c>
      <c r="O150" s="436">
        <f t="shared" si="30"/>
        <v>-5.2776822292022469</v>
      </c>
      <c r="P150" s="436">
        <f t="shared" si="31"/>
        <v>3.5686665302684949E-7</v>
      </c>
      <c r="Q150" s="436">
        <f t="shared" si="32"/>
        <v>7.1373330605369898E-7</v>
      </c>
    </row>
    <row r="151" spans="10:17">
      <c r="J151" s="435">
        <f>145</f>
        <v>145</v>
      </c>
      <c r="K151" s="436">
        <f t="shared" si="26"/>
        <v>-5.1953397446828191</v>
      </c>
      <c r="L151" s="436">
        <f t="shared" si="27"/>
        <v>4</v>
      </c>
      <c r="M151" s="436">
        <f t="shared" si="28"/>
        <v>5.4924780282286333E-7</v>
      </c>
      <c r="N151" s="436">
        <f t="shared" si="29"/>
        <v>2.1969912112914533E-6</v>
      </c>
      <c r="O151" s="436">
        <f t="shared" si="30"/>
        <v>-5.2587772446828183</v>
      </c>
      <c r="P151" s="436">
        <f t="shared" si="31"/>
        <v>3.9423925303627319E-7</v>
      </c>
      <c r="Q151" s="436">
        <f t="shared" si="32"/>
        <v>1.5769570121450927E-6</v>
      </c>
    </row>
    <row r="152" spans="10:17">
      <c r="J152" s="435">
        <f>146</f>
        <v>146</v>
      </c>
      <c r="K152" s="436">
        <f t="shared" si="26"/>
        <v>-5.1759972601633901</v>
      </c>
      <c r="L152" s="436">
        <f t="shared" si="27"/>
        <v>2</v>
      </c>
      <c r="M152" s="436">
        <f t="shared" si="28"/>
        <v>6.0719707982484521E-7</v>
      </c>
      <c r="N152" s="436">
        <f t="shared" si="29"/>
        <v>1.2143941596496904E-6</v>
      </c>
      <c r="O152" s="436">
        <f t="shared" si="30"/>
        <v>-5.2398722601633896</v>
      </c>
      <c r="P152" s="436">
        <f t="shared" si="31"/>
        <v>4.3537004180283149E-7</v>
      </c>
      <c r="Q152" s="436">
        <f t="shared" si="32"/>
        <v>8.7074008360566298E-7</v>
      </c>
    </row>
    <row r="153" spans="10:17">
      <c r="J153" s="435">
        <f>147</f>
        <v>147</v>
      </c>
      <c r="K153" s="436">
        <f t="shared" si="26"/>
        <v>-5.1566547756439611</v>
      </c>
      <c r="L153" s="436">
        <f t="shared" si="27"/>
        <v>4</v>
      </c>
      <c r="M153" s="436">
        <f t="shared" si="28"/>
        <v>6.7100929562662402E-7</v>
      </c>
      <c r="N153" s="436">
        <f t="shared" si="29"/>
        <v>2.6840371825064961E-6</v>
      </c>
      <c r="O153" s="436">
        <f t="shared" si="30"/>
        <v>-5.2209672756439609</v>
      </c>
      <c r="P153" s="436">
        <f t="shared" si="31"/>
        <v>4.8062018069309312E-7</v>
      </c>
      <c r="Q153" s="436">
        <f t="shared" si="32"/>
        <v>1.9224807227723725E-6</v>
      </c>
    </row>
    <row r="154" spans="10:17">
      <c r="J154" s="435">
        <f>148</f>
        <v>148</v>
      </c>
      <c r="K154" s="436">
        <f t="shared" si="26"/>
        <v>-5.1373122911245321</v>
      </c>
      <c r="L154" s="436">
        <f t="shared" si="27"/>
        <v>2</v>
      </c>
      <c r="M154" s="436">
        <f t="shared" si="28"/>
        <v>7.4125035645664014E-7</v>
      </c>
      <c r="N154" s="436">
        <f t="shared" si="29"/>
        <v>1.4825007129132803E-6</v>
      </c>
      <c r="O154" s="436">
        <f t="shared" si="30"/>
        <v>-5.2020622911245322</v>
      </c>
      <c r="P154" s="436">
        <f t="shared" si="31"/>
        <v>5.3038379405765352E-7</v>
      </c>
      <c r="Q154" s="436">
        <f t="shared" si="32"/>
        <v>1.060767588115307E-6</v>
      </c>
    </row>
    <row r="155" spans="10:17">
      <c r="J155" s="435">
        <f>149</f>
        <v>149</v>
      </c>
      <c r="K155" s="436">
        <f t="shared" si="26"/>
        <v>-5.1179698066051031</v>
      </c>
      <c r="L155" s="436">
        <f t="shared" si="27"/>
        <v>4</v>
      </c>
      <c r="M155" s="436">
        <f t="shared" si="28"/>
        <v>8.1853793239129157E-7</v>
      </c>
      <c r="N155" s="436">
        <f t="shared" si="29"/>
        <v>3.2741517295651663E-6</v>
      </c>
      <c r="O155" s="436">
        <f t="shared" si="30"/>
        <v>-5.1831573066051035</v>
      </c>
      <c r="P155" s="436">
        <f t="shared" si="31"/>
        <v>5.8509080271555957E-7</v>
      </c>
      <c r="Q155" s="436">
        <f t="shared" si="32"/>
        <v>2.3403632108622383E-6</v>
      </c>
    </row>
    <row r="156" spans="10:17">
      <c r="J156" s="435">
        <f>150</f>
        <v>150</v>
      </c>
      <c r="K156" s="436">
        <f t="shared" si="26"/>
        <v>-5.0986273220856742</v>
      </c>
      <c r="L156" s="436">
        <f t="shared" si="27"/>
        <v>2</v>
      </c>
      <c r="M156" s="436">
        <f t="shared" si="28"/>
        <v>9.035459036019972E-7</v>
      </c>
      <c r="N156" s="436">
        <f t="shared" si="29"/>
        <v>1.8070918072039944E-6</v>
      </c>
      <c r="O156" s="436">
        <f t="shared" si="30"/>
        <v>-5.1642523220856749</v>
      </c>
      <c r="P156" s="436">
        <f t="shared" si="31"/>
        <v>6.4520998411935233E-7</v>
      </c>
      <c r="Q156" s="436">
        <f t="shared" si="32"/>
        <v>1.2904199682387047E-6</v>
      </c>
    </row>
    <row r="157" spans="10:17">
      <c r="J157" s="435">
        <f>151</f>
        <v>151</v>
      </c>
      <c r="K157" s="436">
        <f t="shared" si="26"/>
        <v>-5.0792848375662452</v>
      </c>
      <c r="L157" s="436">
        <f t="shared" si="27"/>
        <v>4</v>
      </c>
      <c r="M157" s="436">
        <f t="shared" si="28"/>
        <v>9.9700916052471629E-7</v>
      </c>
      <c r="N157" s="436">
        <f t="shared" si="29"/>
        <v>3.9880366420988652E-6</v>
      </c>
      <c r="O157" s="436">
        <f t="shared" si="30"/>
        <v>-5.1453473375662462</v>
      </c>
      <c r="P157" s="436">
        <f t="shared" si="31"/>
        <v>7.112522757726092E-7</v>
      </c>
      <c r="Q157" s="436">
        <f t="shared" si="32"/>
        <v>2.8450091030904368E-6</v>
      </c>
    </row>
    <row r="158" spans="10:17">
      <c r="J158" s="435">
        <f>152</f>
        <v>152</v>
      </c>
      <c r="K158" s="436">
        <f t="shared" si="26"/>
        <v>-5.0599423530468162</v>
      </c>
      <c r="L158" s="436">
        <f t="shared" si="27"/>
        <v>2</v>
      </c>
      <c r="M158" s="436">
        <f t="shared" si="28"/>
        <v>1.0997287835234314E-6</v>
      </c>
      <c r="N158" s="436">
        <f t="shared" si="29"/>
        <v>2.1994575670468627E-6</v>
      </c>
      <c r="O158" s="436">
        <f t="shared" si="30"/>
        <v>-5.1264423530468175</v>
      </c>
      <c r="P158" s="436">
        <f t="shared" si="31"/>
        <v>7.8377433954482133E-7</v>
      </c>
      <c r="Q158" s="436">
        <f t="shared" si="32"/>
        <v>1.5675486790896427E-6</v>
      </c>
    </row>
    <row r="159" spans="10:17">
      <c r="J159" s="435">
        <f>153</f>
        <v>153</v>
      </c>
      <c r="K159" s="436">
        <f t="shared" si="26"/>
        <v>-5.0405998685273881</v>
      </c>
      <c r="L159" s="436">
        <f t="shared" si="27"/>
        <v>4</v>
      </c>
      <c r="M159" s="436">
        <f t="shared" si="28"/>
        <v>1.2125776292351293E-6</v>
      </c>
      <c r="N159" s="436">
        <f t="shared" si="29"/>
        <v>4.850310516940517E-6</v>
      </c>
      <c r="O159" s="436">
        <f t="shared" si="30"/>
        <v>-5.1075373685273879</v>
      </c>
      <c r="P159" s="436">
        <f t="shared" si="31"/>
        <v>8.6338240565892015E-7</v>
      </c>
      <c r="Q159" s="436">
        <f t="shared" si="32"/>
        <v>3.4535296226356806E-6</v>
      </c>
    </row>
    <row r="160" spans="10:17">
      <c r="J160" s="435">
        <f>154</f>
        <v>154</v>
      </c>
      <c r="K160" s="436">
        <f t="shared" si="26"/>
        <v>-5.0212573840079591</v>
      </c>
      <c r="L160" s="436">
        <f t="shared" si="27"/>
        <v>2</v>
      </c>
      <c r="M160" s="436">
        <f t="shared" si="28"/>
        <v>1.3365063524822747E-6</v>
      </c>
      <c r="N160" s="436">
        <f t="shared" si="29"/>
        <v>2.6730127049645494E-6</v>
      </c>
      <c r="O160" s="436">
        <f t="shared" si="30"/>
        <v>-5.0886323840079593</v>
      </c>
      <c r="P160" s="436">
        <f t="shared" si="31"/>
        <v>9.5073641631705091E-7</v>
      </c>
      <c r="Q160" s="436">
        <f t="shared" si="32"/>
        <v>1.9014728326341018E-6</v>
      </c>
    </row>
    <row r="161" spans="10:17">
      <c r="J161" s="435">
        <f>155</f>
        <v>155</v>
      </c>
      <c r="K161" s="436">
        <f t="shared" si="26"/>
        <v>-5.0019148994885301</v>
      </c>
      <c r="L161" s="436">
        <f t="shared" si="27"/>
        <v>4</v>
      </c>
      <c r="M161" s="436">
        <f t="shared" si="28"/>
        <v>1.472549894421747E-6</v>
      </c>
      <c r="N161" s="436">
        <f t="shared" si="29"/>
        <v>5.8901995776869882E-6</v>
      </c>
      <c r="O161" s="436">
        <f t="shared" si="30"/>
        <v>-5.0697273994885306</v>
      </c>
      <c r="P161" s="436">
        <f t="shared" si="31"/>
        <v>1.0465544901823551E-6</v>
      </c>
      <c r="Q161" s="436">
        <f t="shared" si="32"/>
        <v>4.1862179607294205E-6</v>
      </c>
    </row>
    <row r="162" spans="10:17">
      <c r="J162" s="435">
        <f>156</f>
        <v>156</v>
      </c>
      <c r="K162" s="436">
        <f t="shared" si="26"/>
        <v>-4.982572414969102</v>
      </c>
      <c r="L162" s="436">
        <f t="shared" si="27"/>
        <v>2</v>
      </c>
      <c r="M162" s="436">
        <f t="shared" si="28"/>
        <v>1.6218344694699251E-6</v>
      </c>
      <c r="N162" s="436">
        <f t="shared" si="29"/>
        <v>3.2436689389398501E-6</v>
      </c>
      <c r="O162" s="436">
        <f t="shared" si="30"/>
        <v>-5.050822414969101</v>
      </c>
      <c r="P162" s="436">
        <f t="shared" si="31"/>
        <v>1.1516177302504408E-6</v>
      </c>
      <c r="Q162" s="436">
        <f t="shared" si="32"/>
        <v>2.3032354605008816E-6</v>
      </c>
    </row>
    <row r="163" spans="10:17">
      <c r="J163" s="435">
        <f>157</f>
        <v>157</v>
      </c>
      <c r="K163" s="436">
        <f t="shared" si="26"/>
        <v>-4.963229930449673</v>
      </c>
      <c r="L163" s="436">
        <f t="shared" si="27"/>
        <v>4</v>
      </c>
      <c r="M163" s="436">
        <f t="shared" si="28"/>
        <v>1.7855850855033897E-6</v>
      </c>
      <c r="N163" s="436">
        <f t="shared" si="29"/>
        <v>7.1423403420135587E-6</v>
      </c>
      <c r="O163" s="436">
        <f t="shared" si="30"/>
        <v>-5.0319174304496723</v>
      </c>
      <c r="P163" s="436">
        <f t="shared" si="31"/>
        <v>1.2667753990263765E-6</v>
      </c>
      <c r="Q163" s="436">
        <f t="shared" si="32"/>
        <v>5.067101596105506E-6</v>
      </c>
    </row>
    <row r="164" spans="10:17">
      <c r="J164" s="435">
        <f>158</f>
        <v>158</v>
      </c>
      <c r="K164" s="436">
        <f t="shared" si="26"/>
        <v>-4.943887445930244</v>
      </c>
      <c r="L164" s="436">
        <f t="shared" si="27"/>
        <v>2</v>
      </c>
      <c r="M164" s="436">
        <f t="shared" si="28"/>
        <v>1.9651336338867134E-6</v>
      </c>
      <c r="N164" s="436">
        <f t="shared" si="29"/>
        <v>3.9302672677734269E-6</v>
      </c>
      <c r="O164" s="436">
        <f t="shared" si="30"/>
        <v>-5.0130124459302436</v>
      </c>
      <c r="P164" s="436">
        <f t="shared" si="31"/>
        <v>1.392950486373028E-6</v>
      </c>
      <c r="Q164" s="436">
        <f t="shared" si="32"/>
        <v>2.785900972746056E-6</v>
      </c>
    </row>
    <row r="165" spans="10:17">
      <c r="J165" s="435">
        <f>159</f>
        <v>159</v>
      </c>
      <c r="K165" s="436">
        <f t="shared" si="26"/>
        <v>-4.924544961410815</v>
      </c>
      <c r="L165" s="436">
        <f t="shared" si="27"/>
        <v>4</v>
      </c>
      <c r="M165" s="436">
        <f t="shared" si="28"/>
        <v>2.1619275880247115E-6</v>
      </c>
      <c r="N165" s="436">
        <f t="shared" si="29"/>
        <v>8.6477103520988459E-6</v>
      </c>
      <c r="O165" s="436">
        <f t="shared" si="30"/>
        <v>-4.994107461410815</v>
      </c>
      <c r="P165" s="436">
        <f t="shared" si="31"/>
        <v>1.5311456969164964E-6</v>
      </c>
      <c r="Q165" s="436">
        <f t="shared" si="32"/>
        <v>6.1245827876659857E-6</v>
      </c>
    </row>
    <row r="166" spans="10:17">
      <c r="J166" s="435">
        <f>160</f>
        <v>160</v>
      </c>
      <c r="K166" s="436">
        <f t="shared" si="26"/>
        <v>-4.905202476891386</v>
      </c>
      <c r="L166" s="436">
        <f t="shared" si="27"/>
        <v>2</v>
      </c>
      <c r="M166" s="436">
        <f t="shared" si="28"/>
        <v>2.3775393513782102E-6</v>
      </c>
      <c r="N166" s="436">
        <f t="shared" si="29"/>
        <v>4.7550787027564204E-6</v>
      </c>
      <c r="O166" s="436">
        <f t="shared" si="30"/>
        <v>-4.9752024768913863</v>
      </c>
      <c r="P166" s="436">
        <f t="shared" si="31"/>
        <v>1.6824498854863462E-6</v>
      </c>
      <c r="Q166" s="436">
        <f t="shared" si="32"/>
        <v>3.3648997709726924E-6</v>
      </c>
    </row>
    <row r="167" spans="10:17">
      <c r="J167" s="435">
        <f>161</f>
        <v>161</v>
      </c>
      <c r="K167" s="436">
        <f t="shared" si="26"/>
        <v>-4.885859992371957</v>
      </c>
      <c r="L167" s="436">
        <f t="shared" si="27"/>
        <v>4</v>
      </c>
      <c r="M167" s="436">
        <f t="shared" si="28"/>
        <v>2.6136762982219432E-6</v>
      </c>
      <c r="N167" s="436">
        <f t="shared" si="29"/>
        <v>1.0454705192887773E-5</v>
      </c>
      <c r="O167" s="436">
        <f t="shared" si="30"/>
        <v>-4.9562974923719576</v>
      </c>
      <c r="P167" s="436">
        <f t="shared" si="31"/>
        <v>1.848044970733795E-6</v>
      </c>
      <c r="Q167" s="436">
        <f t="shared" si="32"/>
        <v>7.3921798829351801E-6</v>
      </c>
    </row>
    <row r="168" spans="10:17">
      <c r="J168" s="435">
        <f>162</f>
        <v>162</v>
      </c>
      <c r="K168" s="436">
        <f t="shared" si="26"/>
        <v>-4.866517507852528</v>
      </c>
      <c r="L168" s="436">
        <f t="shared" si="27"/>
        <v>2</v>
      </c>
      <c r="M168" s="436">
        <f t="shared" si="28"/>
        <v>2.8721915528618688E-6</v>
      </c>
      <c r="N168" s="436">
        <f t="shared" si="29"/>
        <v>5.7443831057237376E-6</v>
      </c>
      <c r="O168" s="436">
        <f t="shared" si="30"/>
        <v>-4.9373925078525289</v>
      </c>
      <c r="P168" s="436">
        <f t="shared" si="31"/>
        <v>2.0292133588120297E-6</v>
      </c>
      <c r="Q168" s="436">
        <f t="shared" si="32"/>
        <v>4.0584267176240594E-6</v>
      </c>
    </row>
    <row r="169" spans="10:17">
      <c r="J169" s="435">
        <f>163</f>
        <v>163</v>
      </c>
      <c r="K169" s="436">
        <f t="shared" si="26"/>
        <v>-4.847175023333099</v>
      </c>
      <c r="L169" s="436">
        <f t="shared" si="27"/>
        <v>4</v>
      </c>
      <c r="M169" s="436">
        <f t="shared" si="28"/>
        <v>3.1550955555685435E-6</v>
      </c>
      <c r="N169" s="436">
        <f t="shared" si="29"/>
        <v>1.2620382222274174E-5</v>
      </c>
      <c r="O169" s="436">
        <f t="shared" si="30"/>
        <v>-4.9184875233331002</v>
      </c>
      <c r="P169" s="436">
        <f t="shared" si="31"/>
        <v>2.2273459108206815E-6</v>
      </c>
      <c r="Q169" s="436">
        <f t="shared" si="32"/>
        <v>8.9093836432827259E-6</v>
      </c>
    </row>
    <row r="170" spans="10:17">
      <c r="J170" s="435">
        <f>164</f>
        <v>164</v>
      </c>
      <c r="K170" s="436">
        <f t="shared" si="26"/>
        <v>-4.8278325388136709</v>
      </c>
      <c r="L170" s="436">
        <f t="shared" si="27"/>
        <v>2</v>
      </c>
      <c r="M170" s="436">
        <f t="shared" si="28"/>
        <v>3.4645684661243427E-6</v>
      </c>
      <c r="N170" s="436">
        <f t="shared" si="29"/>
        <v>6.9291369322486855E-6</v>
      </c>
      <c r="O170" s="436">
        <f t="shared" si="30"/>
        <v>-4.8995825388136707</v>
      </c>
      <c r="P170" s="436">
        <f t="shared" si="31"/>
        <v>2.4439504896130584E-6</v>
      </c>
      <c r="Q170" s="436">
        <f t="shared" si="32"/>
        <v>4.8879009792261168E-6</v>
      </c>
    </row>
    <row r="171" spans="10:17">
      <c r="J171" s="435">
        <f>165</f>
        <v>165</v>
      </c>
      <c r="K171" s="436">
        <f t="shared" si="26"/>
        <v>-4.8084900542942419</v>
      </c>
      <c r="L171" s="436">
        <f t="shared" si="27"/>
        <v>4</v>
      </c>
      <c r="M171" s="436">
        <f t="shared" si="28"/>
        <v>3.8029734586256405E-6</v>
      </c>
      <c r="N171" s="436">
        <f t="shared" si="29"/>
        <v>1.5211893834502562E-5</v>
      </c>
      <c r="O171" s="436">
        <f t="shared" si="30"/>
        <v>-4.880677554294242</v>
      </c>
      <c r="P171" s="436">
        <f t="shared" si="31"/>
        <v>2.6806611235408374E-6</v>
      </c>
      <c r="Q171" s="436">
        <f t="shared" si="32"/>
        <v>1.072264449416335E-5</v>
      </c>
    </row>
    <row r="172" spans="10:17">
      <c r="J172" s="435">
        <f>166</f>
        <v>166</v>
      </c>
      <c r="K172" s="436">
        <f t="shared" si="26"/>
        <v>-4.7891475697748129</v>
      </c>
      <c r="L172" s="436">
        <f t="shared" si="27"/>
        <v>2</v>
      </c>
      <c r="M172" s="436">
        <f t="shared" si="28"/>
        <v>4.1728709640274807E-6</v>
      </c>
      <c r="N172" s="436">
        <f t="shared" si="29"/>
        <v>8.3457419280549615E-6</v>
      </c>
      <c r="O172" s="436">
        <f t="shared" si="30"/>
        <v>-4.8617725697748133</v>
      </c>
      <c r="P172" s="436">
        <f t="shared" si="31"/>
        <v>2.9392478267683874E-6</v>
      </c>
      <c r="Q172" s="436">
        <f t="shared" si="32"/>
        <v>5.8784956535367749E-6</v>
      </c>
    </row>
    <row r="173" spans="10:17">
      <c r="J173" s="435">
        <f>167</f>
        <v>167</v>
      </c>
      <c r="K173" s="436">
        <f t="shared" si="26"/>
        <v>-4.7698050852553848</v>
      </c>
      <c r="L173" s="436">
        <f t="shared" si="27"/>
        <v>4</v>
      </c>
      <c r="M173" s="436">
        <f t="shared" si="28"/>
        <v>4.5770339198680032E-6</v>
      </c>
      <c r="N173" s="436">
        <f t="shared" si="29"/>
        <v>1.8308135679472013E-5</v>
      </c>
      <c r="O173" s="436">
        <f t="shared" si="30"/>
        <v>-4.8428675852553837</v>
      </c>
      <c r="P173" s="436">
        <f t="shared" si="31"/>
        <v>3.2216271179278304E-6</v>
      </c>
      <c r="Q173" s="436">
        <f t="shared" si="32"/>
        <v>1.2886508471711321E-5</v>
      </c>
    </row>
    <row r="174" spans="10:17">
      <c r="J174" s="435">
        <f>168</f>
        <v>168</v>
      </c>
      <c r="K174" s="436">
        <f t="shared" si="26"/>
        <v>-4.7504626007359558</v>
      </c>
      <c r="L174" s="436">
        <f t="shared" si="27"/>
        <v>2</v>
      </c>
      <c r="M174" s="436">
        <f t="shared" si="28"/>
        <v>5.0184640896617063E-6</v>
      </c>
      <c r="N174" s="436">
        <f t="shared" si="29"/>
        <v>1.0036928179323413E-5</v>
      </c>
      <c r="O174" s="436">
        <f t="shared" si="30"/>
        <v>-4.8239626007359551</v>
      </c>
      <c r="P174" s="436">
        <f t="shared" si="31"/>
        <v>3.5298732811079406E-6</v>
      </c>
      <c r="Q174" s="436">
        <f t="shared" si="32"/>
        <v>7.0597465622158812E-6</v>
      </c>
    </row>
    <row r="175" spans="10:17">
      <c r="J175" s="435">
        <f>169</f>
        <v>169</v>
      </c>
      <c r="K175" s="436">
        <f t="shared" si="26"/>
        <v>-4.7311201162165268</v>
      </c>
      <c r="L175" s="436">
        <f t="shared" si="27"/>
        <v>4</v>
      </c>
      <c r="M175" s="436">
        <f t="shared" si="28"/>
        <v>5.5004095176048556E-6</v>
      </c>
      <c r="N175" s="436">
        <f t="shared" si="29"/>
        <v>2.2001638070419423E-5</v>
      </c>
      <c r="O175" s="436">
        <f t="shared" si="30"/>
        <v>-4.8050576162165264</v>
      </c>
      <c r="P175" s="436">
        <f t="shared" si="31"/>
        <v>3.866230415475251E-6</v>
      </c>
      <c r="Q175" s="436">
        <f t="shared" si="32"/>
        <v>1.5464921661901004E-5</v>
      </c>
    </row>
    <row r="176" spans="10:17">
      <c r="J176" s="435">
        <f>170</f>
        <v>170</v>
      </c>
      <c r="K176" s="436">
        <f t="shared" si="26"/>
        <v>-4.7117776316970978</v>
      </c>
      <c r="L176" s="436">
        <f t="shared" si="27"/>
        <v>2</v>
      </c>
      <c r="M176" s="436">
        <f t="shared" si="28"/>
        <v>6.0263831874915651E-6</v>
      </c>
      <c r="N176" s="436">
        <f t="shared" si="29"/>
        <v>1.205276637498313E-5</v>
      </c>
      <c r="O176" s="436">
        <f t="shared" si="30"/>
        <v>-4.7861526316970977</v>
      </c>
      <c r="P176" s="436">
        <f t="shared" si="31"/>
        <v>4.2331253222138067E-6</v>
      </c>
      <c r="Q176" s="436">
        <f t="shared" si="32"/>
        <v>8.4662506444276134E-6</v>
      </c>
    </row>
    <row r="177" spans="10:17">
      <c r="J177" s="435">
        <f>171</f>
        <v>171</v>
      </c>
      <c r="K177" s="436">
        <f t="shared" si="26"/>
        <v>-4.6924351471776689</v>
      </c>
      <c r="L177" s="436">
        <f t="shared" si="27"/>
        <v>4</v>
      </c>
      <c r="M177" s="436">
        <f t="shared" si="28"/>
        <v>6.6001829580927308E-6</v>
      </c>
      <c r="N177" s="436">
        <f t="shared" si="29"/>
        <v>2.6400731832370923E-5</v>
      </c>
      <c r="O177" s="436">
        <f t="shared" si="30"/>
        <v>-4.767247647177669</v>
      </c>
      <c r="P177" s="436">
        <f t="shared" si="31"/>
        <v>4.6331812799423728E-6</v>
      </c>
      <c r="Q177" s="436">
        <f t="shared" si="32"/>
        <v>1.8532725119769491E-5</v>
      </c>
    </row>
    <row r="178" spans="10:17">
      <c r="J178" s="435">
        <f>172</f>
        <v>172</v>
      </c>
      <c r="K178" s="436">
        <f t="shared" si="26"/>
        <v>-4.6730926626582399</v>
      </c>
      <c r="L178" s="436">
        <f t="shared" si="27"/>
        <v>2</v>
      </c>
      <c r="M178" s="436">
        <f t="shared" si="28"/>
        <v>7.2259128507010362E-6</v>
      </c>
      <c r="N178" s="436">
        <f t="shared" si="29"/>
        <v>1.4451825701402072E-5</v>
      </c>
      <c r="O178" s="436">
        <f t="shared" si="30"/>
        <v>-4.7483426626582403</v>
      </c>
      <c r="P178" s="436">
        <f t="shared" si="31"/>
        <v>5.0692327623225312E-6</v>
      </c>
      <c r="Q178" s="436">
        <f t="shared" si="32"/>
        <v>1.0138465524645062E-5</v>
      </c>
    </row>
    <row r="179" spans="10:17">
      <c r="J179" s="435">
        <f>173</f>
        <v>173</v>
      </c>
      <c r="K179" s="436">
        <f t="shared" si="26"/>
        <v>-4.6537501781388109</v>
      </c>
      <c r="L179" s="436">
        <f t="shared" si="27"/>
        <v>4</v>
      </c>
      <c r="M179" s="436">
        <f t="shared" si="28"/>
        <v>7.9080057680898118E-6</v>
      </c>
      <c r="N179" s="436">
        <f t="shared" si="29"/>
        <v>3.1632023072359247E-5</v>
      </c>
      <c r="O179" s="436">
        <f t="shared" si="30"/>
        <v>-4.7294376781388117</v>
      </c>
      <c r="P179" s="436">
        <f t="shared" si="31"/>
        <v>5.5443411542084586E-6</v>
      </c>
      <c r="Q179" s="436">
        <f t="shared" si="32"/>
        <v>2.2177364616833835E-5</v>
      </c>
    </row>
    <row r="180" spans="10:17">
      <c r="J180" s="435">
        <f>174</f>
        <v>174</v>
      </c>
      <c r="K180" s="436">
        <f t="shared" si="26"/>
        <v>-4.6344076936193819</v>
      </c>
      <c r="L180" s="436">
        <f t="shared" si="27"/>
        <v>2</v>
      </c>
      <c r="M180" s="436">
        <f t="shared" si="28"/>
        <v>8.6512477277685955E-6</v>
      </c>
      <c r="N180" s="436">
        <f t="shared" si="29"/>
        <v>1.7302495455537191E-5</v>
      </c>
      <c r="O180" s="436">
        <f t="shared" si="30"/>
        <v>-4.710532693619383</v>
      </c>
      <c r="P180" s="436">
        <f t="shared" si="31"/>
        <v>6.0618115254075087E-6</v>
      </c>
      <c r="Q180" s="436">
        <f t="shared" si="32"/>
        <v>1.2123623050815017E-5</v>
      </c>
    </row>
    <row r="181" spans="10:17">
      <c r="J181" s="435">
        <f>175</f>
        <v>175</v>
      </c>
      <c r="K181" s="436">
        <f t="shared" si="26"/>
        <v>-4.6150652090999538</v>
      </c>
      <c r="L181" s="436">
        <f t="shared" si="27"/>
        <v>4</v>
      </c>
      <c r="M181" s="436">
        <f t="shared" si="28"/>
        <v>9.4608036961394987E-6</v>
      </c>
      <c r="N181" s="436">
        <f t="shared" si="29"/>
        <v>3.7843214784557995E-5</v>
      </c>
      <c r="O181" s="436">
        <f t="shared" si="30"/>
        <v>-4.6916277090999534</v>
      </c>
      <c r="P181" s="436">
        <f t="shared" si="31"/>
        <v>6.6252105239187689E-6</v>
      </c>
      <c r="Q181" s="436">
        <f t="shared" si="32"/>
        <v>2.6500842095675075E-5</v>
      </c>
    </row>
    <row r="182" spans="10:17">
      <c r="J182" s="435">
        <f>176</f>
        <v>176</v>
      </c>
      <c r="K182" s="436">
        <f t="shared" si="26"/>
        <v>-4.5957227245805248</v>
      </c>
      <c r="L182" s="436">
        <f t="shared" si="27"/>
        <v>2</v>
      </c>
      <c r="M182" s="436">
        <f t="shared" si="28"/>
        <v>1.0342245113961028E-5</v>
      </c>
      <c r="N182" s="436">
        <f t="shared" si="29"/>
        <v>2.0684490227922056E-5</v>
      </c>
      <c r="O182" s="436">
        <f t="shared" si="30"/>
        <v>-4.6727227245805247</v>
      </c>
      <c r="P182" s="436">
        <f t="shared" si="31"/>
        <v>7.2383854533922809E-6</v>
      </c>
      <c r="Q182" s="436">
        <f t="shared" si="32"/>
        <v>1.4476770906784562E-5</v>
      </c>
    </row>
    <row r="183" spans="10:17">
      <c r="J183" s="435">
        <f>177</f>
        <v>177</v>
      </c>
      <c r="K183" s="436">
        <f t="shared" si="26"/>
        <v>-4.5763802400610958</v>
      </c>
      <c r="L183" s="436">
        <f t="shared" si="27"/>
        <v>4</v>
      </c>
      <c r="M183" s="436">
        <f t="shared" si="28"/>
        <v>1.1301579207402851E-5</v>
      </c>
      <c r="N183" s="436">
        <f t="shared" si="29"/>
        <v>4.5206316829611402E-5</v>
      </c>
      <c r="O183" s="436">
        <f t="shared" si="30"/>
        <v>-4.6538177400610961</v>
      </c>
      <c r="P183" s="436">
        <f t="shared" si="31"/>
        <v>7.9054846025030433E-6</v>
      </c>
      <c r="Q183" s="436">
        <f t="shared" si="32"/>
        <v>3.1621938410012173E-5</v>
      </c>
    </row>
    <row r="184" spans="10:17">
      <c r="J184" s="435">
        <f>178</f>
        <v>178</v>
      </c>
      <c r="K184" s="436">
        <f t="shared" si="26"/>
        <v>-4.5570377555416677</v>
      </c>
      <c r="L184" s="436">
        <f t="shared" si="27"/>
        <v>2</v>
      </c>
      <c r="M184" s="436">
        <f t="shared" si="28"/>
        <v>1.2345280182923035E-5</v>
      </c>
      <c r="N184" s="436">
        <f t="shared" si="29"/>
        <v>2.469056036584607E-5</v>
      </c>
      <c r="O184" s="436">
        <f t="shared" si="30"/>
        <v>-4.6349127555416665</v>
      </c>
      <c r="P184" s="436">
        <f t="shared" si="31"/>
        <v>8.6309788969561297E-6</v>
      </c>
      <c r="Q184" s="436">
        <f t="shared" si="32"/>
        <v>1.7261957793912259E-5</v>
      </c>
    </row>
    <row r="185" spans="10:17">
      <c r="J185" s="435">
        <f>179</f>
        <v>179</v>
      </c>
      <c r="K185" s="436">
        <f t="shared" si="26"/>
        <v>-4.5376952710222387</v>
      </c>
      <c r="L185" s="436">
        <f t="shared" si="27"/>
        <v>4</v>
      </c>
      <c r="M185" s="436">
        <f t="shared" si="28"/>
        <v>1.3480322408205668E-5</v>
      </c>
      <c r="N185" s="436">
        <f t="shared" si="29"/>
        <v>5.392128963282267E-5</v>
      </c>
      <c r="O185" s="436">
        <f t="shared" si="30"/>
        <v>-4.6160077710222378</v>
      </c>
      <c r="P185" s="436">
        <f t="shared" si="31"/>
        <v>9.4196849479317899E-6</v>
      </c>
      <c r="Q185" s="436">
        <f t="shared" si="32"/>
        <v>3.767873979172716E-5</v>
      </c>
    </row>
    <row r="186" spans="10:17">
      <c r="J186" s="435">
        <f>180</f>
        <v>180</v>
      </c>
      <c r="K186" s="436">
        <f t="shared" si="26"/>
        <v>-4.5183527865028097</v>
      </c>
      <c r="L186" s="436">
        <f t="shared" si="27"/>
        <v>2</v>
      </c>
      <c r="M186" s="436">
        <f t="shared" si="28"/>
        <v>1.4714215685457619E-5</v>
      </c>
      <c r="N186" s="436">
        <f t="shared" si="29"/>
        <v>2.9428431370915239E-5</v>
      </c>
      <c r="O186" s="436">
        <f t="shared" si="30"/>
        <v>-4.5971027865028091</v>
      </c>
      <c r="P186" s="436">
        <f t="shared" si="31"/>
        <v>1.0276789573935455E-5</v>
      </c>
      <c r="Q186" s="436">
        <f t="shared" si="32"/>
        <v>2.0553579147870911E-5</v>
      </c>
    </row>
    <row r="187" spans="10:17">
      <c r="J187" s="435">
        <f>181</f>
        <v>181</v>
      </c>
      <c r="K187" s="436">
        <f t="shared" si="26"/>
        <v>-4.4990103019833807</v>
      </c>
      <c r="L187" s="436">
        <f t="shared" si="27"/>
        <v>4</v>
      </c>
      <c r="M187" s="436">
        <f t="shared" si="28"/>
        <v>1.605504272746766E-5</v>
      </c>
      <c r="N187" s="436">
        <f t="shared" si="29"/>
        <v>6.4220170909870639E-5</v>
      </c>
      <c r="O187" s="436">
        <f t="shared" si="30"/>
        <v>-4.5781978019833804</v>
      </c>
      <c r="P187" s="436">
        <f t="shared" si="31"/>
        <v>1.1207875876232961E-5</v>
      </c>
      <c r="Q187" s="436">
        <f t="shared" si="32"/>
        <v>4.4831503504931845E-5</v>
      </c>
    </row>
    <row r="188" spans="10:17">
      <c r="J188" s="435">
        <f>182</f>
        <v>182</v>
      </c>
      <c r="K188" s="436">
        <f t="shared" si="26"/>
        <v>-4.4796678174639517</v>
      </c>
      <c r="L188" s="436">
        <f t="shared" si="27"/>
        <v>2</v>
      </c>
      <c r="M188" s="436">
        <f t="shared" si="28"/>
        <v>1.7511498950966835E-5</v>
      </c>
      <c r="N188" s="436">
        <f t="shared" si="29"/>
        <v>3.5022997901933671E-5</v>
      </c>
      <c r="O188" s="436">
        <f t="shared" si="30"/>
        <v>-4.5592928174639518</v>
      </c>
      <c r="P188" s="436">
        <f t="shared" si="31"/>
        <v>1.2218950951322145E-5</v>
      </c>
      <c r="Q188" s="436">
        <f t="shared" si="32"/>
        <v>2.443790190264429E-5</v>
      </c>
    </row>
    <row r="189" spans="10:17">
      <c r="J189" s="435">
        <f>183</f>
        <v>183</v>
      </c>
      <c r="K189" s="436">
        <f t="shared" si="26"/>
        <v>-4.4603253329445227</v>
      </c>
      <c r="L189" s="436">
        <f t="shared" si="27"/>
        <v>4</v>
      </c>
      <c r="M189" s="436">
        <f t="shared" si="28"/>
        <v>1.9092934705987177E-5</v>
      </c>
      <c r="N189" s="436">
        <f t="shared" si="29"/>
        <v>7.6371738823948707E-5</v>
      </c>
      <c r="O189" s="436">
        <f t="shared" si="30"/>
        <v>-4.5403878329445231</v>
      </c>
      <c r="P189" s="436">
        <f t="shared" si="31"/>
        <v>1.3316475327209863E-5</v>
      </c>
      <c r="Q189" s="436">
        <f t="shared" si="32"/>
        <v>5.3265901308839451E-5</v>
      </c>
    </row>
    <row r="190" spans="10:17">
      <c r="J190" s="435">
        <f>184</f>
        <v>184</v>
      </c>
      <c r="K190" s="436">
        <f t="shared" si="26"/>
        <v>-4.4409828484250937</v>
      </c>
      <c r="L190" s="436">
        <f t="shared" si="27"/>
        <v>2</v>
      </c>
      <c r="M190" s="436">
        <f t="shared" si="28"/>
        <v>2.0809400064081381E-5</v>
      </c>
      <c r="N190" s="436">
        <f t="shared" si="29"/>
        <v>4.1618800128162762E-5</v>
      </c>
      <c r="O190" s="436">
        <f t="shared" si="30"/>
        <v>-4.5214828484250944</v>
      </c>
      <c r="P190" s="436">
        <f t="shared" si="31"/>
        <v>1.4507394213622334E-5</v>
      </c>
      <c r="Q190" s="436">
        <f t="shared" si="32"/>
        <v>2.9014788427244668E-5</v>
      </c>
    </row>
    <row r="191" spans="10:17">
      <c r="J191" s="435">
        <f>185</f>
        <v>185</v>
      </c>
      <c r="K191" s="436">
        <f t="shared" si="26"/>
        <v>-4.4216403639056647</v>
      </c>
      <c r="L191" s="436">
        <f t="shared" si="27"/>
        <v>4</v>
      </c>
      <c r="M191" s="436">
        <f t="shared" si="28"/>
        <v>2.2671692292426297E-5</v>
      </c>
      <c r="N191" s="436">
        <f t="shared" si="29"/>
        <v>9.0686769169705188E-5</v>
      </c>
      <c r="O191" s="436">
        <f t="shared" si="30"/>
        <v>-4.5025778639056657</v>
      </c>
      <c r="P191" s="436">
        <f t="shared" si="31"/>
        <v>1.5799170659669897E-5</v>
      </c>
      <c r="Q191" s="436">
        <f t="shared" si="32"/>
        <v>6.3196682638679588E-5</v>
      </c>
    </row>
    <row r="192" spans="10:17">
      <c r="J192" s="435">
        <f>186</f>
        <v>186</v>
      </c>
      <c r="K192" s="436">
        <f t="shared" si="26"/>
        <v>-4.4022978793862357</v>
      </c>
      <c r="L192" s="436">
        <f t="shared" si="27"/>
        <v>2</v>
      </c>
      <c r="M192" s="436">
        <f t="shared" si="28"/>
        <v>2.4691406144972018E-5</v>
      </c>
      <c r="N192" s="436">
        <f t="shared" si="29"/>
        <v>4.9382812289944037E-5</v>
      </c>
      <c r="O192" s="436">
        <f t="shared" si="30"/>
        <v>-4.483672879386237</v>
      </c>
      <c r="P192" s="436">
        <f t="shared" si="31"/>
        <v>1.7199820715903013E-5</v>
      </c>
      <c r="Q192" s="436">
        <f t="shared" si="32"/>
        <v>3.4399641431806027E-5</v>
      </c>
    </row>
    <row r="193" spans="10:17">
      <c r="J193" s="435">
        <f>187</f>
        <v>187</v>
      </c>
      <c r="K193" s="436">
        <f t="shared" si="26"/>
        <v>-4.3829553948668076</v>
      </c>
      <c r="L193" s="436">
        <f t="shared" si="27"/>
        <v>4</v>
      </c>
      <c r="M193" s="436">
        <f t="shared" si="28"/>
        <v>2.6880987105899505E-5</v>
      </c>
      <c r="N193" s="436">
        <f t="shared" si="29"/>
        <v>1.0752394842359802E-4</v>
      </c>
      <c r="O193" s="436">
        <f t="shared" si="30"/>
        <v>-4.4647678948668075</v>
      </c>
      <c r="P193" s="436">
        <f t="shared" si="31"/>
        <v>1.8717950701130064E-5</v>
      </c>
      <c r="Q193" s="436">
        <f t="shared" si="32"/>
        <v>7.4871802804520258E-5</v>
      </c>
    </row>
    <row r="194" spans="10:17">
      <c r="J194" s="435">
        <f>188</f>
        <v>188</v>
      </c>
      <c r="K194" s="436">
        <f t="shared" si="26"/>
        <v>-4.3636129103473786</v>
      </c>
      <c r="L194" s="436">
        <f t="shared" si="27"/>
        <v>2</v>
      </c>
      <c r="M194" s="436">
        <f t="shared" si="28"/>
        <v>2.925378772469487E-5</v>
      </c>
      <c r="N194" s="436">
        <f t="shared" si="29"/>
        <v>5.8507575449389739E-5</v>
      </c>
      <c r="O194" s="436">
        <f t="shared" si="30"/>
        <v>-4.4458629103473788</v>
      </c>
      <c r="P194" s="436">
        <f t="shared" si="31"/>
        <v>2.0362796677802087E-5</v>
      </c>
      <c r="Q194" s="436">
        <f t="shared" si="32"/>
        <v>4.0725593355604173E-5</v>
      </c>
    </row>
    <row r="195" spans="10:17">
      <c r="J195" s="435">
        <f>189</f>
        <v>189</v>
      </c>
      <c r="K195" s="436">
        <f t="shared" si="26"/>
        <v>-4.3442704258279496</v>
      </c>
      <c r="L195" s="436">
        <f t="shared" si="27"/>
        <v>4</v>
      </c>
      <c r="M195" s="436">
        <f t="shared" si="28"/>
        <v>3.1824127186117628E-5</v>
      </c>
      <c r="N195" s="436">
        <f t="shared" si="29"/>
        <v>1.2729650874447051E-4</v>
      </c>
      <c r="O195" s="436">
        <f t="shared" si="30"/>
        <v>-4.4269579258279501</v>
      </c>
      <c r="P195" s="436">
        <f t="shared" si="31"/>
        <v>2.2144266243201426E-5</v>
      </c>
      <c r="Q195" s="436">
        <f t="shared" si="32"/>
        <v>8.8577064972805703E-5</v>
      </c>
    </row>
    <row r="196" spans="10:17">
      <c r="J196" s="435">
        <f>190</f>
        <v>190</v>
      </c>
      <c r="K196" s="436">
        <f t="shared" si="26"/>
        <v>-4.3249279413085215</v>
      </c>
      <c r="L196" s="436">
        <f t="shared" si="27"/>
        <v>2</v>
      </c>
      <c r="M196" s="436">
        <f t="shared" si="28"/>
        <v>3.460735426221535E-5</v>
      </c>
      <c r="N196" s="436">
        <f t="shared" si="29"/>
        <v>6.92147085244307E-5</v>
      </c>
      <c r="O196" s="436">
        <f t="shared" si="30"/>
        <v>-4.4080529413085205</v>
      </c>
      <c r="P196" s="436">
        <f t="shared" si="31"/>
        <v>2.407298274707882E-5</v>
      </c>
      <c r="Q196" s="436">
        <f t="shared" si="32"/>
        <v>4.8145965494157639E-5</v>
      </c>
    </row>
    <row r="197" spans="10:17">
      <c r="J197" s="435">
        <f>191</f>
        <v>191</v>
      </c>
      <c r="K197" s="436">
        <f t="shared" si="26"/>
        <v>-4.3055854567890925</v>
      </c>
      <c r="L197" s="436">
        <f t="shared" si="27"/>
        <v>4</v>
      </c>
      <c r="M197" s="436">
        <f t="shared" si="28"/>
        <v>3.7619913797290793E-5</v>
      </c>
      <c r="N197" s="436">
        <f t="shared" si="29"/>
        <v>1.5047965518916317E-4</v>
      </c>
      <c r="O197" s="436">
        <f t="shared" si="30"/>
        <v>-4.3891479567890919</v>
      </c>
      <c r="P197" s="436">
        <f t="shared" si="31"/>
        <v>2.6160332049762086E-5</v>
      </c>
      <c r="Q197" s="436">
        <f t="shared" si="32"/>
        <v>1.0464132819904835E-4</v>
      </c>
    </row>
    <row r="198" spans="10:17">
      <c r="J198" s="435">
        <f>192</f>
        <v>192</v>
      </c>
      <c r="K198" s="436">
        <f t="shared" ref="K198:K261" si="33">$C$14+(($H$8-$C$14)/$C$13)*J198</f>
        <v>-4.2862429722696636</v>
      </c>
      <c r="L198" s="436">
        <f t="shared" ref="L198:L261" si="34">IF(OR(J198=0,J198=$C$13),1,IF(MOD(J198,2)=0,2,4))</f>
        <v>2</v>
      </c>
      <c r="M198" s="436">
        <f t="shared" ref="M198:M261" si="35">_xlfn.NORM.S.DIST(K198,FALSE)*_xlfn.NORM.S.DIST(($H$10-$H$7*K198)/SQRT(1-$H$7^2),TRUE)</f>
        <v>4.0879416880338544E-5</v>
      </c>
      <c r="N198" s="436">
        <f t="shared" ref="N198:N261" si="36">L198*M198</f>
        <v>8.1758833760677089E-5</v>
      </c>
      <c r="O198" s="436">
        <f t="shared" ref="O198:O261" si="37">$C$14+(($H$9-$C$14)/$C$13)*J198</f>
        <v>-4.3702429722696632</v>
      </c>
      <c r="P198" s="436">
        <f t="shared" ref="P198:P261" si="38">_xlfn.NORM.S.DIST(O198,FALSE)*_xlfn.NORM.S.DIST(($H$11-$H$7*O198)/SQRT(1-$H$7^2),TRUE)</f>
        <v>2.8418511938089374E-5</v>
      </c>
      <c r="Q198" s="436">
        <f t="shared" ref="Q198:Q261" si="39">L198*P198</f>
        <v>5.6837023876178749E-5</v>
      </c>
    </row>
    <row r="199" spans="10:17">
      <c r="J199" s="435">
        <f>193</f>
        <v>193</v>
      </c>
      <c r="K199" s="436">
        <f t="shared" si="33"/>
        <v>-4.2669004877502346</v>
      </c>
      <c r="L199" s="436">
        <f t="shared" si="34"/>
        <v>4</v>
      </c>
      <c r="M199" s="436">
        <f t="shared" si="35"/>
        <v>4.4404714862913308E-5</v>
      </c>
      <c r="N199" s="436">
        <f t="shared" si="36"/>
        <v>1.7761885945165323E-4</v>
      </c>
      <c r="O199" s="436">
        <f t="shared" si="37"/>
        <v>-4.3513379877502345</v>
      </c>
      <c r="P199" s="436">
        <f t="shared" si="38"/>
        <v>3.0860584319781538E-5</v>
      </c>
      <c r="Q199" s="436">
        <f t="shared" si="39"/>
        <v>1.2344233727912615E-4</v>
      </c>
    </row>
    <row r="200" spans="10:17">
      <c r="J200" s="435">
        <f>194</f>
        <v>194</v>
      </c>
      <c r="K200" s="436">
        <f t="shared" si="33"/>
        <v>-4.2475580032308056</v>
      </c>
      <c r="L200" s="436">
        <f t="shared" si="34"/>
        <v>2</v>
      </c>
      <c r="M200" s="436">
        <f t="shared" si="35"/>
        <v>4.8215977383638526E-5</v>
      </c>
      <c r="N200" s="436">
        <f t="shared" si="36"/>
        <v>9.6431954767277052E-5</v>
      </c>
      <c r="O200" s="436">
        <f t="shared" si="37"/>
        <v>-4.3324330032308058</v>
      </c>
      <c r="P200" s="436">
        <f t="shared" si="38"/>
        <v>3.3500530320056418E-5</v>
      </c>
      <c r="Q200" s="436">
        <f t="shared" si="39"/>
        <v>6.7001060640112836E-5</v>
      </c>
    </row>
    <row r="201" spans="10:17">
      <c r="J201" s="435">
        <f>195</f>
        <v>195</v>
      </c>
      <c r="K201" s="436">
        <f t="shared" si="33"/>
        <v>-4.2282155187113766</v>
      </c>
      <c r="L201" s="436">
        <f t="shared" si="34"/>
        <v>4</v>
      </c>
      <c r="M201" s="436">
        <f t="shared" si="35"/>
        <v>5.2334774563584879E-5</v>
      </c>
      <c r="N201" s="436">
        <f t="shared" si="36"/>
        <v>2.0933909825433952E-4</v>
      </c>
      <c r="O201" s="436">
        <f t="shared" si="37"/>
        <v>-4.3135280187113771</v>
      </c>
      <c r="P201" s="436">
        <f t="shared" si="38"/>
        <v>3.6353308407370425E-5</v>
      </c>
      <c r="Q201" s="436">
        <f t="shared" si="39"/>
        <v>1.454132336294817E-4</v>
      </c>
    </row>
    <row r="202" spans="10:17">
      <c r="J202" s="435">
        <f>196</f>
        <v>196</v>
      </c>
      <c r="K202" s="436">
        <f t="shared" si="33"/>
        <v>-4.2088730341919476</v>
      </c>
      <c r="L202" s="436">
        <f t="shared" si="34"/>
        <v>2</v>
      </c>
      <c r="M202" s="436">
        <f t="shared" si="35"/>
        <v>5.6784163539517354E-5</v>
      </c>
      <c r="N202" s="436">
        <f t="shared" si="36"/>
        <v>1.1356832707903471E-4</v>
      </c>
      <c r="O202" s="436">
        <f t="shared" si="37"/>
        <v>-4.2946230341919485</v>
      </c>
      <c r="P202" s="436">
        <f t="shared" si="38"/>
        <v>3.94349156781381E-5</v>
      </c>
      <c r="Q202" s="436">
        <f t="shared" si="39"/>
        <v>7.8869831356276199E-5</v>
      </c>
    </row>
    <row r="203" spans="10:17">
      <c r="J203" s="435">
        <f>197</f>
        <v>197</v>
      </c>
      <c r="K203" s="436">
        <f t="shared" si="33"/>
        <v>-4.1895305496725186</v>
      </c>
      <c r="L203" s="436">
        <f t="shared" si="34"/>
        <v>4</v>
      </c>
      <c r="M203" s="436">
        <f t="shared" si="35"/>
        <v>6.1588779504485341E-5</v>
      </c>
      <c r="N203" s="436">
        <f t="shared" si="36"/>
        <v>2.4635511801794136E-4</v>
      </c>
      <c r="O203" s="436">
        <f t="shared" si="37"/>
        <v>-4.2757180496725198</v>
      </c>
      <c r="P203" s="436">
        <f t="shared" si="38"/>
        <v>4.276245243310689E-5</v>
      </c>
      <c r="Q203" s="436">
        <f t="shared" si="39"/>
        <v>1.7104980973242756E-4</v>
      </c>
    </row>
    <row r="204" spans="10:17">
      <c r="J204" s="435">
        <f>198</f>
        <v>198</v>
      </c>
      <c r="K204" s="436">
        <f t="shared" si="33"/>
        <v>-4.1701880651530905</v>
      </c>
      <c r="L204" s="436">
        <f t="shared" si="34"/>
        <v>2</v>
      </c>
      <c r="M204" s="436">
        <f t="shared" si="35"/>
        <v>6.6774931427388364E-5</v>
      </c>
      <c r="N204" s="436">
        <f t="shared" si="36"/>
        <v>1.3354986285477673E-4</v>
      </c>
      <c r="O204" s="436">
        <f t="shared" si="37"/>
        <v>-4.2568130651530902</v>
      </c>
      <c r="P204" s="436">
        <f t="shared" si="38"/>
        <v>4.6354190180725535E-5</v>
      </c>
      <c r="Q204" s="436">
        <f t="shared" si="39"/>
        <v>9.270838036145107E-5</v>
      </c>
    </row>
    <row r="205" spans="10:17">
      <c r="J205" s="435">
        <f>199</f>
        <v>199</v>
      </c>
      <c r="K205" s="436">
        <f t="shared" si="33"/>
        <v>-4.1508455806336615</v>
      </c>
      <c r="L205" s="436">
        <f t="shared" si="34"/>
        <v>4</v>
      </c>
      <c r="M205" s="436">
        <f t="shared" si="35"/>
        <v>7.2370702624946953E-5</v>
      </c>
      <c r="N205" s="436">
        <f t="shared" si="36"/>
        <v>2.8948281049978781E-4</v>
      </c>
      <c r="O205" s="436">
        <f t="shared" si="37"/>
        <v>-4.2379080806336615</v>
      </c>
      <c r="P205" s="436">
        <f t="shared" si="38"/>
        <v>5.0229643205320578E-5</v>
      </c>
      <c r="Q205" s="436">
        <f t="shared" si="39"/>
        <v>2.0091857282128231E-4</v>
      </c>
    </row>
    <row r="206" spans="10:17">
      <c r="J206" s="435">
        <f>200</f>
        <v>200</v>
      </c>
      <c r="K206" s="436">
        <f t="shared" si="33"/>
        <v>-4.1315030961142325</v>
      </c>
      <c r="L206" s="436">
        <f t="shared" si="34"/>
        <v>2</v>
      </c>
      <c r="M206" s="436">
        <f t="shared" si="35"/>
        <v>7.8406056360906984E-5</v>
      </c>
      <c r="N206" s="436">
        <f t="shared" si="36"/>
        <v>1.5681211272181397E-4</v>
      </c>
      <c r="O206" s="436">
        <f t="shared" si="37"/>
        <v>-4.2190030961142329</v>
      </c>
      <c r="P206" s="436">
        <f t="shared" si="38"/>
        <v>5.4409643840162913E-5</v>
      </c>
      <c r="Q206" s="436">
        <f t="shared" si="39"/>
        <v>1.0881928768032583E-4</v>
      </c>
    </row>
    <row r="207" spans="10:17">
      <c r="J207" s="435">
        <f>201</f>
        <v>201</v>
      </c>
      <c r="K207" s="436">
        <f t="shared" si="33"/>
        <v>-4.1121606115948044</v>
      </c>
      <c r="L207" s="436">
        <f t="shared" si="34"/>
        <v>4</v>
      </c>
      <c r="M207" s="436">
        <f t="shared" si="35"/>
        <v>8.4912946648276508E-5</v>
      </c>
      <c r="N207" s="436">
        <f t="shared" si="36"/>
        <v>3.3965178659310603E-4</v>
      </c>
      <c r="O207" s="436">
        <f t="shared" si="37"/>
        <v>-4.2000981115948033</v>
      </c>
      <c r="P207" s="436">
        <f t="shared" si="38"/>
        <v>5.8916421587523711E-5</v>
      </c>
      <c r="Q207" s="436">
        <f t="shared" si="39"/>
        <v>2.3566568635009484E-4</v>
      </c>
    </row>
    <row r="208" spans="10:17">
      <c r="J208" s="435">
        <f>202</f>
        <v>202</v>
      </c>
      <c r="K208" s="436">
        <f t="shared" si="33"/>
        <v>-4.0928181270753754</v>
      </c>
      <c r="L208" s="436">
        <f t="shared" si="34"/>
        <v>2</v>
      </c>
      <c r="M208" s="436">
        <f t="shared" si="35"/>
        <v>9.1925434430879859E-5</v>
      </c>
      <c r="N208" s="436">
        <f t="shared" si="36"/>
        <v>1.8385086886175972E-4</v>
      </c>
      <c r="O208" s="436">
        <f t="shared" si="37"/>
        <v>-4.1811931270753746</v>
      </c>
      <c r="P208" s="436">
        <f t="shared" si="38"/>
        <v>6.3773686229584835E-5</v>
      </c>
      <c r="Q208" s="436">
        <f t="shared" si="39"/>
        <v>1.2754737245916967E-4</v>
      </c>
    </row>
    <row r="209" spans="10:17">
      <c r="J209" s="435">
        <f>203</f>
        <v>203</v>
      </c>
      <c r="K209" s="436">
        <f t="shared" si="33"/>
        <v>-4.0734756425559464</v>
      </c>
      <c r="L209" s="436">
        <f t="shared" si="34"/>
        <v>4</v>
      </c>
      <c r="M209" s="436">
        <f t="shared" si="35"/>
        <v>9.9479809320477552E-5</v>
      </c>
      <c r="N209" s="436">
        <f t="shared" si="36"/>
        <v>3.9791923728191021E-4</v>
      </c>
      <c r="O209" s="436">
        <f t="shared" si="37"/>
        <v>-4.1622881425559459</v>
      </c>
      <c r="P209" s="436">
        <f t="shared" si="38"/>
        <v>6.9006715075528707E-5</v>
      </c>
      <c r="Q209" s="436">
        <f t="shared" si="39"/>
        <v>2.7602686030211483E-4</v>
      </c>
    </row>
    <row r="210" spans="10:17">
      <c r="J210" s="435">
        <f>204</f>
        <v>204</v>
      </c>
      <c r="K210" s="436">
        <f t="shared" si="33"/>
        <v>-4.0541331580365174</v>
      </c>
      <c r="L210" s="436">
        <f t="shared" si="34"/>
        <v>2</v>
      </c>
      <c r="M210" s="436">
        <f t="shared" si="35"/>
        <v>1.076147170651152E-4</v>
      </c>
      <c r="N210" s="436">
        <f t="shared" si="36"/>
        <v>2.152294341302304E-4</v>
      </c>
      <c r="O210" s="436">
        <f t="shared" si="37"/>
        <v>-4.1433831580365172</v>
      </c>
      <c r="P210" s="436">
        <f t="shared" si="38"/>
        <v>7.4642444491259386E-5</v>
      </c>
      <c r="Q210" s="436">
        <f t="shared" si="39"/>
        <v>1.4928488898251877E-4</v>
      </c>
    </row>
    <row r="211" spans="10:17">
      <c r="J211" s="435">
        <f>205</f>
        <v>205</v>
      </c>
      <c r="K211" s="436">
        <f t="shared" si="33"/>
        <v>-4.0347906735170884</v>
      </c>
      <c r="L211" s="436">
        <f t="shared" si="34"/>
        <v>4</v>
      </c>
      <c r="M211" s="436">
        <f t="shared" si="35"/>
        <v>1.1637129292314622E-4</v>
      </c>
      <c r="N211" s="436">
        <f t="shared" si="36"/>
        <v>4.6548517169258487E-4</v>
      </c>
      <c r="O211" s="436">
        <f t="shared" si="37"/>
        <v>-4.1244781735170886</v>
      </c>
      <c r="P211" s="436">
        <f t="shared" si="38"/>
        <v>8.0709565858985526E-5</v>
      </c>
      <c r="Q211" s="436">
        <f t="shared" si="39"/>
        <v>3.228382634359421E-4</v>
      </c>
    </row>
    <row r="212" spans="10:17">
      <c r="J212" s="435">
        <f>206</f>
        <v>206</v>
      </c>
      <c r="K212" s="436">
        <f t="shared" si="33"/>
        <v>-4.0154481889976594</v>
      </c>
      <c r="L212" s="436">
        <f t="shared" si="34"/>
        <v>2</v>
      </c>
      <c r="M212" s="436">
        <f t="shared" si="35"/>
        <v>1.2579330111551064E-4</v>
      </c>
      <c r="N212" s="436">
        <f t="shared" si="36"/>
        <v>2.5158660223102128E-4</v>
      </c>
      <c r="O212" s="436">
        <f t="shared" si="37"/>
        <v>-4.1055731889976599</v>
      </c>
      <c r="P212" s="436">
        <f t="shared" si="38"/>
        <v>8.7238626114267509E-5</v>
      </c>
      <c r="Q212" s="436">
        <f t="shared" si="39"/>
        <v>1.7447725222853502E-4</v>
      </c>
    </row>
    <row r="213" spans="10:17">
      <c r="J213" s="435">
        <f>207</f>
        <v>207</v>
      </c>
      <c r="K213" s="436">
        <f t="shared" si="33"/>
        <v>-3.9961057044782304</v>
      </c>
      <c r="L213" s="436">
        <f t="shared" si="34"/>
        <v>4</v>
      </c>
      <c r="M213" s="436">
        <f t="shared" si="35"/>
        <v>1.3592728052627494E-4</v>
      </c>
      <c r="N213" s="436">
        <f t="shared" si="36"/>
        <v>5.4370912210509976E-4</v>
      </c>
      <c r="O213" s="436">
        <f t="shared" si="37"/>
        <v>-4.0866682044782312</v>
      </c>
      <c r="P213" s="436">
        <f t="shared" si="38"/>
        <v>9.4262133008074782E-5</v>
      </c>
      <c r="Q213" s="436">
        <f t="shared" si="39"/>
        <v>3.7704853203229913E-4</v>
      </c>
    </row>
    <row r="214" spans="10:17">
      <c r="J214" s="435">
        <f>208</f>
        <v>208</v>
      </c>
      <c r="K214" s="436">
        <f t="shared" si="33"/>
        <v>-3.9767632199588023</v>
      </c>
      <c r="L214" s="436">
        <f t="shared" si="34"/>
        <v>2</v>
      </c>
      <c r="M214" s="436">
        <f t="shared" si="35"/>
        <v>1.4682269681810049E-4</v>
      </c>
      <c r="N214" s="436">
        <f t="shared" si="36"/>
        <v>2.9364539363620098E-4</v>
      </c>
      <c r="O214" s="436">
        <f t="shared" si="37"/>
        <v>-4.0677632199588025</v>
      </c>
      <c r="P214" s="436">
        <f t="shared" si="38"/>
        <v>1.0181466524087282E-4</v>
      </c>
      <c r="Q214" s="436">
        <f t="shared" si="39"/>
        <v>2.0362933048174563E-4</v>
      </c>
    </row>
    <row r="215" spans="10:17">
      <c r="J215" s="435">
        <f>209</f>
        <v>209</v>
      </c>
      <c r="K215" s="436">
        <f t="shared" si="33"/>
        <v>-3.9574207354393733</v>
      </c>
      <c r="L215" s="436">
        <f t="shared" si="34"/>
        <v>4</v>
      </c>
      <c r="M215" s="436">
        <f t="shared" si="35"/>
        <v>1.5853210112516189E-4</v>
      </c>
      <c r="N215" s="436">
        <f t="shared" si="36"/>
        <v>6.3412840450064757E-4</v>
      </c>
      <c r="O215" s="436">
        <f t="shared" si="37"/>
        <v>-4.0488582354393738</v>
      </c>
      <c r="P215" s="436">
        <f t="shared" si="38"/>
        <v>1.0993298761472626E-4</v>
      </c>
      <c r="Q215" s="436">
        <f t="shared" si="39"/>
        <v>4.3973195045890506E-4</v>
      </c>
    </row>
    <row r="216" spans="10:17">
      <c r="J216" s="435">
        <f>210</f>
        <v>210</v>
      </c>
      <c r="K216" s="436">
        <f t="shared" si="33"/>
        <v>-3.9380782509199443</v>
      </c>
      <c r="L216" s="436">
        <f t="shared" si="34"/>
        <v>2</v>
      </c>
      <c r="M216" s="436">
        <f t="shared" si="35"/>
        <v>1.7111129548100812E-4</v>
      </c>
      <c r="N216" s="436">
        <f t="shared" si="36"/>
        <v>3.4222259096201624E-4</v>
      </c>
      <c r="O216" s="436">
        <f t="shared" si="37"/>
        <v>-4.0299532509199443</v>
      </c>
      <c r="P216" s="436">
        <f t="shared" si="38"/>
        <v>1.1865617134781557E-4</v>
      </c>
      <c r="Q216" s="436">
        <f t="shared" si="39"/>
        <v>2.3731234269563114E-4</v>
      </c>
    </row>
    <row r="217" spans="10:17">
      <c r="J217" s="435">
        <f>211</f>
        <v>211</v>
      </c>
      <c r="K217" s="436">
        <f t="shared" si="33"/>
        <v>-3.9187357664005154</v>
      </c>
      <c r="L217" s="436">
        <f t="shared" si="34"/>
        <v>4</v>
      </c>
      <c r="M217" s="436">
        <f t="shared" si="35"/>
        <v>1.8461950513293555E-4</v>
      </c>
      <c r="N217" s="436">
        <f t="shared" si="36"/>
        <v>7.384780205317422E-4</v>
      </c>
      <c r="O217" s="436">
        <f t="shared" si="37"/>
        <v>-4.0110482664005156</v>
      </c>
      <c r="P217" s="436">
        <f t="shared" si="38"/>
        <v>1.2802571969358913E-4</v>
      </c>
      <c r="Q217" s="436">
        <f t="shared" si="39"/>
        <v>5.1210287877435652E-4</v>
      </c>
    </row>
    <row r="218" spans="10:17">
      <c r="J218" s="435">
        <f>212</f>
        <v>212</v>
      </c>
      <c r="K218" s="436">
        <f t="shared" si="33"/>
        <v>-3.8993932818810864</v>
      </c>
      <c r="L218" s="436">
        <f t="shared" si="34"/>
        <v>2</v>
      </c>
      <c r="M218" s="436">
        <f t="shared" si="35"/>
        <v>1.9911955788751146E-4</v>
      </c>
      <c r="N218" s="436">
        <f t="shared" si="36"/>
        <v>3.9823911577502292E-4</v>
      </c>
      <c r="O218" s="436">
        <f t="shared" si="37"/>
        <v>-3.9921432818810869</v>
      </c>
      <c r="P218" s="436">
        <f t="shared" si="38"/>
        <v>1.3808569900396382E-4</v>
      </c>
      <c r="Q218" s="436">
        <f t="shared" si="39"/>
        <v>2.7617139800792764E-4</v>
      </c>
    </row>
    <row r="219" spans="10:17">
      <c r="J219" s="435">
        <f>213</f>
        <v>213</v>
      </c>
      <c r="K219" s="436">
        <f t="shared" si="33"/>
        <v>-3.8800507973616574</v>
      </c>
      <c r="L219" s="436">
        <f t="shared" si="34"/>
        <v>4</v>
      </c>
      <c r="M219" s="436">
        <f t="shared" si="35"/>
        <v>2.1467807062393562E-4</v>
      </c>
      <c r="N219" s="436">
        <f t="shared" si="36"/>
        <v>8.5871228249574248E-4</v>
      </c>
      <c r="O219" s="436">
        <f t="shared" si="37"/>
        <v>-3.9732382973616582</v>
      </c>
      <c r="P219" s="436">
        <f t="shared" si="38"/>
        <v>1.4888287537248048E-4</v>
      </c>
      <c r="Q219" s="436">
        <f t="shared" si="39"/>
        <v>5.9553150148992191E-4</v>
      </c>
    </row>
    <row r="220" spans="10:17">
      <c r="J220" s="435">
        <f>214</f>
        <v>214</v>
      </c>
      <c r="K220" s="436">
        <f t="shared" si="33"/>
        <v>-3.8607083128422293</v>
      </c>
      <c r="L220" s="436">
        <f t="shared" si="34"/>
        <v>2</v>
      </c>
      <c r="M220" s="436">
        <f t="shared" si="35"/>
        <v>2.3136564310287857E-4</v>
      </c>
      <c r="N220" s="436">
        <f t="shared" si="36"/>
        <v>4.6273128620575714E-4</v>
      </c>
      <c r="O220" s="436">
        <f t="shared" si="37"/>
        <v>-3.9543333128422287</v>
      </c>
      <c r="P220" s="436">
        <f t="shared" si="38"/>
        <v>1.60466856989111E-4</v>
      </c>
      <c r="Q220" s="436">
        <f t="shared" si="39"/>
        <v>3.20933713978222E-4</v>
      </c>
    </row>
    <row r="221" spans="10:17">
      <c r="J221" s="435">
        <f>215</f>
        <v>215</v>
      </c>
      <c r="K221" s="436">
        <f t="shared" si="33"/>
        <v>-3.8413658283228003</v>
      </c>
      <c r="L221" s="436">
        <f t="shared" si="34"/>
        <v>4</v>
      </c>
      <c r="M221" s="436">
        <f t="shared" si="35"/>
        <v>2.4925705918823641E-4</v>
      </c>
      <c r="N221" s="436">
        <f t="shared" si="36"/>
        <v>9.9702823675294565E-4</v>
      </c>
      <c r="O221" s="436">
        <f t="shared" si="37"/>
        <v>-3.9354283283228</v>
      </c>
      <c r="P221" s="436">
        <f t="shared" si="38"/>
        <v>1.728902423334059E-4</v>
      </c>
      <c r="Q221" s="436">
        <f t="shared" si="39"/>
        <v>6.9156096933362359E-4</v>
      </c>
    </row>
    <row r="222" spans="10:17">
      <c r="J222" s="435">
        <f>216</f>
        <v>216</v>
      </c>
      <c r="K222" s="436">
        <f t="shared" si="33"/>
        <v>-3.8220233438033713</v>
      </c>
      <c r="L222" s="436">
        <f t="shared" si="34"/>
        <v>2</v>
      </c>
      <c r="M222" s="436">
        <f t="shared" si="35"/>
        <v>2.6843149558780936E-4</v>
      </c>
      <c r="N222" s="436">
        <f t="shared" si="36"/>
        <v>5.3686299117561872E-4</v>
      </c>
      <c r="O222" s="436">
        <f t="shared" si="37"/>
        <v>-3.9165233438033713</v>
      </c>
      <c r="P222" s="436">
        <f t="shared" si="38"/>
        <v>1.8620877432685447E-4</v>
      </c>
      <c r="Q222" s="436">
        <f t="shared" si="39"/>
        <v>3.7241754865370894E-4</v>
      </c>
    </row>
    <row r="223" spans="10:17">
      <c r="J223" s="435">
        <f>217</f>
        <v>217</v>
      </c>
      <c r="K223" s="436">
        <f t="shared" si="33"/>
        <v>-3.8026808592839423</v>
      </c>
      <c r="L223" s="436">
        <f t="shared" si="34"/>
        <v>4</v>
      </c>
      <c r="M223" s="436">
        <f t="shared" si="35"/>
        <v>2.889727382062512E-4</v>
      </c>
      <c r="N223" s="436">
        <f t="shared" si="36"/>
        <v>1.1558909528250048E-3</v>
      </c>
      <c r="O223" s="436">
        <f t="shared" si="37"/>
        <v>-3.8976183592839426</v>
      </c>
      <c r="P223" s="436">
        <f t="shared" si="38"/>
        <v>2.0048150055861842E-4</v>
      </c>
      <c r="Q223" s="436">
        <f t="shared" si="39"/>
        <v>8.0192600223447368E-4</v>
      </c>
    </row>
    <row r="224" spans="10:17">
      <c r="J224" s="435">
        <f>218</f>
        <v>218</v>
      </c>
      <c r="K224" s="436">
        <f t="shared" si="33"/>
        <v>-3.7833383747645133</v>
      </c>
      <c r="L224" s="436">
        <f t="shared" si="34"/>
        <v>2</v>
      </c>
      <c r="M224" s="436">
        <f t="shared" si="35"/>
        <v>3.1096940618958302E-4</v>
      </c>
      <c r="N224" s="436">
        <f t="shared" si="36"/>
        <v>6.2193881237916605E-4</v>
      </c>
      <c r="O224" s="436">
        <f t="shared" si="37"/>
        <v>-3.8787133747645139</v>
      </c>
      <c r="P224" s="436">
        <f t="shared" si="38"/>
        <v>2.1577093969118541E-4</v>
      </c>
      <c r="Q224" s="436">
        <f t="shared" si="39"/>
        <v>4.3154187938237082E-4</v>
      </c>
    </row>
    <row r="225" spans="10:17">
      <c r="J225" s="435">
        <f>219</f>
        <v>219</v>
      </c>
      <c r="K225" s="436">
        <f t="shared" si="33"/>
        <v>-3.7639958902450843</v>
      </c>
      <c r="L225" s="436">
        <f t="shared" si="34"/>
        <v>4</v>
      </c>
      <c r="M225" s="436">
        <f t="shared" si="35"/>
        <v>3.3451518372517469E-4</v>
      </c>
      <c r="N225" s="436">
        <f t="shared" si="36"/>
        <v>1.3380607349006987E-3</v>
      </c>
      <c r="O225" s="436">
        <f t="shared" si="37"/>
        <v>-3.8598083902450853</v>
      </c>
      <c r="P225" s="436">
        <f t="shared" si="38"/>
        <v>2.3214325414387042E-4</v>
      </c>
      <c r="Q225" s="436">
        <f t="shared" si="39"/>
        <v>9.2857301657548168E-4</v>
      </c>
    </row>
    <row r="226" spans="10:17">
      <c r="J226" s="435">
        <f>220</f>
        <v>220</v>
      </c>
      <c r="K226" s="436">
        <f t="shared" si="33"/>
        <v>-3.7446534057256562</v>
      </c>
      <c r="L226" s="436">
        <f t="shared" si="34"/>
        <v>2</v>
      </c>
      <c r="M226" s="436">
        <f t="shared" si="35"/>
        <v>3.5970905964420813E-4</v>
      </c>
      <c r="N226" s="436">
        <f t="shared" si="36"/>
        <v>7.1941811928841626E-4</v>
      </c>
      <c r="O226" s="436">
        <f t="shared" si="37"/>
        <v>-3.8409034057256557</v>
      </c>
      <c r="P226" s="436">
        <f t="shared" si="38"/>
        <v>2.4966842914245907E-4</v>
      </c>
      <c r="Q226" s="436">
        <f t="shared" si="39"/>
        <v>4.9933685828491814E-4</v>
      </c>
    </row>
    <row r="227" spans="10:17">
      <c r="J227" s="435">
        <f>221</f>
        <v>221</v>
      </c>
      <c r="K227" s="436">
        <f t="shared" si="33"/>
        <v>-3.7253109212062272</v>
      </c>
      <c r="L227" s="436">
        <f t="shared" si="34"/>
        <v>4</v>
      </c>
      <c r="M227" s="436">
        <f t="shared" si="35"/>
        <v>3.8665557485528568E-4</v>
      </c>
      <c r="N227" s="436">
        <f t="shared" si="36"/>
        <v>1.5466222994211427E-3</v>
      </c>
      <c r="O227" s="436">
        <f t="shared" si="37"/>
        <v>-3.821998421206227</v>
      </c>
      <c r="P227" s="436">
        <f t="shared" si="38"/>
        <v>2.6842045821254929E-4</v>
      </c>
      <c r="Q227" s="436">
        <f t="shared" si="39"/>
        <v>1.0736818328501972E-3</v>
      </c>
    </row>
    <row r="228" spans="10:17">
      <c r="J228" s="435">
        <f>222</f>
        <v>222</v>
      </c>
      <c r="K228" s="436">
        <f t="shared" si="33"/>
        <v>-3.7059684366867982</v>
      </c>
      <c r="L228" s="436">
        <f t="shared" si="34"/>
        <v>2</v>
      </c>
      <c r="M228" s="436">
        <f t="shared" si="35"/>
        <v>4.154650776178489E-4</v>
      </c>
      <c r="N228" s="436">
        <f t="shared" si="36"/>
        <v>8.3093015523569779E-4</v>
      </c>
      <c r="O228" s="436">
        <f t="shared" si="37"/>
        <v>-3.8030934366867983</v>
      </c>
      <c r="P228" s="436">
        <f t="shared" si="38"/>
        <v>2.8847753518229294E-4</v>
      </c>
      <c r="Q228" s="436">
        <f t="shared" si="39"/>
        <v>5.7695507036458588E-4</v>
      </c>
    </row>
    <row r="229" spans="10:17">
      <c r="J229" s="435">
        <f>223</f>
        <v>223</v>
      </c>
      <c r="K229" s="436">
        <f t="shared" si="33"/>
        <v>-3.6866259521673692</v>
      </c>
      <c r="L229" s="436">
        <f t="shared" si="34"/>
        <v>4</v>
      </c>
      <c r="M229" s="436">
        <f t="shared" si="35"/>
        <v>4.4625398664256016E-4</v>
      </c>
      <c r="N229" s="436">
        <f t="shared" si="36"/>
        <v>1.7850159465702406E-3</v>
      </c>
      <c r="O229" s="436">
        <f t="shared" si="37"/>
        <v>-3.7841884521673697</v>
      </c>
      <c r="P229" s="436">
        <f t="shared" si="38"/>
        <v>3.099222527471436E-4</v>
      </c>
      <c r="Q229" s="436">
        <f t="shared" si="39"/>
        <v>1.2396890109885744E-3</v>
      </c>
    </row>
    <row r="230" spans="10:17">
      <c r="J230" s="435">
        <f>224</f>
        <v>224</v>
      </c>
      <c r="K230" s="436">
        <f t="shared" si="33"/>
        <v>-3.6672834676479402</v>
      </c>
      <c r="L230" s="436">
        <f t="shared" si="34"/>
        <v>2</v>
      </c>
      <c r="M230" s="436">
        <f t="shared" si="35"/>
        <v>4.7914506198248159E-4</v>
      </c>
      <c r="N230" s="436">
        <f t="shared" si="36"/>
        <v>9.5829012396496317E-4</v>
      </c>
      <c r="O230" s="436">
        <f t="shared" si="37"/>
        <v>-3.765283467647941</v>
      </c>
      <c r="P230" s="436">
        <f t="shared" si="38"/>
        <v>3.3284180763491962E-4</v>
      </c>
      <c r="Q230" s="436">
        <f t="shared" si="39"/>
        <v>6.6568361526983923E-4</v>
      </c>
    </row>
    <row r="231" spans="10:17">
      <c r="J231" s="435">
        <f>225</f>
        <v>225</v>
      </c>
      <c r="K231" s="436">
        <f t="shared" si="33"/>
        <v>-3.6479409831285121</v>
      </c>
      <c r="L231" s="436">
        <f t="shared" si="34"/>
        <v>4</v>
      </c>
      <c r="M231" s="436">
        <f t="shared" si="35"/>
        <v>5.142676836539182E-4</v>
      </c>
      <c r="N231" s="436">
        <f t="shared" si="36"/>
        <v>2.0570707346156728E-3</v>
      </c>
      <c r="O231" s="436">
        <f t="shared" si="37"/>
        <v>-3.7463784831285114</v>
      </c>
      <c r="P231" s="436">
        <f t="shared" si="38"/>
        <v>3.5732821239384683E-4</v>
      </c>
      <c r="Q231" s="436">
        <f t="shared" si="39"/>
        <v>1.4293128495753873E-3</v>
      </c>
    </row>
    <row r="232" spans="10:17">
      <c r="J232" s="435">
        <f>226</f>
        <v>226</v>
      </c>
      <c r="K232" s="436">
        <f t="shared" si="33"/>
        <v>-3.6285984986090831</v>
      </c>
      <c r="L232" s="436">
        <f t="shared" si="34"/>
        <v>2</v>
      </c>
      <c r="M232" s="436">
        <f t="shared" si="35"/>
        <v>5.5175813789901161E-4</v>
      </c>
      <c r="N232" s="436">
        <f t="shared" si="36"/>
        <v>1.1035162757980232E-3</v>
      </c>
      <c r="O232" s="436">
        <f t="shared" si="37"/>
        <v>-3.7274734986090827</v>
      </c>
      <c r="P232" s="436">
        <f t="shared" si="38"/>
        <v>3.8347851380924659E-4</v>
      </c>
      <c r="Q232" s="436">
        <f t="shared" si="39"/>
        <v>7.6695702761849318E-4</v>
      </c>
    </row>
    <row r="233" spans="10:17">
      <c r="J233" s="435">
        <f>227</f>
        <v>227</v>
      </c>
      <c r="K233" s="436">
        <f t="shared" si="33"/>
        <v>-3.6092560140896541</v>
      </c>
      <c r="L233" s="436">
        <f t="shared" si="34"/>
        <v>4</v>
      </c>
      <c r="M233" s="436">
        <f t="shared" si="35"/>
        <v>5.9175991097350851E-4</v>
      </c>
      <c r="N233" s="436">
        <f t="shared" si="36"/>
        <v>2.367039643894034E-3</v>
      </c>
      <c r="O233" s="436">
        <f t="shared" si="37"/>
        <v>-3.708568514089654</v>
      </c>
      <c r="P233" s="436">
        <f t="shared" si="38"/>
        <v>4.1139501793614232E-4</v>
      </c>
      <c r="Q233" s="436">
        <f t="shared" si="39"/>
        <v>1.6455800717445693E-3</v>
      </c>
    </row>
    <row r="234" spans="10:17">
      <c r="J234" s="435">
        <f>228</f>
        <v>228</v>
      </c>
      <c r="K234" s="436">
        <f t="shared" si="33"/>
        <v>-3.5899135295702251</v>
      </c>
      <c r="L234" s="436">
        <f t="shared" si="34"/>
        <v>2</v>
      </c>
      <c r="M234" s="436">
        <f t="shared" si="35"/>
        <v>6.3442399031267589E-4</v>
      </c>
      <c r="N234" s="436">
        <f t="shared" si="36"/>
        <v>1.2688479806253518E-3</v>
      </c>
      <c r="O234" s="436">
        <f t="shared" si="37"/>
        <v>-3.6896635295702254</v>
      </c>
      <c r="P234" s="436">
        <f t="shared" si="38"/>
        <v>4.4118552171513152E-4</v>
      </c>
      <c r="Q234" s="436">
        <f t="shared" si="39"/>
        <v>8.8237104343026303E-4</v>
      </c>
    </row>
    <row r="235" spans="10:17">
      <c r="J235" s="435">
        <f>229</f>
        <v>229</v>
      </c>
      <c r="K235" s="436">
        <f t="shared" si="33"/>
        <v>-3.5705710450507961</v>
      </c>
      <c r="L235" s="436">
        <f t="shared" si="34"/>
        <v>4</v>
      </c>
      <c r="M235" s="436">
        <f t="shared" si="35"/>
        <v>6.7990917289585174E-4</v>
      </c>
      <c r="N235" s="436">
        <f t="shared" si="36"/>
        <v>2.719636691583407E-3</v>
      </c>
      <c r="O235" s="436">
        <f t="shared" si="37"/>
        <v>-3.6707585450507967</v>
      </c>
      <c r="P235" s="436">
        <f t="shared" si="38"/>
        <v>4.7296355111749622E-4</v>
      </c>
      <c r="Q235" s="436">
        <f t="shared" si="39"/>
        <v>1.8918542044699849E-3</v>
      </c>
    </row>
    <row r="236" spans="10:17">
      <c r="J236" s="435">
        <f>230</f>
        <v>230</v>
      </c>
      <c r="K236" s="436">
        <f t="shared" si="33"/>
        <v>-3.5512285605313672</v>
      </c>
      <c r="L236" s="436">
        <f t="shared" si="34"/>
        <v>2</v>
      </c>
      <c r="M236" s="436">
        <f t="shared" si="35"/>
        <v>7.2838238059572916E-4</v>
      </c>
      <c r="N236" s="436">
        <f t="shared" si="36"/>
        <v>1.4567647611914583E-3</v>
      </c>
      <c r="O236" s="436">
        <f t="shared" si="37"/>
        <v>-3.651853560531368</v>
      </c>
      <c r="P236" s="436">
        <f t="shared" si="38"/>
        <v>5.0684860574250657E-4</v>
      </c>
      <c r="Q236" s="436">
        <f t="shared" si="39"/>
        <v>1.0136972114850131E-3</v>
      </c>
    </row>
    <row r="237" spans="10:17">
      <c r="J237" s="435">
        <f>231</f>
        <v>231</v>
      </c>
      <c r="K237" s="436">
        <f t="shared" si="33"/>
        <v>-3.531886076011939</v>
      </c>
      <c r="L237" s="436">
        <f t="shared" si="34"/>
        <v>4</v>
      </c>
      <c r="M237" s="436">
        <f t="shared" si="35"/>
        <v>7.8001898226205994E-4</v>
      </c>
      <c r="N237" s="436">
        <f t="shared" si="36"/>
        <v>3.1200759290482397E-3</v>
      </c>
      <c r="O237" s="436">
        <f t="shared" si="37"/>
        <v>-3.6329485760119384</v>
      </c>
      <c r="P237" s="436">
        <f t="shared" si="38"/>
        <v>5.4296640976525664E-4</v>
      </c>
      <c r="Q237" s="436">
        <f t="shared" si="39"/>
        <v>2.1718656390610266E-3</v>
      </c>
    </row>
    <row r="238" spans="10:17">
      <c r="J238" s="435">
        <f>232</f>
        <v>232</v>
      </c>
      <c r="K238" s="436">
        <f t="shared" si="33"/>
        <v>-3.5125435914925101</v>
      </c>
      <c r="L238" s="436">
        <f t="shared" si="34"/>
        <v>2</v>
      </c>
      <c r="M238" s="436">
        <f t="shared" si="35"/>
        <v>8.3500312225104692E-4</v>
      </c>
      <c r="N238" s="436">
        <f t="shared" si="36"/>
        <v>1.6700062445020938E-3</v>
      </c>
      <c r="O238" s="436">
        <f t="shared" si="37"/>
        <v>-3.6140435914925098</v>
      </c>
      <c r="P238" s="436">
        <f t="shared" si="38"/>
        <v>5.8144916910706011E-4</v>
      </c>
      <c r="Q238" s="436">
        <f t="shared" si="39"/>
        <v>1.1628983382141202E-3</v>
      </c>
    </row>
    <row r="239" spans="10:17">
      <c r="J239" s="435">
        <f>233</f>
        <v>233</v>
      </c>
      <c r="K239" s="436">
        <f t="shared" si="33"/>
        <v>-3.4932011069730811</v>
      </c>
      <c r="L239" s="436">
        <f t="shared" si="34"/>
        <v>4</v>
      </c>
      <c r="M239" s="436">
        <f t="shared" si="35"/>
        <v>8.9352805507110934E-4</v>
      </c>
      <c r="N239" s="436">
        <f t="shared" si="36"/>
        <v>3.5741122202844373E-3</v>
      </c>
      <c r="O239" s="436">
        <f t="shared" si="37"/>
        <v>-3.5951386069730811</v>
      </c>
      <c r="P239" s="436">
        <f t="shared" si="38"/>
        <v>6.2243583467244689E-4</v>
      </c>
      <c r="Q239" s="436">
        <f t="shared" si="39"/>
        <v>2.4897433386897876E-3</v>
      </c>
    </row>
    <row r="240" spans="10:17">
      <c r="J240" s="435">
        <f>234</f>
        <v>234</v>
      </c>
      <c r="K240" s="436">
        <f t="shared" si="33"/>
        <v>-3.4738586224536521</v>
      </c>
      <c r="L240" s="436">
        <f t="shared" si="34"/>
        <v>2</v>
      </c>
      <c r="M240" s="436">
        <f t="shared" si="35"/>
        <v>9.5579648577322966E-4</v>
      </c>
      <c r="N240" s="436">
        <f t="shared" si="36"/>
        <v>1.9115929715464593E-3</v>
      </c>
      <c r="O240" s="436">
        <f t="shared" si="37"/>
        <v>-3.5762336224536524</v>
      </c>
      <c r="P240" s="436">
        <f t="shared" si="38"/>
        <v>6.6607237146693921E-4</v>
      </c>
      <c r="Q240" s="436">
        <f t="shared" si="39"/>
        <v>1.3321447429338784E-3</v>
      </c>
    </row>
    <row r="241" spans="10:17">
      <c r="J241" s="435">
        <f>235</f>
        <v>235</v>
      </c>
      <c r="K241" s="436">
        <f t="shared" si="33"/>
        <v>-3.4545161379342231</v>
      </c>
      <c r="L241" s="436">
        <f t="shared" si="34"/>
        <v>4</v>
      </c>
      <c r="M241" s="436">
        <f t="shared" si="35"/>
        <v>1.0220209156693069E-3</v>
      </c>
      <c r="N241" s="436">
        <f t="shared" si="36"/>
        <v>4.0880836626772275E-3</v>
      </c>
      <c r="O241" s="436">
        <f t="shared" si="37"/>
        <v>-3.5573286379342237</v>
      </c>
      <c r="P241" s="436">
        <f t="shared" si="38"/>
        <v>7.1251203337824082E-4</v>
      </c>
      <c r="Q241" s="436">
        <f t="shared" si="39"/>
        <v>2.8500481335129633E-3</v>
      </c>
    </row>
    <row r="242" spans="10:17">
      <c r="J242" s="435">
        <f>236</f>
        <v>236</v>
      </c>
      <c r="K242" s="436">
        <f t="shared" si="33"/>
        <v>-3.4351736534147941</v>
      </c>
      <c r="L242" s="436">
        <f t="shared" si="34"/>
        <v>2</v>
      </c>
      <c r="M242" s="436">
        <f t="shared" si="35"/>
        <v>1.0924239929151879E-3</v>
      </c>
      <c r="N242" s="436">
        <f t="shared" si="36"/>
        <v>2.1848479858303758E-3</v>
      </c>
      <c r="O242" s="436">
        <f t="shared" si="37"/>
        <v>-3.538423653414795</v>
      </c>
      <c r="P242" s="436">
        <f t="shared" si="38"/>
        <v>7.6191564337000283E-4</v>
      </c>
      <c r="Q242" s="436">
        <f t="shared" si="39"/>
        <v>1.5238312867400057E-3</v>
      </c>
    </row>
    <row r="243" spans="10:17">
      <c r="J243" s="435">
        <f>237</f>
        <v>237</v>
      </c>
      <c r="K243" s="436">
        <f t="shared" si="33"/>
        <v>-3.415831168895366</v>
      </c>
      <c r="L243" s="436">
        <f t="shared" si="34"/>
        <v>4</v>
      </c>
      <c r="M243" s="436">
        <f t="shared" si="35"/>
        <v>1.167238867446158E-3</v>
      </c>
      <c r="N243" s="436">
        <f t="shared" si="36"/>
        <v>4.668955469784632E-3</v>
      </c>
      <c r="O243" s="436">
        <f t="shared" si="37"/>
        <v>-3.5195186688953655</v>
      </c>
      <c r="P243" s="436">
        <f t="shared" si="38"/>
        <v>8.1445187880198366E-4</v>
      </c>
      <c r="Q243" s="436">
        <f t="shared" si="39"/>
        <v>3.2578075152079346E-3</v>
      </c>
    </row>
    <row r="244" spans="10:17">
      <c r="J244" s="435">
        <f>238</f>
        <v>238</v>
      </c>
      <c r="K244" s="436">
        <f t="shared" si="33"/>
        <v>-3.396488684375937</v>
      </c>
      <c r="L244" s="436">
        <f t="shared" si="34"/>
        <v>2</v>
      </c>
      <c r="M244" s="436">
        <f t="shared" si="35"/>
        <v>1.2467095497016648E-3</v>
      </c>
      <c r="N244" s="436">
        <f t="shared" si="36"/>
        <v>2.4934190994033295E-3</v>
      </c>
      <c r="O244" s="436">
        <f t="shared" si="37"/>
        <v>-3.5006136843759368</v>
      </c>
      <c r="P244" s="436">
        <f t="shared" si="38"/>
        <v>8.7029756155318559E-4</v>
      </c>
      <c r="Q244" s="436">
        <f t="shared" si="39"/>
        <v>1.7405951231063712E-3</v>
      </c>
    </row>
    <row r="245" spans="10:17">
      <c r="J245" s="435">
        <f>239</f>
        <v>239</v>
      </c>
      <c r="K245" s="436">
        <f t="shared" si="33"/>
        <v>-3.377146199856508</v>
      </c>
      <c r="L245" s="436">
        <f t="shared" si="34"/>
        <v>4</v>
      </c>
      <c r="M245" s="436">
        <f t="shared" si="35"/>
        <v>1.3310912725229141E-3</v>
      </c>
      <c r="N245" s="436">
        <f t="shared" si="36"/>
        <v>5.3243650900916565E-3</v>
      </c>
      <c r="O245" s="436">
        <f t="shared" si="37"/>
        <v>-3.4817086998565081</v>
      </c>
      <c r="P245" s="436">
        <f t="shared" si="38"/>
        <v>9.296379525854132E-4</v>
      </c>
      <c r="Q245" s="436">
        <f t="shared" si="39"/>
        <v>3.7185518103416528E-3</v>
      </c>
    </row>
    <row r="246" spans="10:17">
      <c r="J246" s="435">
        <f>240</f>
        <v>240</v>
      </c>
      <c r="K246" s="436">
        <f t="shared" si="33"/>
        <v>-3.357803715337079</v>
      </c>
      <c r="L246" s="436">
        <f t="shared" si="34"/>
        <v>2</v>
      </c>
      <c r="M246" s="436">
        <f t="shared" si="35"/>
        <v>1.4206508555519148E-3</v>
      </c>
      <c r="N246" s="436">
        <f t="shared" si="36"/>
        <v>2.8413017111038295E-3</v>
      </c>
      <c r="O246" s="436">
        <f t="shared" si="37"/>
        <v>-3.4628037153370794</v>
      </c>
      <c r="P246" s="436">
        <f t="shared" si="38"/>
        <v>9.9266705054348349E-4</v>
      </c>
      <c r="Q246" s="436">
        <f t="shared" si="39"/>
        <v>1.985334101086967E-3</v>
      </c>
    </row>
    <row r="247" spans="10:17">
      <c r="J247" s="435">
        <f>241</f>
        <v>241</v>
      </c>
      <c r="K247" s="436">
        <f t="shared" si="33"/>
        <v>-3.33846123081765</v>
      </c>
      <c r="L247" s="436">
        <f t="shared" si="34"/>
        <v>4</v>
      </c>
      <c r="M247" s="436">
        <f t="shared" si="35"/>
        <v>1.5156670714032855E-3</v>
      </c>
      <c r="N247" s="436">
        <f t="shared" si="36"/>
        <v>6.0626682856131419E-3</v>
      </c>
      <c r="O247" s="436">
        <f t="shared" si="37"/>
        <v>-3.4438987308176507</v>
      </c>
      <c r="P247" s="436">
        <f t="shared" si="38"/>
        <v>1.059587893945318E-3</v>
      </c>
      <c r="Q247" s="436">
        <f t="shared" si="39"/>
        <v>4.2383515757812721E-3</v>
      </c>
    </row>
    <row r="248" spans="10:17">
      <c r="J248" s="435">
        <f>242</f>
        <v>242</v>
      </c>
      <c r="K248" s="436">
        <f t="shared" si="33"/>
        <v>-3.3191187462982219</v>
      </c>
      <c r="L248" s="436">
        <f t="shared" si="34"/>
        <v>2</v>
      </c>
      <c r="M248" s="436">
        <f t="shared" si="35"/>
        <v>1.6164310128209635E-3</v>
      </c>
      <c r="N248" s="436">
        <f t="shared" si="36"/>
        <v>3.2328620256419269E-3</v>
      </c>
      <c r="O248" s="436">
        <f t="shared" si="37"/>
        <v>-3.4249937462982212</v>
      </c>
      <c r="P248" s="436">
        <f t="shared" si="38"/>
        <v>1.1306128664700268E-3</v>
      </c>
      <c r="Q248" s="436">
        <f t="shared" si="39"/>
        <v>2.2612257329400537E-3</v>
      </c>
    </row>
    <row r="249" spans="10:17">
      <c r="J249" s="435">
        <f>243</f>
        <v>243</v>
      </c>
      <c r="K249" s="436">
        <f t="shared" si="33"/>
        <v>-3.2997762617787929</v>
      </c>
      <c r="L249" s="436">
        <f t="shared" si="34"/>
        <v>4</v>
      </c>
      <c r="M249" s="436">
        <f t="shared" si="35"/>
        <v>1.7232464599709221E-3</v>
      </c>
      <c r="N249" s="436">
        <f t="shared" si="36"/>
        <v>6.8929858398836885E-3</v>
      </c>
      <c r="O249" s="436">
        <f t="shared" si="37"/>
        <v>-3.4060887617787925</v>
      </c>
      <c r="P249" s="436">
        <f t="shared" si="38"/>
        <v>1.2059640048050508E-3</v>
      </c>
      <c r="Q249" s="436">
        <f t="shared" si="39"/>
        <v>4.8238560192202032E-3</v>
      </c>
    </row>
    <row r="250" spans="10:17">
      <c r="J250" s="435">
        <f>244</f>
        <v>244</v>
      </c>
      <c r="K250" s="436">
        <f t="shared" si="33"/>
        <v>-3.2804337772593639</v>
      </c>
      <c r="L250" s="436">
        <f t="shared" si="34"/>
        <v>2</v>
      </c>
      <c r="M250" s="436">
        <f t="shared" si="35"/>
        <v>1.8364302469578353E-3</v>
      </c>
      <c r="N250" s="436">
        <f t="shared" si="36"/>
        <v>3.6728604939156705E-3</v>
      </c>
      <c r="O250" s="436">
        <f t="shared" si="37"/>
        <v>-3.3871837772593638</v>
      </c>
      <c r="P250" s="436">
        <f t="shared" si="38"/>
        <v>1.2858733084645056E-3</v>
      </c>
      <c r="Q250" s="436">
        <f t="shared" si="39"/>
        <v>2.5717466169290111E-3</v>
      </c>
    </row>
    <row r="251" spans="10:17">
      <c r="J251" s="435">
        <f>245</f>
        <v>245</v>
      </c>
      <c r="K251" s="436">
        <f t="shared" si="33"/>
        <v>-3.2610912927399349</v>
      </c>
      <c r="L251" s="436">
        <f t="shared" si="34"/>
        <v>4</v>
      </c>
      <c r="M251" s="436">
        <f t="shared" si="35"/>
        <v>1.9563126265890666E-3</v>
      </c>
      <c r="N251" s="436">
        <f t="shared" si="36"/>
        <v>7.8252505063562666E-3</v>
      </c>
      <c r="O251" s="436">
        <f t="shared" si="37"/>
        <v>-3.3682787927399351</v>
      </c>
      <c r="P251" s="436">
        <f t="shared" si="38"/>
        <v>1.3705830509398017E-3</v>
      </c>
      <c r="Q251" s="436">
        <f t="shared" si="39"/>
        <v>5.4823322037592069E-3</v>
      </c>
    </row>
    <row r="252" spans="10:17">
      <c r="J252" s="435">
        <f>246</f>
        <v>246</v>
      </c>
      <c r="K252" s="436">
        <f t="shared" si="33"/>
        <v>-3.2417488082205059</v>
      </c>
      <c r="L252" s="436">
        <f t="shared" si="34"/>
        <v>2</v>
      </c>
      <c r="M252" s="436">
        <f t="shared" si="35"/>
        <v>2.0832376323426508E-3</v>
      </c>
      <c r="N252" s="436">
        <f t="shared" si="36"/>
        <v>4.1664752646853017E-3</v>
      </c>
      <c r="O252" s="436">
        <f t="shared" si="37"/>
        <v>-3.3493738082205065</v>
      </c>
      <c r="P252" s="436">
        <f t="shared" si="38"/>
        <v>1.4603460914908854E-3</v>
      </c>
      <c r="Q252" s="436">
        <f t="shared" si="39"/>
        <v>2.9206921829817707E-3</v>
      </c>
    </row>
    <row r="253" spans="10:17">
      <c r="J253" s="435">
        <f>247</f>
        <v>247</v>
      </c>
      <c r="K253" s="436">
        <f t="shared" si="33"/>
        <v>-3.2224063237010769</v>
      </c>
      <c r="L253" s="436">
        <f t="shared" si="34"/>
        <v>4</v>
      </c>
      <c r="M253" s="436">
        <f t="shared" si="35"/>
        <v>2.2175634364278956E-3</v>
      </c>
      <c r="N253" s="436">
        <f t="shared" si="36"/>
        <v>8.8702537457115826E-3</v>
      </c>
      <c r="O253" s="436">
        <f t="shared" si="37"/>
        <v>-3.3304688237010778</v>
      </c>
      <c r="P253" s="436">
        <f t="shared" si="38"/>
        <v>1.5554261868316137E-3</v>
      </c>
      <c r="Q253" s="436">
        <f t="shared" si="39"/>
        <v>6.2217047473264548E-3</v>
      </c>
    </row>
    <row r="254" spans="10:17">
      <c r="J254" s="435">
        <f>248</f>
        <v>248</v>
      </c>
      <c r="K254" s="436">
        <f t="shared" si="33"/>
        <v>-3.2030638391816488</v>
      </c>
      <c r="L254" s="436">
        <f t="shared" si="34"/>
        <v>2</v>
      </c>
      <c r="M254" s="436">
        <f t="shared" si="35"/>
        <v>2.3596627027576175E-3</v>
      </c>
      <c r="N254" s="436">
        <f t="shared" si="36"/>
        <v>4.719325405515235E-3</v>
      </c>
      <c r="O254" s="436">
        <f t="shared" si="37"/>
        <v>-3.3115638391816482</v>
      </c>
      <c r="P254" s="436">
        <f t="shared" si="38"/>
        <v>1.6560983019062675E-3</v>
      </c>
      <c r="Q254" s="436">
        <f t="shared" si="39"/>
        <v>3.312196603812535E-3</v>
      </c>
    </row>
    <row r="255" spans="10:17">
      <c r="J255" s="435">
        <f>249</f>
        <v>249</v>
      </c>
      <c r="K255" s="436">
        <f t="shared" si="33"/>
        <v>-3.1837213546622198</v>
      </c>
      <c r="L255" s="436">
        <f t="shared" si="34"/>
        <v>4</v>
      </c>
      <c r="M255" s="436">
        <f t="shared" si="35"/>
        <v>2.5099229335800648E-3</v>
      </c>
      <c r="N255" s="436">
        <f t="shared" si="36"/>
        <v>1.0039691734320259E-2</v>
      </c>
      <c r="O255" s="436">
        <f t="shared" si="37"/>
        <v>-3.2926588546622195</v>
      </c>
      <c r="P255" s="436">
        <f t="shared" si="38"/>
        <v>1.7626489188957673E-3</v>
      </c>
      <c r="Q255" s="436">
        <f t="shared" si="39"/>
        <v>7.0505956755830693E-3</v>
      </c>
    </row>
    <row r="256" spans="10:17">
      <c r="J256" s="435">
        <f>250</f>
        <v>250</v>
      </c>
      <c r="K256" s="436">
        <f t="shared" si="33"/>
        <v>-3.1643788701427908</v>
      </c>
      <c r="L256" s="436">
        <f t="shared" si="34"/>
        <v>2</v>
      </c>
      <c r="M256" s="436">
        <f t="shared" si="35"/>
        <v>2.6687468084461438E-3</v>
      </c>
      <c r="N256" s="436">
        <f t="shared" si="36"/>
        <v>5.3374936168922877E-3</v>
      </c>
      <c r="O256" s="436">
        <f t="shared" si="37"/>
        <v>-3.2737538701427908</v>
      </c>
      <c r="P256" s="436">
        <f t="shared" si="38"/>
        <v>1.8753763435322747E-3</v>
      </c>
      <c r="Q256" s="436">
        <f t="shared" si="39"/>
        <v>3.7507526870645493E-3</v>
      </c>
    </row>
    <row r="257" spans="10:17">
      <c r="J257" s="435">
        <f>251</f>
        <v>251</v>
      </c>
      <c r="K257" s="436">
        <f t="shared" si="33"/>
        <v>-3.1450363856233619</v>
      </c>
      <c r="L257" s="436">
        <f t="shared" si="34"/>
        <v>4</v>
      </c>
      <c r="M257" s="436">
        <f t="shared" si="35"/>
        <v>2.8365525141146597E-3</v>
      </c>
      <c r="N257" s="436">
        <f t="shared" si="36"/>
        <v>1.1346210056458639E-2</v>
      </c>
      <c r="O257" s="436">
        <f t="shared" si="37"/>
        <v>-3.2548488856233622</v>
      </c>
      <c r="P257" s="436">
        <f t="shared" si="38"/>
        <v>1.9945910077389397E-3</v>
      </c>
      <c r="Q257" s="436">
        <f t="shared" si="39"/>
        <v>7.9783640309557587E-3</v>
      </c>
    </row>
    <row r="258" spans="10:17">
      <c r="J258" s="435">
        <f>252</f>
        <v>252</v>
      </c>
      <c r="K258" s="436">
        <f t="shared" si="33"/>
        <v>-3.1256939011039329</v>
      </c>
      <c r="L258" s="436">
        <f t="shared" si="34"/>
        <v>2</v>
      </c>
      <c r="M258" s="436">
        <f t="shared" si="35"/>
        <v>3.0137740639236631E-3</v>
      </c>
      <c r="N258" s="436">
        <f t="shared" si="36"/>
        <v>6.0275481278473262E-3</v>
      </c>
      <c r="O258" s="436">
        <f t="shared" si="37"/>
        <v>-3.2359439011039335</v>
      </c>
      <c r="P258" s="436">
        <f t="shared" si="38"/>
        <v>2.1206157675486242E-3</v>
      </c>
      <c r="Q258" s="436">
        <f t="shared" si="39"/>
        <v>4.2412315350972484E-3</v>
      </c>
    </row>
    <row r="259" spans="10:17">
      <c r="J259" s="435">
        <f>253</f>
        <v>253</v>
      </c>
      <c r="K259" s="436">
        <f t="shared" si="33"/>
        <v>-3.1063514165845039</v>
      </c>
      <c r="L259" s="436">
        <f t="shared" si="34"/>
        <v>4</v>
      </c>
      <c r="M259" s="436">
        <f t="shared" si="35"/>
        <v>3.2008616050814239E-3</v>
      </c>
      <c r="N259" s="436">
        <f t="shared" si="36"/>
        <v>1.2803446420325696E-2</v>
      </c>
      <c r="O259" s="436">
        <f t="shared" si="37"/>
        <v>-3.2170389165845048</v>
      </c>
      <c r="P259" s="436">
        <f t="shared" si="38"/>
        <v>2.2537861951906386E-3</v>
      </c>
      <c r="Q259" s="436">
        <f t="shared" si="39"/>
        <v>9.0151447807625545E-3</v>
      </c>
    </row>
    <row r="260" spans="10:17">
      <c r="J260" s="435">
        <f>254</f>
        <v>254</v>
      </c>
      <c r="K260" s="436">
        <f t="shared" si="33"/>
        <v>-3.0870089320650758</v>
      </c>
      <c r="L260" s="436">
        <f t="shared" si="34"/>
        <v>2</v>
      </c>
      <c r="M260" s="436">
        <f t="shared" si="35"/>
        <v>3.3982817122549377E-3</v>
      </c>
      <c r="N260" s="436">
        <f t="shared" si="36"/>
        <v>6.7965634245098754E-3</v>
      </c>
      <c r="O260" s="436">
        <f t="shared" si="37"/>
        <v>-3.1981339320650752</v>
      </c>
      <c r="P260" s="436">
        <f t="shared" si="38"/>
        <v>2.3944508641687437E-3</v>
      </c>
      <c r="Q260" s="436">
        <f t="shared" si="39"/>
        <v>4.7889017283374875E-3</v>
      </c>
    </row>
    <row r="261" spans="10:17">
      <c r="J261" s="435">
        <f>255</f>
        <v>255</v>
      </c>
      <c r="K261" s="436">
        <f t="shared" si="33"/>
        <v>-3.0676664475456468</v>
      </c>
      <c r="L261" s="436">
        <f t="shared" si="34"/>
        <v>4</v>
      </c>
      <c r="M261" s="436">
        <f t="shared" si="35"/>
        <v>3.6065176657584367E-3</v>
      </c>
      <c r="N261" s="436">
        <f t="shared" si="36"/>
        <v>1.4426070663033747E-2</v>
      </c>
      <c r="O261" s="436">
        <f t="shared" si="37"/>
        <v>-3.1792289475456466</v>
      </c>
      <c r="P261" s="436">
        <f t="shared" si="38"/>
        <v>2.5429716260865951E-3</v>
      </c>
      <c r="Q261" s="436">
        <f t="shared" si="39"/>
        <v>1.017188650434638E-2</v>
      </c>
    </row>
    <row r="262" spans="10:17">
      <c r="J262" s="435">
        <f>256</f>
        <v>256</v>
      </c>
      <c r="K262" s="436">
        <f t="shared" ref="K262:K325" si="40">$C$14+(($H$8-$C$14)/$C$13)*J262</f>
        <v>-3.0483239630262178</v>
      </c>
      <c r="L262" s="436">
        <f t="shared" ref="L262:L325" si="41">IF(OR(J262=0,J262=$C$13),1,IF(MOD(J262,2)=0,2,4))</f>
        <v>2</v>
      </c>
      <c r="M262" s="436">
        <f t="shared" ref="M262:M325" si="42">_xlfn.NORM.S.DIST(K262,FALSE)*_xlfn.NORM.S.DIST(($H$10-$H$7*K262)/SQRT(1-$H$7^2),TRUE)</f>
        <v>3.8260697125683334E-3</v>
      </c>
      <c r="N262" s="436">
        <f t="shared" ref="N262:N325" si="43">L262*M262</f>
        <v>7.6521394251366668E-3</v>
      </c>
      <c r="O262" s="436">
        <f t="shared" ref="O262:O325" si="44">$C$14+(($H$9-$C$14)/$C$13)*J262</f>
        <v>-3.1603239630262179</v>
      </c>
      <c r="P262" s="436">
        <f t="shared" ref="P262:P325" si="45">_xlfn.NORM.S.DIST(O262,FALSE)*_xlfn.NORM.S.DIST(($H$11-$H$7*O262)/SQRT(1-$H$7^2),TRUE)</f>
        <v>2.6997238779089116E-3</v>
      </c>
      <c r="Q262" s="436">
        <f t="shared" ref="Q262:Q325" si="46">L262*P262</f>
        <v>5.3994477558178232E-3</v>
      </c>
    </row>
    <row r="263" spans="10:17">
      <c r="J263" s="435">
        <f>257</f>
        <v>257</v>
      </c>
      <c r="K263" s="436">
        <f t="shared" si="40"/>
        <v>-3.0289814785067888</v>
      </c>
      <c r="L263" s="436">
        <f t="shared" si="41"/>
        <v>4</v>
      </c>
      <c r="M263" s="436">
        <f t="shared" si="42"/>
        <v>4.0574553083160712E-3</v>
      </c>
      <c r="N263" s="436">
        <f t="shared" si="43"/>
        <v>1.6229821233264285E-2</v>
      </c>
      <c r="O263" s="436">
        <f t="shared" si="44"/>
        <v>-3.1414189785067892</v>
      </c>
      <c r="P263" s="436">
        <f t="shared" si="45"/>
        <v>2.8650968182777005E-3</v>
      </c>
      <c r="Q263" s="436">
        <f t="shared" si="46"/>
        <v>1.1460387273110802E-2</v>
      </c>
    </row>
    <row r="264" spans="10:17">
      <c r="J264" s="435">
        <f>258</f>
        <v>258</v>
      </c>
      <c r="K264" s="436">
        <f t="shared" si="40"/>
        <v>-3.0096389939873598</v>
      </c>
      <c r="L264" s="436">
        <f t="shared" si="41"/>
        <v>2</v>
      </c>
      <c r="M264" s="436">
        <f t="shared" si="42"/>
        <v>4.3012093383349706E-3</v>
      </c>
      <c r="N264" s="436">
        <f t="shared" si="43"/>
        <v>8.6024186766699411E-3</v>
      </c>
      <c r="O264" s="436">
        <f t="shared" si="44"/>
        <v>-3.1225139939873605</v>
      </c>
      <c r="P264" s="436">
        <f t="shared" si="45"/>
        <v>3.0394936914336299E-3</v>
      </c>
      <c r="Q264" s="436">
        <f t="shared" si="46"/>
        <v>6.0789873828672597E-3</v>
      </c>
    </row>
    <row r="265" spans="10:17">
      <c r="J265" s="435">
        <f>259</f>
        <v>259</v>
      </c>
      <c r="K265" s="436">
        <f t="shared" si="40"/>
        <v>-2.9902965094679317</v>
      </c>
      <c r="L265" s="436">
        <f t="shared" si="41"/>
        <v>4</v>
      </c>
      <c r="M265" s="436">
        <f t="shared" si="42"/>
        <v>4.5578843157633537E-3</v>
      </c>
      <c r="N265" s="436">
        <f t="shared" si="43"/>
        <v>1.8231537263053415E-2</v>
      </c>
      <c r="O265" s="436">
        <f t="shared" si="44"/>
        <v>-3.1036090094679309</v>
      </c>
      <c r="P265" s="436">
        <f t="shared" si="45"/>
        <v>3.2233320172228375E-3</v>
      </c>
      <c r="Q265" s="436">
        <f t="shared" si="46"/>
        <v>1.289332806889135E-2</v>
      </c>
    </row>
    <row r="266" spans="10:17">
      <c r="J266" s="435">
        <f>260</f>
        <v>260</v>
      </c>
      <c r="K266" s="436">
        <f t="shared" si="40"/>
        <v>-2.9709540249485027</v>
      </c>
      <c r="L266" s="436">
        <f t="shared" si="41"/>
        <v>2</v>
      </c>
      <c r="M266" s="436">
        <f t="shared" si="42"/>
        <v>4.8280505546332651E-3</v>
      </c>
      <c r="N266" s="436">
        <f t="shared" si="43"/>
        <v>9.6561011092665301E-3</v>
      </c>
      <c r="O266" s="436">
        <f t="shared" si="44"/>
        <v>-3.0847040249485023</v>
      </c>
      <c r="P266" s="436">
        <f t="shared" si="45"/>
        <v>3.4170438055994537E-3</v>
      </c>
      <c r="Q266" s="436">
        <f t="shared" si="46"/>
        <v>6.8340876111989074E-3</v>
      </c>
    </row>
    <row r="267" spans="10:17">
      <c r="J267" s="435">
        <f>261</f>
        <v>261</v>
      </c>
      <c r="K267" s="436">
        <f t="shared" si="40"/>
        <v>-2.9516115404290737</v>
      </c>
      <c r="L267" s="436">
        <f t="shared" si="41"/>
        <v>4</v>
      </c>
      <c r="M267" s="436">
        <f t="shared" si="42"/>
        <v>5.1122963158024446E-3</v>
      </c>
      <c r="N267" s="436">
        <f t="shared" si="43"/>
        <v>2.0449185263209779E-2</v>
      </c>
      <c r="O267" s="436">
        <f t="shared" si="44"/>
        <v>-3.0657990404290736</v>
      </c>
      <c r="P267" s="436">
        <f t="shared" si="45"/>
        <v>3.6210757539646026E-3</v>
      </c>
      <c r="Q267" s="436">
        <f t="shared" si="46"/>
        <v>1.4484303015858411E-2</v>
      </c>
    </row>
    <row r="268" spans="10:17">
      <c r="J268" s="435">
        <f>262</f>
        <v>262</v>
      </c>
      <c r="K268" s="436">
        <f t="shared" si="40"/>
        <v>-2.9322690559096447</v>
      </c>
      <c r="L268" s="436">
        <f t="shared" si="41"/>
        <v>2</v>
      </c>
      <c r="M268" s="436">
        <f t="shared" si="42"/>
        <v>5.4112279235181242E-3</v>
      </c>
      <c r="N268" s="436">
        <f t="shared" si="43"/>
        <v>1.0822455847036248E-2</v>
      </c>
      <c r="O268" s="436">
        <f t="shared" si="44"/>
        <v>-3.0468940559096449</v>
      </c>
      <c r="P268" s="436">
        <f t="shared" si="45"/>
        <v>3.8358894256128673E-3</v>
      </c>
      <c r="Q268" s="436">
        <f t="shared" si="46"/>
        <v>7.6717788512257346E-3</v>
      </c>
    </row>
    <row r="269" spans="10:17">
      <c r="J269" s="435">
        <f>263</f>
        <v>263</v>
      </c>
      <c r="K269" s="436">
        <f t="shared" si="40"/>
        <v>-2.9129265713902157</v>
      </c>
      <c r="L269" s="436">
        <f t="shared" si="41"/>
        <v>4</v>
      </c>
      <c r="M269" s="436">
        <f t="shared" si="42"/>
        <v>5.7254698503334134E-3</v>
      </c>
      <c r="N269" s="436">
        <f t="shared" si="43"/>
        <v>2.2901879401333654E-2</v>
      </c>
      <c r="O269" s="436">
        <f t="shared" si="44"/>
        <v>-3.0279890713902162</v>
      </c>
      <c r="P269" s="436">
        <f t="shared" si="45"/>
        <v>4.0619614074888918E-3</v>
      </c>
      <c r="Q269" s="436">
        <f t="shared" si="46"/>
        <v>1.6247845629955567E-2</v>
      </c>
    </row>
    <row r="270" spans="10:17">
      <c r="J270" s="435">
        <f>264</f>
        <v>264</v>
      </c>
      <c r="K270" s="436">
        <f t="shared" si="40"/>
        <v>-2.8935840868707867</v>
      </c>
      <c r="L270" s="436">
        <f t="shared" si="41"/>
        <v>2</v>
      </c>
      <c r="M270" s="436">
        <f t="shared" si="42"/>
        <v>6.0556647680327369E-3</v>
      </c>
      <c r="N270" s="436">
        <f t="shared" si="43"/>
        <v>1.2111329536065474E-2</v>
      </c>
      <c r="O270" s="436">
        <f t="shared" si="44"/>
        <v>-3.0090840868707875</v>
      </c>
      <c r="P270" s="436">
        <f t="shared" si="45"/>
        <v>4.2997834453889086E-3</v>
      </c>
      <c r="Q270" s="436">
        <f t="shared" si="46"/>
        <v>8.5995668907778173E-3</v>
      </c>
    </row>
    <row r="271" spans="10:17">
      <c r="J271" s="435">
        <f>265</f>
        <v>265</v>
      </c>
      <c r="K271" s="436">
        <f t="shared" si="40"/>
        <v>-2.8742416023513586</v>
      </c>
      <c r="L271" s="436">
        <f t="shared" si="41"/>
        <v>4</v>
      </c>
      <c r="M271" s="436">
        <f t="shared" si="42"/>
        <v>6.402473562161194E-3</v>
      </c>
      <c r="N271" s="436">
        <f t="shared" si="43"/>
        <v>2.5609894248644776E-2</v>
      </c>
      <c r="O271" s="436">
        <f t="shared" si="44"/>
        <v>-2.990179102351358</v>
      </c>
      <c r="P271" s="436">
        <f t="shared" si="45"/>
        <v>4.5498625546758547E-3</v>
      </c>
      <c r="Q271" s="436">
        <f t="shared" si="46"/>
        <v>1.8199450218703419E-2</v>
      </c>
    </row>
    <row r="272" spans="10:17">
      <c r="J272" s="435">
        <f>266</f>
        <v>266</v>
      </c>
      <c r="K272" s="436">
        <f t="shared" si="40"/>
        <v>-2.8548991178319296</v>
      </c>
      <c r="L272" s="436">
        <f t="shared" si="41"/>
        <v>2</v>
      </c>
      <c r="M272" s="436">
        <f t="shared" si="42"/>
        <v>6.7665753076948613E-3</v>
      </c>
      <c r="N272" s="436">
        <f t="shared" si="43"/>
        <v>1.3533150615389723E-2</v>
      </c>
      <c r="O272" s="436">
        <f t="shared" si="44"/>
        <v>-2.9712741178319293</v>
      </c>
      <c r="P272" s="436">
        <f t="shared" si="45"/>
        <v>4.8127211045120074E-3</v>
      </c>
      <c r="Q272" s="436">
        <f t="shared" si="46"/>
        <v>9.6254422090240148E-3</v>
      </c>
    </row>
    <row r="273" spans="10:17">
      <c r="J273" s="435">
        <f>267</f>
        <v>267</v>
      </c>
      <c r="K273" s="436">
        <f t="shared" si="40"/>
        <v>-2.8355566333125006</v>
      </c>
      <c r="L273" s="436">
        <f t="shared" si="41"/>
        <v>4</v>
      </c>
      <c r="M273" s="436">
        <f t="shared" si="42"/>
        <v>7.1486672033347224E-3</v>
      </c>
      <c r="N273" s="436">
        <f t="shared" si="43"/>
        <v>2.8594668813338889E-2</v>
      </c>
      <c r="O273" s="436">
        <f t="shared" si="44"/>
        <v>-2.9523691333125006</v>
      </c>
      <c r="P273" s="436">
        <f t="shared" si="45"/>
        <v>5.0888968735510942E-3</v>
      </c>
      <c r="Q273" s="436">
        <f t="shared" si="46"/>
        <v>2.0355587494204377E-2</v>
      </c>
    </row>
    <row r="274" spans="10:17">
      <c r="J274" s="435">
        <f>268</f>
        <v>268</v>
      </c>
      <c r="K274" s="436">
        <f t="shared" si="40"/>
        <v>-2.8162141487930716</v>
      </c>
      <c r="L274" s="436">
        <f t="shared" si="41"/>
        <v>2</v>
      </c>
      <c r="M274" s="436">
        <f t="shared" si="42"/>
        <v>7.5494644618583715E-3</v>
      </c>
      <c r="N274" s="436">
        <f t="shared" si="43"/>
        <v>1.5098928923716743E-2</v>
      </c>
      <c r="O274" s="436">
        <f t="shared" si="44"/>
        <v>-2.9334641487930719</v>
      </c>
      <c r="P274" s="436">
        <f t="shared" si="45"/>
        <v>5.3789430749715166E-3</v>
      </c>
      <c r="Q274" s="436">
        <f t="shared" si="46"/>
        <v>1.0757886149943033E-2</v>
      </c>
    </row>
    <row r="275" spans="10:17">
      <c r="J275" s="435">
        <f>269</f>
        <v>269</v>
      </c>
      <c r="K275" s="436">
        <f t="shared" si="40"/>
        <v>-2.7968716642736426</v>
      </c>
      <c r="L275" s="436">
        <f t="shared" si="41"/>
        <v>4</v>
      </c>
      <c r="M275" s="436">
        <f t="shared" si="42"/>
        <v>7.9697001539185009E-3</v>
      </c>
      <c r="N275" s="436">
        <f t="shared" si="43"/>
        <v>3.1878800615674004E-2</v>
      </c>
      <c r="O275" s="436">
        <f t="shared" si="44"/>
        <v>-2.9145591642736433</v>
      </c>
      <c r="P275" s="436">
        <f t="shared" si="45"/>
        <v>5.683428348676022E-3</v>
      </c>
      <c r="Q275" s="436">
        <f t="shared" si="46"/>
        <v>2.2733713394704088E-2</v>
      </c>
    </row>
    <row r="276" spans="10:17">
      <c r="J276" s="435">
        <f>270</f>
        <v>270</v>
      </c>
      <c r="K276" s="436">
        <f t="shared" si="40"/>
        <v>-2.7775291797542137</v>
      </c>
      <c r="L276" s="436">
        <f t="shared" si="41"/>
        <v>2</v>
      </c>
      <c r="M276" s="436">
        <f t="shared" si="42"/>
        <v>8.4101250026390253E-3</v>
      </c>
      <c r="N276" s="436">
        <f t="shared" si="43"/>
        <v>1.6820250005278051E-2</v>
      </c>
      <c r="O276" s="436">
        <f t="shared" si="44"/>
        <v>-2.8956541797542146</v>
      </c>
      <c r="P276" s="436">
        <f t="shared" si="45"/>
        <v>6.0029367184295844E-3</v>
      </c>
      <c r="Q276" s="436">
        <f t="shared" si="46"/>
        <v>1.2005873436859169E-2</v>
      </c>
    </row>
    <row r="277" spans="10:17">
      <c r="J277" s="435">
        <f>271</f>
        <v>271</v>
      </c>
      <c r="K277" s="436">
        <f t="shared" si="40"/>
        <v>-2.7581866952347855</v>
      </c>
      <c r="L277" s="436">
        <f t="shared" si="41"/>
        <v>4</v>
      </c>
      <c r="M277" s="436">
        <f t="shared" si="42"/>
        <v>8.8715071263270034E-3</v>
      </c>
      <c r="N277" s="436">
        <f t="shared" si="43"/>
        <v>3.5486028505308014E-2</v>
      </c>
      <c r="O277" s="436">
        <f t="shared" si="44"/>
        <v>-2.876749195234785</v>
      </c>
      <c r="P277" s="436">
        <f t="shared" si="45"/>
        <v>6.338067511658098E-3</v>
      </c>
      <c r="Q277" s="436">
        <f t="shared" si="46"/>
        <v>2.5352270046632392E-2</v>
      </c>
    </row>
    <row r="278" spans="10:17">
      <c r="J278" s="435">
        <f>272</f>
        <v>272</v>
      </c>
      <c r="K278" s="436">
        <f t="shared" si="40"/>
        <v>-2.7388442107153566</v>
      </c>
      <c r="L278" s="436">
        <f t="shared" si="41"/>
        <v>2</v>
      </c>
      <c r="M278" s="436">
        <f t="shared" si="42"/>
        <v>9.3546317265929373E-3</v>
      </c>
      <c r="N278" s="436">
        <f t="shared" si="43"/>
        <v>1.8709263453185875E-2</v>
      </c>
      <c r="O278" s="436">
        <f t="shared" si="44"/>
        <v>-2.8578442107153563</v>
      </c>
      <c r="P278" s="436">
        <f t="shared" si="45"/>
        <v>6.6894352395855282E-3</v>
      </c>
      <c r="Q278" s="436">
        <f t="shared" si="46"/>
        <v>1.3378870479171056E-2</v>
      </c>
    </row>
    <row r="279" spans="10:17">
      <c r="J279" s="435">
        <f>273</f>
        <v>273</v>
      </c>
      <c r="K279" s="436">
        <f t="shared" si="40"/>
        <v>-2.7195017261959276</v>
      </c>
      <c r="L279" s="436">
        <f t="shared" si="41"/>
        <v>4</v>
      </c>
      <c r="M279" s="436">
        <f t="shared" si="42"/>
        <v>9.8603007191531908E-3</v>
      </c>
      <c r="N279" s="436">
        <f t="shared" si="43"/>
        <v>3.9441202876612763E-2</v>
      </c>
      <c r="O279" s="436">
        <f t="shared" si="44"/>
        <v>-2.8389392261959276</v>
      </c>
      <c r="P279" s="436">
        <f t="shared" si="45"/>
        <v>7.0576694353478011E-3</v>
      </c>
      <c r="Q279" s="436">
        <f t="shared" si="46"/>
        <v>2.8230677741391205E-2</v>
      </c>
    </row>
    <row r="280" spans="10:17">
      <c r="J280" s="435">
        <f>274</f>
        <v>274</v>
      </c>
      <c r="K280" s="436">
        <f t="shared" si="40"/>
        <v>-2.7001592416764986</v>
      </c>
      <c r="L280" s="436">
        <f t="shared" si="41"/>
        <v>2</v>
      </c>
      <c r="M280" s="436">
        <f t="shared" si="42"/>
        <v>1.0389332304578686E-2</v>
      </c>
      <c r="N280" s="436">
        <f t="shared" si="43"/>
        <v>2.0778664609157373E-2</v>
      </c>
      <c r="O280" s="436">
        <f t="shared" si="44"/>
        <v>-2.820034241676499</v>
      </c>
      <c r="P280" s="436">
        <f t="shared" si="45"/>
        <v>7.443414447686909E-3</v>
      </c>
      <c r="Q280" s="436">
        <f t="shared" si="46"/>
        <v>1.4886828895373818E-2</v>
      </c>
    </row>
    <row r="281" spans="10:17">
      <c r="J281" s="435">
        <f>275</f>
        <v>275</v>
      </c>
      <c r="K281" s="436">
        <f t="shared" si="40"/>
        <v>-2.6808167571570696</v>
      </c>
      <c r="L281" s="436">
        <f t="shared" si="41"/>
        <v>4</v>
      </c>
      <c r="M281" s="436">
        <f t="shared" si="42"/>
        <v>1.0942560476251455E-2</v>
      </c>
      <c r="N281" s="436">
        <f t="shared" si="43"/>
        <v>4.3770241905005822E-2</v>
      </c>
      <c r="O281" s="436">
        <f t="shared" si="44"/>
        <v>-2.8011292571570703</v>
      </c>
      <c r="P281" s="436">
        <f t="shared" si="45"/>
        <v>7.8473291878014099E-3</v>
      </c>
      <c r="Q281" s="436">
        <f t="shared" si="46"/>
        <v>3.138931675120564E-2</v>
      </c>
    </row>
    <row r="282" spans="10:17">
      <c r="J282" s="435">
        <f>276</f>
        <v>276</v>
      </c>
      <c r="K282" s="436">
        <f t="shared" si="40"/>
        <v>-2.6614742726376415</v>
      </c>
      <c r="L282" s="436">
        <f t="shared" si="41"/>
        <v>2</v>
      </c>
      <c r="M282" s="436">
        <f t="shared" si="42"/>
        <v>1.1520834462798531E-2</v>
      </c>
      <c r="N282" s="436">
        <f t="shared" si="43"/>
        <v>2.3041668925597062E-2</v>
      </c>
      <c r="O282" s="436">
        <f t="shared" si="44"/>
        <v>-2.7822242726376407</v>
      </c>
      <c r="P282" s="436">
        <f t="shared" si="45"/>
        <v>8.2700868269080553E-3</v>
      </c>
      <c r="Q282" s="436">
        <f t="shared" si="46"/>
        <v>1.6540173653816111E-2</v>
      </c>
    </row>
    <row r="283" spans="10:17">
      <c r="J283" s="435">
        <f>277</f>
        <v>277</v>
      </c>
      <c r="K283" s="436">
        <f t="shared" si="40"/>
        <v>-2.6421317881182125</v>
      </c>
      <c r="L283" s="436">
        <f t="shared" si="41"/>
        <v>4</v>
      </c>
      <c r="M283" s="436">
        <f t="shared" si="42"/>
        <v>1.212501810229027E-2</v>
      </c>
      <c r="N283" s="436">
        <f t="shared" si="43"/>
        <v>4.8500072409161078E-2</v>
      </c>
      <c r="O283" s="436">
        <f t="shared" si="44"/>
        <v>-2.763319288118212</v>
      </c>
      <c r="P283" s="436">
        <f t="shared" si="45"/>
        <v>8.7123744420553456E-3</v>
      </c>
      <c r="Q283" s="436">
        <f t="shared" si="46"/>
        <v>3.4849497768221382E-2</v>
      </c>
    </row>
    <row r="284" spans="10:17">
      <c r="J284" s="435">
        <f>278</f>
        <v>278</v>
      </c>
      <c r="K284" s="436">
        <f t="shared" si="40"/>
        <v>-2.6227893035987835</v>
      </c>
      <c r="L284" s="436">
        <f t="shared" si="41"/>
        <v>2</v>
      </c>
      <c r="M284" s="436">
        <f t="shared" si="42"/>
        <v>1.2755989145517538E-2</v>
      </c>
      <c r="N284" s="436">
        <f t="shared" si="43"/>
        <v>2.5511978291035076E-2</v>
      </c>
      <c r="O284" s="436">
        <f t="shared" si="44"/>
        <v>-2.7444143035987834</v>
      </c>
      <c r="P284" s="436">
        <f t="shared" si="45"/>
        <v>9.1748926077247495E-3</v>
      </c>
      <c r="Q284" s="436">
        <f t="shared" si="46"/>
        <v>1.8349785215449499E-2</v>
      </c>
    </row>
    <row r="285" spans="10:17">
      <c r="J285" s="435">
        <f>279</f>
        <v>279</v>
      </c>
      <c r="K285" s="436">
        <f t="shared" si="40"/>
        <v>-2.6034468190793545</v>
      </c>
      <c r="L285" s="436">
        <f t="shared" si="41"/>
        <v>4</v>
      </c>
      <c r="M285" s="436">
        <f t="shared" si="42"/>
        <v>1.3414638485702669E-2</v>
      </c>
      <c r="N285" s="436">
        <f t="shared" si="43"/>
        <v>5.3658553942810674E-2</v>
      </c>
      <c r="O285" s="436">
        <f t="shared" si="44"/>
        <v>-2.7255093190793547</v>
      </c>
      <c r="P285" s="436">
        <f t="shared" si="45"/>
        <v>9.6583549307575883E-3</v>
      </c>
      <c r="Q285" s="436">
        <f t="shared" si="46"/>
        <v>3.8633419723030353E-2</v>
      </c>
    </row>
    <row r="286" spans="10:17">
      <c r="J286" s="435">
        <f>280</f>
        <v>280</v>
      </c>
      <c r="K286" s="436">
        <f t="shared" si="40"/>
        <v>-2.5841043345599255</v>
      </c>
      <c r="L286" s="436">
        <f t="shared" si="41"/>
        <v>2</v>
      </c>
      <c r="M286" s="436">
        <f t="shared" si="42"/>
        <v>1.4101869312049396E-2</v>
      </c>
      <c r="N286" s="436">
        <f t="shared" si="43"/>
        <v>2.8203738624098793E-2</v>
      </c>
      <c r="O286" s="436">
        <f t="shared" si="44"/>
        <v>-2.706604334559926</v>
      </c>
      <c r="P286" s="436">
        <f t="shared" si="45"/>
        <v>1.0163487526158617E-2</v>
      </c>
      <c r="Q286" s="436">
        <f t="shared" si="46"/>
        <v>2.0326975052317234E-2</v>
      </c>
    </row>
    <row r="287" spans="10:17">
      <c r="J287" s="435">
        <f>281</f>
        <v>281</v>
      </c>
      <c r="K287" s="436">
        <f t="shared" si="40"/>
        <v>-2.5647618500404965</v>
      </c>
      <c r="L287" s="436">
        <f t="shared" si="41"/>
        <v>4</v>
      </c>
      <c r="M287" s="436">
        <f t="shared" si="42"/>
        <v>1.4818596184601643E-2</v>
      </c>
      <c r="N287" s="436">
        <f t="shared" si="43"/>
        <v>5.9274384738406571E-2</v>
      </c>
      <c r="O287" s="436">
        <f t="shared" si="44"/>
        <v>-2.6876993500404973</v>
      </c>
      <c r="P287" s="436">
        <f t="shared" si="45"/>
        <v>1.069102843134955E-2</v>
      </c>
      <c r="Q287" s="436">
        <f t="shared" si="46"/>
        <v>4.2764113725398199E-2</v>
      </c>
    </row>
    <row r="288" spans="10:17">
      <c r="J288" s="435">
        <f>282</f>
        <v>282</v>
      </c>
      <c r="K288" s="436">
        <f t="shared" si="40"/>
        <v>-2.5454193655210684</v>
      </c>
      <c r="L288" s="436">
        <f t="shared" si="41"/>
        <v>2</v>
      </c>
      <c r="M288" s="436">
        <f t="shared" si="42"/>
        <v>1.5565744027958218E-2</v>
      </c>
      <c r="N288" s="436">
        <f t="shared" si="43"/>
        <v>3.1131488055916437E-2</v>
      </c>
      <c r="O288" s="436">
        <f t="shared" si="44"/>
        <v>-2.6687943655210677</v>
      </c>
      <c r="P288" s="436">
        <f t="shared" si="45"/>
        <v>1.1241726956479169E-2</v>
      </c>
      <c r="Q288" s="436">
        <f t="shared" si="46"/>
        <v>2.2483453912958338E-2</v>
      </c>
    </row>
    <row r="289" spans="10:17">
      <c r="J289" s="435">
        <f>283</f>
        <v>283</v>
      </c>
      <c r="K289" s="436">
        <f t="shared" si="40"/>
        <v>-2.5260768810016394</v>
      </c>
      <c r="L289" s="436">
        <f t="shared" si="41"/>
        <v>4</v>
      </c>
      <c r="M289" s="436">
        <f t="shared" si="42"/>
        <v>1.6344247041482254E-2</v>
      </c>
      <c r="N289" s="436">
        <f t="shared" si="43"/>
        <v>6.5376988165929018E-2</v>
      </c>
      <c r="O289" s="436">
        <f t="shared" si="44"/>
        <v>-2.6498893810016391</v>
      </c>
      <c r="P289" s="436">
        <f t="shared" si="45"/>
        <v>1.1816342968440899E-2</v>
      </c>
      <c r="Q289" s="436">
        <f t="shared" si="46"/>
        <v>4.7265371873763597E-2</v>
      </c>
    </row>
    <row r="290" spans="10:17">
      <c r="J290" s="435">
        <f>284</f>
        <v>284</v>
      </c>
      <c r="K290" s="436">
        <f t="shared" si="40"/>
        <v>-2.5067343964822104</v>
      </c>
      <c r="L290" s="436">
        <f t="shared" si="41"/>
        <v>2</v>
      </c>
      <c r="M290" s="436">
        <f t="shared" si="42"/>
        <v>1.7155047523749807E-2</v>
      </c>
      <c r="N290" s="436">
        <f t="shared" si="43"/>
        <v>3.4310095047499614E-2</v>
      </c>
      <c r="O290" s="436">
        <f t="shared" si="44"/>
        <v>-2.6309843964822104</v>
      </c>
      <c r="P290" s="436">
        <f t="shared" si="45"/>
        <v>1.2415646106306393E-2</v>
      </c>
      <c r="Q290" s="436">
        <f t="shared" si="46"/>
        <v>2.4831292212612786E-2</v>
      </c>
    </row>
    <row r="291" spans="10:17">
      <c r="J291" s="435">
        <f>285</f>
        <v>285</v>
      </c>
      <c r="K291" s="436">
        <f t="shared" si="40"/>
        <v>-2.4873919119627814</v>
      </c>
      <c r="L291" s="436">
        <f t="shared" si="41"/>
        <v>4</v>
      </c>
      <c r="M291" s="436">
        <f t="shared" si="42"/>
        <v>1.7999094609104708E-2</v>
      </c>
      <c r="N291" s="436">
        <f t="shared" si="43"/>
        <v>7.1996378436418831E-2</v>
      </c>
      <c r="O291" s="436">
        <f t="shared" si="44"/>
        <v>-2.6120794119627817</v>
      </c>
      <c r="P291" s="436">
        <f t="shared" si="45"/>
        <v>1.3040414925952089E-2</v>
      </c>
      <c r="Q291" s="436">
        <f t="shared" si="46"/>
        <v>5.2161659703808358E-2</v>
      </c>
    </row>
    <row r="292" spans="10:17">
      <c r="J292" s="435">
        <f>286</f>
        <v>286</v>
      </c>
      <c r="K292" s="436">
        <f t="shared" si="40"/>
        <v>-2.4680494274433524</v>
      </c>
      <c r="L292" s="436">
        <f t="shared" si="41"/>
        <v>2</v>
      </c>
      <c r="M292" s="436">
        <f t="shared" si="42"/>
        <v>1.8877342914323629E-2</v>
      </c>
      <c r="N292" s="436">
        <f t="shared" si="43"/>
        <v>3.7754685828647258E-2</v>
      </c>
      <c r="O292" s="436">
        <f t="shared" si="44"/>
        <v>-2.593174427443353</v>
      </c>
      <c r="P292" s="436">
        <f t="shared" si="45"/>
        <v>1.3691435971739763E-2</v>
      </c>
      <c r="Q292" s="436">
        <f t="shared" si="46"/>
        <v>2.7382871943479527E-2</v>
      </c>
    </row>
    <row r="293" spans="10:17">
      <c r="J293" s="435">
        <f>287</f>
        <v>287</v>
      </c>
      <c r="K293" s="436">
        <f t="shared" si="40"/>
        <v>-2.4487069429239234</v>
      </c>
      <c r="L293" s="436">
        <f t="shared" si="41"/>
        <v>4</v>
      </c>
      <c r="M293" s="436">
        <f t="shared" si="42"/>
        <v>1.9790751093550284E-2</v>
      </c>
      <c r="N293" s="436">
        <f t="shared" si="43"/>
        <v>7.9163004374201137E-2</v>
      </c>
      <c r="O293" s="436">
        <f t="shared" si="44"/>
        <v>-2.5742694429239243</v>
      </c>
      <c r="P293" s="436">
        <f t="shared" si="45"/>
        <v>1.4369502773208764E-2</v>
      </c>
      <c r="Q293" s="436">
        <f t="shared" si="46"/>
        <v>5.7478011092835055E-2</v>
      </c>
    </row>
    <row r="294" spans="10:17">
      <c r="J294" s="435">
        <f>288</f>
        <v>288</v>
      </c>
      <c r="K294" s="436">
        <f t="shared" si="40"/>
        <v>-2.4293644584044953</v>
      </c>
      <c r="L294" s="436">
        <f t="shared" si="41"/>
        <v>2</v>
      </c>
      <c r="M294" s="436">
        <f t="shared" si="42"/>
        <v>2.0740280299829141E-2</v>
      </c>
      <c r="N294" s="436">
        <f t="shared" si="43"/>
        <v>4.1480560599658281E-2</v>
      </c>
      <c r="O294" s="436">
        <f t="shared" si="44"/>
        <v>-2.5553644584044948</v>
      </c>
      <c r="P294" s="436">
        <f t="shared" si="45"/>
        <v>1.5075414764849863E-2</v>
      </c>
      <c r="Q294" s="436">
        <f t="shared" si="46"/>
        <v>3.0150829529699726E-2</v>
      </c>
    </row>
    <row r="295" spans="10:17">
      <c r="J295" s="435">
        <f>289</f>
        <v>289</v>
      </c>
      <c r="K295" s="436">
        <f t="shared" si="40"/>
        <v>-2.4100219738850663</v>
      </c>
      <c r="L295" s="436">
        <f t="shared" si="41"/>
        <v>4</v>
      </c>
      <c r="M295" s="436">
        <f t="shared" si="42"/>
        <v>2.1726892551759181E-2</v>
      </c>
      <c r="N295" s="436">
        <f t="shared" si="43"/>
        <v>8.6907570207036725E-2</v>
      </c>
      <c r="O295" s="436">
        <f t="shared" si="44"/>
        <v>-2.5364594738850661</v>
      </c>
      <c r="P295" s="436">
        <f t="shared" si="45"/>
        <v>1.5809976127157666E-2</v>
      </c>
      <c r="Q295" s="436">
        <f t="shared" si="46"/>
        <v>6.3239904508630665E-2</v>
      </c>
    </row>
    <row r="296" spans="10:17">
      <c r="J296" s="435">
        <f>290</f>
        <v>290</v>
      </c>
      <c r="K296" s="436">
        <f t="shared" si="40"/>
        <v>-2.3906794893656373</v>
      </c>
      <c r="L296" s="436">
        <f t="shared" si="41"/>
        <v>2</v>
      </c>
      <c r="M296" s="436">
        <f t="shared" si="42"/>
        <v>2.2751549003995314E-2</v>
      </c>
      <c r="N296" s="436">
        <f t="shared" si="43"/>
        <v>4.5503098007990628E-2</v>
      </c>
      <c r="O296" s="436">
        <f t="shared" si="44"/>
        <v>-2.5175544893656374</v>
      </c>
      <c r="P296" s="436">
        <f t="shared" si="45"/>
        <v>1.6573994547302746E-2</v>
      </c>
      <c r="Q296" s="436">
        <f t="shared" si="46"/>
        <v>3.3147989094605493E-2</v>
      </c>
    </row>
    <row r="297" spans="10:17">
      <c r="J297" s="435">
        <f>291</f>
        <v>291</v>
      </c>
      <c r="K297" s="436">
        <f t="shared" si="40"/>
        <v>-2.3713370048462084</v>
      </c>
      <c r="L297" s="436">
        <f t="shared" si="41"/>
        <v>4</v>
      </c>
      <c r="M297" s="436">
        <f t="shared" si="42"/>
        <v>2.3815208120553481E-2</v>
      </c>
      <c r="N297" s="436">
        <f t="shared" si="43"/>
        <v>9.5260832482213925E-2</v>
      </c>
      <c r="O297" s="436">
        <f t="shared" si="44"/>
        <v>-2.4986495048462087</v>
      </c>
      <c r="P297" s="436">
        <f t="shared" si="45"/>
        <v>1.7368279897923392E-2</v>
      </c>
      <c r="Q297" s="436">
        <f t="shared" si="46"/>
        <v>6.9473119591693569E-2</v>
      </c>
    </row>
    <row r="298" spans="10:17">
      <c r="J298" s="435">
        <f>292</f>
        <v>292</v>
      </c>
      <c r="K298" s="436">
        <f t="shared" si="40"/>
        <v>-2.3519945203267794</v>
      </c>
      <c r="L298" s="436">
        <f t="shared" si="41"/>
        <v>2</v>
      </c>
      <c r="M298" s="436">
        <f t="shared" si="42"/>
        <v>2.4918823750120438E-2</v>
      </c>
      <c r="N298" s="436">
        <f t="shared" si="43"/>
        <v>4.9837647500240875E-2</v>
      </c>
      <c r="O298" s="436">
        <f t="shared" si="44"/>
        <v>-2.4797445203267801</v>
      </c>
      <c r="P298" s="436">
        <f t="shared" si="45"/>
        <v>1.8193642832715066E-2</v>
      </c>
      <c r="Q298" s="436">
        <f t="shared" si="46"/>
        <v>3.6387285665430133E-2</v>
      </c>
    </row>
    <row r="299" spans="10:17">
      <c r="J299" s="435">
        <f>293</f>
        <v>293</v>
      </c>
      <c r="K299" s="436">
        <f t="shared" si="40"/>
        <v>-2.3326520358073513</v>
      </c>
      <c r="L299" s="436">
        <f t="shared" si="41"/>
        <v>4</v>
      </c>
      <c r="M299" s="436">
        <f t="shared" si="42"/>
        <v>2.606334310283576E-2</v>
      </c>
      <c r="N299" s="436">
        <f t="shared" si="43"/>
        <v>0.10425337241134304</v>
      </c>
      <c r="O299" s="436">
        <f t="shared" si="44"/>
        <v>-2.4608395358073505</v>
      </c>
      <c r="P299" s="436">
        <f t="shared" si="45"/>
        <v>1.9050893297689581E-2</v>
      </c>
      <c r="Q299" s="436">
        <f t="shared" si="46"/>
        <v>7.6203573190758322E-2</v>
      </c>
    </row>
    <row r="300" spans="10:17">
      <c r="J300" s="435">
        <f>294</f>
        <v>294</v>
      </c>
      <c r="K300" s="436">
        <f t="shared" si="40"/>
        <v>-2.3133095512879223</v>
      </c>
      <c r="L300" s="436">
        <f t="shared" si="41"/>
        <v>2</v>
      </c>
      <c r="M300" s="436">
        <f t="shared" si="42"/>
        <v>2.7249704628300168E-2</v>
      </c>
      <c r="N300" s="436">
        <f t="shared" si="43"/>
        <v>5.4499409256600337E-2</v>
      </c>
      <c r="O300" s="436">
        <f t="shared" si="44"/>
        <v>-2.4419345512879218</v>
      </c>
      <c r="P300" s="436">
        <f t="shared" si="45"/>
        <v>1.9940838957188425E-2</v>
      </c>
      <c r="Q300" s="436">
        <f t="shared" si="46"/>
        <v>3.9881677914376849E-2</v>
      </c>
    </row>
    <row r="301" spans="10:17">
      <c r="J301" s="435">
        <f>295</f>
        <v>295</v>
      </c>
      <c r="K301" s="436">
        <f t="shared" si="40"/>
        <v>-2.2939670667684933</v>
      </c>
      <c r="L301" s="436">
        <f t="shared" si="41"/>
        <v>4</v>
      </c>
      <c r="M301" s="436">
        <f t="shared" si="42"/>
        <v>2.8478835794869106E-2</v>
      </c>
      <c r="N301" s="436">
        <f t="shared" si="43"/>
        <v>0.11391534317947642</v>
      </c>
      <c r="O301" s="436">
        <f t="shared" si="44"/>
        <v>-2.4230295667684931</v>
      </c>
      <c r="P301" s="436">
        <f t="shared" si="45"/>
        <v>2.0864283533966493E-2</v>
      </c>
      <c r="Q301" s="436">
        <f t="shared" si="46"/>
        <v>8.3457134135865974E-2</v>
      </c>
    </row>
    <row r="302" spans="10:17">
      <c r="J302" s="435">
        <f>296</f>
        <v>296</v>
      </c>
      <c r="K302" s="436">
        <f t="shared" si="40"/>
        <v>-2.2746245822490643</v>
      </c>
      <c r="L302" s="436">
        <f t="shared" si="41"/>
        <v>2</v>
      </c>
      <c r="M302" s="436">
        <f t="shared" si="42"/>
        <v>2.975165077061899E-2</v>
      </c>
      <c r="N302" s="436">
        <f t="shared" si="43"/>
        <v>5.950330154123798E-2</v>
      </c>
      <c r="O302" s="436">
        <f t="shared" si="44"/>
        <v>-2.4041245822490644</v>
      </c>
      <c r="P302" s="436">
        <f t="shared" si="45"/>
        <v>2.1822025062910116E-2</v>
      </c>
      <c r="Q302" s="436">
        <f t="shared" si="46"/>
        <v>4.3644050125820233E-2</v>
      </c>
    </row>
    <row r="303" spans="10:17">
      <c r="J303" s="435">
        <f>297</f>
        <v>297</v>
      </c>
      <c r="K303" s="436">
        <f t="shared" si="40"/>
        <v>-2.2552820977296353</v>
      </c>
      <c r="L303" s="436">
        <f t="shared" si="41"/>
        <v>4</v>
      </c>
      <c r="M303" s="436">
        <f t="shared" si="42"/>
        <v>3.1069048006719453E-2</v>
      </c>
      <c r="N303" s="436">
        <f t="shared" si="43"/>
        <v>0.12427619202687781</v>
      </c>
      <c r="O303" s="436">
        <f t="shared" si="44"/>
        <v>-2.3852195977296358</v>
      </c>
      <c r="P303" s="436">
        <f t="shared" si="45"/>
        <v>2.2814854058223446E-2</v>
      </c>
      <c r="Q303" s="436">
        <f t="shared" si="46"/>
        <v>9.1259416232893784E-2</v>
      </c>
    </row>
    <row r="304" spans="10:17">
      <c r="J304" s="435">
        <f>298</f>
        <v>298</v>
      </c>
      <c r="K304" s="436">
        <f t="shared" si="40"/>
        <v>-2.2359396132102063</v>
      </c>
      <c r="L304" s="436">
        <f t="shared" si="41"/>
        <v>2</v>
      </c>
      <c r="M304" s="436">
        <f t="shared" si="42"/>
        <v>3.243190772431262E-2</v>
      </c>
      <c r="N304" s="436">
        <f t="shared" si="43"/>
        <v>6.4863815448625239E-2</v>
      </c>
      <c r="O304" s="436">
        <f t="shared" si="44"/>
        <v>-2.3663146132102071</v>
      </c>
      <c r="P304" s="436">
        <f t="shared" si="45"/>
        <v>2.384355159420317E-2</v>
      </c>
      <c r="Q304" s="436">
        <f t="shared" si="46"/>
        <v>4.7687103188406341E-2</v>
      </c>
    </row>
    <row r="305" spans="10:17">
      <c r="J305" s="435">
        <f>299</f>
        <v>299</v>
      </c>
      <c r="K305" s="436">
        <f t="shared" si="40"/>
        <v>-2.2165971286907782</v>
      </c>
      <c r="L305" s="436">
        <f t="shared" si="41"/>
        <v>4</v>
      </c>
      <c r="M305" s="436">
        <f t="shared" si="42"/>
        <v>3.3841089306388954E-2</v>
      </c>
      <c r="N305" s="436">
        <f t="shared" si="43"/>
        <v>0.13536435722555581</v>
      </c>
      <c r="O305" s="436">
        <f t="shared" si="44"/>
        <v>-2.3474096286907775</v>
      </c>
      <c r="P305" s="436">
        <f t="shared" si="45"/>
        <v>2.4908887300027972E-2</v>
      </c>
      <c r="Q305" s="436">
        <f t="shared" si="46"/>
        <v>9.9635549200111889E-2</v>
      </c>
    </row>
    <row r="306" spans="10:17">
      <c r="J306" s="435">
        <f>300</f>
        <v>300</v>
      </c>
      <c r="K306" s="436">
        <f t="shared" si="40"/>
        <v>-2.1972546441713492</v>
      </c>
      <c r="L306" s="436">
        <f t="shared" si="41"/>
        <v>2</v>
      </c>
      <c r="M306" s="436">
        <f t="shared" si="42"/>
        <v>3.5297428596556497E-2</v>
      </c>
      <c r="N306" s="436">
        <f t="shared" si="43"/>
        <v>7.0594857193112995E-2</v>
      </c>
      <c r="O306" s="436">
        <f t="shared" si="44"/>
        <v>-2.3285046441713488</v>
      </c>
      <c r="P306" s="436">
        <f t="shared" si="45"/>
        <v>2.601161726931412E-2</v>
      </c>
      <c r="Q306" s="436">
        <f t="shared" si="46"/>
        <v>5.2023234538628241E-2</v>
      </c>
    </row>
    <row r="307" spans="10:17">
      <c r="J307" s="435">
        <f>301</f>
        <v>301</v>
      </c>
      <c r="K307" s="436">
        <f t="shared" si="40"/>
        <v>-2.1779121596519202</v>
      </c>
      <c r="L307" s="436">
        <f t="shared" si="41"/>
        <v>4</v>
      </c>
      <c r="M307" s="436">
        <f t="shared" si="42"/>
        <v>3.6801735107027604E-2</v>
      </c>
      <c r="N307" s="436">
        <f t="shared" si="43"/>
        <v>0.14720694042811042</v>
      </c>
      <c r="O307" s="436">
        <f t="shared" si="44"/>
        <v>-2.3095996596519202</v>
      </c>
      <c r="P307" s="436">
        <f t="shared" si="45"/>
        <v>2.7152481885532834E-2</v>
      </c>
      <c r="Q307" s="436">
        <f t="shared" si="46"/>
        <v>0.10860992754213133</v>
      </c>
    </row>
    <row r="308" spans="10:17">
      <c r="J308" s="435">
        <f>302</f>
        <v>302</v>
      </c>
      <c r="K308" s="436">
        <f t="shared" si="40"/>
        <v>-2.1585696751324912</v>
      </c>
      <c r="L308" s="436">
        <f t="shared" si="41"/>
        <v>2</v>
      </c>
      <c r="M308" s="436">
        <f t="shared" si="42"/>
        <v>3.8354789138595184E-2</v>
      </c>
      <c r="N308" s="436">
        <f t="shared" si="43"/>
        <v>7.6709578277190368E-2</v>
      </c>
      <c r="O308" s="436">
        <f t="shared" si="44"/>
        <v>-2.2906946751324915</v>
      </c>
      <c r="P308" s="436">
        <f t="shared" si="45"/>
        <v>2.8332203564746063E-2</v>
      </c>
      <c r="Q308" s="436">
        <f t="shared" si="46"/>
        <v>5.6664407129492125E-2</v>
      </c>
    </row>
    <row r="309" spans="10:17">
      <c r="J309" s="435">
        <f>303</f>
        <v>303</v>
      </c>
      <c r="K309" s="436">
        <f t="shared" si="40"/>
        <v>-2.1392271906130622</v>
      </c>
      <c r="L309" s="436">
        <f t="shared" si="41"/>
        <v>4</v>
      </c>
      <c r="M309" s="436">
        <f t="shared" si="42"/>
        <v>3.995733881583402E-2</v>
      </c>
      <c r="N309" s="436">
        <f t="shared" si="43"/>
        <v>0.15982935526333608</v>
      </c>
      <c r="O309" s="436">
        <f t="shared" si="44"/>
        <v>-2.2717896906130628</v>
      </c>
      <c r="P309" s="436">
        <f t="shared" si="45"/>
        <v>2.9551484417498552E-2</v>
      </c>
      <c r="Q309" s="436">
        <f t="shared" si="46"/>
        <v>0.11820593766999421</v>
      </c>
    </row>
    <row r="310" spans="10:17">
      <c r="J310" s="435">
        <f>304</f>
        <v>304</v>
      </c>
      <c r="K310" s="436">
        <f t="shared" si="40"/>
        <v>-2.1198847060936332</v>
      </c>
      <c r="L310" s="436">
        <f t="shared" si="41"/>
        <v>2</v>
      </c>
      <c r="M310" s="436">
        <f t="shared" si="42"/>
        <v>4.1610097041246755E-2</v>
      </c>
      <c r="N310" s="436">
        <f t="shared" si="43"/>
        <v>8.3220194082493509E-2</v>
      </c>
      <c r="O310" s="436">
        <f t="shared" si="44"/>
        <v>-2.2528847060936341</v>
      </c>
      <c r="P310" s="436">
        <f t="shared" si="45"/>
        <v>3.0811003832101294E-2</v>
      </c>
      <c r="Q310" s="436">
        <f t="shared" si="46"/>
        <v>6.1622007664202588E-2</v>
      </c>
    </row>
    <row r="311" spans="10:17">
      <c r="J311" s="435">
        <f>305</f>
        <v>305</v>
      </c>
      <c r="K311" s="436">
        <f t="shared" si="40"/>
        <v>-2.1005422215742051</v>
      </c>
      <c r="L311" s="436">
        <f t="shared" si="41"/>
        <v>4</v>
      </c>
      <c r="M311" s="436">
        <f t="shared" si="42"/>
        <v>4.3313738372572706E-2</v>
      </c>
      <c r="N311" s="436">
        <f t="shared" si="43"/>
        <v>0.17325495349029083</v>
      </c>
      <c r="O311" s="436">
        <f t="shared" si="44"/>
        <v>-2.2339797215742045</v>
      </c>
      <c r="P311" s="436">
        <f t="shared" si="45"/>
        <v>3.2111415981956007E-2</v>
      </c>
      <c r="Q311" s="436">
        <f t="shared" si="46"/>
        <v>0.12844566392782403</v>
      </c>
    </row>
    <row r="312" spans="10:17">
      <c r="J312" s="435">
        <f>306</f>
        <v>306</v>
      </c>
      <c r="K312" s="436">
        <f t="shared" si="40"/>
        <v>-2.0811997370547761</v>
      </c>
      <c r="L312" s="436">
        <f t="shared" si="41"/>
        <v>2</v>
      </c>
      <c r="M312" s="436">
        <f t="shared" si="42"/>
        <v>4.5068895827994233E-2</v>
      </c>
      <c r="N312" s="436">
        <f t="shared" si="43"/>
        <v>9.0137791655988467E-2</v>
      </c>
      <c r="O312" s="436">
        <f t="shared" si="44"/>
        <v>-2.2150747370547759</v>
      </c>
      <c r="P312" s="436">
        <f t="shared" si="45"/>
        <v>3.3453347260000245E-2</v>
      </c>
      <c r="Q312" s="436">
        <f t="shared" si="46"/>
        <v>6.690669452000049E-2</v>
      </c>
    </row>
    <row r="313" spans="10:17">
      <c r="J313" s="435">
        <f>307</f>
        <v>307</v>
      </c>
      <c r="K313" s="436">
        <f t="shared" si="40"/>
        <v>-2.0618572525353471</v>
      </c>
      <c r="L313" s="436">
        <f t="shared" si="41"/>
        <v>4</v>
      </c>
      <c r="M313" s="436">
        <f t="shared" si="42"/>
        <v>4.6876157624502209E-2</v>
      </c>
      <c r="N313" s="436">
        <f t="shared" si="43"/>
        <v>0.18750463049800883</v>
      </c>
      <c r="O313" s="436">
        <f t="shared" si="44"/>
        <v>-2.1961697525353472</v>
      </c>
      <c r="P313" s="436">
        <f t="shared" si="45"/>
        <v>3.4837393643799688E-2</v>
      </c>
      <c r="Q313" s="436">
        <f t="shared" si="46"/>
        <v>0.13934957457519875</v>
      </c>
    </row>
    <row r="314" spans="10:17">
      <c r="J314" s="435">
        <f>308</f>
        <v>308</v>
      </c>
      <c r="K314" s="436">
        <f t="shared" si="40"/>
        <v>-2.0425147680159181</v>
      </c>
      <c r="L314" s="436">
        <f t="shared" si="41"/>
        <v>2</v>
      </c>
      <c r="M314" s="436">
        <f t="shared" si="42"/>
        <v>4.8736063855228301E-2</v>
      </c>
      <c r="N314" s="436">
        <f t="shared" si="43"/>
        <v>9.7472127710456602E-2</v>
      </c>
      <c r="O314" s="436">
        <f t="shared" si="44"/>
        <v>-2.1772647680159185</v>
      </c>
      <c r="P314" s="436">
        <f t="shared" si="45"/>
        <v>3.6264117995271246E-2</v>
      </c>
      <c r="Q314" s="436">
        <f t="shared" si="46"/>
        <v>7.2528235990542492E-2</v>
      </c>
    </row>
    <row r="315" spans="10:17">
      <c r="J315" s="435">
        <f>309</f>
        <v>309</v>
      </c>
      <c r="K315" s="436">
        <f t="shared" si="40"/>
        <v>-2.0231722834964891</v>
      </c>
      <c r="L315" s="436">
        <f t="shared" si="41"/>
        <v>4</v>
      </c>
      <c r="M315" s="436">
        <f t="shared" si="42"/>
        <v>5.0649103112101558E-2</v>
      </c>
      <c r="N315" s="436">
        <f t="shared" si="43"/>
        <v>0.20259641244840623</v>
      </c>
      <c r="O315" s="436">
        <f t="shared" si="44"/>
        <v>-2.1583597834964898</v>
      </c>
      <c r="P315" s="436">
        <f t="shared" si="45"/>
        <v>3.7734047299494963E-2</v>
      </c>
      <c r="Q315" s="436">
        <f t="shared" si="46"/>
        <v>0.15093618919797985</v>
      </c>
    </row>
    <row r="316" spans="10:17">
      <c r="J316" s="435">
        <f>310</f>
        <v>310</v>
      </c>
      <c r="K316" s="436">
        <f t="shared" si="40"/>
        <v>-2.0038297989770602</v>
      </c>
      <c r="L316" s="436">
        <f t="shared" si="41"/>
        <v>2</v>
      </c>
      <c r="M316" s="436">
        <f t="shared" si="42"/>
        <v>5.2615709060752316E-2</v>
      </c>
      <c r="N316" s="436">
        <f t="shared" si="43"/>
        <v>0.10523141812150463</v>
      </c>
      <c r="O316" s="436">
        <f t="shared" si="44"/>
        <v>-2.1394547989770611</v>
      </c>
      <c r="P316" s="436">
        <f t="shared" si="45"/>
        <v>3.9247669847554477E-2</v>
      </c>
      <c r="Q316" s="436">
        <f t="shared" si="46"/>
        <v>7.8495339695108954E-2</v>
      </c>
    </row>
    <row r="317" spans="10:17">
      <c r="J317" s="435">
        <f>311</f>
        <v>311</v>
      </c>
      <c r="K317" s="436">
        <f t="shared" si="40"/>
        <v>-1.984487314457632</v>
      </c>
      <c r="L317" s="436">
        <f t="shared" si="41"/>
        <v>4</v>
      </c>
      <c r="M317" s="436">
        <f t="shared" si="42"/>
        <v>5.4636256975155319E-2</v>
      </c>
      <c r="N317" s="436">
        <f t="shared" si="43"/>
        <v>0.21854502790062127</v>
      </c>
      <c r="O317" s="436">
        <f t="shared" si="44"/>
        <v>-2.1205498144576316</v>
      </c>
      <c r="P317" s="436">
        <f t="shared" si="45"/>
        <v>4.0805432368839378E-2</v>
      </c>
      <c r="Q317" s="436">
        <f t="shared" si="46"/>
        <v>0.16322172947535751</v>
      </c>
    </row>
    <row r="318" spans="10:17">
      <c r="J318" s="435">
        <f>312</f>
        <v>312</v>
      </c>
      <c r="K318" s="436">
        <f t="shared" si="40"/>
        <v>-1.9651448299382031</v>
      </c>
      <c r="L318" s="436">
        <f t="shared" si="41"/>
        <v>2</v>
      </c>
      <c r="M318" s="436">
        <f t="shared" si="42"/>
        <v>5.6711060240081136E-2</v>
      </c>
      <c r="N318" s="436">
        <f t="shared" si="43"/>
        <v>0.11342212048016227</v>
      </c>
      <c r="O318" s="436">
        <f t="shared" si="44"/>
        <v>-2.1016448299382029</v>
      </c>
      <c r="P318" s="436">
        <f t="shared" si="45"/>
        <v>4.240773711874269E-2</v>
      </c>
      <c r="Q318" s="436">
        <f t="shared" si="46"/>
        <v>8.481547423748538E-2</v>
      </c>
    </row>
    <row r="319" spans="10:17">
      <c r="J319" s="435">
        <f>313</f>
        <v>313</v>
      </c>
      <c r="K319" s="436">
        <f t="shared" si="40"/>
        <v>-1.9458023454187741</v>
      </c>
      <c r="L319" s="436">
        <f t="shared" si="41"/>
        <v>4</v>
      </c>
      <c r="M319" s="436">
        <f t="shared" si="42"/>
        <v>5.8840366830000899E-2</v>
      </c>
      <c r="N319" s="436">
        <f t="shared" si="43"/>
        <v>0.2353614673200036</v>
      </c>
      <c r="O319" s="436">
        <f t="shared" si="44"/>
        <v>-2.0827398454187742</v>
      </c>
      <c r="P319" s="436">
        <f t="shared" si="45"/>
        <v>4.405493892819503E-2</v>
      </c>
      <c r="Q319" s="436">
        <f t="shared" si="46"/>
        <v>0.17621975571278012</v>
      </c>
    </row>
    <row r="320" spans="10:17">
      <c r="J320" s="435">
        <f>314</f>
        <v>314</v>
      </c>
      <c r="K320" s="436">
        <f t="shared" si="40"/>
        <v>-1.9264598608993451</v>
      </c>
      <c r="L320" s="436">
        <f t="shared" si="41"/>
        <v>2</v>
      </c>
      <c r="M320" s="436">
        <f t="shared" si="42"/>
        <v>6.1024355773671289E-2</v>
      </c>
      <c r="N320" s="436">
        <f t="shared" si="43"/>
        <v>0.12204871154734258</v>
      </c>
      <c r="O320" s="436">
        <f t="shared" si="44"/>
        <v>-2.0638348608993455</v>
      </c>
      <c r="P320" s="436">
        <f t="shared" si="45"/>
        <v>4.5747342221985128E-2</v>
      </c>
      <c r="Q320" s="436">
        <f t="shared" si="46"/>
        <v>9.1494684443970256E-2</v>
      </c>
    </row>
    <row r="321" spans="10:17">
      <c r="J321" s="435">
        <f>315</f>
        <v>315</v>
      </c>
      <c r="K321" s="436">
        <f t="shared" si="40"/>
        <v>-1.9071173763799161</v>
      </c>
      <c r="L321" s="436">
        <f t="shared" si="41"/>
        <v>4</v>
      </c>
      <c r="M321" s="436">
        <f t="shared" si="42"/>
        <v>6.3263133614200218E-2</v>
      </c>
      <c r="N321" s="436">
        <f t="shared" si="43"/>
        <v>0.25305253445680087</v>
      </c>
      <c r="O321" s="436">
        <f t="shared" si="44"/>
        <v>-2.0449298763799169</v>
      </c>
      <c r="P321" s="436">
        <f t="shared" si="45"/>
        <v>4.7485198013329948E-2</v>
      </c>
      <c r="Q321" s="436">
        <f t="shared" si="46"/>
        <v>0.18994079205331979</v>
      </c>
    </row>
    <row r="322" spans="10:17">
      <c r="J322" s="435">
        <f>316</f>
        <v>316</v>
      </c>
      <c r="K322" s="436">
        <f t="shared" si="40"/>
        <v>-1.887774891860488</v>
      </c>
      <c r="L322" s="436">
        <f t="shared" si="41"/>
        <v>2</v>
      </c>
      <c r="M322" s="436">
        <f t="shared" si="42"/>
        <v>6.5556730874965691E-2</v>
      </c>
      <c r="N322" s="436">
        <f t="shared" si="43"/>
        <v>0.13111346174993138</v>
      </c>
      <c r="O322" s="436">
        <f t="shared" si="44"/>
        <v>-2.0260248918604873</v>
      </c>
      <c r="P322" s="436">
        <f t="shared" si="45"/>
        <v>4.9268700882668846E-2</v>
      </c>
      <c r="Q322" s="436">
        <f t="shared" si="46"/>
        <v>9.8537401765337693E-2</v>
      </c>
    </row>
    <row r="323" spans="10:17">
      <c r="J323" s="435">
        <f>317</f>
        <v>317</v>
      </c>
      <c r="K323" s="436">
        <f t="shared" si="40"/>
        <v>-1.868432407341059</v>
      </c>
      <c r="L323" s="436">
        <f t="shared" si="41"/>
        <v>4</v>
      </c>
      <c r="M323" s="436">
        <f t="shared" si="42"/>
        <v>6.7905098542322948E-2</v>
      </c>
      <c r="N323" s="436">
        <f t="shared" si="43"/>
        <v>0.27162039416929179</v>
      </c>
      <c r="O323" s="436">
        <f t="shared" si="44"/>
        <v>-2.0071199073410586</v>
      </c>
      <c r="P323" s="436">
        <f t="shared" si="45"/>
        <v>5.1097985949162282E-2</v>
      </c>
      <c r="Q323" s="436">
        <f t="shared" si="46"/>
        <v>0.20439194379664913</v>
      </c>
    </row>
    <row r="324" spans="10:17">
      <c r="J324" s="435">
        <f>318</f>
        <v>318</v>
      </c>
      <c r="K324" s="436">
        <f t="shared" si="40"/>
        <v>-1.84908992282163</v>
      </c>
      <c r="L324" s="436">
        <f t="shared" si="41"/>
        <v>2</v>
      </c>
      <c r="M324" s="436">
        <f t="shared" si="42"/>
        <v>7.0308104576583402E-2</v>
      </c>
      <c r="N324" s="436">
        <f t="shared" si="43"/>
        <v>0.1406162091531668</v>
      </c>
      <c r="O324" s="436">
        <f t="shared" si="44"/>
        <v>-1.9882149228216299</v>
      </c>
      <c r="P324" s="436">
        <f t="shared" si="45"/>
        <v>5.2973125843879469E-2</v>
      </c>
      <c r="Q324" s="436">
        <f t="shared" si="46"/>
        <v>0.10594625168775894</v>
      </c>
    </row>
    <row r="325" spans="10:17">
      <c r="J325" s="435">
        <f>319</f>
        <v>319</v>
      </c>
      <c r="K325" s="436">
        <f t="shared" si="40"/>
        <v>-1.829747438302201</v>
      </c>
      <c r="L325" s="436">
        <f t="shared" si="41"/>
        <v>4</v>
      </c>
      <c r="M325" s="436">
        <f t="shared" si="42"/>
        <v>7.2765530463287209E-2</v>
      </c>
      <c r="N325" s="436">
        <f t="shared" si="43"/>
        <v>0.29106212185314884</v>
      </c>
      <c r="O325" s="436">
        <f t="shared" si="44"/>
        <v>-1.9693099383022012</v>
      </c>
      <c r="P325" s="436">
        <f t="shared" si="45"/>
        <v>5.4894127694149149E-2</v>
      </c>
      <c r="Q325" s="436">
        <f t="shared" si="46"/>
        <v>0.2195765107765966</v>
      </c>
    </row>
    <row r="326" spans="10:17">
      <c r="J326" s="435">
        <f>320</f>
        <v>320</v>
      </c>
      <c r="K326" s="436">
        <f t="shared" ref="K326:K389" si="47">$C$14+(($H$8-$C$14)/$C$13)*J326</f>
        <v>-1.810404953782772</v>
      </c>
      <c r="L326" s="436">
        <f t="shared" ref="L326:L389" si="48">IF(OR(J326=0,J326=$C$13),1,IF(MOD(J326,2)=0,2,4))</f>
        <v>2</v>
      </c>
      <c r="M326" s="436">
        <f t="shared" ref="M326:M389" si="49">_xlfn.NORM.S.DIST(K326,FALSE)*_xlfn.NORM.S.DIST(($H$10-$H$7*K326)/SQRT(1-$H$7^2),TRUE)</f>
        <v>7.5277067817304796E-2</v>
      </c>
      <c r="N326" s="436">
        <f t="shared" ref="N326:N389" si="50">L326*M326</f>
        <v>0.15055413563460959</v>
      </c>
      <c r="O326" s="436">
        <f t="shared" ref="O326:O389" si="51">$C$14+(($H$9-$C$14)/$C$13)*J326</f>
        <v>-1.9504049537827726</v>
      </c>
      <c r="P326" s="436">
        <f t="shared" ref="P326:P389" si="52">_xlfn.NORM.S.DIST(O326,FALSE)*_xlfn.NORM.S.DIST(($H$11-$H$7*O326)/SQRT(1-$H$7^2),TRUE)</f>
        <v>5.6860930129029416E-2</v>
      </c>
      <c r="Q326" s="436">
        <f t="shared" ref="Q326:Q389" si="53">L326*P326</f>
        <v>0.11372186025805883</v>
      </c>
    </row>
    <row r="327" spans="10:17">
      <c r="J327" s="435">
        <f>321</f>
        <v>321</v>
      </c>
      <c r="K327" s="436">
        <f t="shared" si="47"/>
        <v>-1.791062469263343</v>
      </c>
      <c r="L327" s="436">
        <f t="shared" si="48"/>
        <v>4</v>
      </c>
      <c r="M327" s="436">
        <f t="shared" si="49"/>
        <v>7.7842315052797095E-2</v>
      </c>
      <c r="N327" s="436">
        <f t="shared" si="50"/>
        <v>0.31136926021118838</v>
      </c>
      <c r="O327" s="436">
        <f t="shared" si="51"/>
        <v>-1.9314999692633439</v>
      </c>
      <c r="P327" s="436">
        <f t="shared" si="52"/>
        <v>5.8873400316317381E-2</v>
      </c>
      <c r="Q327" s="436">
        <f t="shared" si="53"/>
        <v>0.23549360126526953</v>
      </c>
    </row>
    <row r="328" spans="10:17">
      <c r="J328" s="435">
        <f>322</f>
        <v>322</v>
      </c>
      <c r="K328" s="436">
        <f t="shared" si="47"/>
        <v>-1.7717199847439149</v>
      </c>
      <c r="L328" s="436">
        <f t="shared" si="48"/>
        <v>2</v>
      </c>
      <c r="M328" s="436">
        <f t="shared" si="49"/>
        <v>8.046077413253204E-2</v>
      </c>
      <c r="N328" s="436">
        <f t="shared" si="50"/>
        <v>0.16092154826506408</v>
      </c>
      <c r="O328" s="436">
        <f t="shared" si="51"/>
        <v>-1.9125949847439143</v>
      </c>
      <c r="P328" s="436">
        <f t="shared" si="52"/>
        <v>6.0931331041965492E-2</v>
      </c>
      <c r="Q328" s="436">
        <f t="shared" si="53"/>
        <v>0.12186266208393098</v>
      </c>
    </row>
    <row r="329" spans="10:17">
      <c r="J329" s="435">
        <f>323</f>
        <v>323</v>
      </c>
      <c r="K329" s="436">
        <f t="shared" si="47"/>
        <v>-1.7523775002244859</v>
      </c>
      <c r="L329" s="436">
        <f t="shared" si="48"/>
        <v>4</v>
      </c>
      <c r="M329" s="436">
        <f t="shared" si="49"/>
        <v>8.3131847410491233E-2</v>
      </c>
      <c r="N329" s="436">
        <f t="shared" si="50"/>
        <v>0.33252738964196493</v>
      </c>
      <c r="O329" s="436">
        <f t="shared" si="51"/>
        <v>-1.8936900002244856</v>
      </c>
      <c r="P329" s="436">
        <f t="shared" si="52"/>
        <v>6.303443784319529E-2</v>
      </c>
      <c r="Q329" s="436">
        <f t="shared" si="53"/>
        <v>0.25213775137278116</v>
      </c>
    </row>
    <row r="330" spans="10:17">
      <c r="J330" s="435">
        <f>324</f>
        <v>324</v>
      </c>
      <c r="K330" s="436">
        <f t="shared" si="47"/>
        <v>-1.7330350157050569</v>
      </c>
      <c r="L330" s="436">
        <f t="shared" si="48"/>
        <v>2</v>
      </c>
      <c r="M330" s="436">
        <f t="shared" si="49"/>
        <v>8.5854834582100734E-2</v>
      </c>
      <c r="N330" s="436">
        <f t="shared" si="50"/>
        <v>0.17170966916420147</v>
      </c>
      <c r="O330" s="436">
        <f t="shared" si="51"/>
        <v>-1.874785015705057</v>
      </c>
      <c r="P330" s="436">
        <f t="shared" si="52"/>
        <v>6.5182356207000636E-2</v>
      </c>
      <c r="Q330" s="436">
        <f t="shared" si="53"/>
        <v>0.13036471241400127</v>
      </c>
    </row>
    <row r="331" spans="10:17">
      <c r="J331" s="435">
        <f>325</f>
        <v>325</v>
      </c>
      <c r="K331" s="436">
        <f t="shared" si="47"/>
        <v>-1.7136925311856279</v>
      </c>
      <c r="L331" s="436">
        <f t="shared" si="48"/>
        <v>4</v>
      </c>
      <c r="M331" s="436">
        <f t="shared" si="49"/>
        <v>8.86289297567876E-2</v>
      </c>
      <c r="N331" s="436">
        <f t="shared" si="50"/>
        <v>0.3545157190271504</v>
      </c>
      <c r="O331" s="436">
        <f t="shared" si="51"/>
        <v>-1.8558800311856283</v>
      </c>
      <c r="P331" s="436">
        <f t="shared" si="52"/>
        <v>6.7374638846099358E-2</v>
      </c>
      <c r="Q331" s="436">
        <f t="shared" si="53"/>
        <v>0.26949855538439743</v>
      </c>
    </row>
    <row r="332" spans="10:17">
      <c r="J332" s="435">
        <f>326</f>
        <v>326</v>
      </c>
      <c r="K332" s="436">
        <f t="shared" si="47"/>
        <v>-1.6943500466661989</v>
      </c>
      <c r="L332" s="436">
        <f t="shared" si="48"/>
        <v>2</v>
      </c>
      <c r="M332" s="436">
        <f t="shared" si="49"/>
        <v>9.1453218667879657E-2</v>
      </c>
      <c r="N332" s="436">
        <f t="shared" si="50"/>
        <v>0.18290643733575931</v>
      </c>
      <c r="O332" s="436">
        <f t="shared" si="51"/>
        <v>-1.8369750466661996</v>
      </c>
      <c r="P332" s="436">
        <f t="shared" si="52"/>
        <v>6.9610753064733216E-2</v>
      </c>
      <c r="Q332" s="436">
        <f t="shared" si="53"/>
        <v>0.13922150612946643</v>
      </c>
    </row>
    <row r="333" spans="10:17">
      <c r="J333" s="435">
        <f>327</f>
        <v>327</v>
      </c>
      <c r="K333" s="436">
        <f t="shared" si="47"/>
        <v>-1.6750075621467699</v>
      </c>
      <c r="L333" s="436">
        <f t="shared" si="48"/>
        <v>4</v>
      </c>
      <c r="M333" s="436">
        <f t="shared" si="49"/>
        <v>9.4326676035142332E-2</v>
      </c>
      <c r="N333" s="436">
        <f t="shared" si="50"/>
        <v>0.37730670414056933</v>
      </c>
      <c r="O333" s="436">
        <f t="shared" si="51"/>
        <v>-1.8180700621467709</v>
      </c>
      <c r="P333" s="436">
        <f t="shared" si="52"/>
        <v>7.1890078227015694E-2</v>
      </c>
      <c r="Q333" s="436">
        <f t="shared" si="53"/>
        <v>0.28756031290806278</v>
      </c>
    </row>
    <row r="334" spans="10:17">
      <c r="J334" s="435">
        <f>328</f>
        <v>328</v>
      </c>
      <c r="K334" s="436">
        <f t="shared" si="47"/>
        <v>-1.6556650776273418</v>
      </c>
      <c r="L334" s="436">
        <f t="shared" si="48"/>
        <v>2</v>
      </c>
      <c r="M334" s="436">
        <f t="shared" si="49"/>
        <v>9.7248163095467063E-2</v>
      </c>
      <c r="N334" s="436">
        <f t="shared" si="50"/>
        <v>0.19449632619093413</v>
      </c>
      <c r="O334" s="436">
        <f t="shared" si="51"/>
        <v>-1.7991650776273413</v>
      </c>
      <c r="P334" s="436">
        <f t="shared" si="52"/>
        <v>7.4211903340790197E-2</v>
      </c>
      <c r="Q334" s="436">
        <f t="shared" si="53"/>
        <v>0.14842380668158039</v>
      </c>
    </row>
    <row r="335" spans="10:17">
      <c r="J335" s="435">
        <f>329</f>
        <v>329</v>
      </c>
      <c r="K335" s="436">
        <f t="shared" si="47"/>
        <v>-1.6363225931079128</v>
      </c>
      <c r="L335" s="436">
        <f t="shared" si="48"/>
        <v>4</v>
      </c>
      <c r="M335" s="436">
        <f t="shared" si="49"/>
        <v>0.1002164253173938</v>
      </c>
      <c r="N335" s="436">
        <f t="shared" si="50"/>
        <v>0.40086570126957521</v>
      </c>
      <c r="O335" s="436">
        <f t="shared" si="51"/>
        <v>-1.7802600931079127</v>
      </c>
      <c r="P335" s="436">
        <f t="shared" si="52"/>
        <v>7.6575424770178452E-2</v>
      </c>
      <c r="Q335" s="436">
        <f t="shared" si="53"/>
        <v>0.30630169908071381</v>
      </c>
    </row>
    <row r="336" spans="10:17">
      <c r="J336" s="435">
        <f>330</f>
        <v>330</v>
      </c>
      <c r="K336" s="436">
        <f t="shared" si="47"/>
        <v>-1.6169801085884838</v>
      </c>
      <c r="L336" s="436">
        <f t="shared" si="48"/>
        <v>2</v>
      </c>
      <c r="M336" s="436">
        <f t="shared" si="49"/>
        <v>0.10323009031525376</v>
      </c>
      <c r="N336" s="436">
        <f t="shared" si="50"/>
        <v>0.20646018063050753</v>
      </c>
      <c r="O336" s="436">
        <f t="shared" si="51"/>
        <v>-1.761355108588484</v>
      </c>
      <c r="P336" s="436">
        <f t="shared" si="52"/>
        <v>7.897974409017372E-2</v>
      </c>
      <c r="Q336" s="436">
        <f t="shared" si="53"/>
        <v>0.15795948818034744</v>
      </c>
    </row>
    <row r="337" spans="10:17">
      <c r="J337" s="435">
        <f>331</f>
        <v>331</v>
      </c>
      <c r="K337" s="436">
        <f t="shared" si="47"/>
        <v>-1.5976376240690549</v>
      </c>
      <c r="L337" s="436">
        <f t="shared" si="48"/>
        <v>4</v>
      </c>
      <c r="M337" s="436">
        <f t="shared" si="49"/>
        <v>0.10628766597876711</v>
      </c>
      <c r="N337" s="436">
        <f t="shared" si="50"/>
        <v>0.42515066391506845</v>
      </c>
      <c r="O337" s="436">
        <f t="shared" si="51"/>
        <v>-1.7424501240690553</v>
      </c>
      <c r="P337" s="436">
        <f t="shared" si="52"/>
        <v>8.1423866096749911E-2</v>
      </c>
      <c r="Q337" s="436">
        <f t="shared" si="53"/>
        <v>0.32569546438699964</v>
      </c>
    </row>
    <row r="338" spans="10:17">
      <c r="J338" s="435">
        <f>332</f>
        <v>332</v>
      </c>
      <c r="K338" s="436">
        <f t="shared" si="47"/>
        <v>-1.5782951395496259</v>
      </c>
      <c r="L338" s="436">
        <f t="shared" si="48"/>
        <v>2</v>
      </c>
      <c r="M338" s="436">
        <f t="shared" si="49"/>
        <v>0.10938753883390102</v>
      </c>
      <c r="N338" s="436">
        <f t="shared" si="50"/>
        <v>0.21877507766780205</v>
      </c>
      <c r="O338" s="436">
        <f t="shared" si="51"/>
        <v>-1.7235451395496266</v>
      </c>
      <c r="P338" s="436">
        <f t="shared" si="52"/>
        <v>8.390669698603026E-2</v>
      </c>
      <c r="Q338" s="436">
        <f t="shared" si="53"/>
        <v>0.16781339397206052</v>
      </c>
    </row>
    <row r="339" spans="10:17">
      <c r="J339" s="435">
        <f>333</f>
        <v>333</v>
      </c>
      <c r="K339" s="436">
        <f t="shared" si="47"/>
        <v>-1.5589526550301978</v>
      </c>
      <c r="L339" s="436">
        <f t="shared" si="48"/>
        <v>4</v>
      </c>
      <c r="M339" s="436">
        <f t="shared" si="49"/>
        <v>0.11252797265070072</v>
      </c>
      <c r="N339" s="436">
        <f t="shared" si="50"/>
        <v>0.45011189060280288</v>
      </c>
      <c r="O339" s="436">
        <f t="shared" si="51"/>
        <v>-1.7046401550301971</v>
      </c>
      <c r="P339" s="436">
        <f t="shared" si="52"/>
        <v>8.6427042716066604E-2</v>
      </c>
      <c r="Q339" s="436">
        <f t="shared" si="53"/>
        <v>0.34570817086426642</v>
      </c>
    </row>
    <row r="340" spans="10:17">
      <c r="J340" s="435">
        <f>334</f>
        <v>334</v>
      </c>
      <c r="K340" s="436">
        <f t="shared" si="47"/>
        <v>-1.5396101705107688</v>
      </c>
      <c r="L340" s="436">
        <f t="shared" si="48"/>
        <v>2</v>
      </c>
      <c r="M340" s="436">
        <f t="shared" si="49"/>
        <v>0.11570710731363577</v>
      </c>
      <c r="N340" s="436">
        <f t="shared" si="50"/>
        <v>0.23141421462727155</v>
      </c>
      <c r="O340" s="436">
        <f t="shared" si="51"/>
        <v>-1.6857351705107684</v>
      </c>
      <c r="P340" s="436">
        <f t="shared" si="52"/>
        <v>8.8983607564730671E-2</v>
      </c>
      <c r="Q340" s="436">
        <f t="shared" si="53"/>
        <v>0.17796721512946134</v>
      </c>
    </row>
    <row r="341" spans="10:17">
      <c r="J341" s="435">
        <f>335</f>
        <v>335</v>
      </c>
      <c r="K341" s="436">
        <f t="shared" si="47"/>
        <v>-1.5202676859913398</v>
      </c>
      <c r="L341" s="436">
        <f t="shared" si="48"/>
        <v>4</v>
      </c>
      <c r="M341" s="436">
        <f t="shared" si="49"/>
        <v>0.118922957969753</v>
      </c>
      <c r="N341" s="436">
        <f t="shared" si="50"/>
        <v>0.47569183187901198</v>
      </c>
      <c r="O341" s="436">
        <f t="shared" si="51"/>
        <v>-1.6668301859913397</v>
      </c>
      <c r="P341" s="436">
        <f t="shared" si="52"/>
        <v>9.1574992897108728E-2</v>
      </c>
      <c r="Q341" s="436">
        <f t="shared" si="53"/>
        <v>0.36629997158843491</v>
      </c>
    </row>
    <row r="342" spans="10:17">
      <c r="J342" s="435">
        <f>336</f>
        <v>336</v>
      </c>
      <c r="K342" s="436">
        <f t="shared" si="47"/>
        <v>-1.5009252014719108</v>
      </c>
      <c r="L342" s="436">
        <f t="shared" si="48"/>
        <v>2</v>
      </c>
      <c r="M342" s="436">
        <f t="shared" si="49"/>
        <v>0.1221734144696021</v>
      </c>
      <c r="N342" s="436">
        <f t="shared" si="50"/>
        <v>0.2443468289392042</v>
      </c>
      <c r="O342" s="436">
        <f t="shared" si="51"/>
        <v>-1.647925201471911</v>
      </c>
      <c r="P342" s="436">
        <f t="shared" si="52"/>
        <v>9.4199696155606652E-2</v>
      </c>
      <c r="Q342" s="436">
        <f t="shared" si="53"/>
        <v>0.1883993923112133</v>
      </c>
    </row>
    <row r="343" spans="10:17">
      <c r="J343" s="435">
        <f>337</f>
        <v>337</v>
      </c>
      <c r="K343" s="436">
        <f t="shared" si="47"/>
        <v>-1.4815827169524818</v>
      </c>
      <c r="L343" s="436">
        <f t="shared" si="48"/>
        <v>4</v>
      </c>
      <c r="M343" s="436">
        <f t="shared" si="49"/>
        <v>0.12545624111548165</v>
      </c>
      <c r="N343" s="436">
        <f t="shared" si="50"/>
        <v>0.50182496446192659</v>
      </c>
      <c r="O343" s="436">
        <f t="shared" si="51"/>
        <v>-1.6290202169524823</v>
      </c>
      <c r="P343" s="436">
        <f t="shared" si="52"/>
        <v>9.6856110085730904E-2</v>
      </c>
      <c r="Q343" s="436">
        <f t="shared" si="53"/>
        <v>0.38742444034292361</v>
      </c>
    </row>
    <row r="344" spans="10:17">
      <c r="J344" s="435">
        <f>338</f>
        <v>338</v>
      </c>
      <c r="K344" s="436">
        <f t="shared" si="47"/>
        <v>-1.4622402324330528</v>
      </c>
      <c r="L344" s="436">
        <f t="shared" si="48"/>
        <v>2</v>
      </c>
      <c r="M344" s="436">
        <f t="shared" si="49"/>
        <v>0.12876907673105678</v>
      </c>
      <c r="N344" s="436">
        <f t="shared" si="50"/>
        <v>0.25753815346211356</v>
      </c>
      <c r="O344" s="436">
        <f t="shared" si="51"/>
        <v>-1.6101152324330537</v>
      </c>
      <c r="P344" s="436">
        <f t="shared" si="52"/>
        <v>9.9542522210187917E-2</v>
      </c>
      <c r="Q344" s="436">
        <f t="shared" si="53"/>
        <v>0.19908504442037583</v>
      </c>
    </row>
    <row r="345" spans="10:17">
      <c r="J345" s="435">
        <f>339</f>
        <v>339</v>
      </c>
      <c r="K345" s="436">
        <f t="shared" si="47"/>
        <v>-1.4428977479136247</v>
      </c>
      <c r="L345" s="436">
        <f t="shared" si="48"/>
        <v>4</v>
      </c>
      <c r="M345" s="436">
        <f t="shared" si="49"/>
        <v>0.13210943506580988</v>
      </c>
      <c r="N345" s="436">
        <f t="shared" si="50"/>
        <v>0.52843774026323953</v>
      </c>
      <c r="O345" s="436">
        <f t="shared" si="51"/>
        <v>-1.5912102479136241</v>
      </c>
      <c r="P345" s="436">
        <f t="shared" si="52"/>
        <v>0.10225711456355732</v>
      </c>
      <c r="Q345" s="436">
        <f t="shared" si="53"/>
        <v>0.40902845825422929</v>
      </c>
    </row>
    <row r="346" spans="10:17">
      <c r="J346" s="435">
        <f>340</f>
        <v>340</v>
      </c>
      <c r="K346" s="436">
        <f t="shared" si="47"/>
        <v>-1.4235552633941957</v>
      </c>
      <c r="L346" s="436">
        <f t="shared" si="48"/>
        <v>2</v>
      </c>
      <c r="M346" s="436">
        <f t="shared" si="49"/>
        <v>0.13547470554710878</v>
      </c>
      <c r="N346" s="436">
        <f t="shared" si="50"/>
        <v>0.27094941109421755</v>
      </c>
      <c r="O346" s="436">
        <f t="shared" si="51"/>
        <v>-1.5723052633941954</v>
      </c>
      <c r="P346" s="436">
        <f t="shared" si="52"/>
        <v>0.10499796369932556</v>
      </c>
      <c r="Q346" s="436">
        <f t="shared" si="53"/>
        <v>0.20999592739865111</v>
      </c>
    </row>
    <row r="347" spans="10:17">
      <c r="J347" s="435">
        <f>341</f>
        <v>341</v>
      </c>
      <c r="K347" s="436">
        <f t="shared" si="47"/>
        <v>-1.4042127788747667</v>
      </c>
      <c r="L347" s="436">
        <f t="shared" si="48"/>
        <v>4</v>
      </c>
      <c r="M347" s="436">
        <f t="shared" si="49"/>
        <v>0.13886215439190466</v>
      </c>
      <c r="N347" s="436">
        <f t="shared" si="50"/>
        <v>0.55544861756761865</v>
      </c>
      <c r="O347" s="436">
        <f t="shared" si="51"/>
        <v>-1.5534002788747667</v>
      </c>
      <c r="P347" s="436">
        <f t="shared" si="52"/>
        <v>0.10776304098052998</v>
      </c>
      <c r="Q347" s="436">
        <f t="shared" si="53"/>
        <v>0.43105216392211992</v>
      </c>
    </row>
    <row r="348" spans="10:17">
      <c r="J348" s="435">
        <f>342</f>
        <v>342</v>
      </c>
      <c r="K348" s="436">
        <f t="shared" si="47"/>
        <v>-1.3848702943553377</v>
      </c>
      <c r="L348" s="436">
        <f t="shared" si="48"/>
        <v>2</v>
      </c>
      <c r="M348" s="436">
        <f t="shared" si="49"/>
        <v>0.14226892608921721</v>
      </c>
      <c r="N348" s="436">
        <f t="shared" si="50"/>
        <v>0.28453785217843441</v>
      </c>
      <c r="O348" s="436">
        <f t="shared" si="51"/>
        <v>-1.534495294355338</v>
      </c>
      <c r="P348" s="436">
        <f t="shared" si="52"/>
        <v>0.11055021316464173</v>
      </c>
      <c r="Q348" s="436">
        <f t="shared" si="53"/>
        <v>0.22110042632928345</v>
      </c>
    </row>
    <row r="349" spans="10:17">
      <c r="J349" s="435">
        <f>343</f>
        <v>343</v>
      </c>
      <c r="K349" s="436">
        <f t="shared" si="47"/>
        <v>-1.3655278098359087</v>
      </c>
      <c r="L349" s="436">
        <f t="shared" si="48"/>
        <v>4</v>
      </c>
      <c r="M349" s="436">
        <f t="shared" si="49"/>
        <v>0.14569204526360413</v>
      </c>
      <c r="N349" s="436">
        <f t="shared" si="50"/>
        <v>0.58276818105441652</v>
      </c>
      <c r="O349" s="436">
        <f t="shared" si="51"/>
        <v>-1.5155903098359094</v>
      </c>
      <c r="P349" s="436">
        <f t="shared" si="52"/>
        <v>0.11335724329262525</v>
      </c>
      <c r="Q349" s="436">
        <f t="shared" si="53"/>
        <v>0.45342897317050102</v>
      </c>
    </row>
    <row r="350" spans="10:17">
      <c r="J350" s="435">
        <f>344</f>
        <v>344</v>
      </c>
      <c r="K350" s="436">
        <f t="shared" si="47"/>
        <v>-1.3461853253164797</v>
      </c>
      <c r="L350" s="436">
        <f t="shared" si="48"/>
        <v>2</v>
      </c>
      <c r="M350" s="436">
        <f t="shared" si="49"/>
        <v>0.14912841892877463</v>
      </c>
      <c r="N350" s="436">
        <f t="shared" si="50"/>
        <v>0.29825683785754925</v>
      </c>
      <c r="O350" s="436">
        <f t="shared" si="51"/>
        <v>-1.4966853253164807</v>
      </c>
      <c r="P350" s="436">
        <f t="shared" si="52"/>
        <v>0.1161817918913398</v>
      </c>
      <c r="Q350" s="436">
        <f t="shared" si="53"/>
        <v>0.2323635837826796</v>
      </c>
    </row>
    <row r="351" spans="10:17">
      <c r="J351" s="435">
        <f>345</f>
        <v>345</v>
      </c>
      <c r="K351" s="436">
        <f t="shared" si="47"/>
        <v>-1.3268428407970516</v>
      </c>
      <c r="L351" s="436">
        <f t="shared" si="48"/>
        <v>4</v>
      </c>
      <c r="M351" s="436">
        <f t="shared" si="49"/>
        <v>0.15257483913936701</v>
      </c>
      <c r="N351" s="436">
        <f t="shared" si="50"/>
        <v>0.61029935655746803</v>
      </c>
      <c r="O351" s="436">
        <f t="shared" si="51"/>
        <v>-1.4777803407970511</v>
      </c>
      <c r="P351" s="436">
        <f t="shared" si="52"/>
        <v>0.11902141849760013</v>
      </c>
      <c r="Q351" s="436">
        <f t="shared" si="53"/>
        <v>0.47608567399040053</v>
      </c>
    </row>
    <row r="352" spans="10:17">
      <c r="J352" s="435">
        <f>346</f>
        <v>346</v>
      </c>
      <c r="K352" s="436">
        <f t="shared" si="47"/>
        <v>-1.3075003562776226</v>
      </c>
      <c r="L352" s="436">
        <f t="shared" si="48"/>
        <v>2</v>
      </c>
      <c r="M352" s="436">
        <f t="shared" si="49"/>
        <v>0.1560279860476915</v>
      </c>
      <c r="N352" s="436">
        <f t="shared" si="50"/>
        <v>0.31205597209538299</v>
      </c>
      <c r="O352" s="436">
        <f t="shared" si="51"/>
        <v>-1.4588753562776224</v>
      </c>
      <c r="P352" s="436">
        <f t="shared" si="52"/>
        <v>0.1218735835112915</v>
      </c>
      <c r="Q352" s="436">
        <f t="shared" si="53"/>
        <v>0.24374716702258301</v>
      </c>
    </row>
    <row r="353" spans="10:17">
      <c r="J353" s="435">
        <f>347</f>
        <v>347</v>
      </c>
      <c r="K353" s="436">
        <f t="shared" si="47"/>
        <v>-1.2881578717581936</v>
      </c>
      <c r="L353" s="436">
        <f t="shared" si="48"/>
        <v>4</v>
      </c>
      <c r="M353" s="436">
        <f t="shared" si="49"/>
        <v>0.15948443137092405</v>
      </c>
      <c r="N353" s="436">
        <f t="shared" si="50"/>
        <v>0.63793772548369621</v>
      </c>
      <c r="O353" s="436">
        <f t="shared" si="51"/>
        <v>-1.4399703717581938</v>
      </c>
      <c r="P353" s="436">
        <f t="shared" si="52"/>
        <v>0.12473565038393744</v>
      </c>
      <c r="Q353" s="436">
        <f t="shared" si="53"/>
        <v>0.49894260153574976</v>
      </c>
    </row>
    <row r="354" spans="10:17">
      <c r="J354" s="435">
        <f>348</f>
        <v>348</v>
      </c>
      <c r="K354" s="436">
        <f t="shared" si="47"/>
        <v>-1.2688153872387646</v>
      </c>
      <c r="L354" s="436">
        <f t="shared" si="48"/>
        <v>2</v>
      </c>
      <c r="M354" s="436">
        <f t="shared" si="49"/>
        <v>0.16294064227284949</v>
      </c>
      <c r="N354" s="436">
        <f t="shared" si="50"/>
        <v>0.32588128454569898</v>
      </c>
      <c r="O354" s="436">
        <f t="shared" si="51"/>
        <v>-1.4210653872387651</v>
      </c>
      <c r="P354" s="436">
        <f t="shared" si="52"/>
        <v>0.12760488814804569</v>
      </c>
      <c r="Q354" s="436">
        <f t="shared" si="53"/>
        <v>0.25520977629609137</v>
      </c>
    </row>
    <row r="355" spans="10:17">
      <c r="J355" s="435">
        <f>349</f>
        <v>349</v>
      </c>
      <c r="K355" s="436">
        <f t="shared" si="47"/>
        <v>-1.2494729027193356</v>
      </c>
      <c r="L355" s="436">
        <f t="shared" si="48"/>
        <v>4</v>
      </c>
      <c r="M355" s="436">
        <f t="shared" si="49"/>
        <v>0.16639298566277289</v>
      </c>
      <c r="N355" s="436">
        <f t="shared" si="50"/>
        <v>0.66557194265109154</v>
      </c>
      <c r="O355" s="436">
        <f t="shared" si="51"/>
        <v>-1.4021604027193364</v>
      </c>
      <c r="P355" s="436">
        <f t="shared" si="52"/>
        <v>0.13047847429142306</v>
      </c>
      <c r="Q355" s="436">
        <f t="shared" si="53"/>
        <v>0.52191389716569225</v>
      </c>
    </row>
    <row r="356" spans="10:17">
      <c r="J356" s="435">
        <f>350</f>
        <v>350</v>
      </c>
      <c r="K356" s="436">
        <f t="shared" si="47"/>
        <v>-1.2301304181999075</v>
      </c>
      <c r="L356" s="436">
        <f t="shared" si="48"/>
        <v>2</v>
      </c>
      <c r="M356" s="436">
        <f t="shared" si="49"/>
        <v>0.16983773291267071</v>
      </c>
      <c r="N356" s="436">
        <f t="shared" si="50"/>
        <v>0.33967546582534142</v>
      </c>
      <c r="O356" s="436">
        <f t="shared" si="51"/>
        <v>-1.3832554181999068</v>
      </c>
      <c r="P356" s="436">
        <f t="shared" si="52"/>
        <v>0.13335349797944027</v>
      </c>
      <c r="Q356" s="436">
        <f t="shared" si="53"/>
        <v>0.26670699595888053</v>
      </c>
    </row>
    <row r="357" spans="10:17">
      <c r="J357" s="435">
        <f>351</f>
        <v>351</v>
      </c>
      <c r="K357" s="436">
        <f t="shared" si="47"/>
        <v>-1.2107879336804785</v>
      </c>
      <c r="L357" s="436">
        <f t="shared" si="48"/>
        <v>4</v>
      </c>
      <c r="M357" s="436">
        <f t="shared" si="49"/>
        <v>0.17327106499203268</v>
      </c>
      <c r="N357" s="436">
        <f t="shared" si="50"/>
        <v>0.69308425996813072</v>
      </c>
      <c r="O357" s="436">
        <f t="shared" si="51"/>
        <v>-1.3643504336804781</v>
      </c>
      <c r="P357" s="436">
        <f t="shared" si="52"/>
        <v>0.13622696362695877</v>
      </c>
      <c r="Q357" s="436">
        <f t="shared" si="53"/>
        <v>0.54490785450783508</v>
      </c>
    </row>
    <row r="358" spans="10:17">
      <c r="J358" s="435">
        <f>352</f>
        <v>352</v>
      </c>
      <c r="K358" s="436">
        <f t="shared" si="47"/>
        <v>-1.1914454491610496</v>
      </c>
      <c r="L358" s="436">
        <f t="shared" si="48"/>
        <v>2</v>
      </c>
      <c r="M358" s="436">
        <f t="shared" si="49"/>
        <v>0.17668907801815423</v>
      </c>
      <c r="N358" s="436">
        <f t="shared" si="50"/>
        <v>0.35337815603630846</v>
      </c>
      <c r="O358" s="436">
        <f t="shared" si="51"/>
        <v>-1.3454454491610495</v>
      </c>
      <c r="P358" s="436">
        <f t="shared" si="52"/>
        <v>0.13909579482030576</v>
      </c>
      <c r="Q358" s="436">
        <f t="shared" si="53"/>
        <v>0.27819158964061153</v>
      </c>
    </row>
    <row r="359" spans="10:17">
      <c r="J359" s="435">
        <f>353</f>
        <v>353</v>
      </c>
      <c r="K359" s="436">
        <f t="shared" si="47"/>
        <v>-1.1721029646416206</v>
      </c>
      <c r="L359" s="436">
        <f t="shared" si="48"/>
        <v>4</v>
      </c>
      <c r="M359" s="436">
        <f t="shared" si="49"/>
        <v>0.18008778921790033</v>
      </c>
      <c r="N359" s="436">
        <f t="shared" si="50"/>
        <v>0.72035115687160134</v>
      </c>
      <c r="O359" s="436">
        <f t="shared" si="51"/>
        <v>-1.3265404646416208</v>
      </c>
      <c r="P359" s="436">
        <f t="shared" si="52"/>
        <v>0.14195683858829461</v>
      </c>
      <c r="Q359" s="436">
        <f t="shared" si="53"/>
        <v>0.56782735435317844</v>
      </c>
    </row>
    <row r="360" spans="10:17">
      <c r="J360" s="435">
        <f>354</f>
        <v>354</v>
      </c>
      <c r="K360" s="436">
        <f t="shared" si="47"/>
        <v>-1.1527604801221916</v>
      </c>
      <c r="L360" s="436">
        <f t="shared" si="48"/>
        <v>2</v>
      </c>
      <c r="M360" s="436">
        <f t="shared" si="49"/>
        <v>0.18346314329515484</v>
      </c>
      <c r="N360" s="436">
        <f t="shared" si="50"/>
        <v>0.36692628659030968</v>
      </c>
      <c r="O360" s="436">
        <f t="shared" si="51"/>
        <v>-1.3076354801221921</v>
      </c>
      <c r="P360" s="436">
        <f t="shared" si="52"/>
        <v>0.14480687001986056</v>
      </c>
      <c r="Q360" s="436">
        <f t="shared" si="53"/>
        <v>0.28961374003972112</v>
      </c>
    </row>
    <row r="361" spans="10:17">
      <c r="J361" s="435">
        <f>355</f>
        <v>355</v>
      </c>
      <c r="K361" s="436">
        <f t="shared" si="47"/>
        <v>-1.1334179956027626</v>
      </c>
      <c r="L361" s="436">
        <f t="shared" si="48"/>
        <v>4</v>
      </c>
      <c r="M361" s="436">
        <f t="shared" si="49"/>
        <v>0.18681101919633011</v>
      </c>
      <c r="N361" s="436">
        <f t="shared" si="50"/>
        <v>0.74724407678532045</v>
      </c>
      <c r="O361" s="436">
        <f t="shared" si="51"/>
        <v>-1.2887304956027634</v>
      </c>
      <c r="P361" s="436">
        <f t="shared" si="52"/>
        <v>0.14764259722440148</v>
      </c>
      <c r="Q361" s="436">
        <f t="shared" si="53"/>
        <v>0.59057038889760594</v>
      </c>
    </row>
    <row r="362" spans="10:17">
      <c r="J362" s="435">
        <f>356</f>
        <v>356</v>
      </c>
      <c r="K362" s="436">
        <f t="shared" si="47"/>
        <v>-1.1140755110833345</v>
      </c>
      <c r="L362" s="436">
        <f t="shared" si="48"/>
        <v>2</v>
      </c>
      <c r="M362" s="436">
        <f t="shared" si="49"/>
        <v>0.19012723726443007</v>
      </c>
      <c r="N362" s="436">
        <f t="shared" si="50"/>
        <v>0.38025447452886013</v>
      </c>
      <c r="O362" s="436">
        <f t="shared" si="51"/>
        <v>-1.2698255110833339</v>
      </c>
      <c r="P362" s="436">
        <f t="shared" si="52"/>
        <v>0.15046066662940047</v>
      </c>
      <c r="Q362" s="436">
        <f t="shared" si="53"/>
        <v>0.30092133325880094</v>
      </c>
    </row>
    <row r="363" spans="10:17">
      <c r="J363" s="435">
        <f>357</f>
        <v>357</v>
      </c>
      <c r="K363" s="436">
        <f t="shared" si="47"/>
        <v>-1.0947330265639055</v>
      </c>
      <c r="L363" s="436">
        <f t="shared" si="48"/>
        <v>4</v>
      </c>
      <c r="M363" s="436">
        <f t="shared" si="49"/>
        <v>0.19340756677024826</v>
      </c>
      <c r="N363" s="436">
        <f t="shared" si="50"/>
        <v>0.77363026708099303</v>
      </c>
      <c r="O363" s="436">
        <f t="shared" si="51"/>
        <v>-1.2509205265639052</v>
      </c>
      <c r="P363" s="436">
        <f t="shared" si="52"/>
        <v>0.15325766860836024</v>
      </c>
      <c r="Q363" s="436">
        <f t="shared" si="53"/>
        <v>0.61303067443344095</v>
      </c>
    </row>
    <row r="364" spans="10:17">
      <c r="J364" s="435">
        <f>358</f>
        <v>358</v>
      </c>
      <c r="K364" s="436">
        <f t="shared" si="47"/>
        <v>-1.0753905420444765</v>
      </c>
      <c r="L364" s="436">
        <f t="shared" si="48"/>
        <v>2</v>
      </c>
      <c r="M364" s="436">
        <f t="shared" si="49"/>
        <v>0.19664773380735565</v>
      </c>
      <c r="N364" s="436">
        <f t="shared" si="50"/>
        <v>0.39329546761471129</v>
      </c>
      <c r="O364" s="436">
        <f t="shared" si="51"/>
        <v>-1.2320155420444765</v>
      </c>
      <c r="P364" s="436">
        <f t="shared" si="52"/>
        <v>0.15603014343051272</v>
      </c>
      <c r="Q364" s="436">
        <f t="shared" si="53"/>
        <v>0.31206028686102544</v>
      </c>
    </row>
    <row r="365" spans="10:17">
      <c r="J365" s="435">
        <f>359</f>
        <v>359</v>
      </c>
      <c r="K365" s="436">
        <f t="shared" si="47"/>
        <v>-1.0560480575250475</v>
      </c>
      <c r="L365" s="436">
        <f t="shared" si="48"/>
        <v>4</v>
      </c>
      <c r="M365" s="436">
        <f t="shared" si="49"/>
        <v>0.19984342953559539</v>
      </c>
      <c r="N365" s="436">
        <f t="shared" si="50"/>
        <v>0.79937371814238156</v>
      </c>
      <c r="O365" s="436">
        <f t="shared" si="51"/>
        <v>-1.2131105575250478</v>
      </c>
      <c r="P365" s="436">
        <f t="shared" si="52"/>
        <v>0.15877458752217724</v>
      </c>
      <c r="Q365" s="436">
        <f t="shared" si="53"/>
        <v>0.63509835008870896</v>
      </c>
    </row>
    <row r="366" spans="10:17">
      <c r="J366" s="435">
        <f>360</f>
        <v>360</v>
      </c>
      <c r="K366" s="436">
        <f t="shared" si="47"/>
        <v>-1.0367055730056185</v>
      </c>
      <c r="L366" s="436">
        <f t="shared" si="48"/>
        <v>2</v>
      </c>
      <c r="M366" s="436">
        <f t="shared" si="49"/>
        <v>0.20299031875586396</v>
      </c>
      <c r="N366" s="436">
        <f t="shared" si="50"/>
        <v>0.40598063751172792</v>
      </c>
      <c r="O366" s="436">
        <f t="shared" si="51"/>
        <v>-1.1942055730056191</v>
      </c>
      <c r="P366" s="436">
        <f t="shared" si="52"/>
        <v>0.16148746002805056</v>
      </c>
      <c r="Q366" s="436">
        <f t="shared" si="53"/>
        <v>0.32297492005610112</v>
      </c>
    </row>
    <row r="367" spans="10:17">
      <c r="J367" s="435">
        <f>361</f>
        <v>361</v>
      </c>
      <c r="K367" s="436">
        <f t="shared" si="47"/>
        <v>-1.0173630884861895</v>
      </c>
      <c r="L367" s="436">
        <f t="shared" si="48"/>
        <v>4</v>
      </c>
      <c r="M367" s="436">
        <f t="shared" si="49"/>
        <v>0.20608404879703207</v>
      </c>
      <c r="N367" s="436">
        <f t="shared" si="50"/>
        <v>0.82433619518812828</v>
      </c>
      <c r="O367" s="436">
        <f t="shared" si="51"/>
        <v>-1.1753005884861905</v>
      </c>
      <c r="P367" s="436">
        <f t="shared" si="52"/>
        <v>0.16416518965911539</v>
      </c>
      <c r="Q367" s="436">
        <f t="shared" si="53"/>
        <v>0.65666075863646156</v>
      </c>
    </row>
    <row r="368" spans="10:17">
      <c r="J368" s="435">
        <f>362</f>
        <v>362</v>
      </c>
      <c r="K368" s="436">
        <f t="shared" si="47"/>
        <v>-0.9980206039667614</v>
      </c>
      <c r="L368" s="436">
        <f t="shared" si="48"/>
        <v>2</v>
      </c>
      <c r="M368" s="436">
        <f t="shared" si="49"/>
        <v>0.20912025869395851</v>
      </c>
      <c r="N368" s="436">
        <f t="shared" si="50"/>
        <v>0.41824051738791701</v>
      </c>
      <c r="O368" s="436">
        <f t="shared" si="51"/>
        <v>-1.1563956039667609</v>
      </c>
      <c r="P368" s="436">
        <f t="shared" si="52"/>
        <v>0.16680418181226872</v>
      </c>
      <c r="Q368" s="436">
        <f t="shared" si="53"/>
        <v>0.33360836362453744</v>
      </c>
    </row>
    <row r="369" spans="10:17">
      <c r="J369" s="435">
        <f>363</f>
        <v>363</v>
      </c>
      <c r="K369" s="436">
        <f t="shared" si="47"/>
        <v>-0.97867811944733241</v>
      </c>
      <c r="L369" s="436">
        <f t="shared" si="48"/>
        <v>4</v>
      </c>
      <c r="M369" s="436">
        <f t="shared" si="49"/>
        <v>0.21209458863367836</v>
      </c>
      <c r="N369" s="436">
        <f t="shared" si="50"/>
        <v>0.84837835453471344</v>
      </c>
      <c r="O369" s="436">
        <f t="shared" si="51"/>
        <v>-1.1374906194473322</v>
      </c>
      <c r="P369" s="436">
        <f t="shared" si="52"/>
        <v>0.16940082594520242</v>
      </c>
      <c r="Q369" s="436">
        <f t="shared" si="53"/>
        <v>0.67760330378080968</v>
      </c>
    </row>
    <row r="370" spans="10:17">
      <c r="J370" s="435">
        <f>364</f>
        <v>364</v>
      </c>
      <c r="K370" s="436">
        <f t="shared" si="47"/>
        <v>-0.95933563492790341</v>
      </c>
      <c r="L370" s="436">
        <f t="shared" si="48"/>
        <v>2</v>
      </c>
      <c r="M370" s="436">
        <f t="shared" si="49"/>
        <v>0.21500268964502484</v>
      </c>
      <c r="N370" s="436">
        <f t="shared" si="50"/>
        <v>0.43000537929004967</v>
      </c>
      <c r="O370" s="436">
        <f t="shared" si="51"/>
        <v>-1.1185856349279035</v>
      </c>
      <c r="P370" s="436">
        <f t="shared" si="52"/>
        <v>0.17195150318852806</v>
      </c>
      <c r="Q370" s="436">
        <f t="shared" si="53"/>
        <v>0.34390300637705612</v>
      </c>
    </row>
    <row r="371" spans="10:17">
      <c r="J371" s="435">
        <f>365</f>
        <v>365</v>
      </c>
      <c r="K371" s="436">
        <f t="shared" si="47"/>
        <v>-0.93999315040847442</v>
      </c>
      <c r="L371" s="436">
        <f t="shared" si="48"/>
        <v>4</v>
      </c>
      <c r="M371" s="436">
        <f t="shared" si="49"/>
        <v>0.21784023350517917</v>
      </c>
      <c r="N371" s="436">
        <f t="shared" si="50"/>
        <v>0.87136093402071668</v>
      </c>
      <c r="O371" s="436">
        <f t="shared" si="51"/>
        <v>-1.0996806504084748</v>
      </c>
      <c r="P371" s="436">
        <f t="shared" si="52"/>
        <v>0.17445259417562803</v>
      </c>
      <c r="Q371" s="436">
        <f t="shared" si="53"/>
        <v>0.69781037670251211</v>
      </c>
    </row>
    <row r="372" spans="10:17">
      <c r="J372" s="435">
        <f>366</f>
        <v>366</v>
      </c>
      <c r="K372" s="436">
        <f t="shared" si="47"/>
        <v>-0.92065066588904543</v>
      </c>
      <c r="L372" s="436">
        <f t="shared" si="48"/>
        <v>2</v>
      </c>
      <c r="M372" s="436">
        <f t="shared" si="49"/>
        <v>0.2206029228349429</v>
      </c>
      <c r="N372" s="436">
        <f t="shared" si="50"/>
        <v>0.4412058456698858</v>
      </c>
      <c r="O372" s="436">
        <f t="shared" si="51"/>
        <v>-1.0807756658890462</v>
      </c>
      <c r="P372" s="436">
        <f t="shared" si="52"/>
        <v>0.17690048706925818</v>
      </c>
      <c r="Q372" s="436">
        <f t="shared" si="53"/>
        <v>0.35380097413851636</v>
      </c>
    </row>
    <row r="373" spans="10:17">
      <c r="J373" s="435">
        <f>367</f>
        <v>367</v>
      </c>
      <c r="K373" s="436">
        <f t="shared" si="47"/>
        <v>-0.90130818136961732</v>
      </c>
      <c r="L373" s="436">
        <f t="shared" si="48"/>
        <v>4</v>
      </c>
      <c r="M373" s="436">
        <f t="shared" si="49"/>
        <v>0.22328650135291256</v>
      </c>
      <c r="N373" s="436">
        <f t="shared" si="50"/>
        <v>0.89314600541165023</v>
      </c>
      <c r="O373" s="436">
        <f t="shared" si="51"/>
        <v>-1.0618706813696166</v>
      </c>
      <c r="P373" s="436">
        <f t="shared" si="52"/>
        <v>0.17929158576251653</v>
      </c>
      <c r="Q373" s="436">
        <f t="shared" si="53"/>
        <v>0.7171663430500661</v>
      </c>
    </row>
    <row r="374" spans="10:17">
      <c r="J374" s="435">
        <f>368</f>
        <v>368</v>
      </c>
      <c r="K374" s="436">
        <f t="shared" si="47"/>
        <v>-0.88196569685018833</v>
      </c>
      <c r="L374" s="436">
        <f t="shared" si="48"/>
        <v>2</v>
      </c>
      <c r="M374" s="436">
        <f t="shared" si="49"/>
        <v>0.22588676425721163</v>
      </c>
      <c r="N374" s="436">
        <f t="shared" si="50"/>
        <v>0.45177352851442326</v>
      </c>
      <c r="O374" s="436">
        <f t="shared" si="51"/>
        <v>-1.0429656968501879</v>
      </c>
      <c r="P374" s="436">
        <f t="shared" si="52"/>
        <v>0.18162231823045172</v>
      </c>
      <c r="Q374" s="436">
        <f t="shared" si="53"/>
        <v>0.36324463646090344</v>
      </c>
    </row>
    <row r="375" spans="10:17">
      <c r="J375" s="435">
        <f>369</f>
        <v>369</v>
      </c>
      <c r="K375" s="436">
        <f t="shared" si="47"/>
        <v>-0.86262321233075934</v>
      </c>
      <c r="L375" s="436">
        <f t="shared" si="48"/>
        <v>4</v>
      </c>
      <c r="M375" s="436">
        <f t="shared" si="49"/>
        <v>0.22839956870201411</v>
      </c>
      <c r="N375" s="436">
        <f t="shared" si="50"/>
        <v>0.91359827480805644</v>
      </c>
      <c r="O375" s="436">
        <f t="shared" si="51"/>
        <v>-1.0240607123307592</v>
      </c>
      <c r="P375" s="436">
        <f t="shared" si="52"/>
        <v>0.18388914500731604</v>
      </c>
      <c r="Q375" s="436">
        <f t="shared" si="53"/>
        <v>0.73555658002926416</v>
      </c>
    </row>
    <row r="376" spans="10:17">
      <c r="J376" s="435">
        <f>370</f>
        <v>370</v>
      </c>
      <c r="K376" s="436">
        <f t="shared" si="47"/>
        <v>-0.84328072781133034</v>
      </c>
      <c r="L376" s="436">
        <f t="shared" si="48"/>
        <v>2</v>
      </c>
      <c r="M376" s="436">
        <f t="shared" si="49"/>
        <v>0.23082084433479094</v>
      </c>
      <c r="N376" s="436">
        <f t="shared" si="50"/>
        <v>0.46164168866958188</v>
      </c>
      <c r="O376" s="436">
        <f t="shared" si="51"/>
        <v>-1.0051557278113306</v>
      </c>
      <c r="P376" s="436">
        <f t="shared" si="52"/>
        <v>0.18608856776327623</v>
      </c>
      <c r="Q376" s="436">
        <f t="shared" si="53"/>
        <v>0.37217713552655246</v>
      </c>
    </row>
    <row r="377" spans="10:17">
      <c r="J377" s="435">
        <f>371</f>
        <v>371</v>
      </c>
      <c r="K377" s="436">
        <f t="shared" si="47"/>
        <v>-0.82393824329190135</v>
      </c>
      <c r="L377" s="436">
        <f t="shared" si="48"/>
        <v>4</v>
      </c>
      <c r="M377" s="436">
        <f t="shared" si="49"/>
        <v>0.23314660385902991</v>
      </c>
      <c r="N377" s="436">
        <f t="shared" si="50"/>
        <v>0.93258641543611964</v>
      </c>
      <c r="O377" s="436">
        <f t="shared" si="51"/>
        <v>-0.98625074329190188</v>
      </c>
      <c r="P377" s="436">
        <f t="shared" si="52"/>
        <v>0.18821713795330641</v>
      </c>
      <c r="Q377" s="436">
        <f t="shared" si="53"/>
        <v>0.75286855181322565</v>
      </c>
    </row>
    <row r="378" spans="10:17">
      <c r="J378" s="435">
        <f>372</f>
        <v>372</v>
      </c>
      <c r="K378" s="436">
        <f t="shared" si="47"/>
        <v>-0.80459575877247236</v>
      </c>
      <c r="L378" s="436">
        <f t="shared" si="48"/>
        <v>2</v>
      </c>
      <c r="M378" s="436">
        <f t="shared" si="49"/>
        <v>0.23537295358613816</v>
      </c>
      <c r="N378" s="436">
        <f t="shared" si="50"/>
        <v>0.47074590717227632</v>
      </c>
      <c r="O378" s="436">
        <f t="shared" si="51"/>
        <v>-0.9673457587724732</v>
      </c>
      <c r="P378" s="436">
        <f t="shared" si="52"/>
        <v>0.19027146550998422</v>
      </c>
      <c r="Q378" s="436">
        <f t="shared" si="53"/>
        <v>0.38054293101996844</v>
      </c>
    </row>
    <row r="379" spans="10:17">
      <c r="J379" s="435">
        <f>373</f>
        <v>373</v>
      </c>
      <c r="K379" s="436">
        <f t="shared" si="47"/>
        <v>-0.78525327425304425</v>
      </c>
      <c r="L379" s="436">
        <f t="shared" si="48"/>
        <v>4</v>
      </c>
      <c r="M379" s="436">
        <f t="shared" si="49"/>
        <v>0.23749610393934223</v>
      </c>
      <c r="N379" s="436">
        <f t="shared" si="50"/>
        <v>0.94998441575736892</v>
      </c>
      <c r="O379" s="436">
        <f t="shared" si="51"/>
        <v>-0.94844077425304363</v>
      </c>
      <c r="P379" s="436">
        <f t="shared" si="52"/>
        <v>0.19224822755102944</v>
      </c>
      <c r="Q379" s="436">
        <f t="shared" si="53"/>
        <v>0.76899291020411775</v>
      </c>
    </row>
    <row r="380" spans="10:17">
      <c r="J380" s="435">
        <f>374</f>
        <v>374</v>
      </c>
      <c r="K380" s="436">
        <f t="shared" si="47"/>
        <v>-0.76591078973361526</v>
      </c>
      <c r="L380" s="436">
        <f t="shared" si="48"/>
        <v>2</v>
      </c>
      <c r="M380" s="436">
        <f t="shared" si="49"/>
        <v>0.23951237987166135</v>
      </c>
      <c r="N380" s="436">
        <f t="shared" si="50"/>
        <v>0.4790247597433227</v>
      </c>
      <c r="O380" s="436">
        <f t="shared" si="51"/>
        <v>-0.92953578973361495</v>
      </c>
      <c r="P380" s="436">
        <f t="shared" si="52"/>
        <v>0.19414417707164894</v>
      </c>
      <c r="Q380" s="436">
        <f t="shared" si="53"/>
        <v>0.38828835414329788</v>
      </c>
    </row>
    <row r="381" spans="10:17">
      <c r="J381" s="435">
        <f>375</f>
        <v>375</v>
      </c>
      <c r="K381" s="436">
        <f t="shared" si="47"/>
        <v>-0.74656830521418627</v>
      </c>
      <c r="L381" s="436">
        <f t="shared" si="48"/>
        <v>4</v>
      </c>
      <c r="M381" s="436">
        <f t="shared" si="49"/>
        <v>0.24141823115945218</v>
      </c>
      <c r="N381" s="436">
        <f t="shared" si="50"/>
        <v>0.96567292463780874</v>
      </c>
      <c r="O381" s="436">
        <f t="shared" si="51"/>
        <v>-0.91063080521418627</v>
      </c>
      <c r="P381" s="436">
        <f t="shared" si="52"/>
        <v>0.19595615159110902</v>
      </c>
      <c r="Q381" s="436">
        <f t="shared" si="53"/>
        <v>0.78382460636443607</v>
      </c>
    </row>
    <row r="382" spans="10:17">
      <c r="J382" s="435">
        <f>376</f>
        <v>376</v>
      </c>
      <c r="K382" s="436">
        <f t="shared" si="47"/>
        <v>-0.72722582069475727</v>
      </c>
      <c r="L382" s="436">
        <f t="shared" si="48"/>
        <v>2</v>
      </c>
      <c r="M382" s="436">
        <f t="shared" si="49"/>
        <v>0.24321024253262793</v>
      </c>
      <c r="N382" s="436">
        <f t="shared" si="50"/>
        <v>0.48642048506525587</v>
      </c>
      <c r="O382" s="436">
        <f t="shared" si="51"/>
        <v>-0.89172582069475759</v>
      </c>
      <c r="P382" s="436">
        <f t="shared" si="52"/>
        <v>0.19768108172243243</v>
      </c>
      <c r="Q382" s="436">
        <f t="shared" si="53"/>
        <v>0.39536216344486486</v>
      </c>
    </row>
    <row r="383" spans="10:17">
      <c r="J383" s="435">
        <f>377</f>
        <v>377</v>
      </c>
      <c r="K383" s="436">
        <f t="shared" si="47"/>
        <v>-0.70788333617532828</v>
      </c>
      <c r="L383" s="436">
        <f t="shared" si="48"/>
        <v>4</v>
      </c>
      <c r="M383" s="436">
        <f t="shared" si="49"/>
        <v>0.24488514360242603</v>
      </c>
      <c r="N383" s="436">
        <f t="shared" si="50"/>
        <v>0.9795405744097041</v>
      </c>
      <c r="O383" s="436">
        <f t="shared" si="51"/>
        <v>-0.87282083617532891</v>
      </c>
      <c r="P383" s="436">
        <f t="shared" si="52"/>
        <v>0.19931599963374405</v>
      </c>
      <c r="Q383" s="436">
        <f t="shared" si="53"/>
        <v>0.7972639985349762</v>
      </c>
    </row>
    <row r="384" spans="10:17">
      <c r="J384" s="435">
        <f>378</f>
        <v>378</v>
      </c>
      <c r="K384" s="436">
        <f t="shared" si="47"/>
        <v>-0.68854085165589929</v>
      </c>
      <c r="L384" s="436">
        <f t="shared" si="48"/>
        <v>2</v>
      </c>
      <c r="M384" s="436">
        <f t="shared" si="49"/>
        <v>0.24643981854756747</v>
      </c>
      <c r="N384" s="436">
        <f t="shared" si="50"/>
        <v>0.49287963709513494</v>
      </c>
      <c r="O384" s="436">
        <f t="shared" si="51"/>
        <v>-0.85391585165590023</v>
      </c>
      <c r="P384" s="436">
        <f t="shared" si="52"/>
        <v>0.20085804736954657</v>
      </c>
      <c r="Q384" s="436">
        <f t="shared" si="53"/>
        <v>0.40171609473909314</v>
      </c>
    </row>
    <row r="385" spans="10:17">
      <c r="J385" s="435">
        <f>379</f>
        <v>379</v>
      </c>
      <c r="K385" s="436">
        <f t="shared" si="47"/>
        <v>-0.66919836713647118</v>
      </c>
      <c r="L385" s="436">
        <f t="shared" si="48"/>
        <v>4</v>
      </c>
      <c r="M385" s="436">
        <f t="shared" si="49"/>
        <v>0.24787131551980221</v>
      </c>
      <c r="N385" s="436">
        <f t="shared" si="50"/>
        <v>0.99148526207920884</v>
      </c>
      <c r="O385" s="436">
        <f t="shared" si="51"/>
        <v>-0.83501086713647066</v>
      </c>
      <c r="P385" s="436">
        <f t="shared" si="52"/>
        <v>0.20230448500011791</v>
      </c>
      <c r="Q385" s="436">
        <f t="shared" si="53"/>
        <v>0.80921794000047165</v>
      </c>
    </row>
    <row r="386" spans="10:17">
      <c r="J386" s="435">
        <f>380</f>
        <v>380</v>
      </c>
      <c r="K386" s="436">
        <f t="shared" si="47"/>
        <v>-0.64985588261704219</v>
      </c>
      <c r="L386" s="436">
        <f t="shared" si="48"/>
        <v>2</v>
      </c>
      <c r="M386" s="436">
        <f t="shared" si="49"/>
        <v>0.24917685573018783</v>
      </c>
      <c r="N386" s="436">
        <f t="shared" si="50"/>
        <v>0.49835371146037566</v>
      </c>
      <c r="O386" s="436">
        <f t="shared" si="51"/>
        <v>-0.81610588261704198</v>
      </c>
      <c r="P386" s="436">
        <f t="shared" si="52"/>
        <v>0.20365269856728324</v>
      </c>
      <c r="Q386" s="436">
        <f t="shared" si="53"/>
        <v>0.40730539713456648</v>
      </c>
    </row>
    <row r="387" spans="10:17">
      <c r="J387" s="435">
        <f>381</f>
        <v>381</v>
      </c>
      <c r="K387" s="436">
        <f t="shared" si="47"/>
        <v>-0.6305133980976132</v>
      </c>
      <c r="L387" s="436">
        <f t="shared" si="48"/>
        <v>4</v>
      </c>
      <c r="M387" s="436">
        <f t="shared" si="49"/>
        <v>0.25035384217799284</v>
      </c>
      <c r="N387" s="436">
        <f t="shared" si="50"/>
        <v>1.0014153687119713</v>
      </c>
      <c r="O387" s="436">
        <f t="shared" si="51"/>
        <v>-0.7972008980976133</v>
      </c>
      <c r="P387" s="436">
        <f t="shared" si="52"/>
        <v>0.20490020779502793</v>
      </c>
      <c r="Q387" s="436">
        <f t="shared" si="53"/>
        <v>0.81960083118011173</v>
      </c>
    </row>
    <row r="388" spans="10:17">
      <c r="J388" s="435">
        <f>382</f>
        <v>382</v>
      </c>
      <c r="K388" s="436">
        <f t="shared" si="47"/>
        <v>-0.61117091357818421</v>
      </c>
      <c r="L388" s="436">
        <f t="shared" si="48"/>
        <v>2</v>
      </c>
      <c r="M388" s="436">
        <f t="shared" si="49"/>
        <v>0.25139986798486674</v>
      </c>
      <c r="N388" s="436">
        <f t="shared" si="50"/>
        <v>0.50279973596973349</v>
      </c>
      <c r="O388" s="436">
        <f t="shared" si="51"/>
        <v>-0.77829591357818462</v>
      </c>
      <c r="P388" s="436">
        <f t="shared" si="52"/>
        <v>0.20604467353378969</v>
      </c>
      <c r="Q388" s="436">
        <f t="shared" si="53"/>
        <v>0.41208934706757938</v>
      </c>
    </row>
    <row r="389" spans="10:17">
      <c r="J389" s="435">
        <f>383</f>
        <v>383</v>
      </c>
      <c r="K389" s="436">
        <f t="shared" si="47"/>
        <v>-0.59182842905875521</v>
      </c>
      <c r="L389" s="436">
        <f t="shared" si="48"/>
        <v>4</v>
      </c>
      <c r="M389" s="436">
        <f t="shared" si="49"/>
        <v>0.25231272429786161</v>
      </c>
      <c r="N389" s="436">
        <f t="shared" si="50"/>
        <v>1.0092508971914464</v>
      </c>
      <c r="O389" s="436">
        <f t="shared" si="51"/>
        <v>-0.75939092905875594</v>
      </c>
      <c r="P389" s="436">
        <f t="shared" si="52"/>
        <v>0.20708390490779643</v>
      </c>
      <c r="Q389" s="436">
        <f t="shared" si="53"/>
        <v>0.82833561963118574</v>
      </c>
    </row>
    <row r="390" spans="10:17">
      <c r="J390" s="435">
        <f>384</f>
        <v>384</v>
      </c>
      <c r="K390" s="436">
        <f t="shared" ref="K390:K406" si="54">$C$14+(($H$8-$C$14)/$C$13)*J390</f>
        <v>-0.57248594453932711</v>
      </c>
      <c r="L390" s="436">
        <f t="shared" ref="L390:L406" si="55">IF(OR(J390=0,J390=$C$13),1,IF(MOD(J390,2)=0,2,4))</f>
        <v>2</v>
      </c>
      <c r="M390" s="436">
        <f t="shared" ref="M390:M406" si="56">_xlfn.NORM.S.DIST(K390,FALSE)*_xlfn.NORM.S.DIST(($H$10-$H$7*K390)/SQRT(1-$H$7^2),TRUE)</f>
        <v>0.25309040772603952</v>
      </c>
      <c r="N390" s="436">
        <f t="shared" ref="N390:N406" si="57">L390*M390</f>
        <v>0.50618081545207905</v>
      </c>
      <c r="O390" s="436">
        <f t="shared" ref="O390:O406" si="58">$C$14+(($H$9-$C$14)/$C$13)*J390</f>
        <v>-0.74048594453932637</v>
      </c>
      <c r="P390" s="436">
        <f t="shared" ref="P390:P406" si="59">_xlfn.NORM.S.DIST(O390,FALSE)*_xlfn.NORM.S.DIST(($H$11-$H$7*O390)/SQRT(1-$H$7^2),TRUE)</f>
        <v>0.20801586613550635</v>
      </c>
      <c r="Q390" s="436">
        <f t="shared" ref="Q390:Q406" si="60">L390*P390</f>
        <v>0.4160317322710127</v>
      </c>
    </row>
    <row r="391" spans="10:17">
      <c r="J391" s="435">
        <f>385</f>
        <v>385</v>
      </c>
      <c r="K391" s="436">
        <f t="shared" si="54"/>
        <v>-0.55314346001989811</v>
      </c>
      <c r="L391" s="436">
        <f t="shared" si="55"/>
        <v>4</v>
      </c>
      <c r="M391" s="436">
        <f t="shared" si="56"/>
        <v>0.25373112727674157</v>
      </c>
      <c r="N391" s="436">
        <f t="shared" si="57"/>
        <v>1.0149245091069663</v>
      </c>
      <c r="O391" s="436">
        <f t="shared" si="58"/>
        <v>-0.72158096001989769</v>
      </c>
      <c r="P391" s="436">
        <f t="shared" si="59"/>
        <v>0.2088386829940494</v>
      </c>
      <c r="Q391" s="436">
        <f t="shared" si="60"/>
        <v>0.83535473197619758</v>
      </c>
    </row>
    <row r="392" spans="10:17">
      <c r="J392" s="435">
        <f>386</f>
        <v>386</v>
      </c>
      <c r="K392" s="436">
        <f t="shared" si="54"/>
        <v>-0.53380097550046912</v>
      </c>
      <c r="L392" s="436">
        <f t="shared" si="55"/>
        <v>2</v>
      </c>
      <c r="M392" s="436">
        <f t="shared" si="56"/>
        <v>0.25423331075912992</v>
      </c>
      <c r="N392" s="436">
        <f t="shared" si="57"/>
        <v>0.50846662151825983</v>
      </c>
      <c r="O392" s="436">
        <f t="shared" si="58"/>
        <v>-0.70267597550046901</v>
      </c>
      <c r="P392" s="436">
        <f t="shared" si="59"/>
        <v>0.20955064889957467</v>
      </c>
      <c r="Q392" s="436">
        <f t="shared" si="60"/>
        <v>0.41910129779914934</v>
      </c>
    </row>
    <row r="393" spans="10:17">
      <c r="J393" s="435">
        <f>387</f>
        <v>387</v>
      </c>
      <c r="K393" s="436">
        <f t="shared" si="54"/>
        <v>-0.51445849098104013</v>
      </c>
      <c r="L393" s="436">
        <f t="shared" si="55"/>
        <v>4</v>
      </c>
      <c r="M393" s="436">
        <f t="shared" si="56"/>
        <v>0.25459561062434172</v>
      </c>
      <c r="N393" s="436">
        <f t="shared" si="57"/>
        <v>1.0183824424973669</v>
      </c>
      <c r="O393" s="436">
        <f t="shared" si="58"/>
        <v>-0.68377099098104033</v>
      </c>
      <c r="P393" s="436">
        <f t="shared" si="59"/>
        <v>0.21015023057656093</v>
      </c>
      <c r="Q393" s="436">
        <f t="shared" si="60"/>
        <v>0.84060092230624373</v>
      </c>
    </row>
    <row r="394" spans="10:17">
      <c r="J394" s="435">
        <f>388</f>
        <v>388</v>
      </c>
      <c r="K394" s="436">
        <f t="shared" si="54"/>
        <v>-0.49511600646161114</v>
      </c>
      <c r="L394" s="436">
        <f t="shared" si="55"/>
        <v>2</v>
      </c>
      <c r="M394" s="436">
        <f t="shared" si="56"/>
        <v>0.25481690921350098</v>
      </c>
      <c r="N394" s="436">
        <f t="shared" si="57"/>
        <v>0.50963381842700195</v>
      </c>
      <c r="O394" s="436">
        <f t="shared" si="58"/>
        <v>-0.66486600646161165</v>
      </c>
      <c r="P394" s="436">
        <f t="shared" si="59"/>
        <v>0.21063607329045717</v>
      </c>
      <c r="Q394" s="436">
        <f t="shared" si="60"/>
        <v>0.42127214658091433</v>
      </c>
    </row>
    <row r="395" spans="10:17">
      <c r="J395" s="435">
        <f>389</f>
        <v>389</v>
      </c>
      <c r="K395" s="436">
        <f t="shared" si="54"/>
        <v>-0.47577352194218214</v>
      </c>
      <c r="L395" s="436">
        <f t="shared" si="55"/>
        <v>4</v>
      </c>
      <c r="M395" s="436">
        <f t="shared" si="56"/>
        <v>0.25489632338691748</v>
      </c>
      <c r="N395" s="436">
        <f t="shared" si="57"/>
        <v>1.0195852935476699</v>
      </c>
      <c r="O395" s="436">
        <f t="shared" si="58"/>
        <v>-0.64596102194218297</v>
      </c>
      <c r="P395" s="436">
        <f t="shared" si="59"/>
        <v>0.21100700561946872</v>
      </c>
      <c r="Q395" s="436">
        <f t="shared" si="60"/>
        <v>0.8440280224778749</v>
      </c>
    </row>
    <row r="396" spans="10:17">
      <c r="J396" s="435">
        <f>390</f>
        <v>390</v>
      </c>
      <c r="K396" s="436">
        <f t="shared" si="54"/>
        <v>-0.45643103742275404</v>
      </c>
      <c r="L396" s="436">
        <f t="shared" si="55"/>
        <v>2</v>
      </c>
      <c r="M396" s="436">
        <f t="shared" si="56"/>
        <v>0.25483320851005403</v>
      </c>
      <c r="N396" s="436">
        <f t="shared" si="57"/>
        <v>0.50966641702010806</v>
      </c>
      <c r="O396" s="436">
        <f t="shared" si="58"/>
        <v>-0.6270560374227534</v>
      </c>
      <c r="P396" s="436">
        <f t="shared" si="59"/>
        <v>0.21126204374289997</v>
      </c>
      <c r="Q396" s="436">
        <f t="shared" si="60"/>
        <v>0.42252408748579995</v>
      </c>
    </row>
    <row r="397" spans="10:17">
      <c r="J397" s="435">
        <f>391</f>
        <v>391</v>
      </c>
      <c r="K397" s="436">
        <f t="shared" si="54"/>
        <v>-0.43708855290332504</v>
      </c>
      <c r="L397" s="436">
        <f t="shared" si="55"/>
        <v>4</v>
      </c>
      <c r="M397" s="436">
        <f t="shared" si="56"/>
        <v>0.25462716177424982</v>
      </c>
      <c r="N397" s="436">
        <f t="shared" si="57"/>
        <v>1.0185086470969993</v>
      </c>
      <c r="O397" s="436">
        <f t="shared" si="58"/>
        <v>-0.60815105290332472</v>
      </c>
      <c r="P397" s="436">
        <f t="shared" si="59"/>
        <v>0.21140039522518794</v>
      </c>
      <c r="Q397" s="436">
        <f t="shared" si="60"/>
        <v>0.84560158090075177</v>
      </c>
    </row>
    <row r="398" spans="10:17">
      <c r="J398" s="435">
        <f>392</f>
        <v>392</v>
      </c>
      <c r="K398" s="436">
        <f t="shared" si="54"/>
        <v>-0.41774606838389605</v>
      </c>
      <c r="L398" s="436">
        <f t="shared" si="55"/>
        <v>2</v>
      </c>
      <c r="M398" s="436">
        <f t="shared" si="56"/>
        <v>0.25427802483274126</v>
      </c>
      <c r="N398" s="436">
        <f t="shared" si="57"/>
        <v>0.50855604966548251</v>
      </c>
      <c r="O398" s="436">
        <f t="shared" si="58"/>
        <v>-0.58924606838389604</v>
      </c>
      <c r="P398" s="436">
        <f t="shared" si="59"/>
        <v>0.21142146227661537</v>
      </c>
      <c r="Q398" s="436">
        <f t="shared" si="60"/>
        <v>0.42284292455323075</v>
      </c>
    </row>
    <row r="399" spans="10:17">
      <c r="J399" s="435">
        <f>393</f>
        <v>393</v>
      </c>
      <c r="K399" s="436">
        <f t="shared" si="54"/>
        <v>-0.39840358386446706</v>
      </c>
      <c r="L399" s="436">
        <f t="shared" si="55"/>
        <v>4</v>
      </c>
      <c r="M399" s="436">
        <f t="shared" si="56"/>
        <v>0.25378588573520977</v>
      </c>
      <c r="N399" s="436">
        <f t="shared" si="57"/>
        <v>1.0151435429408391</v>
      </c>
      <c r="O399" s="436">
        <f t="shared" si="58"/>
        <v>-0.57034108386446736</v>
      </c>
      <c r="P399" s="436">
        <f t="shared" si="59"/>
        <v>0.21132484447366015</v>
      </c>
      <c r="Q399" s="436">
        <f t="shared" si="60"/>
        <v>0.8452993778946406</v>
      </c>
    </row>
    <row r="400" spans="10:17">
      <c r="J400" s="435">
        <f>394</f>
        <v>394</v>
      </c>
      <c r="K400" s="436">
        <f t="shared" si="54"/>
        <v>-0.37906109934503807</v>
      </c>
      <c r="L400" s="436">
        <f t="shared" si="55"/>
        <v>2</v>
      </c>
      <c r="M400" s="436">
        <f t="shared" si="56"/>
        <v>0.25315108014689369</v>
      </c>
      <c r="N400" s="436">
        <f t="shared" si="57"/>
        <v>0.50630216029378738</v>
      </c>
      <c r="O400" s="436">
        <f t="shared" si="58"/>
        <v>-0.55143609934503868</v>
      </c>
      <c r="P400" s="436">
        <f t="shared" si="59"/>
        <v>0.21111034092401806</v>
      </c>
      <c r="Q400" s="436">
        <f t="shared" si="60"/>
        <v>0.42222068184803613</v>
      </c>
    </row>
    <row r="401" spans="10:17">
      <c r="J401" s="435">
        <f>395</f>
        <v>395</v>
      </c>
      <c r="K401" s="436">
        <f t="shared" si="54"/>
        <v>-0.35971861482560907</v>
      </c>
      <c r="L401" s="436">
        <f t="shared" si="55"/>
        <v>4</v>
      </c>
      <c r="M401" s="436">
        <f t="shared" si="56"/>
        <v>0.25237419184121501</v>
      </c>
      <c r="N401" s="436">
        <f t="shared" si="57"/>
        <v>1.00949676736486</v>
      </c>
      <c r="O401" s="436">
        <f t="shared" si="58"/>
        <v>-0.53253111482561</v>
      </c>
      <c r="P401" s="436">
        <f t="shared" si="59"/>
        <v>0.21077795186351192</v>
      </c>
      <c r="Q401" s="436">
        <f t="shared" si="60"/>
        <v>0.84311180745404768</v>
      </c>
    </row>
    <row r="402" spans="10:17">
      <c r="J402" s="435">
        <f>396</f>
        <v>396</v>
      </c>
      <c r="K402" s="436">
        <f t="shared" si="54"/>
        <v>-0.34037613030618097</v>
      </c>
      <c r="L402" s="436">
        <f t="shared" si="55"/>
        <v>2</v>
      </c>
      <c r="M402" s="436">
        <f t="shared" si="56"/>
        <v>0.25145605245787883</v>
      </c>
      <c r="N402" s="436">
        <f t="shared" si="57"/>
        <v>0.50291210491575766</v>
      </c>
      <c r="O402" s="436">
        <f t="shared" si="58"/>
        <v>-0.51362613030618043</v>
      </c>
      <c r="P402" s="436">
        <f t="shared" si="59"/>
        <v>0.21032787967436542</v>
      </c>
      <c r="Q402" s="436">
        <f t="shared" si="60"/>
        <v>0.42065575934873084</v>
      </c>
    </row>
    <row r="403" spans="10:17">
      <c r="J403" s="435">
        <f>397</f>
        <v>397</v>
      </c>
      <c r="K403" s="436">
        <f t="shared" si="54"/>
        <v>-0.32103364578675198</v>
      </c>
      <c r="L403" s="436">
        <f t="shared" si="55"/>
        <v>4</v>
      </c>
      <c r="M403" s="436">
        <f t="shared" si="56"/>
        <v>0.25039774052148123</v>
      </c>
      <c r="N403" s="436">
        <f t="shared" si="57"/>
        <v>1.0015909620859249</v>
      </c>
      <c r="O403" s="436">
        <f t="shared" si="58"/>
        <v>-0.49472114578675175</v>
      </c>
      <c r="P403" s="436">
        <f t="shared" si="59"/>
        <v>0.20976052931666173</v>
      </c>
      <c r="Q403" s="436">
        <f t="shared" si="60"/>
        <v>0.8390421172666469</v>
      </c>
    </row>
    <row r="404" spans="10:17">
      <c r="J404" s="435">
        <f>398</f>
        <v>398</v>
      </c>
      <c r="K404" s="436">
        <f t="shared" si="54"/>
        <v>-0.30169116126732298</v>
      </c>
      <c r="L404" s="436">
        <f t="shared" si="55"/>
        <v>2</v>
      </c>
      <c r="M404" s="436">
        <f t="shared" si="56"/>
        <v>0.24920057971880455</v>
      </c>
      <c r="N404" s="436">
        <f t="shared" si="57"/>
        <v>0.4984011594376091</v>
      </c>
      <c r="O404" s="436">
        <f t="shared" si="58"/>
        <v>-0.47581616126732307</v>
      </c>
      <c r="P404" s="436">
        <f t="shared" si="59"/>
        <v>0.20907650816720996</v>
      </c>
      <c r="Q404" s="436">
        <f t="shared" si="60"/>
        <v>0.41815301633441992</v>
      </c>
    </row>
    <row r="405" spans="10:17">
      <c r="J405" s="435">
        <f>399</f>
        <v>399</v>
      </c>
      <c r="K405" s="436">
        <f t="shared" si="54"/>
        <v>-0.28234867674789399</v>
      </c>
      <c r="L405" s="436">
        <f t="shared" si="55"/>
        <v>4</v>
      </c>
      <c r="M405" s="436">
        <f t="shared" si="56"/>
        <v>0.24786613643615479</v>
      </c>
      <c r="N405" s="436">
        <f t="shared" si="57"/>
        <v>0.99146454574461917</v>
      </c>
      <c r="O405" s="436">
        <f t="shared" si="58"/>
        <v>-0.45691117674789439</v>
      </c>
      <c r="P405" s="436">
        <f t="shared" si="59"/>
        <v>0.20827662526250187</v>
      </c>
      <c r="Q405" s="436">
        <f t="shared" si="60"/>
        <v>0.8331065010500075</v>
      </c>
    </row>
    <row r="406" spans="10:17">
      <c r="J406" s="435">
        <f>400</f>
        <v>400</v>
      </c>
      <c r="K406" s="436">
        <f t="shared" si="54"/>
        <v>-0.263006192228465</v>
      </c>
      <c r="L406" s="436">
        <f t="shared" si="55"/>
        <v>1</v>
      </c>
      <c r="M406" s="436">
        <f t="shared" si="56"/>
        <v>0.24639621656130514</v>
      </c>
      <c r="N406" s="436">
        <f t="shared" si="57"/>
        <v>0.24639621656130514</v>
      </c>
      <c r="O406" s="436">
        <f t="shared" si="58"/>
        <v>-0.43800619222846571</v>
      </c>
      <c r="P406" s="436">
        <f t="shared" si="59"/>
        <v>0.20736188994493324</v>
      </c>
      <c r="Q406" s="436">
        <f t="shared" si="60"/>
        <v>0.20736188994493324</v>
      </c>
    </row>
  </sheetData>
  <mergeCells count="7">
    <mergeCell ref="A30:F30"/>
    <mergeCell ref="J3:Q3"/>
    <mergeCell ref="J4:Q4"/>
    <mergeCell ref="J1:Q1"/>
    <mergeCell ref="A1:H1"/>
    <mergeCell ref="A3:D3"/>
    <mergeCell ref="F3:H3"/>
  </mergeCells>
  <dataValidations count="1">
    <dataValidation type="list" sqref="C14" xr:uid="{00000000-0002-0000-0000-000000000000}">
      <formula1>"100,200,400,800"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94B05-4F41-4320-8402-26771C5062A8}">
  <dimension ref="A1:L58"/>
  <sheetViews>
    <sheetView showGridLines="0" tabSelected="1" topLeftCell="E11" zoomScaleNormal="67" workbookViewId="0">
      <selection activeCell="C41" sqref="C41"/>
    </sheetView>
  </sheetViews>
  <sheetFormatPr defaultColWidth="8.6640625" defaultRowHeight="16"/>
  <cols>
    <col min="1" max="1" width="22.33203125" style="449" bestFit="1" customWidth="1"/>
    <col min="2" max="2" width="51.08203125" style="449" bestFit="1" customWidth="1"/>
    <col min="3" max="3" width="48.33203125" style="449" bestFit="1" customWidth="1"/>
    <col min="4" max="4" width="31.6640625" style="449" bestFit="1" customWidth="1"/>
    <col min="5" max="5" width="41.6640625" style="449" bestFit="1" customWidth="1"/>
    <col min="6" max="6" width="19.25" style="449" bestFit="1" customWidth="1"/>
    <col min="7" max="7" width="28" style="449" bestFit="1" customWidth="1"/>
    <col min="8" max="8" width="19.58203125" style="449" bestFit="1" customWidth="1"/>
    <col min="9" max="9" width="37.25" style="449" bestFit="1" customWidth="1"/>
    <col min="10" max="10" width="12.83203125" style="449" bestFit="1" customWidth="1"/>
    <col min="11" max="11" width="21.33203125" style="449" bestFit="1" customWidth="1"/>
    <col min="12" max="12" width="44.9140625" style="449" bestFit="1" customWidth="1"/>
    <col min="13" max="16384" width="8.6640625" style="449"/>
  </cols>
  <sheetData>
    <row r="1" spans="1:12">
      <c r="A1" s="467" t="s">
        <v>1718</v>
      </c>
      <c r="B1" s="466"/>
      <c r="C1" s="466"/>
      <c r="D1" s="466"/>
      <c r="E1" s="466"/>
      <c r="F1" s="466"/>
      <c r="G1" s="466"/>
      <c r="H1" s="466"/>
      <c r="I1" s="466"/>
      <c r="J1" s="466"/>
      <c r="K1" s="466"/>
      <c r="L1" s="466"/>
    </row>
    <row r="2" spans="1:12">
      <c r="A2" s="471" t="s">
        <v>1719</v>
      </c>
      <c r="B2" s="466"/>
      <c r="C2" s="466"/>
      <c r="D2" s="466"/>
      <c r="E2" s="466"/>
      <c r="F2" s="466"/>
      <c r="G2" s="466"/>
      <c r="H2" s="466"/>
      <c r="I2" s="466"/>
      <c r="J2" s="466"/>
      <c r="K2" s="466"/>
      <c r="L2" s="466"/>
    </row>
    <row r="4" spans="1:12">
      <c r="A4" s="472" t="s">
        <v>1631</v>
      </c>
      <c r="B4" s="466"/>
      <c r="C4" s="466"/>
      <c r="D4" s="466"/>
      <c r="E4" s="466"/>
      <c r="G4" s="472" t="s">
        <v>1720</v>
      </c>
      <c r="H4" s="466"/>
      <c r="I4" s="466"/>
      <c r="J4" s="466"/>
      <c r="K4" s="466"/>
      <c r="L4" s="466"/>
    </row>
    <row r="5" spans="1:12">
      <c r="A5" s="450" t="s">
        <v>1465</v>
      </c>
      <c r="B5" s="450" t="s">
        <v>1466</v>
      </c>
      <c r="C5" s="450" t="s">
        <v>1467</v>
      </c>
      <c r="D5" s="450" t="s">
        <v>1546</v>
      </c>
      <c r="E5" s="450" t="s">
        <v>1623</v>
      </c>
      <c r="G5" s="450" t="s">
        <v>1468</v>
      </c>
      <c r="H5" s="450" t="s">
        <v>1721</v>
      </c>
      <c r="I5" s="450" t="s">
        <v>1469</v>
      </c>
      <c r="J5" s="450" t="s">
        <v>1722</v>
      </c>
      <c r="K5" s="450" t="s">
        <v>1546</v>
      </c>
      <c r="L5" s="450" t="s">
        <v>1723</v>
      </c>
    </row>
    <row r="6" spans="1:12">
      <c r="A6" s="449" t="s">
        <v>1724</v>
      </c>
      <c r="B6" s="449" t="s">
        <v>1670</v>
      </c>
      <c r="C6" s="451">
        <v>100</v>
      </c>
      <c r="D6" s="449" t="s">
        <v>1725</v>
      </c>
      <c r="E6" s="452" t="s">
        <v>1726</v>
      </c>
      <c r="G6" s="449" t="s">
        <v>1727</v>
      </c>
      <c r="H6" s="452" t="s">
        <v>1728</v>
      </c>
      <c r="I6" s="452" t="str">
        <f ca="1">_xlfn.FORMULATEXT(J6)</f>
        <v>=EXP(-C8*C7)</v>
      </c>
      <c r="J6" s="453">
        <f>EXP(-C8*C7)</f>
        <v>0.86070797642505781</v>
      </c>
      <c r="K6" s="449" t="s">
        <v>1729</v>
      </c>
      <c r="L6" s="452" t="s">
        <v>1730</v>
      </c>
    </row>
    <row r="7" spans="1:12">
      <c r="A7" s="449" t="s">
        <v>1731</v>
      </c>
      <c r="B7" s="449" t="s">
        <v>135</v>
      </c>
      <c r="C7" s="454">
        <v>3</v>
      </c>
      <c r="D7" s="449" t="s">
        <v>1579</v>
      </c>
      <c r="E7" s="452"/>
      <c r="G7" s="449" t="s">
        <v>1732</v>
      </c>
      <c r="H7" s="452" t="s">
        <v>1733</v>
      </c>
      <c r="I7" s="452" t="str">
        <f ca="1">_xlfn.FORMULATEXT(J7)</f>
        <v>=C6*J6</v>
      </c>
      <c r="J7" s="453">
        <f>C6*J6</f>
        <v>86.070797642505781</v>
      </c>
      <c r="K7" s="449" t="s">
        <v>1734</v>
      </c>
      <c r="L7" s="452" t="s">
        <v>1735</v>
      </c>
    </row>
    <row r="8" spans="1:12">
      <c r="A8" s="449" t="s">
        <v>1736</v>
      </c>
      <c r="B8" s="449" t="s">
        <v>125</v>
      </c>
      <c r="C8" s="455">
        <v>0.05</v>
      </c>
      <c r="D8" s="449" t="s">
        <v>1737</v>
      </c>
      <c r="E8" s="452"/>
      <c r="G8" s="449" t="s">
        <v>1738</v>
      </c>
      <c r="H8" s="452" t="s">
        <v>1739</v>
      </c>
      <c r="I8" s="452" t="str">
        <f ca="1">_xlfn.FORMULATEXT(J8)</f>
        <v>=C6-J7</v>
      </c>
      <c r="J8" s="453">
        <f>C6-J7</f>
        <v>13.929202357494219</v>
      </c>
      <c r="K8" s="449" t="s">
        <v>1734</v>
      </c>
      <c r="L8" s="452" t="s">
        <v>1740</v>
      </c>
    </row>
    <row r="9" spans="1:12">
      <c r="A9" s="449" t="s">
        <v>1741</v>
      </c>
      <c r="B9" s="449" t="s">
        <v>1742</v>
      </c>
      <c r="C9" s="455">
        <v>0.2</v>
      </c>
      <c r="D9" s="449" t="s">
        <v>1743</v>
      </c>
      <c r="E9" s="452"/>
      <c r="G9" s="449" t="s">
        <v>1744</v>
      </c>
      <c r="H9" s="452" t="s">
        <v>1745</v>
      </c>
      <c r="I9" s="452" t="str">
        <f ca="1">_xlfn.FORMULATEXT(J9)</f>
        <v>=J8/C6</v>
      </c>
      <c r="J9" s="456">
        <f>J8/C6</f>
        <v>0.13929202357494219</v>
      </c>
      <c r="K9" s="449" t="s">
        <v>1746</v>
      </c>
      <c r="L9" s="452" t="s">
        <v>1747</v>
      </c>
    </row>
    <row r="10" spans="1:12">
      <c r="A10" s="449" t="s">
        <v>1748</v>
      </c>
      <c r="B10" s="449" t="s">
        <v>1749</v>
      </c>
      <c r="C10" s="455">
        <v>0.18</v>
      </c>
      <c r="D10" s="449" t="s">
        <v>1743</v>
      </c>
      <c r="E10" s="452"/>
    </row>
    <row r="11" spans="1:12">
      <c r="A11" s="449" t="s">
        <v>1750</v>
      </c>
      <c r="B11" s="449" t="s">
        <v>1751</v>
      </c>
      <c r="C11" s="455">
        <v>0.25</v>
      </c>
      <c r="D11" s="449" t="s">
        <v>1752</v>
      </c>
      <c r="E11" s="452"/>
    </row>
    <row r="12" spans="1:12">
      <c r="A12" s="449" t="s">
        <v>1753</v>
      </c>
      <c r="B12" s="449" t="s">
        <v>1754</v>
      </c>
      <c r="C12" s="455">
        <v>0.1</v>
      </c>
      <c r="D12" s="449" t="s">
        <v>1755</v>
      </c>
      <c r="E12" s="452" t="s">
        <v>1756</v>
      </c>
    </row>
    <row r="15" spans="1:12">
      <c r="A15" s="465" t="s">
        <v>1757</v>
      </c>
      <c r="B15" s="466"/>
      <c r="C15" s="466"/>
      <c r="D15" s="466"/>
      <c r="E15" s="466"/>
      <c r="F15" s="466"/>
      <c r="G15" s="466"/>
      <c r="H15" s="466"/>
      <c r="I15" s="466"/>
      <c r="J15" s="466"/>
      <c r="K15" s="466"/>
      <c r="L15" s="466"/>
    </row>
    <row r="16" spans="1:12">
      <c r="A16" s="457" t="s">
        <v>1623</v>
      </c>
      <c r="B16" s="457" t="s">
        <v>1758</v>
      </c>
      <c r="C16" s="457" t="s">
        <v>1759</v>
      </c>
      <c r="D16" s="457" t="s">
        <v>1760</v>
      </c>
      <c r="E16" s="457" t="s">
        <v>1761</v>
      </c>
      <c r="F16" s="457" t="s">
        <v>1762</v>
      </c>
      <c r="G16" s="457" t="s">
        <v>1763</v>
      </c>
      <c r="H16" s="457" t="s">
        <v>1764</v>
      </c>
      <c r="I16" s="457" t="s">
        <v>1765</v>
      </c>
      <c r="J16" s="457" t="s">
        <v>1766</v>
      </c>
      <c r="K16" s="457" t="s">
        <v>1767</v>
      </c>
      <c r="L16" s="457" t="s">
        <v>1768</v>
      </c>
    </row>
    <row r="17" spans="1:12">
      <c r="A17" s="452" t="s">
        <v>1639</v>
      </c>
      <c r="B17" s="452" t="s">
        <v>1769</v>
      </c>
      <c r="C17" s="452" t="s">
        <v>1770</v>
      </c>
      <c r="D17" s="458">
        <f>$J$9/$C$9</f>
        <v>0.69646011787471096</v>
      </c>
      <c r="E17" s="458">
        <v>0</v>
      </c>
      <c r="F17" s="458">
        <f>D17*$C$9</f>
        <v>0.13929202357494219</v>
      </c>
      <c r="G17" s="458">
        <v>0</v>
      </c>
      <c r="H17" s="458">
        <f>F17+G17</f>
        <v>0.13929202357494219</v>
      </c>
      <c r="I17" s="452" t="s">
        <v>1771</v>
      </c>
      <c r="J17" s="459">
        <f>$C$6*(1+D17*MAX($C$12,0))</f>
        <v>106.9646011787471</v>
      </c>
      <c r="K17" s="460" t="s">
        <v>1772</v>
      </c>
      <c r="L17" s="452" t="s">
        <v>1773</v>
      </c>
    </row>
    <row r="18" spans="1:12">
      <c r="A18" s="452" t="s">
        <v>1774</v>
      </c>
      <c r="B18" s="452" t="s">
        <v>1775</v>
      </c>
      <c r="C18" s="452" t="s">
        <v>1776</v>
      </c>
      <c r="D18" s="458">
        <v>0</v>
      </c>
      <c r="E18" s="458">
        <f>$J$9/$C$10</f>
        <v>0.77384457541634555</v>
      </c>
      <c r="F18" s="458">
        <v>0</v>
      </c>
      <c r="G18" s="458">
        <f>E18*$C$10</f>
        <v>0.13929202357494219</v>
      </c>
      <c r="H18" s="458">
        <f>F18+G18</f>
        <v>0.13929202357494219</v>
      </c>
      <c r="I18" s="452" t="s">
        <v>1777</v>
      </c>
      <c r="J18" s="459">
        <f>$C$6*(1+E18*MAX(-$C$12,0))</f>
        <v>100</v>
      </c>
      <c r="K18" s="460" t="s">
        <v>1772</v>
      </c>
      <c r="L18" s="452" t="s">
        <v>1778</v>
      </c>
    </row>
    <row r="19" spans="1:12">
      <c r="A19" s="452" t="s">
        <v>1779</v>
      </c>
      <c r="B19" s="452" t="s">
        <v>1780</v>
      </c>
      <c r="C19" s="452" t="s">
        <v>1781</v>
      </c>
      <c r="D19" s="458">
        <f>($J$9+$C$11*$C$10)/$C$9</f>
        <v>0.92146011787471083</v>
      </c>
      <c r="E19" s="458">
        <f>$C$11</f>
        <v>0.25</v>
      </c>
      <c r="F19" s="458">
        <f>D19*$C$9</f>
        <v>0.18429202357494218</v>
      </c>
      <c r="G19" s="458">
        <f>E19*$C$10</f>
        <v>4.4999999999999998E-2</v>
      </c>
      <c r="H19" s="458">
        <f>F19-G19</f>
        <v>0.13929202357494219</v>
      </c>
      <c r="I19" s="452" t="s">
        <v>1782</v>
      </c>
      <c r="J19" s="459">
        <f>$C$6*(1+D19*MAX($C$12,0)-E19*MAX(-$C$12,0))</f>
        <v>109.2146011787471</v>
      </c>
      <c r="K19" s="461" t="s">
        <v>1783</v>
      </c>
      <c r="L19" s="452" t="s">
        <v>1784</v>
      </c>
    </row>
    <row r="23" spans="1:12">
      <c r="A23" s="465" t="s">
        <v>1785</v>
      </c>
      <c r="B23" s="466"/>
      <c r="C23" s="466"/>
      <c r="D23" s="466"/>
    </row>
    <row r="24" spans="1:12">
      <c r="A24" s="457" t="s">
        <v>1754</v>
      </c>
      <c r="B24" s="457" t="s">
        <v>1786</v>
      </c>
      <c r="C24" s="457" t="s">
        <v>1787</v>
      </c>
      <c r="D24" s="457" t="s">
        <v>1788</v>
      </c>
    </row>
    <row r="25" spans="1:12">
      <c r="A25" s="462">
        <v>-0.4</v>
      </c>
      <c r="B25" s="463">
        <f t="shared" ref="B25:B33" si="0">$C$6*(1+$D$17*MAX(A25,0))</f>
        <v>100</v>
      </c>
      <c r="C25" s="463">
        <f t="shared" ref="C25:C33" si="1">$C$6*(1+$E$18*MAX(-A25,0))</f>
        <v>130.95378301665383</v>
      </c>
      <c r="D25" s="463">
        <f t="shared" ref="D25:D33" si="2">$C$6*(1+$D$19*MAX(A25,0)-$E$19*MAX(-A25,0))</f>
        <v>90</v>
      </c>
    </row>
    <row r="26" spans="1:12">
      <c r="A26" s="462">
        <v>-0.3</v>
      </c>
      <c r="B26" s="463">
        <f t="shared" si="0"/>
        <v>100</v>
      </c>
      <c r="C26" s="463">
        <f t="shared" si="1"/>
        <v>123.21533726249037</v>
      </c>
      <c r="D26" s="463">
        <f t="shared" si="2"/>
        <v>92.5</v>
      </c>
    </row>
    <row r="27" spans="1:12">
      <c r="A27" s="462">
        <v>-0.2</v>
      </c>
      <c r="B27" s="463">
        <f t="shared" si="0"/>
        <v>100</v>
      </c>
      <c r="C27" s="463">
        <f t="shared" si="1"/>
        <v>115.47689150832691</v>
      </c>
      <c r="D27" s="463">
        <f t="shared" si="2"/>
        <v>95</v>
      </c>
    </row>
    <row r="28" spans="1:12">
      <c r="A28" s="462">
        <v>-0.1</v>
      </c>
      <c r="B28" s="463">
        <f t="shared" si="0"/>
        <v>100</v>
      </c>
      <c r="C28" s="463">
        <f t="shared" si="1"/>
        <v>107.73844575416345</v>
      </c>
      <c r="D28" s="463">
        <f t="shared" si="2"/>
        <v>97.5</v>
      </c>
    </row>
    <row r="29" spans="1:12">
      <c r="A29" s="462">
        <v>0</v>
      </c>
      <c r="B29" s="463">
        <f t="shared" si="0"/>
        <v>100</v>
      </c>
      <c r="C29" s="463">
        <f t="shared" si="1"/>
        <v>100</v>
      </c>
      <c r="D29" s="463">
        <f t="shared" si="2"/>
        <v>100</v>
      </c>
    </row>
    <row r="30" spans="1:12">
      <c r="A30" s="462">
        <v>0.1</v>
      </c>
      <c r="B30" s="463">
        <f t="shared" si="0"/>
        <v>106.9646011787471</v>
      </c>
      <c r="C30" s="463">
        <f t="shared" si="1"/>
        <v>100</v>
      </c>
      <c r="D30" s="463">
        <f t="shared" si="2"/>
        <v>109.2146011787471</v>
      </c>
    </row>
    <row r="31" spans="1:12">
      <c r="A31" s="462">
        <v>0.2</v>
      </c>
      <c r="B31" s="463">
        <f t="shared" si="0"/>
        <v>113.92920235749422</v>
      </c>
      <c r="C31" s="463">
        <f t="shared" si="1"/>
        <v>100</v>
      </c>
      <c r="D31" s="463">
        <f t="shared" si="2"/>
        <v>118.4292023574942</v>
      </c>
    </row>
    <row r="32" spans="1:12">
      <c r="A32" s="462">
        <v>0.3</v>
      </c>
      <c r="B32" s="463">
        <f t="shared" si="0"/>
        <v>120.89380353624134</v>
      </c>
      <c r="C32" s="463">
        <f t="shared" si="1"/>
        <v>100</v>
      </c>
      <c r="D32" s="463">
        <f t="shared" si="2"/>
        <v>127.64380353624132</v>
      </c>
    </row>
    <row r="33" spans="1:4">
      <c r="A33" s="462">
        <v>0.4</v>
      </c>
      <c r="B33" s="463">
        <f t="shared" si="0"/>
        <v>127.85840471498844</v>
      </c>
      <c r="C33" s="463">
        <f t="shared" si="1"/>
        <v>100</v>
      </c>
      <c r="D33" s="463">
        <f t="shared" si="2"/>
        <v>136.85840471498841</v>
      </c>
    </row>
    <row r="36" spans="1:4">
      <c r="A36" s="467" t="s">
        <v>1789</v>
      </c>
      <c r="B36" s="467"/>
      <c r="C36" s="467"/>
      <c r="D36" s="467"/>
    </row>
    <row r="37" spans="1:4">
      <c r="A37" s="450" t="s">
        <v>1684</v>
      </c>
      <c r="B37" s="450" t="s">
        <v>1685</v>
      </c>
      <c r="C37" s="450" t="s">
        <v>1790</v>
      </c>
      <c r="D37" s="450" t="s">
        <v>1722</v>
      </c>
    </row>
    <row r="38" spans="1:4">
      <c r="A38" s="452" t="s">
        <v>1687</v>
      </c>
      <c r="B38" s="452" t="s">
        <v>1728</v>
      </c>
      <c r="C38" s="452" t="s">
        <v>1791</v>
      </c>
      <c r="D38" s="464">
        <f>J6</f>
        <v>0.86070797642505781</v>
      </c>
    </row>
    <row r="39" spans="1:4">
      <c r="A39" s="452" t="s">
        <v>1690</v>
      </c>
      <c r="B39" s="452" t="s">
        <v>1733</v>
      </c>
      <c r="C39" s="452" t="s">
        <v>1792</v>
      </c>
      <c r="D39" s="459">
        <f>J7</f>
        <v>86.070797642505781</v>
      </c>
    </row>
    <row r="40" spans="1:4">
      <c r="A40" s="452" t="s">
        <v>1693</v>
      </c>
      <c r="B40" s="452" t="s">
        <v>1793</v>
      </c>
      <c r="C40" s="452" t="s">
        <v>1794</v>
      </c>
      <c r="D40" s="458">
        <f>J9</f>
        <v>0.13929202357494219</v>
      </c>
    </row>
    <row r="41" spans="1:4">
      <c r="A41" s="452" t="s">
        <v>1696</v>
      </c>
      <c r="B41" s="452" t="s">
        <v>1795</v>
      </c>
      <c r="C41" s="452" t="s">
        <v>1796</v>
      </c>
      <c r="D41" s="458">
        <f>D17</f>
        <v>0.69646011787471096</v>
      </c>
    </row>
    <row r="42" spans="1:4">
      <c r="A42" s="452" t="s">
        <v>1699</v>
      </c>
      <c r="B42" s="452" t="s">
        <v>1797</v>
      </c>
      <c r="C42" s="452" t="s">
        <v>1798</v>
      </c>
      <c r="D42" s="458">
        <f>E18</f>
        <v>0.77384457541634555</v>
      </c>
    </row>
    <row r="43" spans="1:4">
      <c r="A43" s="452" t="s">
        <v>1702</v>
      </c>
      <c r="B43" s="452" t="s">
        <v>1799</v>
      </c>
      <c r="C43" s="452" t="s">
        <v>1800</v>
      </c>
      <c r="D43" s="458">
        <f>D19</f>
        <v>0.92146011787471083</v>
      </c>
    </row>
    <row r="44" spans="1:4">
      <c r="A44" s="452" t="s">
        <v>1705</v>
      </c>
      <c r="B44" s="452" t="s">
        <v>1801</v>
      </c>
      <c r="C44" s="452" t="s">
        <v>1802</v>
      </c>
      <c r="D44" s="459">
        <f>J17</f>
        <v>106.9646011787471</v>
      </c>
    </row>
    <row r="45" spans="1:4">
      <c r="A45" s="452" t="s">
        <v>1708</v>
      </c>
      <c r="B45" s="452" t="s">
        <v>1803</v>
      </c>
      <c r="C45" s="452" t="s">
        <v>1804</v>
      </c>
      <c r="D45" s="459">
        <f>J18</f>
        <v>100</v>
      </c>
    </row>
    <row r="46" spans="1:4">
      <c r="A46" s="452" t="s">
        <v>1805</v>
      </c>
      <c r="B46" s="452" t="s">
        <v>1806</v>
      </c>
      <c r="C46" s="452" t="s">
        <v>1807</v>
      </c>
      <c r="D46" s="459">
        <f>J19</f>
        <v>109.2146011787471</v>
      </c>
    </row>
    <row r="52" spans="1:12" ht="16.5" customHeight="1" thickBot="1">
      <c r="F52" s="473" t="s">
        <v>1808</v>
      </c>
      <c r="G52" s="473"/>
      <c r="H52" s="473"/>
      <c r="I52" s="473"/>
      <c r="J52" s="473"/>
      <c r="K52" s="473"/>
      <c r="L52" s="473"/>
    </row>
    <row r="53" spans="1:12" ht="171" customHeight="1" thickBot="1">
      <c r="A53" s="468" t="s">
        <v>1809</v>
      </c>
      <c r="B53" s="469"/>
      <c r="C53" s="469"/>
      <c r="D53" s="470"/>
      <c r="F53" s="473"/>
      <c r="G53" s="473"/>
      <c r="H53" s="473"/>
      <c r="I53" s="473"/>
      <c r="J53" s="473"/>
      <c r="K53" s="473"/>
      <c r="L53" s="473"/>
    </row>
    <row r="54" spans="1:12">
      <c r="F54" s="452"/>
      <c r="G54" s="452"/>
      <c r="H54" s="452"/>
      <c r="I54" s="452"/>
      <c r="J54" s="452"/>
      <c r="K54" s="452"/>
      <c r="L54" s="452"/>
    </row>
    <row r="55" spans="1:12">
      <c r="F55" s="452"/>
      <c r="G55" s="452"/>
      <c r="H55" s="452"/>
      <c r="I55" s="452"/>
      <c r="J55" s="452"/>
      <c r="K55" s="452"/>
      <c r="L55" s="452"/>
    </row>
    <row r="56" spans="1:12">
      <c r="F56" s="452"/>
      <c r="G56" s="452"/>
      <c r="H56" s="452"/>
      <c r="I56" s="452"/>
      <c r="J56" s="452"/>
      <c r="K56" s="452"/>
      <c r="L56" s="452"/>
    </row>
    <row r="57" spans="1:12">
      <c r="F57" s="452"/>
      <c r="G57" s="452"/>
      <c r="H57" s="452"/>
      <c r="I57" s="452"/>
      <c r="J57" s="452"/>
      <c r="K57" s="452"/>
      <c r="L57" s="452"/>
    </row>
    <row r="58" spans="1:12">
      <c r="F58" s="452"/>
      <c r="G58" s="452"/>
      <c r="H58" s="452"/>
      <c r="I58" s="452"/>
      <c r="J58" s="452"/>
      <c r="K58" s="452"/>
      <c r="L58" s="452"/>
    </row>
  </sheetData>
  <mergeCells count="9">
    <mergeCell ref="A23:D23"/>
    <mergeCell ref="A36:D36"/>
    <mergeCell ref="A53:D53"/>
    <mergeCell ref="A1:L1"/>
    <mergeCell ref="A2:L2"/>
    <mergeCell ref="A4:E4"/>
    <mergeCell ref="G4:L4"/>
    <mergeCell ref="A15:L15"/>
    <mergeCell ref="F52:L53"/>
  </mergeCells>
  <conditionalFormatting sqref="B25:D33">
    <cfRule type="cellIs" dxfId="0" priority="1" operator="lessThan">
      <formula>100</formula>
    </cfRule>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9CCCA-D273-4C01-BF64-F58C478796FB}">
  <dimension ref="B2:J148"/>
  <sheetViews>
    <sheetView showGridLines="0" topLeftCell="B1" zoomScale="92" workbookViewId="0">
      <selection activeCell="T30" sqref="T30"/>
    </sheetView>
  </sheetViews>
  <sheetFormatPr defaultRowHeight="16"/>
  <cols>
    <col min="5" max="5" width="9.25" bestFit="1" customWidth="1"/>
    <col min="9" max="10" width="10.58203125" bestFit="1" customWidth="1"/>
  </cols>
  <sheetData>
    <row r="2" spans="2:10">
      <c r="I2" s="385" t="s">
        <v>1810</v>
      </c>
      <c r="J2" s="386" t="s">
        <v>1811</v>
      </c>
    </row>
    <row r="3" spans="2:10">
      <c r="I3" s="387" t="s">
        <v>1812</v>
      </c>
      <c r="J3" s="388">
        <v>70</v>
      </c>
    </row>
    <row r="7" spans="2:10">
      <c r="B7" t="s">
        <v>1813</v>
      </c>
      <c r="C7" t="s">
        <v>1814</v>
      </c>
      <c r="D7" t="s">
        <v>1815</v>
      </c>
      <c r="E7" t="s">
        <v>1816</v>
      </c>
    </row>
    <row r="8" spans="2:10">
      <c r="B8">
        <v>0</v>
      </c>
      <c r="C8">
        <f t="shared" ref="C8:C39" si="0">MAX(B8-$J$3,0)-3</f>
        <v>-3</v>
      </c>
      <c r="D8">
        <f t="shared" ref="D8:D39" si="1">MAX($J$3-B8,0)-4</f>
        <v>66</v>
      </c>
      <c r="E8">
        <f>C8+D8</f>
        <v>63</v>
      </c>
    </row>
    <row r="9" spans="2:10">
      <c r="B9">
        <v>1</v>
      </c>
      <c r="C9">
        <f t="shared" si="0"/>
        <v>-3</v>
      </c>
      <c r="D9">
        <f t="shared" si="1"/>
        <v>65</v>
      </c>
      <c r="E9">
        <f t="shared" ref="E9:E72" si="2">C9+D9</f>
        <v>62</v>
      </c>
    </row>
    <row r="10" spans="2:10">
      <c r="B10">
        <v>2</v>
      </c>
      <c r="C10">
        <f t="shared" si="0"/>
        <v>-3</v>
      </c>
      <c r="D10">
        <f t="shared" si="1"/>
        <v>64</v>
      </c>
      <c r="E10">
        <f t="shared" si="2"/>
        <v>61</v>
      </c>
    </row>
    <row r="11" spans="2:10">
      <c r="B11">
        <v>3</v>
      </c>
      <c r="C11">
        <f t="shared" si="0"/>
        <v>-3</v>
      </c>
      <c r="D11">
        <f t="shared" si="1"/>
        <v>63</v>
      </c>
      <c r="E11">
        <f t="shared" si="2"/>
        <v>60</v>
      </c>
    </row>
    <row r="12" spans="2:10">
      <c r="B12">
        <v>4</v>
      </c>
      <c r="C12">
        <f t="shared" si="0"/>
        <v>-3</v>
      </c>
      <c r="D12">
        <f t="shared" si="1"/>
        <v>62</v>
      </c>
      <c r="E12">
        <f t="shared" si="2"/>
        <v>59</v>
      </c>
    </row>
    <row r="13" spans="2:10">
      <c r="B13">
        <v>5</v>
      </c>
      <c r="C13">
        <f t="shared" si="0"/>
        <v>-3</v>
      </c>
      <c r="D13">
        <f t="shared" si="1"/>
        <v>61</v>
      </c>
      <c r="E13">
        <f t="shared" si="2"/>
        <v>58</v>
      </c>
    </row>
    <row r="14" spans="2:10">
      <c r="B14">
        <v>6</v>
      </c>
      <c r="C14">
        <f t="shared" si="0"/>
        <v>-3</v>
      </c>
      <c r="D14">
        <f t="shared" si="1"/>
        <v>60</v>
      </c>
      <c r="E14">
        <f t="shared" si="2"/>
        <v>57</v>
      </c>
    </row>
    <row r="15" spans="2:10">
      <c r="B15">
        <v>7</v>
      </c>
      <c r="C15">
        <f t="shared" si="0"/>
        <v>-3</v>
      </c>
      <c r="D15">
        <f t="shared" si="1"/>
        <v>59</v>
      </c>
      <c r="E15">
        <f t="shared" si="2"/>
        <v>56</v>
      </c>
    </row>
    <row r="16" spans="2:10">
      <c r="B16">
        <v>8</v>
      </c>
      <c r="C16">
        <f t="shared" si="0"/>
        <v>-3</v>
      </c>
      <c r="D16">
        <f t="shared" si="1"/>
        <v>58</v>
      </c>
      <c r="E16">
        <f t="shared" si="2"/>
        <v>55</v>
      </c>
    </row>
    <row r="17" spans="2:5">
      <c r="B17">
        <v>9</v>
      </c>
      <c r="C17">
        <f t="shared" si="0"/>
        <v>-3</v>
      </c>
      <c r="D17">
        <f t="shared" si="1"/>
        <v>57</v>
      </c>
      <c r="E17">
        <f t="shared" si="2"/>
        <v>54</v>
      </c>
    </row>
    <row r="18" spans="2:5">
      <c r="B18">
        <v>10</v>
      </c>
      <c r="C18">
        <f t="shared" si="0"/>
        <v>-3</v>
      </c>
      <c r="D18">
        <f t="shared" si="1"/>
        <v>56</v>
      </c>
      <c r="E18">
        <f t="shared" si="2"/>
        <v>53</v>
      </c>
    </row>
    <row r="19" spans="2:5">
      <c r="B19">
        <v>11</v>
      </c>
      <c r="C19">
        <f t="shared" si="0"/>
        <v>-3</v>
      </c>
      <c r="D19">
        <f t="shared" si="1"/>
        <v>55</v>
      </c>
      <c r="E19">
        <f t="shared" si="2"/>
        <v>52</v>
      </c>
    </row>
    <row r="20" spans="2:5">
      <c r="B20">
        <v>12</v>
      </c>
      <c r="C20">
        <f t="shared" si="0"/>
        <v>-3</v>
      </c>
      <c r="D20">
        <f t="shared" si="1"/>
        <v>54</v>
      </c>
      <c r="E20">
        <f t="shared" si="2"/>
        <v>51</v>
      </c>
    </row>
    <row r="21" spans="2:5">
      <c r="B21">
        <v>13</v>
      </c>
      <c r="C21">
        <f t="shared" si="0"/>
        <v>-3</v>
      </c>
      <c r="D21">
        <f t="shared" si="1"/>
        <v>53</v>
      </c>
      <c r="E21">
        <f t="shared" si="2"/>
        <v>50</v>
      </c>
    </row>
    <row r="22" spans="2:5">
      <c r="B22">
        <v>14</v>
      </c>
      <c r="C22">
        <f t="shared" si="0"/>
        <v>-3</v>
      </c>
      <c r="D22">
        <f t="shared" si="1"/>
        <v>52</v>
      </c>
      <c r="E22">
        <f t="shared" si="2"/>
        <v>49</v>
      </c>
    </row>
    <row r="23" spans="2:5">
      <c r="B23">
        <v>15</v>
      </c>
      <c r="C23">
        <f t="shared" si="0"/>
        <v>-3</v>
      </c>
      <c r="D23">
        <f t="shared" si="1"/>
        <v>51</v>
      </c>
      <c r="E23">
        <f t="shared" si="2"/>
        <v>48</v>
      </c>
    </row>
    <row r="24" spans="2:5">
      <c r="B24">
        <v>16</v>
      </c>
      <c r="C24">
        <f t="shared" si="0"/>
        <v>-3</v>
      </c>
      <c r="D24">
        <f t="shared" si="1"/>
        <v>50</v>
      </c>
      <c r="E24">
        <f t="shared" si="2"/>
        <v>47</v>
      </c>
    </row>
    <row r="25" spans="2:5">
      <c r="B25">
        <v>17</v>
      </c>
      <c r="C25">
        <f t="shared" si="0"/>
        <v>-3</v>
      </c>
      <c r="D25">
        <f t="shared" si="1"/>
        <v>49</v>
      </c>
      <c r="E25">
        <f t="shared" si="2"/>
        <v>46</v>
      </c>
    </row>
    <row r="26" spans="2:5">
      <c r="B26">
        <v>18</v>
      </c>
      <c r="C26">
        <f t="shared" si="0"/>
        <v>-3</v>
      </c>
      <c r="D26">
        <f t="shared" si="1"/>
        <v>48</v>
      </c>
      <c r="E26">
        <f t="shared" si="2"/>
        <v>45</v>
      </c>
    </row>
    <row r="27" spans="2:5">
      <c r="B27">
        <v>19</v>
      </c>
      <c r="C27">
        <f t="shared" si="0"/>
        <v>-3</v>
      </c>
      <c r="D27">
        <f t="shared" si="1"/>
        <v>47</v>
      </c>
      <c r="E27">
        <f t="shared" si="2"/>
        <v>44</v>
      </c>
    </row>
    <row r="28" spans="2:5">
      <c r="B28">
        <v>20</v>
      </c>
      <c r="C28">
        <f t="shared" si="0"/>
        <v>-3</v>
      </c>
      <c r="D28">
        <f t="shared" si="1"/>
        <v>46</v>
      </c>
      <c r="E28">
        <f t="shared" si="2"/>
        <v>43</v>
      </c>
    </row>
    <row r="29" spans="2:5">
      <c r="B29">
        <v>21</v>
      </c>
      <c r="C29">
        <f t="shared" si="0"/>
        <v>-3</v>
      </c>
      <c r="D29">
        <f t="shared" si="1"/>
        <v>45</v>
      </c>
      <c r="E29">
        <f t="shared" si="2"/>
        <v>42</v>
      </c>
    </row>
    <row r="30" spans="2:5">
      <c r="B30">
        <v>22</v>
      </c>
      <c r="C30">
        <f t="shared" si="0"/>
        <v>-3</v>
      </c>
      <c r="D30">
        <f t="shared" si="1"/>
        <v>44</v>
      </c>
      <c r="E30">
        <f t="shared" si="2"/>
        <v>41</v>
      </c>
    </row>
    <row r="31" spans="2:5">
      <c r="B31">
        <v>23</v>
      </c>
      <c r="C31">
        <f t="shared" si="0"/>
        <v>-3</v>
      </c>
      <c r="D31">
        <f t="shared" si="1"/>
        <v>43</v>
      </c>
      <c r="E31">
        <f t="shared" si="2"/>
        <v>40</v>
      </c>
    </row>
    <row r="32" spans="2:5">
      <c r="B32">
        <v>24</v>
      </c>
      <c r="C32">
        <f t="shared" si="0"/>
        <v>-3</v>
      </c>
      <c r="D32">
        <f t="shared" si="1"/>
        <v>42</v>
      </c>
      <c r="E32">
        <f t="shared" si="2"/>
        <v>39</v>
      </c>
    </row>
    <row r="33" spans="2:5">
      <c r="B33">
        <v>25</v>
      </c>
      <c r="C33">
        <f t="shared" si="0"/>
        <v>-3</v>
      </c>
      <c r="D33">
        <f t="shared" si="1"/>
        <v>41</v>
      </c>
      <c r="E33">
        <f t="shared" si="2"/>
        <v>38</v>
      </c>
    </row>
    <row r="34" spans="2:5">
      <c r="B34">
        <v>26</v>
      </c>
      <c r="C34">
        <f t="shared" si="0"/>
        <v>-3</v>
      </c>
      <c r="D34">
        <f t="shared" si="1"/>
        <v>40</v>
      </c>
      <c r="E34">
        <f t="shared" si="2"/>
        <v>37</v>
      </c>
    </row>
    <row r="35" spans="2:5">
      <c r="B35">
        <v>27</v>
      </c>
      <c r="C35">
        <f t="shared" si="0"/>
        <v>-3</v>
      </c>
      <c r="D35">
        <f t="shared" si="1"/>
        <v>39</v>
      </c>
      <c r="E35">
        <f t="shared" si="2"/>
        <v>36</v>
      </c>
    </row>
    <row r="36" spans="2:5">
      <c r="B36">
        <v>28</v>
      </c>
      <c r="C36">
        <f t="shared" si="0"/>
        <v>-3</v>
      </c>
      <c r="D36">
        <f t="shared" si="1"/>
        <v>38</v>
      </c>
      <c r="E36">
        <f t="shared" si="2"/>
        <v>35</v>
      </c>
    </row>
    <row r="37" spans="2:5">
      <c r="B37">
        <v>29</v>
      </c>
      <c r="C37">
        <f t="shared" si="0"/>
        <v>-3</v>
      </c>
      <c r="D37">
        <f t="shared" si="1"/>
        <v>37</v>
      </c>
      <c r="E37">
        <f t="shared" si="2"/>
        <v>34</v>
      </c>
    </row>
    <row r="38" spans="2:5">
      <c r="B38">
        <v>30</v>
      </c>
      <c r="C38">
        <f t="shared" si="0"/>
        <v>-3</v>
      </c>
      <c r="D38">
        <f t="shared" si="1"/>
        <v>36</v>
      </c>
      <c r="E38">
        <f t="shared" si="2"/>
        <v>33</v>
      </c>
    </row>
    <row r="39" spans="2:5">
      <c r="B39">
        <v>31</v>
      </c>
      <c r="C39">
        <f t="shared" si="0"/>
        <v>-3</v>
      </c>
      <c r="D39">
        <f t="shared" si="1"/>
        <v>35</v>
      </c>
      <c r="E39">
        <f t="shared" si="2"/>
        <v>32</v>
      </c>
    </row>
    <row r="40" spans="2:5">
      <c r="B40">
        <v>32</v>
      </c>
      <c r="C40">
        <f t="shared" ref="C40:C71" si="3">MAX(B40-$J$3,0)-3</f>
        <v>-3</v>
      </c>
      <c r="D40">
        <f t="shared" ref="D40:D71" si="4">MAX($J$3-B40,0)-4</f>
        <v>34</v>
      </c>
      <c r="E40">
        <f t="shared" si="2"/>
        <v>31</v>
      </c>
    </row>
    <row r="41" spans="2:5">
      <c r="B41">
        <v>33</v>
      </c>
      <c r="C41">
        <f t="shared" si="3"/>
        <v>-3</v>
      </c>
      <c r="D41">
        <f t="shared" si="4"/>
        <v>33</v>
      </c>
      <c r="E41">
        <f t="shared" si="2"/>
        <v>30</v>
      </c>
    </row>
    <row r="42" spans="2:5">
      <c r="B42">
        <v>34</v>
      </c>
      <c r="C42">
        <f t="shared" si="3"/>
        <v>-3</v>
      </c>
      <c r="D42">
        <f t="shared" si="4"/>
        <v>32</v>
      </c>
      <c r="E42">
        <f t="shared" si="2"/>
        <v>29</v>
      </c>
    </row>
    <row r="43" spans="2:5">
      <c r="B43">
        <v>35</v>
      </c>
      <c r="C43">
        <f t="shared" si="3"/>
        <v>-3</v>
      </c>
      <c r="D43">
        <f t="shared" si="4"/>
        <v>31</v>
      </c>
      <c r="E43">
        <f t="shared" si="2"/>
        <v>28</v>
      </c>
    </row>
    <row r="44" spans="2:5">
      <c r="B44">
        <v>36</v>
      </c>
      <c r="C44">
        <f t="shared" si="3"/>
        <v>-3</v>
      </c>
      <c r="D44">
        <f t="shared" si="4"/>
        <v>30</v>
      </c>
      <c r="E44">
        <f t="shared" si="2"/>
        <v>27</v>
      </c>
    </row>
    <row r="45" spans="2:5">
      <c r="B45">
        <v>37</v>
      </c>
      <c r="C45">
        <f t="shared" si="3"/>
        <v>-3</v>
      </c>
      <c r="D45">
        <f t="shared" si="4"/>
        <v>29</v>
      </c>
      <c r="E45">
        <f t="shared" si="2"/>
        <v>26</v>
      </c>
    </row>
    <row r="46" spans="2:5">
      <c r="B46">
        <v>38</v>
      </c>
      <c r="C46">
        <f t="shared" si="3"/>
        <v>-3</v>
      </c>
      <c r="D46">
        <f t="shared" si="4"/>
        <v>28</v>
      </c>
      <c r="E46">
        <f t="shared" si="2"/>
        <v>25</v>
      </c>
    </row>
    <row r="47" spans="2:5">
      <c r="B47">
        <v>39</v>
      </c>
      <c r="C47">
        <f t="shared" si="3"/>
        <v>-3</v>
      </c>
      <c r="D47">
        <f t="shared" si="4"/>
        <v>27</v>
      </c>
      <c r="E47">
        <f t="shared" si="2"/>
        <v>24</v>
      </c>
    </row>
    <row r="48" spans="2:5">
      <c r="B48">
        <v>40</v>
      </c>
      <c r="C48">
        <f t="shared" si="3"/>
        <v>-3</v>
      </c>
      <c r="D48">
        <f t="shared" si="4"/>
        <v>26</v>
      </c>
      <c r="E48">
        <f t="shared" si="2"/>
        <v>23</v>
      </c>
    </row>
    <row r="49" spans="2:5">
      <c r="B49">
        <v>41</v>
      </c>
      <c r="C49">
        <f t="shared" si="3"/>
        <v>-3</v>
      </c>
      <c r="D49">
        <f t="shared" si="4"/>
        <v>25</v>
      </c>
      <c r="E49">
        <f t="shared" si="2"/>
        <v>22</v>
      </c>
    </row>
    <row r="50" spans="2:5">
      <c r="B50">
        <v>42</v>
      </c>
      <c r="C50">
        <f t="shared" si="3"/>
        <v>-3</v>
      </c>
      <c r="D50">
        <f t="shared" si="4"/>
        <v>24</v>
      </c>
      <c r="E50">
        <f t="shared" si="2"/>
        <v>21</v>
      </c>
    </row>
    <row r="51" spans="2:5">
      <c r="B51">
        <v>43</v>
      </c>
      <c r="C51">
        <f t="shared" si="3"/>
        <v>-3</v>
      </c>
      <c r="D51">
        <f t="shared" si="4"/>
        <v>23</v>
      </c>
      <c r="E51">
        <f t="shared" si="2"/>
        <v>20</v>
      </c>
    </row>
    <row r="52" spans="2:5">
      <c r="B52">
        <v>44</v>
      </c>
      <c r="C52">
        <f t="shared" si="3"/>
        <v>-3</v>
      </c>
      <c r="D52">
        <f t="shared" si="4"/>
        <v>22</v>
      </c>
      <c r="E52">
        <f t="shared" si="2"/>
        <v>19</v>
      </c>
    </row>
    <row r="53" spans="2:5">
      <c r="B53">
        <v>45</v>
      </c>
      <c r="C53">
        <f t="shared" si="3"/>
        <v>-3</v>
      </c>
      <c r="D53">
        <f t="shared" si="4"/>
        <v>21</v>
      </c>
      <c r="E53">
        <f t="shared" si="2"/>
        <v>18</v>
      </c>
    </row>
    <row r="54" spans="2:5">
      <c r="B54">
        <v>46</v>
      </c>
      <c r="C54">
        <f t="shared" si="3"/>
        <v>-3</v>
      </c>
      <c r="D54">
        <f t="shared" si="4"/>
        <v>20</v>
      </c>
      <c r="E54">
        <f t="shared" si="2"/>
        <v>17</v>
      </c>
    </row>
    <row r="55" spans="2:5">
      <c r="B55">
        <v>47</v>
      </c>
      <c r="C55">
        <f t="shared" si="3"/>
        <v>-3</v>
      </c>
      <c r="D55">
        <f t="shared" si="4"/>
        <v>19</v>
      </c>
      <c r="E55">
        <f t="shared" si="2"/>
        <v>16</v>
      </c>
    </row>
    <row r="56" spans="2:5">
      <c r="B56">
        <v>48</v>
      </c>
      <c r="C56">
        <f t="shared" si="3"/>
        <v>-3</v>
      </c>
      <c r="D56">
        <f t="shared" si="4"/>
        <v>18</v>
      </c>
      <c r="E56">
        <f t="shared" si="2"/>
        <v>15</v>
      </c>
    </row>
    <row r="57" spans="2:5">
      <c r="B57">
        <v>49</v>
      </c>
      <c r="C57">
        <f t="shared" si="3"/>
        <v>-3</v>
      </c>
      <c r="D57">
        <f t="shared" si="4"/>
        <v>17</v>
      </c>
      <c r="E57">
        <f t="shared" si="2"/>
        <v>14</v>
      </c>
    </row>
    <row r="58" spans="2:5">
      <c r="B58">
        <v>50</v>
      </c>
      <c r="C58">
        <f t="shared" si="3"/>
        <v>-3</v>
      </c>
      <c r="D58">
        <f t="shared" si="4"/>
        <v>16</v>
      </c>
      <c r="E58">
        <f t="shared" si="2"/>
        <v>13</v>
      </c>
    </row>
    <row r="59" spans="2:5">
      <c r="B59">
        <v>51</v>
      </c>
      <c r="C59">
        <f t="shared" si="3"/>
        <v>-3</v>
      </c>
      <c r="D59">
        <f t="shared" si="4"/>
        <v>15</v>
      </c>
      <c r="E59">
        <f t="shared" si="2"/>
        <v>12</v>
      </c>
    </row>
    <row r="60" spans="2:5">
      <c r="B60">
        <v>52</v>
      </c>
      <c r="C60">
        <f t="shared" si="3"/>
        <v>-3</v>
      </c>
      <c r="D60">
        <f t="shared" si="4"/>
        <v>14</v>
      </c>
      <c r="E60">
        <f t="shared" si="2"/>
        <v>11</v>
      </c>
    </row>
    <row r="61" spans="2:5">
      <c r="B61">
        <v>53</v>
      </c>
      <c r="C61">
        <f t="shared" si="3"/>
        <v>-3</v>
      </c>
      <c r="D61">
        <f t="shared" si="4"/>
        <v>13</v>
      </c>
      <c r="E61">
        <f t="shared" si="2"/>
        <v>10</v>
      </c>
    </row>
    <row r="62" spans="2:5">
      <c r="B62">
        <v>54</v>
      </c>
      <c r="C62">
        <f t="shared" si="3"/>
        <v>-3</v>
      </c>
      <c r="D62">
        <f t="shared" si="4"/>
        <v>12</v>
      </c>
      <c r="E62">
        <f t="shared" si="2"/>
        <v>9</v>
      </c>
    </row>
    <row r="63" spans="2:5">
      <c r="B63">
        <v>55</v>
      </c>
      <c r="C63">
        <f t="shared" si="3"/>
        <v>-3</v>
      </c>
      <c r="D63">
        <f t="shared" si="4"/>
        <v>11</v>
      </c>
      <c r="E63">
        <f t="shared" si="2"/>
        <v>8</v>
      </c>
    </row>
    <row r="64" spans="2:5">
      <c r="B64">
        <v>56</v>
      </c>
      <c r="C64">
        <f t="shared" si="3"/>
        <v>-3</v>
      </c>
      <c r="D64">
        <f t="shared" si="4"/>
        <v>10</v>
      </c>
      <c r="E64">
        <f t="shared" si="2"/>
        <v>7</v>
      </c>
    </row>
    <row r="65" spans="2:5">
      <c r="B65">
        <v>57</v>
      </c>
      <c r="C65">
        <f t="shared" si="3"/>
        <v>-3</v>
      </c>
      <c r="D65">
        <f t="shared" si="4"/>
        <v>9</v>
      </c>
      <c r="E65">
        <f t="shared" si="2"/>
        <v>6</v>
      </c>
    </row>
    <row r="66" spans="2:5">
      <c r="B66">
        <v>58</v>
      </c>
      <c r="C66">
        <f t="shared" si="3"/>
        <v>-3</v>
      </c>
      <c r="D66">
        <f t="shared" si="4"/>
        <v>8</v>
      </c>
      <c r="E66">
        <f t="shared" si="2"/>
        <v>5</v>
      </c>
    </row>
    <row r="67" spans="2:5">
      <c r="B67">
        <v>59</v>
      </c>
      <c r="C67">
        <f t="shared" si="3"/>
        <v>-3</v>
      </c>
      <c r="D67">
        <f t="shared" si="4"/>
        <v>7</v>
      </c>
      <c r="E67">
        <f t="shared" si="2"/>
        <v>4</v>
      </c>
    </row>
    <row r="68" spans="2:5">
      <c r="B68">
        <v>60</v>
      </c>
      <c r="C68">
        <f t="shared" si="3"/>
        <v>-3</v>
      </c>
      <c r="D68">
        <f t="shared" si="4"/>
        <v>6</v>
      </c>
      <c r="E68">
        <f t="shared" si="2"/>
        <v>3</v>
      </c>
    </row>
    <row r="69" spans="2:5">
      <c r="B69">
        <v>61</v>
      </c>
      <c r="C69">
        <f t="shared" si="3"/>
        <v>-3</v>
      </c>
      <c r="D69">
        <f t="shared" si="4"/>
        <v>5</v>
      </c>
      <c r="E69">
        <f t="shared" si="2"/>
        <v>2</v>
      </c>
    </row>
    <row r="70" spans="2:5">
      <c r="B70">
        <v>62</v>
      </c>
      <c r="C70">
        <f t="shared" si="3"/>
        <v>-3</v>
      </c>
      <c r="D70">
        <f t="shared" si="4"/>
        <v>4</v>
      </c>
      <c r="E70">
        <f t="shared" si="2"/>
        <v>1</v>
      </c>
    </row>
    <row r="71" spans="2:5">
      <c r="B71">
        <v>63</v>
      </c>
      <c r="C71">
        <f t="shared" si="3"/>
        <v>-3</v>
      </c>
      <c r="D71">
        <f t="shared" si="4"/>
        <v>3</v>
      </c>
      <c r="E71">
        <f t="shared" si="2"/>
        <v>0</v>
      </c>
    </row>
    <row r="72" spans="2:5">
      <c r="B72">
        <v>64</v>
      </c>
      <c r="C72">
        <f t="shared" ref="C72:C103" si="5">MAX(B72-$J$3,0)-3</f>
        <v>-3</v>
      </c>
      <c r="D72">
        <f t="shared" ref="D72:D103" si="6">MAX($J$3-B72,0)-4</f>
        <v>2</v>
      </c>
      <c r="E72">
        <f t="shared" si="2"/>
        <v>-1</v>
      </c>
    </row>
    <row r="73" spans="2:5">
      <c r="B73">
        <v>65</v>
      </c>
      <c r="C73">
        <f t="shared" si="5"/>
        <v>-3</v>
      </c>
      <c r="D73">
        <f t="shared" si="6"/>
        <v>1</v>
      </c>
      <c r="E73">
        <f t="shared" ref="E73:E136" si="7">C73+D73</f>
        <v>-2</v>
      </c>
    </row>
    <row r="74" spans="2:5">
      <c r="B74">
        <v>66</v>
      </c>
      <c r="C74">
        <f t="shared" si="5"/>
        <v>-3</v>
      </c>
      <c r="D74">
        <f t="shared" si="6"/>
        <v>0</v>
      </c>
      <c r="E74">
        <f t="shared" si="7"/>
        <v>-3</v>
      </c>
    </row>
    <row r="75" spans="2:5">
      <c r="B75">
        <v>67</v>
      </c>
      <c r="C75">
        <f t="shared" si="5"/>
        <v>-3</v>
      </c>
      <c r="D75">
        <f t="shared" si="6"/>
        <v>-1</v>
      </c>
      <c r="E75">
        <f t="shared" si="7"/>
        <v>-4</v>
      </c>
    </row>
    <row r="76" spans="2:5">
      <c r="B76">
        <v>68</v>
      </c>
      <c r="C76">
        <f t="shared" si="5"/>
        <v>-3</v>
      </c>
      <c r="D76">
        <f t="shared" si="6"/>
        <v>-2</v>
      </c>
      <c r="E76">
        <f t="shared" si="7"/>
        <v>-5</v>
      </c>
    </row>
    <row r="77" spans="2:5">
      <c r="B77">
        <v>69</v>
      </c>
      <c r="C77">
        <f t="shared" si="5"/>
        <v>-3</v>
      </c>
      <c r="D77">
        <f t="shared" si="6"/>
        <v>-3</v>
      </c>
      <c r="E77">
        <f t="shared" si="7"/>
        <v>-6</v>
      </c>
    </row>
    <row r="78" spans="2:5">
      <c r="B78">
        <v>70</v>
      </c>
      <c r="C78">
        <f t="shared" si="5"/>
        <v>-3</v>
      </c>
      <c r="D78">
        <f t="shared" si="6"/>
        <v>-4</v>
      </c>
      <c r="E78">
        <f t="shared" si="7"/>
        <v>-7</v>
      </c>
    </row>
    <row r="79" spans="2:5">
      <c r="B79">
        <v>71</v>
      </c>
      <c r="C79">
        <f t="shared" si="5"/>
        <v>-2</v>
      </c>
      <c r="D79">
        <f t="shared" si="6"/>
        <v>-4</v>
      </c>
      <c r="E79">
        <f t="shared" si="7"/>
        <v>-6</v>
      </c>
    </row>
    <row r="80" spans="2:5">
      <c r="B80">
        <v>72</v>
      </c>
      <c r="C80">
        <f t="shared" si="5"/>
        <v>-1</v>
      </c>
      <c r="D80">
        <f t="shared" si="6"/>
        <v>-4</v>
      </c>
      <c r="E80">
        <f t="shared" si="7"/>
        <v>-5</v>
      </c>
    </row>
    <row r="81" spans="2:5">
      <c r="B81">
        <v>73</v>
      </c>
      <c r="C81">
        <f t="shared" si="5"/>
        <v>0</v>
      </c>
      <c r="D81">
        <f t="shared" si="6"/>
        <v>-4</v>
      </c>
      <c r="E81">
        <f t="shared" si="7"/>
        <v>-4</v>
      </c>
    </row>
    <row r="82" spans="2:5">
      <c r="B82">
        <v>74</v>
      </c>
      <c r="C82">
        <f t="shared" si="5"/>
        <v>1</v>
      </c>
      <c r="D82">
        <f t="shared" si="6"/>
        <v>-4</v>
      </c>
      <c r="E82">
        <f t="shared" si="7"/>
        <v>-3</v>
      </c>
    </row>
    <row r="83" spans="2:5">
      <c r="B83">
        <v>75</v>
      </c>
      <c r="C83">
        <f t="shared" si="5"/>
        <v>2</v>
      </c>
      <c r="D83">
        <f t="shared" si="6"/>
        <v>-4</v>
      </c>
      <c r="E83">
        <f t="shared" si="7"/>
        <v>-2</v>
      </c>
    </row>
    <row r="84" spans="2:5">
      <c r="B84">
        <v>76</v>
      </c>
      <c r="C84">
        <f t="shared" si="5"/>
        <v>3</v>
      </c>
      <c r="D84">
        <f t="shared" si="6"/>
        <v>-4</v>
      </c>
      <c r="E84">
        <f t="shared" si="7"/>
        <v>-1</v>
      </c>
    </row>
    <row r="85" spans="2:5">
      <c r="B85">
        <v>77</v>
      </c>
      <c r="C85">
        <f t="shared" si="5"/>
        <v>4</v>
      </c>
      <c r="D85">
        <f t="shared" si="6"/>
        <v>-4</v>
      </c>
      <c r="E85">
        <f t="shared" si="7"/>
        <v>0</v>
      </c>
    </row>
    <row r="86" spans="2:5">
      <c r="B86">
        <v>78</v>
      </c>
      <c r="C86">
        <f t="shared" si="5"/>
        <v>5</v>
      </c>
      <c r="D86">
        <f t="shared" si="6"/>
        <v>-4</v>
      </c>
      <c r="E86">
        <f t="shared" si="7"/>
        <v>1</v>
      </c>
    </row>
    <row r="87" spans="2:5">
      <c r="B87">
        <v>79</v>
      </c>
      <c r="C87">
        <f t="shared" si="5"/>
        <v>6</v>
      </c>
      <c r="D87">
        <f t="shared" si="6"/>
        <v>-4</v>
      </c>
      <c r="E87">
        <f t="shared" si="7"/>
        <v>2</v>
      </c>
    </row>
    <row r="88" spans="2:5">
      <c r="B88">
        <v>80</v>
      </c>
      <c r="C88">
        <f t="shared" si="5"/>
        <v>7</v>
      </c>
      <c r="D88">
        <f t="shared" si="6"/>
        <v>-4</v>
      </c>
      <c r="E88">
        <f t="shared" si="7"/>
        <v>3</v>
      </c>
    </row>
    <row r="89" spans="2:5">
      <c r="B89">
        <v>81</v>
      </c>
      <c r="C89">
        <f t="shared" si="5"/>
        <v>8</v>
      </c>
      <c r="D89">
        <f t="shared" si="6"/>
        <v>-4</v>
      </c>
      <c r="E89">
        <f t="shared" si="7"/>
        <v>4</v>
      </c>
    </row>
    <row r="90" spans="2:5">
      <c r="B90">
        <v>82</v>
      </c>
      <c r="C90">
        <f t="shared" si="5"/>
        <v>9</v>
      </c>
      <c r="D90">
        <f t="shared" si="6"/>
        <v>-4</v>
      </c>
      <c r="E90">
        <f t="shared" si="7"/>
        <v>5</v>
      </c>
    </row>
    <row r="91" spans="2:5">
      <c r="B91">
        <v>83</v>
      </c>
      <c r="C91">
        <f t="shared" si="5"/>
        <v>10</v>
      </c>
      <c r="D91">
        <f t="shared" si="6"/>
        <v>-4</v>
      </c>
      <c r="E91">
        <f t="shared" si="7"/>
        <v>6</v>
      </c>
    </row>
    <row r="92" spans="2:5">
      <c r="B92">
        <v>84</v>
      </c>
      <c r="C92">
        <f t="shared" si="5"/>
        <v>11</v>
      </c>
      <c r="D92">
        <f t="shared" si="6"/>
        <v>-4</v>
      </c>
      <c r="E92">
        <f t="shared" si="7"/>
        <v>7</v>
      </c>
    </row>
    <row r="93" spans="2:5">
      <c r="B93">
        <v>85</v>
      </c>
      <c r="C93">
        <f t="shared" si="5"/>
        <v>12</v>
      </c>
      <c r="D93">
        <f t="shared" si="6"/>
        <v>-4</v>
      </c>
      <c r="E93">
        <f t="shared" si="7"/>
        <v>8</v>
      </c>
    </row>
    <row r="94" spans="2:5">
      <c r="B94">
        <v>86</v>
      </c>
      <c r="C94">
        <f t="shared" si="5"/>
        <v>13</v>
      </c>
      <c r="D94">
        <f t="shared" si="6"/>
        <v>-4</v>
      </c>
      <c r="E94">
        <f t="shared" si="7"/>
        <v>9</v>
      </c>
    </row>
    <row r="95" spans="2:5">
      <c r="B95">
        <v>87</v>
      </c>
      <c r="C95">
        <f t="shared" si="5"/>
        <v>14</v>
      </c>
      <c r="D95">
        <f t="shared" si="6"/>
        <v>-4</v>
      </c>
      <c r="E95">
        <f t="shared" si="7"/>
        <v>10</v>
      </c>
    </row>
    <row r="96" spans="2:5">
      <c r="B96">
        <v>88</v>
      </c>
      <c r="C96">
        <f t="shared" si="5"/>
        <v>15</v>
      </c>
      <c r="D96">
        <f t="shared" si="6"/>
        <v>-4</v>
      </c>
      <c r="E96">
        <f t="shared" si="7"/>
        <v>11</v>
      </c>
    </row>
    <row r="97" spans="2:5">
      <c r="B97">
        <v>89</v>
      </c>
      <c r="C97">
        <f t="shared" si="5"/>
        <v>16</v>
      </c>
      <c r="D97">
        <f t="shared" si="6"/>
        <v>-4</v>
      </c>
      <c r="E97">
        <f t="shared" si="7"/>
        <v>12</v>
      </c>
    </row>
    <row r="98" spans="2:5">
      <c r="B98">
        <v>90</v>
      </c>
      <c r="C98">
        <f t="shared" si="5"/>
        <v>17</v>
      </c>
      <c r="D98">
        <f t="shared" si="6"/>
        <v>-4</v>
      </c>
      <c r="E98">
        <f t="shared" si="7"/>
        <v>13</v>
      </c>
    </row>
    <row r="99" spans="2:5">
      <c r="B99">
        <v>91</v>
      </c>
      <c r="C99">
        <f t="shared" si="5"/>
        <v>18</v>
      </c>
      <c r="D99">
        <f t="shared" si="6"/>
        <v>-4</v>
      </c>
      <c r="E99">
        <f t="shared" si="7"/>
        <v>14</v>
      </c>
    </row>
    <row r="100" spans="2:5">
      <c r="B100">
        <v>92</v>
      </c>
      <c r="C100">
        <f t="shared" si="5"/>
        <v>19</v>
      </c>
      <c r="D100">
        <f t="shared" si="6"/>
        <v>-4</v>
      </c>
      <c r="E100">
        <f t="shared" si="7"/>
        <v>15</v>
      </c>
    </row>
    <row r="101" spans="2:5">
      <c r="B101">
        <v>93</v>
      </c>
      <c r="C101">
        <f t="shared" si="5"/>
        <v>20</v>
      </c>
      <c r="D101">
        <f t="shared" si="6"/>
        <v>-4</v>
      </c>
      <c r="E101">
        <f t="shared" si="7"/>
        <v>16</v>
      </c>
    </row>
    <row r="102" spans="2:5">
      <c r="B102">
        <v>94</v>
      </c>
      <c r="C102">
        <f t="shared" si="5"/>
        <v>21</v>
      </c>
      <c r="D102">
        <f t="shared" si="6"/>
        <v>-4</v>
      </c>
      <c r="E102">
        <f t="shared" si="7"/>
        <v>17</v>
      </c>
    </row>
    <row r="103" spans="2:5">
      <c r="B103">
        <v>95</v>
      </c>
      <c r="C103">
        <f t="shared" si="5"/>
        <v>22</v>
      </c>
      <c r="D103">
        <f t="shared" si="6"/>
        <v>-4</v>
      </c>
      <c r="E103">
        <f t="shared" si="7"/>
        <v>18</v>
      </c>
    </row>
    <row r="104" spans="2:5">
      <c r="B104">
        <v>96</v>
      </c>
      <c r="C104">
        <f t="shared" ref="C104:C135" si="8">MAX(B104-$J$3,0)-3</f>
        <v>23</v>
      </c>
      <c r="D104">
        <f t="shared" ref="D104:D135" si="9">MAX($J$3-B104,0)-4</f>
        <v>-4</v>
      </c>
      <c r="E104">
        <f t="shared" si="7"/>
        <v>19</v>
      </c>
    </row>
    <row r="105" spans="2:5">
      <c r="B105">
        <v>97</v>
      </c>
      <c r="C105">
        <f t="shared" si="8"/>
        <v>24</v>
      </c>
      <c r="D105">
        <f t="shared" si="9"/>
        <v>-4</v>
      </c>
      <c r="E105">
        <f t="shared" si="7"/>
        <v>20</v>
      </c>
    </row>
    <row r="106" spans="2:5">
      <c r="B106">
        <v>98</v>
      </c>
      <c r="C106">
        <f t="shared" si="8"/>
        <v>25</v>
      </c>
      <c r="D106">
        <f t="shared" si="9"/>
        <v>-4</v>
      </c>
      <c r="E106">
        <f t="shared" si="7"/>
        <v>21</v>
      </c>
    </row>
    <row r="107" spans="2:5">
      <c r="B107">
        <v>99</v>
      </c>
      <c r="C107">
        <f t="shared" si="8"/>
        <v>26</v>
      </c>
      <c r="D107">
        <f t="shared" si="9"/>
        <v>-4</v>
      </c>
      <c r="E107">
        <f t="shared" si="7"/>
        <v>22</v>
      </c>
    </row>
    <row r="108" spans="2:5">
      <c r="B108">
        <v>100</v>
      </c>
      <c r="C108">
        <f t="shared" si="8"/>
        <v>27</v>
      </c>
      <c r="D108">
        <f t="shared" si="9"/>
        <v>-4</v>
      </c>
      <c r="E108">
        <f t="shared" si="7"/>
        <v>23</v>
      </c>
    </row>
    <row r="109" spans="2:5">
      <c r="B109">
        <v>101</v>
      </c>
      <c r="C109">
        <f t="shared" si="8"/>
        <v>28</v>
      </c>
      <c r="D109">
        <f t="shared" si="9"/>
        <v>-4</v>
      </c>
      <c r="E109">
        <f t="shared" si="7"/>
        <v>24</v>
      </c>
    </row>
    <row r="110" spans="2:5">
      <c r="B110">
        <v>102</v>
      </c>
      <c r="C110">
        <f t="shared" si="8"/>
        <v>29</v>
      </c>
      <c r="D110">
        <f t="shared" si="9"/>
        <v>-4</v>
      </c>
      <c r="E110">
        <f t="shared" si="7"/>
        <v>25</v>
      </c>
    </row>
    <row r="111" spans="2:5">
      <c r="B111">
        <v>103</v>
      </c>
      <c r="C111">
        <f t="shared" si="8"/>
        <v>30</v>
      </c>
      <c r="D111">
        <f t="shared" si="9"/>
        <v>-4</v>
      </c>
      <c r="E111">
        <f t="shared" si="7"/>
        <v>26</v>
      </c>
    </row>
    <row r="112" spans="2:5">
      <c r="B112">
        <v>104</v>
      </c>
      <c r="C112">
        <f t="shared" si="8"/>
        <v>31</v>
      </c>
      <c r="D112">
        <f t="shared" si="9"/>
        <v>-4</v>
      </c>
      <c r="E112">
        <f t="shared" si="7"/>
        <v>27</v>
      </c>
    </row>
    <row r="113" spans="2:5">
      <c r="B113">
        <v>105</v>
      </c>
      <c r="C113">
        <f t="shared" si="8"/>
        <v>32</v>
      </c>
      <c r="D113">
        <f t="shared" si="9"/>
        <v>-4</v>
      </c>
      <c r="E113">
        <f t="shared" si="7"/>
        <v>28</v>
      </c>
    </row>
    <row r="114" spans="2:5">
      <c r="B114">
        <v>106</v>
      </c>
      <c r="C114">
        <f t="shared" si="8"/>
        <v>33</v>
      </c>
      <c r="D114">
        <f t="shared" si="9"/>
        <v>-4</v>
      </c>
      <c r="E114">
        <f t="shared" si="7"/>
        <v>29</v>
      </c>
    </row>
    <row r="115" spans="2:5">
      <c r="B115">
        <v>107</v>
      </c>
      <c r="C115">
        <f t="shared" si="8"/>
        <v>34</v>
      </c>
      <c r="D115">
        <f t="shared" si="9"/>
        <v>-4</v>
      </c>
      <c r="E115">
        <f t="shared" si="7"/>
        <v>30</v>
      </c>
    </row>
    <row r="116" spans="2:5">
      <c r="B116">
        <v>108</v>
      </c>
      <c r="C116">
        <f t="shared" si="8"/>
        <v>35</v>
      </c>
      <c r="D116">
        <f t="shared" si="9"/>
        <v>-4</v>
      </c>
      <c r="E116">
        <f t="shared" si="7"/>
        <v>31</v>
      </c>
    </row>
    <row r="117" spans="2:5">
      <c r="B117">
        <v>109</v>
      </c>
      <c r="C117">
        <f t="shared" si="8"/>
        <v>36</v>
      </c>
      <c r="D117">
        <f t="shared" si="9"/>
        <v>-4</v>
      </c>
      <c r="E117">
        <f t="shared" si="7"/>
        <v>32</v>
      </c>
    </row>
    <row r="118" spans="2:5">
      <c r="B118">
        <v>110</v>
      </c>
      <c r="C118">
        <f t="shared" si="8"/>
        <v>37</v>
      </c>
      <c r="D118">
        <f t="shared" si="9"/>
        <v>-4</v>
      </c>
      <c r="E118">
        <f t="shared" si="7"/>
        <v>33</v>
      </c>
    </row>
    <row r="119" spans="2:5">
      <c r="B119">
        <v>111</v>
      </c>
      <c r="C119">
        <f t="shared" si="8"/>
        <v>38</v>
      </c>
      <c r="D119">
        <f t="shared" si="9"/>
        <v>-4</v>
      </c>
      <c r="E119">
        <f t="shared" si="7"/>
        <v>34</v>
      </c>
    </row>
    <row r="120" spans="2:5">
      <c r="B120">
        <v>112</v>
      </c>
      <c r="C120">
        <f t="shared" si="8"/>
        <v>39</v>
      </c>
      <c r="D120">
        <f t="shared" si="9"/>
        <v>-4</v>
      </c>
      <c r="E120">
        <f t="shared" si="7"/>
        <v>35</v>
      </c>
    </row>
    <row r="121" spans="2:5">
      <c r="B121">
        <v>113</v>
      </c>
      <c r="C121">
        <f t="shared" si="8"/>
        <v>40</v>
      </c>
      <c r="D121">
        <f t="shared" si="9"/>
        <v>-4</v>
      </c>
      <c r="E121">
        <f t="shared" si="7"/>
        <v>36</v>
      </c>
    </row>
    <row r="122" spans="2:5">
      <c r="B122">
        <v>114</v>
      </c>
      <c r="C122">
        <f t="shared" si="8"/>
        <v>41</v>
      </c>
      <c r="D122">
        <f t="shared" si="9"/>
        <v>-4</v>
      </c>
      <c r="E122">
        <f t="shared" si="7"/>
        <v>37</v>
      </c>
    </row>
    <row r="123" spans="2:5">
      <c r="B123">
        <v>115</v>
      </c>
      <c r="C123">
        <f t="shared" si="8"/>
        <v>42</v>
      </c>
      <c r="D123">
        <f t="shared" si="9"/>
        <v>-4</v>
      </c>
      <c r="E123">
        <f t="shared" si="7"/>
        <v>38</v>
      </c>
    </row>
    <row r="124" spans="2:5">
      <c r="B124">
        <v>116</v>
      </c>
      <c r="C124">
        <f t="shared" si="8"/>
        <v>43</v>
      </c>
      <c r="D124">
        <f t="shared" si="9"/>
        <v>-4</v>
      </c>
      <c r="E124">
        <f t="shared" si="7"/>
        <v>39</v>
      </c>
    </row>
    <row r="125" spans="2:5">
      <c r="B125">
        <v>117</v>
      </c>
      <c r="C125">
        <f t="shared" si="8"/>
        <v>44</v>
      </c>
      <c r="D125">
        <f t="shared" si="9"/>
        <v>-4</v>
      </c>
      <c r="E125">
        <f t="shared" si="7"/>
        <v>40</v>
      </c>
    </row>
    <row r="126" spans="2:5">
      <c r="B126">
        <v>118</v>
      </c>
      <c r="C126">
        <f t="shared" si="8"/>
        <v>45</v>
      </c>
      <c r="D126">
        <f t="shared" si="9"/>
        <v>-4</v>
      </c>
      <c r="E126">
        <f t="shared" si="7"/>
        <v>41</v>
      </c>
    </row>
    <row r="127" spans="2:5">
      <c r="B127">
        <v>119</v>
      </c>
      <c r="C127">
        <f t="shared" si="8"/>
        <v>46</v>
      </c>
      <c r="D127">
        <f t="shared" si="9"/>
        <v>-4</v>
      </c>
      <c r="E127">
        <f t="shared" si="7"/>
        <v>42</v>
      </c>
    </row>
    <row r="128" spans="2:5">
      <c r="B128">
        <v>120</v>
      </c>
      <c r="C128">
        <f t="shared" si="8"/>
        <v>47</v>
      </c>
      <c r="D128">
        <f t="shared" si="9"/>
        <v>-4</v>
      </c>
      <c r="E128">
        <f t="shared" si="7"/>
        <v>43</v>
      </c>
    </row>
    <row r="129" spans="2:5">
      <c r="B129">
        <v>121</v>
      </c>
      <c r="C129">
        <f t="shared" si="8"/>
        <v>48</v>
      </c>
      <c r="D129">
        <f t="shared" si="9"/>
        <v>-4</v>
      </c>
      <c r="E129">
        <f t="shared" si="7"/>
        <v>44</v>
      </c>
    </row>
    <row r="130" spans="2:5">
      <c r="B130">
        <v>122</v>
      </c>
      <c r="C130">
        <f t="shared" si="8"/>
        <v>49</v>
      </c>
      <c r="D130">
        <f t="shared" si="9"/>
        <v>-4</v>
      </c>
      <c r="E130">
        <f t="shared" si="7"/>
        <v>45</v>
      </c>
    </row>
    <row r="131" spans="2:5">
      <c r="B131">
        <v>123</v>
      </c>
      <c r="C131">
        <f t="shared" si="8"/>
        <v>50</v>
      </c>
      <c r="D131">
        <f t="shared" si="9"/>
        <v>-4</v>
      </c>
      <c r="E131">
        <f t="shared" si="7"/>
        <v>46</v>
      </c>
    </row>
    <row r="132" spans="2:5">
      <c r="B132">
        <v>124</v>
      </c>
      <c r="C132">
        <f t="shared" si="8"/>
        <v>51</v>
      </c>
      <c r="D132">
        <f t="shared" si="9"/>
        <v>-4</v>
      </c>
      <c r="E132">
        <f t="shared" si="7"/>
        <v>47</v>
      </c>
    </row>
    <row r="133" spans="2:5">
      <c r="B133">
        <v>125</v>
      </c>
      <c r="C133">
        <f t="shared" si="8"/>
        <v>52</v>
      </c>
      <c r="D133">
        <f t="shared" si="9"/>
        <v>-4</v>
      </c>
      <c r="E133">
        <f t="shared" si="7"/>
        <v>48</v>
      </c>
    </row>
    <row r="134" spans="2:5">
      <c r="B134">
        <v>126</v>
      </c>
      <c r="C134">
        <f t="shared" si="8"/>
        <v>53</v>
      </c>
      <c r="D134">
        <f t="shared" si="9"/>
        <v>-4</v>
      </c>
      <c r="E134">
        <f t="shared" si="7"/>
        <v>49</v>
      </c>
    </row>
    <row r="135" spans="2:5">
      <c r="B135">
        <v>127</v>
      </c>
      <c r="C135">
        <f t="shared" si="8"/>
        <v>54</v>
      </c>
      <c r="D135">
        <f t="shared" si="9"/>
        <v>-4</v>
      </c>
      <c r="E135">
        <f t="shared" si="7"/>
        <v>50</v>
      </c>
    </row>
    <row r="136" spans="2:5">
      <c r="B136">
        <v>128</v>
      </c>
      <c r="C136">
        <f t="shared" ref="C136:C148" si="10">MAX(B136-$J$3,0)-3</f>
        <v>55</v>
      </c>
      <c r="D136">
        <f t="shared" ref="D136:D148" si="11">MAX($J$3-B136,0)-4</f>
        <v>-4</v>
      </c>
      <c r="E136">
        <f t="shared" si="7"/>
        <v>51</v>
      </c>
    </row>
    <row r="137" spans="2:5">
      <c r="B137">
        <v>129</v>
      </c>
      <c r="C137">
        <f t="shared" si="10"/>
        <v>56</v>
      </c>
      <c r="D137">
        <f t="shared" si="11"/>
        <v>-4</v>
      </c>
      <c r="E137">
        <f t="shared" ref="E137:E139" si="12">C137+D137</f>
        <v>52</v>
      </c>
    </row>
    <row r="138" spans="2:5">
      <c r="B138">
        <v>130</v>
      </c>
      <c r="C138">
        <f t="shared" si="10"/>
        <v>57</v>
      </c>
      <c r="D138">
        <f t="shared" si="11"/>
        <v>-4</v>
      </c>
      <c r="E138">
        <f t="shared" si="12"/>
        <v>53</v>
      </c>
    </row>
    <row r="139" spans="2:5">
      <c r="B139">
        <v>131</v>
      </c>
      <c r="C139">
        <f t="shared" si="10"/>
        <v>58</v>
      </c>
      <c r="D139">
        <f t="shared" si="11"/>
        <v>-4</v>
      </c>
      <c r="E139">
        <f t="shared" si="12"/>
        <v>54</v>
      </c>
    </row>
    <row r="140" spans="2:5">
      <c r="B140">
        <v>132</v>
      </c>
      <c r="C140">
        <f t="shared" si="10"/>
        <v>59</v>
      </c>
      <c r="D140">
        <f t="shared" si="11"/>
        <v>-4</v>
      </c>
      <c r="E140">
        <f>C140+D140</f>
        <v>55</v>
      </c>
    </row>
    <row r="141" spans="2:5">
      <c r="B141">
        <v>133</v>
      </c>
      <c r="C141">
        <f t="shared" si="10"/>
        <v>60</v>
      </c>
      <c r="D141">
        <f t="shared" si="11"/>
        <v>-4</v>
      </c>
      <c r="E141">
        <f t="shared" ref="E141:E148" si="13">C141+D141</f>
        <v>56</v>
      </c>
    </row>
    <row r="142" spans="2:5">
      <c r="B142">
        <v>134</v>
      </c>
      <c r="C142">
        <f t="shared" si="10"/>
        <v>61</v>
      </c>
      <c r="D142">
        <f t="shared" si="11"/>
        <v>-4</v>
      </c>
      <c r="E142">
        <f t="shared" si="13"/>
        <v>57</v>
      </c>
    </row>
    <row r="143" spans="2:5">
      <c r="B143">
        <v>135</v>
      </c>
      <c r="C143">
        <f t="shared" si="10"/>
        <v>62</v>
      </c>
      <c r="D143">
        <f t="shared" si="11"/>
        <v>-4</v>
      </c>
      <c r="E143">
        <f t="shared" si="13"/>
        <v>58</v>
      </c>
    </row>
    <row r="144" spans="2:5">
      <c r="B144">
        <v>136</v>
      </c>
      <c r="C144">
        <f t="shared" si="10"/>
        <v>63</v>
      </c>
      <c r="D144">
        <f t="shared" si="11"/>
        <v>-4</v>
      </c>
      <c r="E144">
        <f t="shared" si="13"/>
        <v>59</v>
      </c>
    </row>
    <row r="145" spans="2:5">
      <c r="B145">
        <v>137</v>
      </c>
      <c r="C145">
        <f t="shared" si="10"/>
        <v>64</v>
      </c>
      <c r="D145">
        <f t="shared" si="11"/>
        <v>-4</v>
      </c>
      <c r="E145">
        <f t="shared" si="13"/>
        <v>60</v>
      </c>
    </row>
    <row r="146" spans="2:5">
      <c r="B146">
        <v>138</v>
      </c>
      <c r="C146">
        <f t="shared" si="10"/>
        <v>65</v>
      </c>
      <c r="D146">
        <f t="shared" si="11"/>
        <v>-4</v>
      </c>
      <c r="E146">
        <f t="shared" si="13"/>
        <v>61</v>
      </c>
    </row>
    <row r="147" spans="2:5">
      <c r="B147">
        <v>139</v>
      </c>
      <c r="C147">
        <f t="shared" si="10"/>
        <v>66</v>
      </c>
      <c r="D147">
        <f t="shared" si="11"/>
        <v>-4</v>
      </c>
      <c r="E147">
        <f t="shared" si="13"/>
        <v>62</v>
      </c>
    </row>
    <row r="148" spans="2:5">
      <c r="B148">
        <v>140</v>
      </c>
      <c r="C148">
        <f t="shared" si="10"/>
        <v>67</v>
      </c>
      <c r="D148">
        <f t="shared" si="11"/>
        <v>-4</v>
      </c>
      <c r="E148">
        <f t="shared" si="13"/>
        <v>63</v>
      </c>
    </row>
  </sheetData>
  <pageMargins left="0.7" right="0.7" top="0.75" bottom="0.75" header="0.3" footer="0.3"/>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21D96-3C8D-476C-B743-8833D4DA21C5}">
  <dimension ref="A1:Q57"/>
  <sheetViews>
    <sheetView showGridLines="0" zoomScale="75" workbookViewId="0">
      <selection activeCell="G7" sqref="G7:P21"/>
    </sheetView>
  </sheetViews>
  <sheetFormatPr defaultRowHeight="16"/>
  <sheetData>
    <row r="1" spans="1:17">
      <c r="A1" s="377"/>
      <c r="B1" s="378" t="s">
        <v>1817</v>
      </c>
      <c r="C1" s="378"/>
      <c r="D1" s="377"/>
      <c r="E1" s="377"/>
      <c r="F1" s="377"/>
      <c r="G1" s="377"/>
      <c r="H1" s="377"/>
      <c r="I1" s="377"/>
      <c r="J1" s="377"/>
      <c r="K1" s="377"/>
      <c r="L1" s="377"/>
      <c r="M1" s="377"/>
      <c r="N1" s="377"/>
      <c r="O1" s="377"/>
      <c r="P1" s="377"/>
    </row>
    <row r="2" spans="1:17">
      <c r="A2" s="377"/>
      <c r="B2" s="377" t="s">
        <v>1818</v>
      </c>
      <c r="C2" s="377"/>
      <c r="D2" s="377"/>
      <c r="E2" s="377"/>
      <c r="F2" s="377"/>
      <c r="G2" s="377"/>
      <c r="H2" s="377"/>
      <c r="I2" s="377"/>
      <c r="J2" s="377"/>
      <c r="K2" s="377"/>
      <c r="L2" s="377"/>
      <c r="M2" s="377"/>
      <c r="N2" s="377"/>
      <c r="O2" s="377"/>
      <c r="P2" s="377"/>
    </row>
    <row r="3" spans="1:17" ht="16.5">
      <c r="A3" s="377"/>
      <c r="B3" s="377" t="s">
        <v>1819</v>
      </c>
      <c r="C3" s="377"/>
      <c r="D3" s="377" t="s">
        <v>1820</v>
      </c>
      <c r="E3" s="377">
        <v>55</v>
      </c>
      <c r="F3" s="377" t="s">
        <v>1821</v>
      </c>
      <c r="G3" s="377">
        <v>10</v>
      </c>
      <c r="H3" s="377"/>
      <c r="I3" s="377"/>
      <c r="J3" s="377"/>
      <c r="K3" s="377"/>
      <c r="L3" s="377"/>
      <c r="M3" s="377"/>
      <c r="N3" s="377"/>
      <c r="O3" s="377"/>
      <c r="P3" s="377"/>
    </row>
    <row r="4" spans="1:17" ht="16.5">
      <c r="A4" s="377"/>
      <c r="B4" s="379" t="s">
        <v>1819</v>
      </c>
      <c r="C4" s="379"/>
      <c r="D4" s="377" t="s">
        <v>1822</v>
      </c>
      <c r="E4" s="377">
        <v>65</v>
      </c>
      <c r="F4" s="377" t="s">
        <v>1823</v>
      </c>
      <c r="G4" s="377">
        <v>5</v>
      </c>
      <c r="H4" s="377"/>
      <c r="I4" s="377"/>
      <c r="J4" s="377"/>
      <c r="K4" s="377"/>
      <c r="L4" s="377"/>
      <c r="M4" s="377"/>
      <c r="N4" s="377"/>
      <c r="O4" s="377"/>
      <c r="P4" s="377"/>
    </row>
    <row r="5" spans="1:17" ht="16.5">
      <c r="A5" s="377"/>
      <c r="B5" s="377" t="s">
        <v>1824</v>
      </c>
      <c r="C5" s="377"/>
      <c r="D5" s="377" t="s">
        <v>1825</v>
      </c>
      <c r="E5" s="377">
        <v>60</v>
      </c>
      <c r="F5" s="377" t="s">
        <v>1826</v>
      </c>
      <c r="G5" s="377">
        <v>7</v>
      </c>
      <c r="H5" s="377"/>
      <c r="I5" s="379"/>
      <c r="J5" s="377"/>
      <c r="K5" s="377"/>
      <c r="L5" s="377"/>
      <c r="M5" s="377"/>
      <c r="N5" s="377"/>
      <c r="O5" s="377"/>
      <c r="P5" s="377"/>
    </row>
    <row r="6" spans="1:17">
      <c r="A6" s="377"/>
      <c r="B6" s="377"/>
      <c r="C6" s="377"/>
      <c r="D6" s="377"/>
      <c r="E6" s="377"/>
      <c r="F6" s="377"/>
      <c r="G6" s="377"/>
      <c r="H6" s="377"/>
      <c r="I6" s="377"/>
      <c r="J6" s="377"/>
      <c r="K6" s="377"/>
      <c r="L6" s="377"/>
      <c r="M6" s="377"/>
      <c r="N6" s="377"/>
      <c r="O6" s="377"/>
      <c r="P6" s="377"/>
      <c r="Q6" s="377"/>
    </row>
    <row r="7" spans="1:17" ht="17.5">
      <c r="A7" s="377"/>
      <c r="B7" s="380" t="s">
        <v>1827</v>
      </c>
      <c r="C7" s="381" t="s">
        <v>1828</v>
      </c>
      <c r="D7" s="381" t="s">
        <v>1829</v>
      </c>
      <c r="E7" s="382" t="s">
        <v>1830</v>
      </c>
      <c r="F7" s="382" t="s">
        <v>1831</v>
      </c>
      <c r="G7" s="575"/>
      <c r="H7" s="575"/>
      <c r="I7" s="575"/>
      <c r="J7" s="575"/>
      <c r="K7" s="575"/>
      <c r="L7" s="575"/>
      <c r="M7" s="575"/>
      <c r="N7" s="575"/>
      <c r="O7" s="575"/>
      <c r="P7" s="575"/>
      <c r="Q7" s="377"/>
    </row>
    <row r="8" spans="1:17">
      <c r="A8" s="377"/>
      <c r="B8" s="383">
        <v>50</v>
      </c>
      <c r="C8" s="377">
        <v>-5</v>
      </c>
      <c r="D8" s="377">
        <v>10</v>
      </c>
      <c r="E8" s="384">
        <v>-6</v>
      </c>
      <c r="F8" s="384">
        <v>-1</v>
      </c>
      <c r="G8" s="575"/>
      <c r="H8" s="575"/>
      <c r="I8" s="575"/>
      <c r="J8" s="575"/>
      <c r="K8" s="575"/>
      <c r="L8" s="575"/>
      <c r="M8" s="575"/>
      <c r="N8" s="575"/>
      <c r="O8" s="575"/>
      <c r="P8" s="575"/>
      <c r="Q8" s="377"/>
    </row>
    <row r="9" spans="1:17">
      <c r="A9" s="377"/>
      <c r="B9" s="383">
        <v>50.5</v>
      </c>
      <c r="C9" s="377">
        <v>-5.5</v>
      </c>
      <c r="D9" s="377">
        <v>9.5</v>
      </c>
      <c r="E9" s="384">
        <v>-5</v>
      </c>
      <c r="F9" s="384">
        <v>-1</v>
      </c>
      <c r="G9" s="575"/>
      <c r="H9" s="575"/>
      <c r="I9" s="575"/>
      <c r="J9" s="575"/>
      <c r="K9" s="575"/>
      <c r="L9" s="575"/>
      <c r="M9" s="575"/>
      <c r="N9" s="575"/>
      <c r="O9" s="575"/>
      <c r="P9" s="575"/>
      <c r="Q9" s="377"/>
    </row>
    <row r="10" spans="1:17">
      <c r="A10" s="377"/>
      <c r="B10" s="383">
        <v>51</v>
      </c>
      <c r="C10" s="377">
        <v>-6</v>
      </c>
      <c r="D10" s="377">
        <v>9</v>
      </c>
      <c r="E10" s="384">
        <v>-4</v>
      </c>
      <c r="F10" s="384">
        <v>-1</v>
      </c>
      <c r="G10" s="575"/>
      <c r="H10" s="575"/>
      <c r="I10" s="575"/>
      <c r="J10" s="575"/>
      <c r="K10" s="575"/>
      <c r="L10" s="575"/>
      <c r="M10" s="575"/>
      <c r="N10" s="575"/>
      <c r="O10" s="575"/>
      <c r="P10" s="575"/>
      <c r="Q10" s="377"/>
    </row>
    <row r="11" spans="1:17">
      <c r="A11" s="377"/>
      <c r="B11" s="383">
        <v>51.5</v>
      </c>
      <c r="C11" s="377">
        <v>-6.5</v>
      </c>
      <c r="D11" s="377">
        <v>8.5</v>
      </c>
      <c r="E11" s="384">
        <v>-3</v>
      </c>
      <c r="F11" s="384">
        <v>-1</v>
      </c>
      <c r="G11" s="575"/>
      <c r="H11" s="575"/>
      <c r="I11" s="575"/>
      <c r="J11" s="575"/>
      <c r="K11" s="575"/>
      <c r="L11" s="575"/>
      <c r="M11" s="575"/>
      <c r="N11" s="575"/>
      <c r="O11" s="575"/>
      <c r="P11" s="575"/>
      <c r="Q11" s="377"/>
    </row>
    <row r="12" spans="1:17">
      <c r="A12" s="377"/>
      <c r="B12" s="383">
        <v>52</v>
      </c>
      <c r="C12" s="377">
        <v>-7</v>
      </c>
      <c r="D12" s="377">
        <v>8</v>
      </c>
      <c r="E12" s="384">
        <v>-2</v>
      </c>
      <c r="F12" s="384">
        <v>-1</v>
      </c>
      <c r="G12" s="575"/>
      <c r="H12" s="575"/>
      <c r="I12" s="575"/>
      <c r="J12" s="575"/>
      <c r="K12" s="575"/>
      <c r="L12" s="575"/>
      <c r="M12" s="575"/>
      <c r="N12" s="575"/>
      <c r="O12" s="575"/>
      <c r="P12" s="575"/>
      <c r="Q12" s="377"/>
    </row>
    <row r="13" spans="1:17">
      <c r="A13" s="377"/>
      <c r="B13" s="383">
        <v>52.5</v>
      </c>
      <c r="C13" s="377">
        <v>-7.5</v>
      </c>
      <c r="D13" s="377">
        <v>7.5</v>
      </c>
      <c r="E13" s="384">
        <v>-1</v>
      </c>
      <c r="F13" s="384">
        <v>-1</v>
      </c>
      <c r="G13" s="575"/>
      <c r="H13" s="575"/>
      <c r="I13" s="575"/>
      <c r="J13" s="575"/>
      <c r="K13" s="575"/>
      <c r="L13" s="575"/>
      <c r="M13" s="575"/>
      <c r="N13" s="575"/>
      <c r="O13" s="575"/>
      <c r="P13" s="575"/>
      <c r="Q13" s="377"/>
    </row>
    <row r="14" spans="1:17">
      <c r="A14" s="377"/>
      <c r="B14" s="383">
        <v>53</v>
      </c>
      <c r="C14" s="377">
        <v>-8</v>
      </c>
      <c r="D14" s="377">
        <v>7</v>
      </c>
      <c r="E14" s="384" t="s">
        <v>1832</v>
      </c>
      <c r="F14" s="384">
        <v>-1</v>
      </c>
      <c r="G14" s="575"/>
      <c r="H14" s="575"/>
      <c r="I14" s="575"/>
      <c r="J14" s="575"/>
      <c r="K14" s="575"/>
      <c r="L14" s="575"/>
      <c r="M14" s="575"/>
      <c r="N14" s="575"/>
      <c r="O14" s="575"/>
      <c r="P14" s="575"/>
      <c r="Q14" s="377"/>
    </row>
    <row r="15" spans="1:17">
      <c r="A15" s="377"/>
      <c r="B15" s="383">
        <v>53.5</v>
      </c>
      <c r="C15" s="377">
        <v>-8.5</v>
      </c>
      <c r="D15" s="377">
        <v>6.5</v>
      </c>
      <c r="E15" s="384">
        <v>1</v>
      </c>
      <c r="F15" s="384">
        <v>-1</v>
      </c>
      <c r="G15" s="575"/>
      <c r="H15" s="575"/>
      <c r="I15" s="575"/>
      <c r="J15" s="575"/>
      <c r="K15" s="575"/>
      <c r="L15" s="575"/>
      <c r="M15" s="575"/>
      <c r="N15" s="575"/>
      <c r="O15" s="575"/>
      <c r="P15" s="575"/>
      <c r="Q15" s="377"/>
    </row>
    <row r="16" spans="1:17">
      <c r="A16" s="377"/>
      <c r="B16" s="383">
        <v>54</v>
      </c>
      <c r="C16" s="377">
        <v>-9</v>
      </c>
      <c r="D16" s="377">
        <v>6</v>
      </c>
      <c r="E16" s="384">
        <v>2</v>
      </c>
      <c r="F16" s="384">
        <v>-1</v>
      </c>
      <c r="G16" s="575"/>
      <c r="H16" s="575"/>
      <c r="I16" s="575"/>
      <c r="J16" s="575"/>
      <c r="K16" s="575"/>
      <c r="L16" s="575"/>
      <c r="M16" s="575"/>
      <c r="N16" s="575"/>
      <c r="O16" s="575"/>
      <c r="P16" s="575"/>
      <c r="Q16" s="377"/>
    </row>
    <row r="17" spans="1:17">
      <c r="A17" s="377"/>
      <c r="B17" s="383">
        <v>54.5</v>
      </c>
      <c r="C17" s="377">
        <v>-9.5</v>
      </c>
      <c r="D17" s="377">
        <v>5.5</v>
      </c>
      <c r="E17" s="384">
        <v>3</v>
      </c>
      <c r="F17" s="384">
        <v>-1</v>
      </c>
      <c r="G17" s="575"/>
      <c r="H17" s="575"/>
      <c r="I17" s="575"/>
      <c r="J17" s="575"/>
      <c r="K17" s="575"/>
      <c r="L17" s="575"/>
      <c r="M17" s="575"/>
      <c r="N17" s="575"/>
      <c r="O17" s="575"/>
      <c r="P17" s="575"/>
      <c r="Q17" s="377"/>
    </row>
    <row r="18" spans="1:17">
      <c r="A18" s="377"/>
      <c r="B18" s="383">
        <v>55</v>
      </c>
      <c r="C18" s="377">
        <v>-10</v>
      </c>
      <c r="D18" s="377">
        <v>5</v>
      </c>
      <c r="E18" s="384">
        <v>4</v>
      </c>
      <c r="F18" s="384">
        <v>-1</v>
      </c>
      <c r="G18" s="575"/>
      <c r="H18" s="575"/>
      <c r="I18" s="575"/>
      <c r="J18" s="575"/>
      <c r="K18" s="575"/>
      <c r="L18" s="575"/>
      <c r="M18" s="575"/>
      <c r="N18" s="575"/>
      <c r="O18" s="575"/>
      <c r="P18" s="575"/>
      <c r="Q18" s="377"/>
    </row>
    <row r="19" spans="1:17">
      <c r="A19" s="377"/>
      <c r="B19" s="383">
        <v>55.5</v>
      </c>
      <c r="C19" s="377">
        <v>-10</v>
      </c>
      <c r="D19" s="377">
        <v>4.5</v>
      </c>
      <c r="E19" s="384">
        <v>5</v>
      </c>
      <c r="F19" s="384">
        <v>-0.5</v>
      </c>
      <c r="G19" s="575"/>
      <c r="H19" s="575"/>
      <c r="I19" s="575"/>
      <c r="J19" s="575"/>
      <c r="K19" s="575"/>
      <c r="L19" s="575"/>
      <c r="M19" s="575"/>
      <c r="N19" s="575"/>
      <c r="O19" s="575"/>
      <c r="P19" s="575"/>
      <c r="Q19" s="377"/>
    </row>
    <row r="20" spans="1:17">
      <c r="A20" s="377"/>
      <c r="B20" s="383">
        <v>56</v>
      </c>
      <c r="C20" s="377">
        <v>-10</v>
      </c>
      <c r="D20" s="377">
        <v>4</v>
      </c>
      <c r="E20" s="384">
        <v>6</v>
      </c>
      <c r="F20" s="384" t="s">
        <v>1832</v>
      </c>
      <c r="G20" s="575"/>
      <c r="H20" s="575"/>
      <c r="I20" s="575"/>
      <c r="J20" s="575"/>
      <c r="K20" s="575"/>
      <c r="L20" s="575"/>
      <c r="M20" s="575"/>
      <c r="N20" s="575"/>
      <c r="O20" s="575"/>
      <c r="P20" s="575"/>
      <c r="Q20" s="377"/>
    </row>
    <row r="21" spans="1:17">
      <c r="A21" s="377"/>
      <c r="B21" s="383">
        <v>56.5</v>
      </c>
      <c r="C21" s="377">
        <v>-10</v>
      </c>
      <c r="D21" s="377">
        <v>3.5</v>
      </c>
      <c r="E21" s="384">
        <v>7</v>
      </c>
      <c r="F21" s="384">
        <v>0.5</v>
      </c>
      <c r="G21" s="575"/>
      <c r="H21" s="575"/>
      <c r="I21" s="575"/>
      <c r="J21" s="575"/>
      <c r="K21" s="575"/>
      <c r="L21" s="575"/>
      <c r="M21" s="575"/>
      <c r="N21" s="575"/>
      <c r="O21" s="575"/>
      <c r="P21" s="575"/>
    </row>
    <row r="22" spans="1:17">
      <c r="A22" s="377"/>
      <c r="B22" s="383">
        <v>57</v>
      </c>
      <c r="C22" s="377">
        <v>-10</v>
      </c>
      <c r="D22" s="377">
        <v>3</v>
      </c>
      <c r="E22" s="384">
        <v>8</v>
      </c>
      <c r="F22" s="384">
        <v>1</v>
      </c>
      <c r="G22" s="377"/>
      <c r="H22" s="377"/>
      <c r="I22" s="377"/>
      <c r="J22" s="377"/>
      <c r="K22" s="377"/>
      <c r="L22" s="377"/>
      <c r="M22" s="377"/>
      <c r="N22" s="377"/>
      <c r="O22" s="377"/>
      <c r="P22" s="377"/>
    </row>
    <row r="23" spans="1:17">
      <c r="A23" s="377"/>
      <c r="B23" s="383">
        <v>57.5</v>
      </c>
      <c r="C23" s="377">
        <v>-10</v>
      </c>
      <c r="D23" s="377">
        <v>2.5</v>
      </c>
      <c r="E23" s="384">
        <v>9</v>
      </c>
      <c r="F23" s="384">
        <v>1.5</v>
      </c>
      <c r="G23" s="377"/>
      <c r="H23" s="377"/>
      <c r="I23" s="377"/>
      <c r="J23" s="377"/>
      <c r="K23" s="377"/>
      <c r="L23" s="377"/>
      <c r="M23" s="377"/>
      <c r="N23" s="377"/>
      <c r="O23" s="377"/>
      <c r="P23" s="377"/>
    </row>
    <row r="24" spans="1:17">
      <c r="A24" s="377"/>
      <c r="B24" s="383">
        <v>58</v>
      </c>
      <c r="C24" s="377">
        <v>-10</v>
      </c>
      <c r="D24" s="377">
        <v>2</v>
      </c>
      <c r="E24" s="384">
        <v>10</v>
      </c>
      <c r="F24" s="384">
        <v>2</v>
      </c>
      <c r="G24" s="377"/>
      <c r="H24" s="377"/>
      <c r="I24" s="377"/>
      <c r="J24" s="377"/>
      <c r="K24" s="377"/>
      <c r="L24" s="377"/>
      <c r="M24" s="377"/>
      <c r="N24" s="377"/>
      <c r="O24" s="377"/>
      <c r="P24" s="377"/>
    </row>
    <row r="25" spans="1:17">
      <c r="A25" s="377"/>
      <c r="B25" s="383">
        <v>58.5</v>
      </c>
      <c r="C25" s="377">
        <v>-10</v>
      </c>
      <c r="D25" s="377">
        <v>1.5</v>
      </c>
      <c r="E25" s="384">
        <v>11</v>
      </c>
      <c r="F25" s="384">
        <v>2.5</v>
      </c>
      <c r="G25" s="377"/>
      <c r="H25" s="377"/>
      <c r="I25" s="377"/>
      <c r="J25" s="377"/>
      <c r="K25" s="377"/>
      <c r="L25" s="377"/>
      <c r="M25" s="377"/>
      <c r="N25" s="377"/>
      <c r="O25" s="377"/>
      <c r="P25" s="377"/>
    </row>
    <row r="26" spans="1:17">
      <c r="A26" s="377"/>
      <c r="B26" s="383">
        <v>59</v>
      </c>
      <c r="C26" s="377">
        <v>-10</v>
      </c>
      <c r="D26" s="377">
        <v>1</v>
      </c>
      <c r="E26" s="384">
        <v>12</v>
      </c>
      <c r="F26" s="384">
        <v>3</v>
      </c>
      <c r="G26" s="377"/>
      <c r="H26" s="377"/>
      <c r="I26" s="377"/>
      <c r="J26" s="377"/>
      <c r="K26" s="377"/>
      <c r="L26" s="377"/>
      <c r="M26" s="377"/>
      <c r="N26" s="377"/>
      <c r="O26" s="377"/>
      <c r="P26" s="377"/>
    </row>
    <row r="27" spans="1:17">
      <c r="A27" s="377"/>
      <c r="B27" s="383">
        <v>59.5</v>
      </c>
      <c r="C27" s="377">
        <v>-10</v>
      </c>
      <c r="D27" s="377">
        <v>0.5</v>
      </c>
      <c r="E27" s="384">
        <v>13</v>
      </c>
      <c r="F27" s="384">
        <v>3.5</v>
      </c>
      <c r="G27" s="377"/>
      <c r="H27" s="377"/>
      <c r="I27" s="377"/>
      <c r="J27" s="377"/>
      <c r="K27" s="377"/>
      <c r="L27" s="377"/>
      <c r="M27" s="377"/>
      <c r="N27" s="377"/>
      <c r="O27" s="377"/>
      <c r="P27" s="377"/>
    </row>
    <row r="28" spans="1:17">
      <c r="A28" s="377"/>
      <c r="B28" s="383">
        <v>60</v>
      </c>
      <c r="C28" s="377">
        <v>-10</v>
      </c>
      <c r="D28" s="377" t="s">
        <v>1832</v>
      </c>
      <c r="E28" s="384">
        <v>14</v>
      </c>
      <c r="F28" s="384">
        <v>4</v>
      </c>
      <c r="G28" s="377"/>
      <c r="H28" s="377"/>
      <c r="I28" s="377"/>
      <c r="J28" s="377"/>
      <c r="K28" s="377"/>
      <c r="L28" s="377"/>
      <c r="M28" s="377"/>
      <c r="N28" s="377"/>
      <c r="O28" s="377"/>
      <c r="P28" s="377"/>
    </row>
    <row r="29" spans="1:17">
      <c r="A29" s="377"/>
      <c r="B29" s="383">
        <v>60.5</v>
      </c>
      <c r="C29" s="377">
        <v>-10</v>
      </c>
      <c r="D29" s="377">
        <v>-0.5</v>
      </c>
      <c r="E29" s="384">
        <v>14</v>
      </c>
      <c r="F29" s="384">
        <v>3.5</v>
      </c>
      <c r="G29" s="377"/>
      <c r="H29" s="377"/>
      <c r="I29" s="377"/>
      <c r="J29" s="377"/>
      <c r="K29" s="377"/>
      <c r="L29" s="377"/>
      <c r="M29" s="377"/>
      <c r="N29" s="377"/>
      <c r="O29" s="377"/>
      <c r="P29" s="377"/>
    </row>
    <row r="30" spans="1:17">
      <c r="A30" s="377"/>
      <c r="B30" s="383">
        <v>61</v>
      </c>
      <c r="C30" s="377">
        <v>-10</v>
      </c>
      <c r="D30" s="377">
        <v>-1</v>
      </c>
      <c r="E30" s="384">
        <v>14</v>
      </c>
      <c r="F30" s="384">
        <v>3</v>
      </c>
      <c r="G30" s="377"/>
      <c r="H30" s="377"/>
      <c r="I30" s="377"/>
      <c r="J30" s="377"/>
      <c r="K30" s="377"/>
      <c r="L30" s="377"/>
      <c r="M30" s="377"/>
      <c r="N30" s="377"/>
      <c r="O30" s="377"/>
      <c r="P30" s="377"/>
    </row>
    <row r="31" spans="1:17">
      <c r="A31" s="377"/>
      <c r="B31" s="383">
        <v>61.5</v>
      </c>
      <c r="C31" s="377">
        <v>-10</v>
      </c>
      <c r="D31" s="377">
        <v>-1.5</v>
      </c>
      <c r="E31" s="384">
        <v>14</v>
      </c>
      <c r="F31" s="384">
        <v>2.5</v>
      </c>
      <c r="G31" s="377"/>
      <c r="H31" s="377"/>
      <c r="I31" s="377"/>
      <c r="J31" s="377"/>
      <c r="K31" s="377"/>
      <c r="L31" s="377"/>
      <c r="M31" s="377"/>
      <c r="N31" s="377"/>
      <c r="O31" s="377"/>
      <c r="P31" s="377"/>
    </row>
    <row r="32" spans="1:17">
      <c r="A32" s="377"/>
      <c r="B32" s="383">
        <v>62</v>
      </c>
      <c r="C32" s="377">
        <v>-10</v>
      </c>
      <c r="D32" s="377">
        <v>-2</v>
      </c>
      <c r="E32" s="384">
        <v>14</v>
      </c>
      <c r="F32" s="384">
        <v>2</v>
      </c>
      <c r="G32" s="377"/>
      <c r="H32" s="377"/>
      <c r="I32" s="377"/>
      <c r="J32" s="377"/>
      <c r="K32" s="377"/>
      <c r="L32" s="377"/>
      <c r="M32" s="377"/>
      <c r="N32" s="377"/>
      <c r="O32" s="377"/>
      <c r="P32" s="377"/>
    </row>
    <row r="33" spans="1:16">
      <c r="A33" s="377"/>
      <c r="B33" s="383">
        <v>62.5</v>
      </c>
      <c r="C33" s="377">
        <v>-10</v>
      </c>
      <c r="D33" s="377">
        <v>-2.5</v>
      </c>
      <c r="E33" s="384">
        <v>14</v>
      </c>
      <c r="F33" s="384">
        <v>1.5</v>
      </c>
      <c r="G33" s="377"/>
      <c r="H33" s="377"/>
      <c r="I33" s="377"/>
      <c r="J33" s="377"/>
      <c r="K33" s="377"/>
      <c r="L33" s="377"/>
      <c r="M33" s="377"/>
      <c r="N33" s="377"/>
      <c r="O33" s="377"/>
      <c r="P33" s="377"/>
    </row>
    <row r="34" spans="1:16">
      <c r="A34" s="377"/>
      <c r="B34" s="383">
        <v>63</v>
      </c>
      <c r="C34" s="377">
        <v>-10</v>
      </c>
      <c r="D34" s="377">
        <v>-3</v>
      </c>
      <c r="E34" s="384">
        <v>14</v>
      </c>
      <c r="F34" s="384">
        <v>1</v>
      </c>
      <c r="G34" s="377"/>
      <c r="H34" s="377"/>
      <c r="I34" s="377"/>
      <c r="J34" s="377"/>
      <c r="K34" s="377"/>
      <c r="L34" s="377"/>
      <c r="M34" s="377"/>
      <c r="N34" s="377"/>
      <c r="O34" s="377"/>
      <c r="P34" s="377"/>
    </row>
    <row r="35" spans="1:16">
      <c r="A35" s="377"/>
      <c r="B35" s="383">
        <v>63.5</v>
      </c>
      <c r="C35" s="377">
        <v>-10</v>
      </c>
      <c r="D35" s="377">
        <v>-3.5</v>
      </c>
      <c r="E35" s="384">
        <v>14</v>
      </c>
      <c r="F35" s="384">
        <v>0.5</v>
      </c>
      <c r="G35" s="377"/>
      <c r="H35" s="377"/>
      <c r="I35" s="377"/>
      <c r="J35" s="377"/>
      <c r="K35" s="377"/>
      <c r="L35" s="377"/>
      <c r="M35" s="377"/>
      <c r="N35" s="377"/>
      <c r="O35" s="377"/>
      <c r="P35" s="377"/>
    </row>
    <row r="36" spans="1:16">
      <c r="A36" s="377"/>
      <c r="B36" s="383">
        <v>64</v>
      </c>
      <c r="C36" s="377">
        <v>-10</v>
      </c>
      <c r="D36" s="377">
        <v>-4</v>
      </c>
      <c r="E36" s="384">
        <v>14</v>
      </c>
      <c r="F36" s="384" t="s">
        <v>1832</v>
      </c>
      <c r="G36" s="377"/>
      <c r="H36" s="377"/>
      <c r="I36" s="377"/>
      <c r="J36" s="377"/>
      <c r="K36" s="377"/>
      <c r="L36" s="377"/>
      <c r="M36" s="377"/>
      <c r="N36" s="377"/>
      <c r="O36" s="377"/>
      <c r="P36" s="377"/>
    </row>
    <row r="37" spans="1:16">
      <c r="A37" s="377"/>
      <c r="B37" s="383">
        <v>64.5</v>
      </c>
      <c r="C37" s="377">
        <v>-10</v>
      </c>
      <c r="D37" s="377">
        <v>-4.5</v>
      </c>
      <c r="E37" s="384">
        <v>14</v>
      </c>
      <c r="F37" s="384">
        <v>-0.5</v>
      </c>
      <c r="G37" s="377"/>
      <c r="H37" s="377"/>
      <c r="I37" s="377"/>
      <c r="J37" s="377"/>
      <c r="K37" s="377"/>
      <c r="L37" s="377"/>
      <c r="M37" s="377"/>
      <c r="N37" s="377"/>
      <c r="O37" s="377"/>
      <c r="P37" s="377"/>
    </row>
    <row r="38" spans="1:16">
      <c r="A38" s="377"/>
      <c r="B38" s="383">
        <v>65</v>
      </c>
      <c r="C38" s="377">
        <v>-10</v>
      </c>
      <c r="D38" s="377">
        <v>-5</v>
      </c>
      <c r="E38" s="384">
        <v>14</v>
      </c>
      <c r="F38" s="384">
        <v>-1</v>
      </c>
      <c r="G38" s="377"/>
      <c r="H38" s="377"/>
      <c r="I38" s="377"/>
      <c r="J38" s="377"/>
      <c r="K38" s="377"/>
      <c r="L38" s="377"/>
      <c r="M38" s="377"/>
      <c r="N38" s="377"/>
      <c r="O38" s="377"/>
      <c r="P38" s="377"/>
    </row>
    <row r="39" spans="1:16">
      <c r="A39" s="377"/>
      <c r="B39" s="383">
        <v>65.5</v>
      </c>
      <c r="C39" s="377">
        <v>-10</v>
      </c>
      <c r="D39" s="377">
        <v>-5</v>
      </c>
      <c r="E39" s="384">
        <v>14</v>
      </c>
      <c r="F39" s="384">
        <v>-1</v>
      </c>
      <c r="G39" s="377"/>
      <c r="H39" s="377"/>
      <c r="I39" s="377"/>
      <c r="J39" s="377"/>
      <c r="K39" s="377"/>
      <c r="L39" s="377"/>
      <c r="M39" s="377"/>
      <c r="N39" s="377"/>
      <c r="O39" s="377"/>
      <c r="P39" s="377"/>
    </row>
    <row r="40" spans="1:16">
      <c r="A40" s="377"/>
      <c r="B40" s="383">
        <v>66</v>
      </c>
      <c r="C40" s="377">
        <v>-10</v>
      </c>
      <c r="D40" s="377">
        <v>-5</v>
      </c>
      <c r="E40" s="384">
        <v>14</v>
      </c>
      <c r="F40" s="384">
        <v>-1</v>
      </c>
      <c r="G40" s="377"/>
      <c r="H40" s="377"/>
      <c r="I40" s="377"/>
      <c r="J40" s="377"/>
      <c r="K40" s="377"/>
      <c r="L40" s="377"/>
      <c r="M40" s="377"/>
      <c r="N40" s="377"/>
      <c r="O40" s="377"/>
      <c r="P40" s="377"/>
    </row>
    <row r="41" spans="1:16">
      <c r="A41" s="377"/>
      <c r="B41" s="383">
        <v>66.5</v>
      </c>
      <c r="C41" s="377">
        <v>-10</v>
      </c>
      <c r="D41" s="377">
        <v>-5</v>
      </c>
      <c r="E41" s="384">
        <v>14</v>
      </c>
      <c r="F41" s="384">
        <v>-1</v>
      </c>
      <c r="G41" s="377"/>
      <c r="H41" s="377"/>
      <c r="I41" s="377"/>
      <c r="J41" s="377"/>
      <c r="K41" s="377"/>
      <c r="L41" s="377"/>
      <c r="M41" s="377"/>
      <c r="N41" s="377"/>
      <c r="O41" s="377"/>
      <c r="P41" s="377"/>
    </row>
    <row r="42" spans="1:16">
      <c r="A42" s="377"/>
      <c r="B42" s="383">
        <v>67</v>
      </c>
      <c r="C42" s="377">
        <v>-10</v>
      </c>
      <c r="D42" s="377">
        <v>-5</v>
      </c>
      <c r="E42" s="384">
        <v>14</v>
      </c>
      <c r="F42" s="384">
        <v>-1</v>
      </c>
      <c r="G42" s="377"/>
      <c r="H42" s="377"/>
      <c r="I42" s="377"/>
      <c r="J42" s="377"/>
      <c r="K42" s="377"/>
      <c r="L42" s="377"/>
      <c r="M42" s="377"/>
      <c r="N42" s="377"/>
      <c r="O42" s="377"/>
      <c r="P42" s="377"/>
    </row>
    <row r="43" spans="1:16">
      <c r="A43" s="377"/>
      <c r="B43" s="383">
        <v>67.5</v>
      </c>
      <c r="C43" s="377">
        <v>-10</v>
      </c>
      <c r="D43" s="377">
        <v>-5</v>
      </c>
      <c r="E43" s="384">
        <v>14</v>
      </c>
      <c r="F43" s="384">
        <v>-1</v>
      </c>
      <c r="G43" s="377"/>
      <c r="H43" s="377"/>
      <c r="I43" s="377"/>
      <c r="J43" s="377"/>
      <c r="K43" s="377"/>
      <c r="L43" s="377"/>
      <c r="M43" s="377"/>
      <c r="N43" s="377"/>
      <c r="O43" s="377"/>
      <c r="P43" s="377"/>
    </row>
    <row r="44" spans="1:16">
      <c r="A44" s="377"/>
      <c r="B44" s="383">
        <v>68</v>
      </c>
      <c r="C44" s="377">
        <v>-10</v>
      </c>
      <c r="D44" s="377">
        <v>-5</v>
      </c>
      <c r="E44" s="384">
        <v>14</v>
      </c>
      <c r="F44" s="384">
        <v>-1</v>
      </c>
      <c r="G44" s="377"/>
      <c r="H44" s="377"/>
      <c r="I44" s="377"/>
      <c r="J44" s="377"/>
      <c r="K44" s="377"/>
      <c r="L44" s="377"/>
      <c r="M44" s="377"/>
      <c r="N44" s="377"/>
      <c r="O44" s="377"/>
      <c r="P44" s="377"/>
    </row>
    <row r="45" spans="1:16">
      <c r="A45" s="377"/>
      <c r="B45" s="383">
        <v>68.5</v>
      </c>
      <c r="C45" s="377">
        <v>-10</v>
      </c>
      <c r="D45" s="377">
        <v>-5</v>
      </c>
      <c r="E45" s="384">
        <v>14</v>
      </c>
      <c r="F45" s="384">
        <v>-1</v>
      </c>
      <c r="G45" s="377"/>
      <c r="H45" s="377"/>
      <c r="I45" s="377"/>
      <c r="J45" s="377"/>
      <c r="K45" s="377"/>
      <c r="L45" s="377"/>
      <c r="M45" s="377"/>
      <c r="N45" s="377"/>
      <c r="O45" s="377"/>
      <c r="P45" s="377"/>
    </row>
    <row r="46" spans="1:16">
      <c r="A46" s="377"/>
      <c r="B46" s="383">
        <v>69</v>
      </c>
      <c r="C46" s="377">
        <v>-10</v>
      </c>
      <c r="D46" s="377">
        <v>-5</v>
      </c>
      <c r="E46" s="384">
        <v>14</v>
      </c>
      <c r="F46" s="384">
        <v>-1</v>
      </c>
      <c r="G46" s="377"/>
      <c r="H46" s="377"/>
      <c r="I46" s="377"/>
      <c r="J46" s="377"/>
      <c r="K46" s="377"/>
      <c r="L46" s="377"/>
      <c r="M46" s="377"/>
      <c r="N46" s="377"/>
      <c r="O46" s="377"/>
      <c r="P46" s="377"/>
    </row>
    <row r="47" spans="1:16">
      <c r="A47" s="377"/>
      <c r="B47" s="383">
        <v>69.5</v>
      </c>
      <c r="C47" s="377">
        <v>-10</v>
      </c>
      <c r="D47" s="377">
        <v>-5</v>
      </c>
      <c r="E47" s="384">
        <v>14</v>
      </c>
      <c r="F47" s="384">
        <v>-1</v>
      </c>
      <c r="G47" s="377"/>
      <c r="H47" s="377"/>
      <c r="I47" s="377"/>
      <c r="J47" s="377"/>
      <c r="K47" s="377"/>
      <c r="L47" s="377"/>
      <c r="M47" s="377"/>
      <c r="N47" s="377"/>
      <c r="O47" s="377"/>
      <c r="P47" s="377"/>
    </row>
    <row r="48" spans="1:16">
      <c r="A48" s="377"/>
      <c r="B48" s="383">
        <v>70</v>
      </c>
      <c r="C48" s="377">
        <v>-10</v>
      </c>
      <c r="D48" s="377">
        <v>-5</v>
      </c>
      <c r="E48" s="384">
        <v>14</v>
      </c>
      <c r="F48" s="384">
        <v>-1</v>
      </c>
      <c r="G48" s="377"/>
      <c r="H48" s="377"/>
      <c r="I48" s="377"/>
      <c r="J48" s="377"/>
      <c r="K48" s="377"/>
      <c r="L48" s="377"/>
      <c r="M48" s="377"/>
      <c r="N48" s="377"/>
      <c r="O48" s="377"/>
      <c r="P48" s="377"/>
    </row>
    <row r="49" spans="1:16">
      <c r="A49" s="377"/>
      <c r="B49" s="377"/>
      <c r="C49" s="377"/>
      <c r="D49" s="377"/>
      <c r="E49" s="377"/>
      <c r="F49" s="377"/>
      <c r="G49" s="377"/>
      <c r="H49" s="377"/>
      <c r="I49" s="377"/>
      <c r="J49" s="377"/>
      <c r="K49" s="377"/>
      <c r="L49" s="377"/>
      <c r="M49" s="377"/>
      <c r="N49" s="377"/>
      <c r="O49" s="377"/>
      <c r="P49" s="377"/>
    </row>
    <row r="50" spans="1:16">
      <c r="A50" s="377"/>
      <c r="B50" s="377"/>
      <c r="C50" s="377"/>
      <c r="D50" s="377"/>
      <c r="E50" s="377"/>
      <c r="F50" s="377"/>
      <c r="G50" s="377"/>
      <c r="H50" s="377"/>
      <c r="I50" s="377"/>
      <c r="J50" s="377"/>
      <c r="K50" s="377"/>
      <c r="L50" s="377"/>
      <c r="M50" s="377"/>
      <c r="N50" s="377"/>
      <c r="O50" s="377"/>
      <c r="P50" s="377"/>
    </row>
    <row r="51" spans="1:16">
      <c r="A51" s="377"/>
      <c r="B51" s="377"/>
      <c r="C51" s="377"/>
      <c r="D51" s="377"/>
      <c r="E51" s="377"/>
      <c r="F51" s="377"/>
      <c r="G51" s="377"/>
      <c r="H51" s="377"/>
      <c r="I51" s="377"/>
      <c r="J51" s="377"/>
      <c r="K51" s="377"/>
      <c r="L51" s="377"/>
      <c r="M51" s="377"/>
      <c r="N51" s="377"/>
      <c r="O51" s="377"/>
      <c r="P51" s="377"/>
    </row>
    <row r="52" spans="1:16">
      <c r="A52" s="377"/>
      <c r="B52" s="377"/>
      <c r="C52" s="377"/>
      <c r="D52" s="377"/>
      <c r="E52" s="377"/>
      <c r="F52" s="377"/>
      <c r="G52" s="377"/>
      <c r="H52" s="377"/>
      <c r="I52" s="377"/>
      <c r="J52" s="377"/>
      <c r="K52" s="377"/>
      <c r="L52" s="377"/>
      <c r="M52" s="377"/>
      <c r="N52" s="377"/>
      <c r="O52" s="377"/>
      <c r="P52" s="377"/>
    </row>
    <row r="53" spans="1:16">
      <c r="A53" s="377"/>
      <c r="B53" s="377"/>
      <c r="C53" s="377"/>
      <c r="D53" s="377"/>
      <c r="E53" s="377"/>
      <c r="F53" s="377"/>
      <c r="G53" s="377"/>
      <c r="H53" s="377"/>
      <c r="I53" s="377"/>
      <c r="J53" s="377"/>
      <c r="K53" s="377"/>
      <c r="L53" s="377"/>
      <c r="M53" s="377"/>
      <c r="N53" s="377"/>
      <c r="O53" s="377"/>
      <c r="P53" s="377"/>
    </row>
    <row r="54" spans="1:16">
      <c r="A54" s="377"/>
      <c r="B54" s="377"/>
      <c r="C54" s="377"/>
      <c r="D54" s="377"/>
      <c r="E54" s="377"/>
      <c r="F54" s="377"/>
      <c r="G54" s="377"/>
      <c r="H54" s="377"/>
      <c r="I54" s="377"/>
      <c r="J54" s="377"/>
      <c r="K54" s="377"/>
      <c r="L54" s="377"/>
      <c r="M54" s="377"/>
      <c r="N54" s="377"/>
      <c r="O54" s="377"/>
      <c r="P54" s="377"/>
    </row>
    <row r="55" spans="1:16">
      <c r="A55" s="377"/>
      <c r="B55" s="377"/>
      <c r="C55" s="377"/>
      <c r="D55" s="377"/>
      <c r="E55" s="377"/>
      <c r="F55" s="377"/>
      <c r="G55" s="377"/>
      <c r="H55" s="377"/>
      <c r="I55" s="377"/>
      <c r="J55" s="377"/>
      <c r="K55" s="377"/>
      <c r="L55" s="377"/>
      <c r="M55" s="377"/>
      <c r="N55" s="377"/>
      <c r="O55" s="377"/>
      <c r="P55" s="377"/>
    </row>
    <row r="56" spans="1:16">
      <c r="A56" s="377"/>
      <c r="B56" s="377"/>
      <c r="C56" s="377"/>
      <c r="D56" s="377"/>
      <c r="E56" s="377"/>
      <c r="F56" s="377"/>
      <c r="G56" s="377"/>
      <c r="H56" s="377"/>
      <c r="I56" s="377"/>
      <c r="J56" s="377"/>
      <c r="K56" s="377"/>
      <c r="L56" s="377"/>
      <c r="M56" s="377"/>
      <c r="N56" s="377"/>
      <c r="O56" s="377"/>
      <c r="P56" s="377"/>
    </row>
    <row r="57" spans="1:16">
      <c r="A57" s="377"/>
      <c r="B57" s="377"/>
      <c r="C57" s="377"/>
      <c r="D57" s="377"/>
      <c r="E57" s="377"/>
      <c r="F57" s="377"/>
      <c r="G57" s="377"/>
      <c r="H57" s="377"/>
      <c r="I57" s="377"/>
      <c r="J57" s="377"/>
      <c r="K57" s="377"/>
      <c r="L57" s="377"/>
      <c r="M57" s="377"/>
      <c r="N57" s="377"/>
      <c r="O57" s="377"/>
      <c r="P57" s="377"/>
    </row>
  </sheetData>
  <mergeCells count="1">
    <mergeCell ref="G7:P21"/>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D3849-90E5-40E4-9E27-7348A27E92EF}">
  <dimension ref="B2:L57"/>
  <sheetViews>
    <sheetView showGridLines="0" topLeftCell="F12" workbookViewId="0">
      <selection activeCell="W39" sqref="W39"/>
    </sheetView>
  </sheetViews>
  <sheetFormatPr defaultRowHeight="16"/>
  <sheetData>
    <row r="2" spans="2:12">
      <c r="J2" t="s">
        <v>811</v>
      </c>
      <c r="K2" t="s">
        <v>114</v>
      </c>
      <c r="L2" t="s">
        <v>115</v>
      </c>
    </row>
    <row r="3" spans="2:12">
      <c r="J3" t="s">
        <v>1833</v>
      </c>
      <c r="K3">
        <v>30</v>
      </c>
      <c r="L3">
        <v>4</v>
      </c>
    </row>
    <row r="4" spans="2:12">
      <c r="J4" t="s">
        <v>1834</v>
      </c>
      <c r="K4">
        <v>35</v>
      </c>
      <c r="L4">
        <v>7</v>
      </c>
    </row>
    <row r="6" spans="2:12">
      <c r="B6" t="s">
        <v>1835</v>
      </c>
      <c r="C6" t="s">
        <v>1836</v>
      </c>
      <c r="D6" t="s">
        <v>1837</v>
      </c>
      <c r="E6" t="s">
        <v>1838</v>
      </c>
      <c r="F6" t="s">
        <v>1839</v>
      </c>
      <c r="G6" t="s">
        <v>1840</v>
      </c>
      <c r="H6" t="s">
        <v>1841</v>
      </c>
    </row>
    <row r="7" spans="2:12">
      <c r="B7">
        <v>0</v>
      </c>
      <c r="C7">
        <f t="shared" ref="C7:C57" si="0">MAX($K$3-B7,0)-$L$3</f>
        <v>26</v>
      </c>
      <c r="D7">
        <f>MAX($K$4-B7,0)-$L$4</f>
        <v>28</v>
      </c>
      <c r="E7">
        <f>-C7</f>
        <v>-26</v>
      </c>
      <c r="F7">
        <f>-D7</f>
        <v>-28</v>
      </c>
      <c r="G7">
        <f>Table2[[#This Row],[L_A]]+Table2[[#This Row],[S_B]]</f>
        <v>-2</v>
      </c>
      <c r="H7">
        <f>Table2[[#This Row],[L_B]]+Table2[[#This Row],[S_A]]</f>
        <v>2</v>
      </c>
    </row>
    <row r="8" spans="2:12">
      <c r="B8">
        <v>1</v>
      </c>
      <c r="C8">
        <f t="shared" si="0"/>
        <v>25</v>
      </c>
      <c r="D8">
        <f t="shared" ref="D8:D57" si="1">MAX($K$4-B8,0)-$L$4</f>
        <v>27</v>
      </c>
      <c r="E8">
        <f t="shared" ref="E8:E57" si="2">-C8</f>
        <v>-25</v>
      </c>
      <c r="F8">
        <f t="shared" ref="F8:F57" si="3">-D8</f>
        <v>-27</v>
      </c>
      <c r="G8">
        <f>Table2[[#This Row],[L_A]]+Table2[[#This Row],[S_B]]</f>
        <v>-2</v>
      </c>
      <c r="H8">
        <f>Table2[[#This Row],[L_B]]+Table2[[#This Row],[S_A]]</f>
        <v>2</v>
      </c>
    </row>
    <row r="9" spans="2:12">
      <c r="B9">
        <v>2</v>
      </c>
      <c r="C9">
        <f t="shared" si="0"/>
        <v>24</v>
      </c>
      <c r="D9">
        <f t="shared" si="1"/>
        <v>26</v>
      </c>
      <c r="E9">
        <f t="shared" si="2"/>
        <v>-24</v>
      </c>
      <c r="F9">
        <f t="shared" si="3"/>
        <v>-26</v>
      </c>
      <c r="G9">
        <f>Table2[[#This Row],[L_A]]+Table2[[#This Row],[S_B]]</f>
        <v>-2</v>
      </c>
      <c r="H9">
        <f>Table2[[#This Row],[L_B]]+Table2[[#This Row],[S_A]]</f>
        <v>2</v>
      </c>
    </row>
    <row r="10" spans="2:12">
      <c r="B10">
        <v>3</v>
      </c>
      <c r="C10">
        <f t="shared" si="0"/>
        <v>23</v>
      </c>
      <c r="D10">
        <f t="shared" si="1"/>
        <v>25</v>
      </c>
      <c r="E10">
        <f t="shared" si="2"/>
        <v>-23</v>
      </c>
      <c r="F10">
        <f t="shared" si="3"/>
        <v>-25</v>
      </c>
      <c r="G10">
        <f>Table2[[#This Row],[L_A]]+Table2[[#This Row],[S_B]]</f>
        <v>-2</v>
      </c>
      <c r="H10">
        <f>Table2[[#This Row],[L_B]]+Table2[[#This Row],[S_A]]</f>
        <v>2</v>
      </c>
    </row>
    <row r="11" spans="2:12">
      <c r="B11">
        <v>4</v>
      </c>
      <c r="C11">
        <f t="shared" si="0"/>
        <v>22</v>
      </c>
      <c r="D11">
        <f t="shared" si="1"/>
        <v>24</v>
      </c>
      <c r="E11">
        <f t="shared" si="2"/>
        <v>-22</v>
      </c>
      <c r="F11">
        <f t="shared" si="3"/>
        <v>-24</v>
      </c>
      <c r="G11">
        <f>Table2[[#This Row],[L_A]]+Table2[[#This Row],[S_B]]</f>
        <v>-2</v>
      </c>
      <c r="H11">
        <f>Table2[[#This Row],[L_B]]+Table2[[#This Row],[S_A]]</f>
        <v>2</v>
      </c>
    </row>
    <row r="12" spans="2:12">
      <c r="B12">
        <v>5</v>
      </c>
      <c r="C12">
        <f t="shared" si="0"/>
        <v>21</v>
      </c>
      <c r="D12">
        <f t="shared" si="1"/>
        <v>23</v>
      </c>
      <c r="E12">
        <f t="shared" si="2"/>
        <v>-21</v>
      </c>
      <c r="F12">
        <f t="shared" si="3"/>
        <v>-23</v>
      </c>
      <c r="G12">
        <f>Table2[[#This Row],[L_A]]+Table2[[#This Row],[S_B]]</f>
        <v>-2</v>
      </c>
      <c r="H12">
        <f>Table2[[#This Row],[L_B]]+Table2[[#This Row],[S_A]]</f>
        <v>2</v>
      </c>
    </row>
    <row r="13" spans="2:12">
      <c r="B13">
        <v>6</v>
      </c>
      <c r="C13">
        <f t="shared" si="0"/>
        <v>20</v>
      </c>
      <c r="D13">
        <f t="shared" si="1"/>
        <v>22</v>
      </c>
      <c r="E13">
        <f t="shared" si="2"/>
        <v>-20</v>
      </c>
      <c r="F13">
        <f t="shared" si="3"/>
        <v>-22</v>
      </c>
      <c r="G13">
        <f>Table2[[#This Row],[L_A]]+Table2[[#This Row],[S_B]]</f>
        <v>-2</v>
      </c>
      <c r="H13">
        <f>Table2[[#This Row],[L_B]]+Table2[[#This Row],[S_A]]</f>
        <v>2</v>
      </c>
    </row>
    <row r="14" spans="2:12">
      <c r="B14">
        <v>7</v>
      </c>
      <c r="C14">
        <f t="shared" si="0"/>
        <v>19</v>
      </c>
      <c r="D14">
        <f t="shared" si="1"/>
        <v>21</v>
      </c>
      <c r="E14">
        <f t="shared" si="2"/>
        <v>-19</v>
      </c>
      <c r="F14">
        <f t="shared" si="3"/>
        <v>-21</v>
      </c>
      <c r="G14">
        <f>Table2[[#This Row],[L_A]]+Table2[[#This Row],[S_B]]</f>
        <v>-2</v>
      </c>
      <c r="H14">
        <f>Table2[[#This Row],[L_B]]+Table2[[#This Row],[S_A]]</f>
        <v>2</v>
      </c>
    </row>
    <row r="15" spans="2:12">
      <c r="B15">
        <v>8</v>
      </c>
      <c r="C15">
        <f t="shared" si="0"/>
        <v>18</v>
      </c>
      <c r="D15">
        <f t="shared" si="1"/>
        <v>20</v>
      </c>
      <c r="E15">
        <f t="shared" si="2"/>
        <v>-18</v>
      </c>
      <c r="F15">
        <f t="shared" si="3"/>
        <v>-20</v>
      </c>
      <c r="G15">
        <f>Table2[[#This Row],[L_A]]+Table2[[#This Row],[S_B]]</f>
        <v>-2</v>
      </c>
      <c r="H15">
        <f>Table2[[#This Row],[L_B]]+Table2[[#This Row],[S_A]]</f>
        <v>2</v>
      </c>
    </row>
    <row r="16" spans="2:12">
      <c r="B16">
        <v>9</v>
      </c>
      <c r="C16">
        <f t="shared" si="0"/>
        <v>17</v>
      </c>
      <c r="D16">
        <f t="shared" si="1"/>
        <v>19</v>
      </c>
      <c r="E16">
        <f t="shared" si="2"/>
        <v>-17</v>
      </c>
      <c r="F16">
        <f t="shared" si="3"/>
        <v>-19</v>
      </c>
      <c r="G16">
        <f>Table2[[#This Row],[L_A]]+Table2[[#This Row],[S_B]]</f>
        <v>-2</v>
      </c>
      <c r="H16">
        <f>Table2[[#This Row],[L_B]]+Table2[[#This Row],[S_A]]</f>
        <v>2</v>
      </c>
    </row>
    <row r="17" spans="2:8">
      <c r="B17">
        <v>10</v>
      </c>
      <c r="C17">
        <f t="shared" si="0"/>
        <v>16</v>
      </c>
      <c r="D17">
        <f t="shared" si="1"/>
        <v>18</v>
      </c>
      <c r="E17">
        <f t="shared" si="2"/>
        <v>-16</v>
      </c>
      <c r="F17">
        <f t="shared" si="3"/>
        <v>-18</v>
      </c>
      <c r="G17">
        <f>Table2[[#This Row],[L_A]]+Table2[[#This Row],[S_B]]</f>
        <v>-2</v>
      </c>
      <c r="H17">
        <f>Table2[[#This Row],[L_B]]+Table2[[#This Row],[S_A]]</f>
        <v>2</v>
      </c>
    </row>
    <row r="18" spans="2:8">
      <c r="B18">
        <v>11</v>
      </c>
      <c r="C18">
        <f t="shared" si="0"/>
        <v>15</v>
      </c>
      <c r="D18">
        <f t="shared" si="1"/>
        <v>17</v>
      </c>
      <c r="E18">
        <f t="shared" si="2"/>
        <v>-15</v>
      </c>
      <c r="F18">
        <f t="shared" si="3"/>
        <v>-17</v>
      </c>
      <c r="G18">
        <f>Table2[[#This Row],[L_A]]+Table2[[#This Row],[S_B]]</f>
        <v>-2</v>
      </c>
      <c r="H18">
        <f>Table2[[#This Row],[L_B]]+Table2[[#This Row],[S_A]]</f>
        <v>2</v>
      </c>
    </row>
    <row r="19" spans="2:8">
      <c r="B19">
        <v>12</v>
      </c>
      <c r="C19">
        <f t="shared" si="0"/>
        <v>14</v>
      </c>
      <c r="D19">
        <f t="shared" si="1"/>
        <v>16</v>
      </c>
      <c r="E19">
        <f t="shared" si="2"/>
        <v>-14</v>
      </c>
      <c r="F19">
        <f t="shared" si="3"/>
        <v>-16</v>
      </c>
      <c r="G19">
        <f>Table2[[#This Row],[L_A]]+Table2[[#This Row],[S_B]]</f>
        <v>-2</v>
      </c>
      <c r="H19">
        <f>Table2[[#This Row],[L_B]]+Table2[[#This Row],[S_A]]</f>
        <v>2</v>
      </c>
    </row>
    <row r="20" spans="2:8">
      <c r="B20">
        <v>13</v>
      </c>
      <c r="C20">
        <f t="shared" si="0"/>
        <v>13</v>
      </c>
      <c r="D20">
        <f t="shared" si="1"/>
        <v>15</v>
      </c>
      <c r="E20">
        <f t="shared" si="2"/>
        <v>-13</v>
      </c>
      <c r="F20">
        <f t="shared" si="3"/>
        <v>-15</v>
      </c>
      <c r="G20">
        <f>Table2[[#This Row],[L_A]]+Table2[[#This Row],[S_B]]</f>
        <v>-2</v>
      </c>
      <c r="H20">
        <f>Table2[[#This Row],[L_B]]+Table2[[#This Row],[S_A]]</f>
        <v>2</v>
      </c>
    </row>
    <row r="21" spans="2:8">
      <c r="B21">
        <v>14</v>
      </c>
      <c r="C21">
        <f t="shared" si="0"/>
        <v>12</v>
      </c>
      <c r="D21">
        <f t="shared" si="1"/>
        <v>14</v>
      </c>
      <c r="E21">
        <f t="shared" si="2"/>
        <v>-12</v>
      </c>
      <c r="F21">
        <f t="shared" si="3"/>
        <v>-14</v>
      </c>
      <c r="G21">
        <f>Table2[[#This Row],[L_A]]+Table2[[#This Row],[S_B]]</f>
        <v>-2</v>
      </c>
      <c r="H21">
        <f>Table2[[#This Row],[L_B]]+Table2[[#This Row],[S_A]]</f>
        <v>2</v>
      </c>
    </row>
    <row r="22" spans="2:8">
      <c r="B22">
        <v>15</v>
      </c>
      <c r="C22">
        <f t="shared" si="0"/>
        <v>11</v>
      </c>
      <c r="D22">
        <f t="shared" si="1"/>
        <v>13</v>
      </c>
      <c r="E22">
        <f t="shared" si="2"/>
        <v>-11</v>
      </c>
      <c r="F22">
        <f t="shared" si="3"/>
        <v>-13</v>
      </c>
      <c r="G22">
        <f>Table2[[#This Row],[L_A]]+Table2[[#This Row],[S_B]]</f>
        <v>-2</v>
      </c>
      <c r="H22">
        <f>Table2[[#This Row],[L_B]]+Table2[[#This Row],[S_A]]</f>
        <v>2</v>
      </c>
    </row>
    <row r="23" spans="2:8">
      <c r="B23">
        <v>16</v>
      </c>
      <c r="C23">
        <f t="shared" si="0"/>
        <v>10</v>
      </c>
      <c r="D23">
        <f t="shared" si="1"/>
        <v>12</v>
      </c>
      <c r="E23">
        <f t="shared" si="2"/>
        <v>-10</v>
      </c>
      <c r="F23">
        <f t="shared" si="3"/>
        <v>-12</v>
      </c>
      <c r="G23">
        <f>Table2[[#This Row],[L_A]]+Table2[[#This Row],[S_B]]</f>
        <v>-2</v>
      </c>
      <c r="H23">
        <f>Table2[[#This Row],[L_B]]+Table2[[#This Row],[S_A]]</f>
        <v>2</v>
      </c>
    </row>
    <row r="24" spans="2:8">
      <c r="B24">
        <v>17</v>
      </c>
      <c r="C24">
        <f t="shared" si="0"/>
        <v>9</v>
      </c>
      <c r="D24">
        <f t="shared" si="1"/>
        <v>11</v>
      </c>
      <c r="E24">
        <f t="shared" si="2"/>
        <v>-9</v>
      </c>
      <c r="F24">
        <f t="shared" si="3"/>
        <v>-11</v>
      </c>
      <c r="G24">
        <f>Table2[[#This Row],[L_A]]+Table2[[#This Row],[S_B]]</f>
        <v>-2</v>
      </c>
      <c r="H24">
        <f>Table2[[#This Row],[L_B]]+Table2[[#This Row],[S_A]]</f>
        <v>2</v>
      </c>
    </row>
    <row r="25" spans="2:8">
      <c r="B25">
        <v>18</v>
      </c>
      <c r="C25">
        <f t="shared" si="0"/>
        <v>8</v>
      </c>
      <c r="D25">
        <f t="shared" si="1"/>
        <v>10</v>
      </c>
      <c r="E25">
        <f t="shared" si="2"/>
        <v>-8</v>
      </c>
      <c r="F25">
        <f t="shared" si="3"/>
        <v>-10</v>
      </c>
      <c r="G25">
        <f>Table2[[#This Row],[L_A]]+Table2[[#This Row],[S_B]]</f>
        <v>-2</v>
      </c>
      <c r="H25">
        <f>Table2[[#This Row],[L_B]]+Table2[[#This Row],[S_A]]</f>
        <v>2</v>
      </c>
    </row>
    <row r="26" spans="2:8">
      <c r="B26">
        <v>19</v>
      </c>
      <c r="C26">
        <f t="shared" si="0"/>
        <v>7</v>
      </c>
      <c r="D26">
        <f t="shared" si="1"/>
        <v>9</v>
      </c>
      <c r="E26">
        <f t="shared" si="2"/>
        <v>-7</v>
      </c>
      <c r="F26">
        <f t="shared" si="3"/>
        <v>-9</v>
      </c>
      <c r="G26">
        <f>Table2[[#This Row],[L_A]]+Table2[[#This Row],[S_B]]</f>
        <v>-2</v>
      </c>
      <c r="H26">
        <f>Table2[[#This Row],[L_B]]+Table2[[#This Row],[S_A]]</f>
        <v>2</v>
      </c>
    </row>
    <row r="27" spans="2:8">
      <c r="B27">
        <v>20</v>
      </c>
      <c r="C27">
        <f t="shared" si="0"/>
        <v>6</v>
      </c>
      <c r="D27">
        <f t="shared" si="1"/>
        <v>8</v>
      </c>
      <c r="E27">
        <f t="shared" si="2"/>
        <v>-6</v>
      </c>
      <c r="F27">
        <f t="shared" si="3"/>
        <v>-8</v>
      </c>
      <c r="G27">
        <f>Table2[[#This Row],[L_A]]+Table2[[#This Row],[S_B]]</f>
        <v>-2</v>
      </c>
      <c r="H27">
        <f>Table2[[#This Row],[L_B]]+Table2[[#This Row],[S_A]]</f>
        <v>2</v>
      </c>
    </row>
    <row r="28" spans="2:8">
      <c r="B28">
        <v>21</v>
      </c>
      <c r="C28">
        <f t="shared" si="0"/>
        <v>5</v>
      </c>
      <c r="D28">
        <f t="shared" si="1"/>
        <v>7</v>
      </c>
      <c r="E28">
        <f t="shared" si="2"/>
        <v>-5</v>
      </c>
      <c r="F28">
        <f t="shared" si="3"/>
        <v>-7</v>
      </c>
      <c r="G28">
        <f>Table2[[#This Row],[L_A]]+Table2[[#This Row],[S_B]]</f>
        <v>-2</v>
      </c>
      <c r="H28">
        <f>Table2[[#This Row],[L_B]]+Table2[[#This Row],[S_A]]</f>
        <v>2</v>
      </c>
    </row>
    <row r="29" spans="2:8">
      <c r="B29">
        <v>22</v>
      </c>
      <c r="C29">
        <f t="shared" si="0"/>
        <v>4</v>
      </c>
      <c r="D29">
        <f t="shared" si="1"/>
        <v>6</v>
      </c>
      <c r="E29">
        <f t="shared" si="2"/>
        <v>-4</v>
      </c>
      <c r="F29">
        <f t="shared" si="3"/>
        <v>-6</v>
      </c>
      <c r="G29">
        <f>Table2[[#This Row],[L_A]]+Table2[[#This Row],[S_B]]</f>
        <v>-2</v>
      </c>
      <c r="H29">
        <f>Table2[[#This Row],[L_B]]+Table2[[#This Row],[S_A]]</f>
        <v>2</v>
      </c>
    </row>
    <row r="30" spans="2:8">
      <c r="B30">
        <v>23</v>
      </c>
      <c r="C30">
        <f t="shared" si="0"/>
        <v>3</v>
      </c>
      <c r="D30">
        <f t="shared" si="1"/>
        <v>5</v>
      </c>
      <c r="E30">
        <f t="shared" si="2"/>
        <v>-3</v>
      </c>
      <c r="F30">
        <f t="shared" si="3"/>
        <v>-5</v>
      </c>
      <c r="G30">
        <f>Table2[[#This Row],[L_A]]+Table2[[#This Row],[S_B]]</f>
        <v>-2</v>
      </c>
      <c r="H30">
        <f>Table2[[#This Row],[L_B]]+Table2[[#This Row],[S_A]]</f>
        <v>2</v>
      </c>
    </row>
    <row r="31" spans="2:8">
      <c r="B31">
        <v>24</v>
      </c>
      <c r="C31">
        <f t="shared" si="0"/>
        <v>2</v>
      </c>
      <c r="D31">
        <f t="shared" si="1"/>
        <v>4</v>
      </c>
      <c r="E31">
        <f t="shared" si="2"/>
        <v>-2</v>
      </c>
      <c r="F31">
        <f t="shared" si="3"/>
        <v>-4</v>
      </c>
      <c r="G31">
        <f>Table2[[#This Row],[L_A]]+Table2[[#This Row],[S_B]]</f>
        <v>-2</v>
      </c>
      <c r="H31">
        <f>Table2[[#This Row],[L_B]]+Table2[[#This Row],[S_A]]</f>
        <v>2</v>
      </c>
    </row>
    <row r="32" spans="2:8">
      <c r="B32">
        <v>25</v>
      </c>
      <c r="C32">
        <f t="shared" si="0"/>
        <v>1</v>
      </c>
      <c r="D32">
        <f t="shared" si="1"/>
        <v>3</v>
      </c>
      <c r="E32">
        <f t="shared" si="2"/>
        <v>-1</v>
      </c>
      <c r="F32">
        <f t="shared" si="3"/>
        <v>-3</v>
      </c>
      <c r="G32">
        <f>Table2[[#This Row],[L_A]]+Table2[[#This Row],[S_B]]</f>
        <v>-2</v>
      </c>
      <c r="H32">
        <f>Table2[[#This Row],[L_B]]+Table2[[#This Row],[S_A]]</f>
        <v>2</v>
      </c>
    </row>
    <row r="33" spans="2:8">
      <c r="B33">
        <v>26</v>
      </c>
      <c r="C33">
        <f t="shared" si="0"/>
        <v>0</v>
      </c>
      <c r="D33">
        <f t="shared" si="1"/>
        <v>2</v>
      </c>
      <c r="E33">
        <f t="shared" si="2"/>
        <v>0</v>
      </c>
      <c r="F33">
        <f t="shared" si="3"/>
        <v>-2</v>
      </c>
      <c r="G33">
        <f>Table2[[#This Row],[L_A]]+Table2[[#This Row],[S_B]]</f>
        <v>-2</v>
      </c>
      <c r="H33">
        <f>Table2[[#This Row],[L_B]]+Table2[[#This Row],[S_A]]</f>
        <v>2</v>
      </c>
    </row>
    <row r="34" spans="2:8">
      <c r="B34">
        <v>27</v>
      </c>
      <c r="C34">
        <f t="shared" si="0"/>
        <v>-1</v>
      </c>
      <c r="D34">
        <f t="shared" si="1"/>
        <v>1</v>
      </c>
      <c r="E34">
        <f t="shared" si="2"/>
        <v>1</v>
      </c>
      <c r="F34">
        <f t="shared" si="3"/>
        <v>-1</v>
      </c>
      <c r="G34">
        <f>Table2[[#This Row],[L_A]]+Table2[[#This Row],[S_B]]</f>
        <v>-2</v>
      </c>
      <c r="H34">
        <f>Table2[[#This Row],[L_B]]+Table2[[#This Row],[S_A]]</f>
        <v>2</v>
      </c>
    </row>
    <row r="35" spans="2:8">
      <c r="B35">
        <v>28</v>
      </c>
      <c r="C35">
        <f t="shared" si="0"/>
        <v>-2</v>
      </c>
      <c r="D35">
        <f t="shared" si="1"/>
        <v>0</v>
      </c>
      <c r="E35">
        <f t="shared" si="2"/>
        <v>2</v>
      </c>
      <c r="F35">
        <f t="shared" si="3"/>
        <v>0</v>
      </c>
      <c r="G35">
        <f>Table2[[#This Row],[L_A]]+Table2[[#This Row],[S_B]]</f>
        <v>-2</v>
      </c>
      <c r="H35">
        <f>Table2[[#This Row],[L_B]]+Table2[[#This Row],[S_A]]</f>
        <v>2</v>
      </c>
    </row>
    <row r="36" spans="2:8">
      <c r="B36">
        <v>29</v>
      </c>
      <c r="C36">
        <f t="shared" si="0"/>
        <v>-3</v>
      </c>
      <c r="D36">
        <f t="shared" si="1"/>
        <v>-1</v>
      </c>
      <c r="E36">
        <f t="shared" si="2"/>
        <v>3</v>
      </c>
      <c r="F36">
        <f t="shared" si="3"/>
        <v>1</v>
      </c>
      <c r="G36">
        <f>Table2[[#This Row],[L_A]]+Table2[[#This Row],[S_B]]</f>
        <v>-2</v>
      </c>
      <c r="H36">
        <f>Table2[[#This Row],[L_B]]+Table2[[#This Row],[S_A]]</f>
        <v>2</v>
      </c>
    </row>
    <row r="37" spans="2:8">
      <c r="B37">
        <v>30</v>
      </c>
      <c r="C37">
        <f t="shared" si="0"/>
        <v>-4</v>
      </c>
      <c r="D37">
        <f t="shared" si="1"/>
        <v>-2</v>
      </c>
      <c r="E37">
        <f t="shared" si="2"/>
        <v>4</v>
      </c>
      <c r="F37">
        <f t="shared" si="3"/>
        <v>2</v>
      </c>
      <c r="G37">
        <f>Table2[[#This Row],[L_A]]+Table2[[#This Row],[S_B]]</f>
        <v>-2</v>
      </c>
      <c r="H37">
        <f>Table2[[#This Row],[L_B]]+Table2[[#This Row],[S_A]]</f>
        <v>2</v>
      </c>
    </row>
    <row r="38" spans="2:8">
      <c r="B38">
        <v>31</v>
      </c>
      <c r="C38">
        <f t="shared" si="0"/>
        <v>-4</v>
      </c>
      <c r="D38">
        <f t="shared" si="1"/>
        <v>-3</v>
      </c>
      <c r="E38">
        <f t="shared" si="2"/>
        <v>4</v>
      </c>
      <c r="F38">
        <f t="shared" si="3"/>
        <v>3</v>
      </c>
      <c r="G38">
        <f>Table2[[#This Row],[L_A]]+Table2[[#This Row],[S_B]]</f>
        <v>-1</v>
      </c>
      <c r="H38">
        <f>Table2[[#This Row],[L_B]]+Table2[[#This Row],[S_A]]</f>
        <v>1</v>
      </c>
    </row>
    <row r="39" spans="2:8">
      <c r="B39">
        <v>32</v>
      </c>
      <c r="C39">
        <f t="shared" si="0"/>
        <v>-4</v>
      </c>
      <c r="D39">
        <f t="shared" si="1"/>
        <v>-4</v>
      </c>
      <c r="E39">
        <f t="shared" si="2"/>
        <v>4</v>
      </c>
      <c r="F39">
        <f t="shared" si="3"/>
        <v>4</v>
      </c>
      <c r="G39">
        <f>Table2[[#This Row],[L_A]]+Table2[[#This Row],[S_B]]</f>
        <v>0</v>
      </c>
      <c r="H39">
        <f>Table2[[#This Row],[L_B]]+Table2[[#This Row],[S_A]]</f>
        <v>0</v>
      </c>
    </row>
    <row r="40" spans="2:8">
      <c r="B40">
        <v>33</v>
      </c>
      <c r="C40">
        <f t="shared" si="0"/>
        <v>-4</v>
      </c>
      <c r="D40">
        <f t="shared" si="1"/>
        <v>-5</v>
      </c>
      <c r="E40">
        <f t="shared" si="2"/>
        <v>4</v>
      </c>
      <c r="F40">
        <f t="shared" si="3"/>
        <v>5</v>
      </c>
      <c r="G40">
        <f>Table2[[#This Row],[L_A]]+Table2[[#This Row],[S_B]]</f>
        <v>1</v>
      </c>
      <c r="H40">
        <f>Table2[[#This Row],[L_B]]+Table2[[#This Row],[S_A]]</f>
        <v>-1</v>
      </c>
    </row>
    <row r="41" spans="2:8">
      <c r="B41">
        <v>34</v>
      </c>
      <c r="C41">
        <f t="shared" si="0"/>
        <v>-4</v>
      </c>
      <c r="D41">
        <f t="shared" si="1"/>
        <v>-6</v>
      </c>
      <c r="E41">
        <f t="shared" si="2"/>
        <v>4</v>
      </c>
      <c r="F41">
        <f t="shared" si="3"/>
        <v>6</v>
      </c>
      <c r="G41">
        <f>Table2[[#This Row],[L_A]]+Table2[[#This Row],[S_B]]</f>
        <v>2</v>
      </c>
      <c r="H41">
        <f>Table2[[#This Row],[L_B]]+Table2[[#This Row],[S_A]]</f>
        <v>-2</v>
      </c>
    </row>
    <row r="42" spans="2:8">
      <c r="B42">
        <v>35</v>
      </c>
      <c r="C42">
        <f t="shared" si="0"/>
        <v>-4</v>
      </c>
      <c r="D42">
        <f t="shared" si="1"/>
        <v>-7</v>
      </c>
      <c r="E42">
        <f t="shared" si="2"/>
        <v>4</v>
      </c>
      <c r="F42">
        <f t="shared" si="3"/>
        <v>7</v>
      </c>
      <c r="G42">
        <f>Table2[[#This Row],[L_A]]+Table2[[#This Row],[S_B]]</f>
        <v>3</v>
      </c>
      <c r="H42">
        <f>Table2[[#This Row],[L_B]]+Table2[[#This Row],[S_A]]</f>
        <v>-3</v>
      </c>
    </row>
    <row r="43" spans="2:8">
      <c r="B43">
        <v>36</v>
      </c>
      <c r="C43">
        <f t="shared" si="0"/>
        <v>-4</v>
      </c>
      <c r="D43">
        <f t="shared" si="1"/>
        <v>-7</v>
      </c>
      <c r="E43">
        <f t="shared" si="2"/>
        <v>4</v>
      </c>
      <c r="F43">
        <f t="shared" si="3"/>
        <v>7</v>
      </c>
      <c r="G43">
        <f>Table2[[#This Row],[L_A]]+Table2[[#This Row],[S_B]]</f>
        <v>3</v>
      </c>
      <c r="H43">
        <f>Table2[[#This Row],[L_B]]+Table2[[#This Row],[S_A]]</f>
        <v>-3</v>
      </c>
    </row>
    <row r="44" spans="2:8">
      <c r="B44">
        <v>37</v>
      </c>
      <c r="C44">
        <f t="shared" si="0"/>
        <v>-4</v>
      </c>
      <c r="D44">
        <f t="shared" si="1"/>
        <v>-7</v>
      </c>
      <c r="E44">
        <f t="shared" si="2"/>
        <v>4</v>
      </c>
      <c r="F44">
        <f t="shared" si="3"/>
        <v>7</v>
      </c>
      <c r="G44">
        <f>Table2[[#This Row],[L_A]]+Table2[[#This Row],[S_B]]</f>
        <v>3</v>
      </c>
      <c r="H44">
        <f>Table2[[#This Row],[L_B]]+Table2[[#This Row],[S_A]]</f>
        <v>-3</v>
      </c>
    </row>
    <row r="45" spans="2:8">
      <c r="B45">
        <v>38</v>
      </c>
      <c r="C45">
        <f t="shared" si="0"/>
        <v>-4</v>
      </c>
      <c r="D45">
        <f t="shared" si="1"/>
        <v>-7</v>
      </c>
      <c r="E45">
        <f t="shared" si="2"/>
        <v>4</v>
      </c>
      <c r="F45">
        <f t="shared" si="3"/>
        <v>7</v>
      </c>
      <c r="G45">
        <f>Table2[[#This Row],[L_A]]+Table2[[#This Row],[S_B]]</f>
        <v>3</v>
      </c>
      <c r="H45">
        <f>Table2[[#This Row],[L_B]]+Table2[[#This Row],[S_A]]</f>
        <v>-3</v>
      </c>
    </row>
    <row r="46" spans="2:8">
      <c r="B46">
        <v>39</v>
      </c>
      <c r="C46">
        <f t="shared" si="0"/>
        <v>-4</v>
      </c>
      <c r="D46">
        <f t="shared" si="1"/>
        <v>-7</v>
      </c>
      <c r="E46">
        <f t="shared" si="2"/>
        <v>4</v>
      </c>
      <c r="F46">
        <f t="shared" si="3"/>
        <v>7</v>
      </c>
      <c r="G46">
        <f>Table2[[#This Row],[L_A]]+Table2[[#This Row],[S_B]]</f>
        <v>3</v>
      </c>
      <c r="H46">
        <f>Table2[[#This Row],[L_B]]+Table2[[#This Row],[S_A]]</f>
        <v>-3</v>
      </c>
    </row>
    <row r="47" spans="2:8">
      <c r="B47">
        <v>40</v>
      </c>
      <c r="C47">
        <f t="shared" si="0"/>
        <v>-4</v>
      </c>
      <c r="D47">
        <f t="shared" si="1"/>
        <v>-7</v>
      </c>
      <c r="E47">
        <f t="shared" si="2"/>
        <v>4</v>
      </c>
      <c r="F47">
        <f t="shared" si="3"/>
        <v>7</v>
      </c>
      <c r="G47">
        <f>Table2[[#This Row],[L_A]]+Table2[[#This Row],[S_B]]</f>
        <v>3</v>
      </c>
      <c r="H47">
        <f>Table2[[#This Row],[L_B]]+Table2[[#This Row],[S_A]]</f>
        <v>-3</v>
      </c>
    </row>
    <row r="48" spans="2:8">
      <c r="B48">
        <v>41</v>
      </c>
      <c r="C48">
        <f t="shared" si="0"/>
        <v>-4</v>
      </c>
      <c r="D48">
        <f t="shared" si="1"/>
        <v>-7</v>
      </c>
      <c r="E48">
        <f t="shared" si="2"/>
        <v>4</v>
      </c>
      <c r="F48">
        <f t="shared" si="3"/>
        <v>7</v>
      </c>
      <c r="G48">
        <f>Table2[[#This Row],[L_A]]+Table2[[#This Row],[S_B]]</f>
        <v>3</v>
      </c>
      <c r="H48">
        <f>Table2[[#This Row],[L_B]]+Table2[[#This Row],[S_A]]</f>
        <v>-3</v>
      </c>
    </row>
    <row r="49" spans="2:8">
      <c r="B49">
        <v>42</v>
      </c>
      <c r="C49">
        <f t="shared" si="0"/>
        <v>-4</v>
      </c>
      <c r="D49">
        <f t="shared" si="1"/>
        <v>-7</v>
      </c>
      <c r="E49">
        <f t="shared" si="2"/>
        <v>4</v>
      </c>
      <c r="F49">
        <f t="shared" si="3"/>
        <v>7</v>
      </c>
      <c r="G49">
        <f>Table2[[#This Row],[L_A]]+Table2[[#This Row],[S_B]]</f>
        <v>3</v>
      </c>
      <c r="H49">
        <f>Table2[[#This Row],[L_B]]+Table2[[#This Row],[S_A]]</f>
        <v>-3</v>
      </c>
    </row>
    <row r="50" spans="2:8">
      <c r="B50">
        <v>43</v>
      </c>
      <c r="C50">
        <f t="shared" si="0"/>
        <v>-4</v>
      </c>
      <c r="D50">
        <f t="shared" si="1"/>
        <v>-7</v>
      </c>
      <c r="E50">
        <f t="shared" si="2"/>
        <v>4</v>
      </c>
      <c r="F50">
        <f t="shared" si="3"/>
        <v>7</v>
      </c>
      <c r="G50">
        <f>Table2[[#This Row],[L_A]]+Table2[[#This Row],[S_B]]</f>
        <v>3</v>
      </c>
      <c r="H50">
        <f>Table2[[#This Row],[L_B]]+Table2[[#This Row],[S_A]]</f>
        <v>-3</v>
      </c>
    </row>
    <row r="51" spans="2:8">
      <c r="B51">
        <v>44</v>
      </c>
      <c r="C51">
        <f t="shared" si="0"/>
        <v>-4</v>
      </c>
      <c r="D51">
        <f t="shared" si="1"/>
        <v>-7</v>
      </c>
      <c r="E51">
        <f t="shared" si="2"/>
        <v>4</v>
      </c>
      <c r="F51">
        <f t="shared" si="3"/>
        <v>7</v>
      </c>
      <c r="G51">
        <f>Table2[[#This Row],[L_A]]+Table2[[#This Row],[S_B]]</f>
        <v>3</v>
      </c>
      <c r="H51">
        <f>Table2[[#This Row],[L_B]]+Table2[[#This Row],[S_A]]</f>
        <v>-3</v>
      </c>
    </row>
    <row r="52" spans="2:8">
      <c r="B52">
        <v>45</v>
      </c>
      <c r="C52">
        <f t="shared" si="0"/>
        <v>-4</v>
      </c>
      <c r="D52">
        <f t="shared" si="1"/>
        <v>-7</v>
      </c>
      <c r="E52">
        <f t="shared" si="2"/>
        <v>4</v>
      </c>
      <c r="F52">
        <f t="shared" si="3"/>
        <v>7</v>
      </c>
      <c r="G52">
        <f>Table2[[#This Row],[L_A]]+Table2[[#This Row],[S_B]]</f>
        <v>3</v>
      </c>
      <c r="H52">
        <f>Table2[[#This Row],[L_B]]+Table2[[#This Row],[S_A]]</f>
        <v>-3</v>
      </c>
    </row>
    <row r="53" spans="2:8">
      <c r="B53">
        <v>46</v>
      </c>
      <c r="C53">
        <f t="shared" si="0"/>
        <v>-4</v>
      </c>
      <c r="D53">
        <f t="shared" si="1"/>
        <v>-7</v>
      </c>
      <c r="E53">
        <f t="shared" si="2"/>
        <v>4</v>
      </c>
      <c r="F53">
        <f t="shared" si="3"/>
        <v>7</v>
      </c>
      <c r="G53">
        <f>Table2[[#This Row],[L_A]]+Table2[[#This Row],[S_B]]</f>
        <v>3</v>
      </c>
      <c r="H53">
        <f>Table2[[#This Row],[L_B]]+Table2[[#This Row],[S_A]]</f>
        <v>-3</v>
      </c>
    </row>
    <row r="54" spans="2:8">
      <c r="B54">
        <v>47</v>
      </c>
      <c r="C54">
        <f t="shared" si="0"/>
        <v>-4</v>
      </c>
      <c r="D54">
        <f t="shared" si="1"/>
        <v>-7</v>
      </c>
      <c r="E54">
        <f t="shared" si="2"/>
        <v>4</v>
      </c>
      <c r="F54">
        <f t="shared" si="3"/>
        <v>7</v>
      </c>
      <c r="G54">
        <f>Table2[[#This Row],[L_A]]+Table2[[#This Row],[S_B]]</f>
        <v>3</v>
      </c>
      <c r="H54">
        <f>Table2[[#This Row],[L_B]]+Table2[[#This Row],[S_A]]</f>
        <v>-3</v>
      </c>
    </row>
    <row r="55" spans="2:8">
      <c r="B55">
        <v>48</v>
      </c>
      <c r="C55">
        <f t="shared" si="0"/>
        <v>-4</v>
      </c>
      <c r="D55">
        <f t="shared" si="1"/>
        <v>-7</v>
      </c>
      <c r="E55">
        <f t="shared" si="2"/>
        <v>4</v>
      </c>
      <c r="F55">
        <f t="shared" si="3"/>
        <v>7</v>
      </c>
      <c r="G55">
        <f>Table2[[#This Row],[L_A]]+Table2[[#This Row],[S_B]]</f>
        <v>3</v>
      </c>
      <c r="H55">
        <f>Table2[[#This Row],[L_B]]+Table2[[#This Row],[S_A]]</f>
        <v>-3</v>
      </c>
    </row>
    <row r="56" spans="2:8">
      <c r="B56">
        <v>49</v>
      </c>
      <c r="C56">
        <f t="shared" si="0"/>
        <v>-4</v>
      </c>
      <c r="D56">
        <f t="shared" si="1"/>
        <v>-7</v>
      </c>
      <c r="E56">
        <f t="shared" si="2"/>
        <v>4</v>
      </c>
      <c r="F56">
        <f t="shared" si="3"/>
        <v>7</v>
      </c>
      <c r="G56">
        <f>Table2[[#This Row],[L_A]]+Table2[[#This Row],[S_B]]</f>
        <v>3</v>
      </c>
      <c r="H56">
        <f>Table2[[#This Row],[L_B]]+Table2[[#This Row],[S_A]]</f>
        <v>-3</v>
      </c>
    </row>
    <row r="57" spans="2:8">
      <c r="B57">
        <v>50</v>
      </c>
      <c r="C57">
        <f t="shared" si="0"/>
        <v>-4</v>
      </c>
      <c r="D57">
        <f t="shared" si="1"/>
        <v>-7</v>
      </c>
      <c r="E57">
        <f t="shared" si="2"/>
        <v>4</v>
      </c>
      <c r="F57">
        <f t="shared" si="3"/>
        <v>7</v>
      </c>
      <c r="G57">
        <f>Table2[[#This Row],[L_A]]+Table2[[#This Row],[S_B]]</f>
        <v>3</v>
      </c>
      <c r="H57">
        <f>Table2[[#This Row],[L_B]]+Table2[[#This Row],[S_A]]</f>
        <v>-3</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F8203-2521-4BCF-85E7-A43375FA1710}">
  <dimension ref="B2:M61"/>
  <sheetViews>
    <sheetView showGridLines="0" zoomScale="83" workbookViewId="0">
      <selection activeCell="H4" sqref="H4"/>
    </sheetView>
  </sheetViews>
  <sheetFormatPr defaultRowHeight="16"/>
  <cols>
    <col min="5" max="5" width="14.6640625" customWidth="1"/>
    <col min="6" max="6" width="15.4140625" customWidth="1"/>
    <col min="9" max="9" width="13.33203125" customWidth="1"/>
    <col min="10" max="10" width="12" customWidth="1"/>
    <col min="11" max="11" width="11" bestFit="1" customWidth="1"/>
    <col min="12" max="12" width="9.08203125" bestFit="1" customWidth="1"/>
  </cols>
  <sheetData>
    <row r="2" spans="2:13">
      <c r="I2" t="s">
        <v>1842</v>
      </c>
      <c r="J2" t="s">
        <v>1843</v>
      </c>
      <c r="K2" t="s">
        <v>1844</v>
      </c>
      <c r="L2" t="s">
        <v>1845</v>
      </c>
      <c r="M2" t="s">
        <v>1846</v>
      </c>
    </row>
    <row r="3" spans="2:13">
      <c r="I3" t="s">
        <v>1847</v>
      </c>
      <c r="J3">
        <v>20</v>
      </c>
      <c r="K3">
        <v>3</v>
      </c>
      <c r="L3">
        <v>18</v>
      </c>
      <c r="M3">
        <v>19</v>
      </c>
    </row>
    <row r="5" spans="2:13">
      <c r="I5" t="s">
        <v>1848</v>
      </c>
      <c r="J5" t="s">
        <v>1849</v>
      </c>
    </row>
    <row r="6" spans="2:13">
      <c r="I6" t="s">
        <v>1850</v>
      </c>
      <c r="J6" s="389">
        <v>0.4</v>
      </c>
    </row>
    <row r="8" spans="2:13">
      <c r="I8" t="s">
        <v>1851</v>
      </c>
    </row>
    <row r="9" spans="2:13">
      <c r="I9" s="389">
        <v>0.05</v>
      </c>
    </row>
    <row r="10" spans="2:13">
      <c r="B10" t="s">
        <v>1852</v>
      </c>
      <c r="C10" t="s">
        <v>1853</v>
      </c>
    </row>
    <row r="11" spans="2:13">
      <c r="B11">
        <v>0</v>
      </c>
      <c r="C11" cm="1">
        <f t="array" ref="C11">IF(B11&lt;Table5[Barrera],0,MAX(B11-Table5[K (Oz)],0))</f>
        <v>0</v>
      </c>
      <c r="E11" t="s">
        <v>1833</v>
      </c>
      <c r="F11" t="s">
        <v>866</v>
      </c>
      <c r="G11" t="s">
        <v>869</v>
      </c>
      <c r="H11" t="s">
        <v>1854</v>
      </c>
      <c r="I11" t="s">
        <v>1855</v>
      </c>
    </row>
    <row r="12" spans="2:13">
      <c r="B12">
        <v>1</v>
      </c>
      <c r="C12" cm="1">
        <f t="array" ref="C12">IF(B12&lt;Table5[Barrera],0,MAX(B12-Table5[K (Oz)],0))</f>
        <v>0</v>
      </c>
      <c r="E12" t="s">
        <v>1856</v>
      </c>
      <c r="F12" cm="1">
        <f t="array" ref="F12">(LN(Table5[[Spot ]]/Table5[K (Oz)])+0.5*Table6[Volatilidad]^2*(Table5[T (meses)]/12))/(Table6[Volatilidad]*SQRT((Table5[T (meses)]/12)))</f>
        <v>-0.15646647193775287</v>
      </c>
      <c r="G12" cm="1">
        <f t="array" ref="G12">F12-Table6[Volatilidad]*SQRT(Table5[T (meses)]/12)</f>
        <v>-0.35646647193775288</v>
      </c>
      <c r="H12" cm="1">
        <f t="array" ref="H12">Table5[[Spot ]]*_xlfn.NORM.S.DIST(F12,TRUE)-Table5[K (Oz)]*_xlfn.NORM.S.DIST(G12,TRUE)</f>
        <v>1.1039082127353943</v>
      </c>
      <c r="I12" cm="1">
        <f t="array" ref="I12">EXP(-Table7[Tasa Libre R.]*(Table5[T (meses)]/12))*H12</f>
        <v>1.0901952446803524</v>
      </c>
    </row>
    <row r="13" spans="2:13">
      <c r="B13">
        <v>2</v>
      </c>
      <c r="C13" cm="1">
        <f t="array" ref="C13">IF(B13&lt;Table5[Barrera],0,MAX(B13-Table5[K (Oz)],0))</f>
        <v>0</v>
      </c>
    </row>
    <row r="14" spans="2:13">
      <c r="B14">
        <v>3</v>
      </c>
      <c r="C14" cm="1">
        <f t="array" ref="C14">IF(B14&lt;Table5[Barrera],0,MAX(B14-Table5[K (Oz)],0))</f>
        <v>0</v>
      </c>
    </row>
    <row r="15" spans="2:13">
      <c r="B15">
        <v>4</v>
      </c>
      <c r="C15" cm="1">
        <f t="array" ref="C15">IF(B15&lt;Table5[Barrera],0,MAX(B15-Table5[K (Oz)],0))</f>
        <v>0</v>
      </c>
      <c r="E15" t="s">
        <v>1853</v>
      </c>
      <c r="F15" t="s">
        <v>1857</v>
      </c>
    </row>
    <row r="16" spans="2:13" ht="409.5">
      <c r="B16">
        <v>5</v>
      </c>
      <c r="C16" cm="1">
        <f t="array" ref="C16">IF(B16&lt;Table5[Barrera],0,MAX(B16-Table5[K (Oz)],0))</f>
        <v>0</v>
      </c>
      <c r="E16" s="78" t="s">
        <v>1858</v>
      </c>
      <c r="F16">
        <v>0.71620531735182102</v>
      </c>
    </row>
    <row r="17" spans="2:6">
      <c r="B17">
        <v>6</v>
      </c>
      <c r="C17" cm="1">
        <f t="array" ref="C17">IF(B17&lt;Table5[Barrera],0,MAX(B17-Table5[K (Oz)],0))</f>
        <v>0</v>
      </c>
    </row>
    <row r="18" spans="2:6">
      <c r="B18">
        <v>7</v>
      </c>
      <c r="C18" cm="1">
        <f t="array" ref="C18">IF(B18&lt;Table5[Barrera],0,MAX(B18-Table5[K (Oz)],0))</f>
        <v>0</v>
      </c>
    </row>
    <row r="19" spans="2:6">
      <c r="B19">
        <v>8</v>
      </c>
      <c r="C19" t="s">
        <v>1859</v>
      </c>
      <c r="E19" t="s">
        <v>1834</v>
      </c>
      <c r="F19" t="s">
        <v>1860</v>
      </c>
    </row>
    <row r="20" spans="2:6">
      <c r="B20">
        <v>9</v>
      </c>
      <c r="C20" cm="1">
        <f t="array" ref="C20">IF(B20&lt;Table5[Barrera],0,MAX(B20-Table5[K (Oz)],0))</f>
        <v>0</v>
      </c>
      <c r="E20" t="s">
        <v>1861</v>
      </c>
      <c r="F20">
        <v>0.39148792361856255</v>
      </c>
    </row>
    <row r="21" spans="2:6">
      <c r="B21">
        <v>10</v>
      </c>
      <c r="C21" cm="1">
        <f t="array" ref="C21">IF(B21&lt;Table5[Barrera],0,MAX(B21-Table5[K (Oz)],0))</f>
        <v>0</v>
      </c>
    </row>
    <row r="22" spans="2:6">
      <c r="B22">
        <v>11</v>
      </c>
      <c r="C22" cm="1">
        <f t="array" ref="C22">IF(B22&lt;Table5[Barrera],0,MAX(B22-Table5[K (Oz)],0))</f>
        <v>0</v>
      </c>
    </row>
    <row r="23" spans="2:6">
      <c r="B23">
        <v>12</v>
      </c>
      <c r="C23" cm="1">
        <f t="array" ref="C23">IF(B23&lt;Table5[Barrera],0,MAX(B23-Table5[K (Oz)],0))</f>
        <v>0</v>
      </c>
    </row>
    <row r="24" spans="2:6">
      <c r="B24">
        <v>13</v>
      </c>
      <c r="C24" cm="1">
        <f t="array" ref="C24">IF(B24&lt;Table5[Barrera],0,MAX(B24-Table5[K (Oz)],0))</f>
        <v>0</v>
      </c>
    </row>
    <row r="25" spans="2:6">
      <c r="B25">
        <v>14</v>
      </c>
      <c r="C25" cm="1">
        <f t="array" ref="C25">IF(B25&lt;Table5[Barrera],0,MAX(B25-Table5[K (Oz)],0))</f>
        <v>0</v>
      </c>
    </row>
    <row r="26" spans="2:6">
      <c r="B26">
        <v>15</v>
      </c>
      <c r="C26" cm="1">
        <f t="array" ref="C26">IF(B26&lt;Table5[Barrera],0,MAX(B26-Table5[K (Oz)],0))</f>
        <v>0</v>
      </c>
    </row>
    <row r="27" spans="2:6">
      <c r="B27">
        <v>16</v>
      </c>
      <c r="C27" cm="1">
        <f t="array" ref="C27">IF(B27&lt;Table5[Barrera],0,MAX(B27-Table5[K (Oz)],0))</f>
        <v>0</v>
      </c>
    </row>
    <row r="28" spans="2:6">
      <c r="B28">
        <v>17</v>
      </c>
      <c r="C28" cm="1">
        <f t="array" ref="C28">IF(B28&lt;Table5[Barrera],0,MAX(B28-Table5[K (Oz)],0))</f>
        <v>0</v>
      </c>
    </row>
    <row r="29" spans="2:6">
      <c r="B29">
        <v>18</v>
      </c>
      <c r="C29" cm="1">
        <f t="array" ref="C29">IF(B29&lt;Table5[Barrera],0,MAX(B29-Table5[K (Oz)],0))</f>
        <v>0</v>
      </c>
    </row>
    <row r="30" spans="2:6">
      <c r="B30">
        <v>19</v>
      </c>
      <c r="C30" cm="1">
        <f t="array" ref="C30">IF(B30&lt;Table5[Barrera],0,MAX(B30-Table5[K (Oz)],0))</f>
        <v>0</v>
      </c>
    </row>
    <row r="31" spans="2:6">
      <c r="B31">
        <v>20</v>
      </c>
      <c r="C31" cm="1">
        <f t="array" ref="C31">IF(B31&lt;Table5[Barrera],0,MAX(B31-Table5[K (Oz)],0))</f>
        <v>0</v>
      </c>
    </row>
    <row r="32" spans="2:6">
      <c r="B32">
        <v>21</v>
      </c>
      <c r="C32" cm="1">
        <f t="array" ref="C32">IF(B32&lt;Table5[Barrera],0,MAX(B32-Table5[K (Oz)],0))</f>
        <v>1</v>
      </c>
    </row>
    <row r="33" spans="2:3">
      <c r="B33">
        <v>22</v>
      </c>
      <c r="C33" cm="1">
        <f t="array" ref="C33">IF(B33&lt;Table5[Barrera],0,MAX(B33-Table5[K (Oz)],0))</f>
        <v>2</v>
      </c>
    </row>
    <row r="34" spans="2:3">
      <c r="B34">
        <v>23</v>
      </c>
      <c r="C34" cm="1">
        <f t="array" ref="C34">IF(B34&lt;Table5[Barrera],0,MAX(B34-Table5[K (Oz)],0))</f>
        <v>3</v>
      </c>
    </row>
    <row r="35" spans="2:3">
      <c r="B35">
        <v>24</v>
      </c>
      <c r="C35" cm="1">
        <f t="array" ref="C35">IF(B35&lt;Table5[Barrera],0,MAX(B35-Table5[K (Oz)],0))</f>
        <v>4</v>
      </c>
    </row>
    <row r="36" spans="2:3">
      <c r="B36">
        <v>25</v>
      </c>
      <c r="C36" cm="1">
        <f t="array" ref="C36">IF(B36&lt;Table5[Barrera],0,MAX(B36-Table5[K (Oz)],0))</f>
        <v>5</v>
      </c>
    </row>
    <row r="37" spans="2:3">
      <c r="B37">
        <v>26</v>
      </c>
      <c r="C37" cm="1">
        <f t="array" ref="C37">IF(B37&lt;Table5[Barrera],0,MAX(B37-Table5[K (Oz)],0))</f>
        <v>6</v>
      </c>
    </row>
    <row r="38" spans="2:3">
      <c r="B38">
        <v>27</v>
      </c>
      <c r="C38" cm="1">
        <f t="array" ref="C38">IF(B38&lt;Table5[Barrera],0,MAX(B38-Table5[K (Oz)],0))</f>
        <v>7</v>
      </c>
    </row>
    <row r="39" spans="2:3">
      <c r="B39">
        <v>28</v>
      </c>
      <c r="C39" cm="1">
        <f t="array" ref="C39">IF(B39&lt;Table5[Barrera],0,MAX(B39-Table5[K (Oz)],0))</f>
        <v>8</v>
      </c>
    </row>
    <row r="40" spans="2:3">
      <c r="B40">
        <v>29</v>
      </c>
      <c r="C40" cm="1">
        <f t="array" ref="C40">IF(B40&lt;Table5[Barrera],0,MAX(B40-Table5[K (Oz)],0))</f>
        <v>9</v>
      </c>
    </row>
    <row r="41" spans="2:3">
      <c r="B41">
        <v>30</v>
      </c>
      <c r="C41" cm="1">
        <f t="array" ref="C41">IF(B41&lt;Table5[Barrera],0,MAX(B41-Table5[K (Oz)],0))</f>
        <v>10</v>
      </c>
    </row>
    <row r="42" spans="2:3">
      <c r="B42">
        <v>31</v>
      </c>
      <c r="C42" cm="1">
        <f t="array" ref="C42">IF(B42&lt;Table5[Barrera],0,MAX(B42-Table5[K (Oz)],0))</f>
        <v>11</v>
      </c>
    </row>
    <row r="43" spans="2:3">
      <c r="B43">
        <v>32</v>
      </c>
      <c r="C43" cm="1">
        <f t="array" ref="C43">IF(B43&lt;Table5[Barrera],0,MAX(B43-Table5[K (Oz)],0))</f>
        <v>12</v>
      </c>
    </row>
    <row r="44" spans="2:3">
      <c r="B44">
        <v>33</v>
      </c>
      <c r="C44" cm="1">
        <f t="array" ref="C44">IF(B44&lt;Table5[Barrera],0,MAX(B44-Table5[K (Oz)],0))</f>
        <v>13</v>
      </c>
    </row>
    <row r="45" spans="2:3">
      <c r="B45">
        <v>34</v>
      </c>
      <c r="C45" cm="1">
        <f t="array" ref="C45">IF(B45&lt;Table5[Barrera],0,MAX(B45-Table5[K (Oz)],0))</f>
        <v>14</v>
      </c>
    </row>
    <row r="46" spans="2:3">
      <c r="B46">
        <v>35</v>
      </c>
      <c r="C46" cm="1">
        <f t="array" ref="C46">IF(B46&lt;Table5[Barrera],0,MAX(B46-Table5[K (Oz)],0))</f>
        <v>15</v>
      </c>
    </row>
    <row r="47" spans="2:3">
      <c r="B47">
        <v>36</v>
      </c>
      <c r="C47" cm="1">
        <f t="array" ref="C47">IF(B47&lt;Table5[Barrera],0,MAX(B47-Table5[K (Oz)],0))</f>
        <v>16</v>
      </c>
    </row>
    <row r="48" spans="2:3">
      <c r="B48">
        <v>37</v>
      </c>
      <c r="C48" cm="1">
        <f t="array" ref="C48">IF(B48&lt;Table5[Barrera],0,MAX(B48-Table5[K (Oz)],0))</f>
        <v>17</v>
      </c>
    </row>
    <row r="49" spans="2:3">
      <c r="B49">
        <v>38</v>
      </c>
      <c r="C49" cm="1">
        <f t="array" ref="C49">IF(B49&lt;Table5[Barrera],0,MAX(B49-Table5[K (Oz)],0))</f>
        <v>18</v>
      </c>
    </row>
    <row r="50" spans="2:3">
      <c r="B50">
        <v>39</v>
      </c>
      <c r="C50" cm="1">
        <f t="array" ref="C50">IF(B50&lt;Table5[Barrera],0,MAX(B50-Table5[K (Oz)],0))</f>
        <v>19</v>
      </c>
    </row>
    <row r="51" spans="2:3">
      <c r="B51">
        <v>40</v>
      </c>
      <c r="C51" cm="1">
        <f t="array" ref="C51">IF(B51&lt;Table5[Barrera],0,MAX(B51-Table5[K (Oz)],0))</f>
        <v>20</v>
      </c>
    </row>
    <row r="52" spans="2:3">
      <c r="B52">
        <v>41</v>
      </c>
      <c r="C52" cm="1">
        <f t="array" ref="C52">IF(B52&lt;Table5[Barrera],0,MAX(B52-Table5[K (Oz)],0))</f>
        <v>21</v>
      </c>
    </row>
    <row r="53" spans="2:3">
      <c r="B53">
        <v>42</v>
      </c>
      <c r="C53" cm="1">
        <f t="array" ref="C53">IF(B53&lt;Table5[Barrera],0,MAX(B53-Table5[K (Oz)],0))</f>
        <v>22</v>
      </c>
    </row>
    <row r="54" spans="2:3">
      <c r="B54">
        <v>43</v>
      </c>
      <c r="C54" cm="1">
        <f t="array" ref="C54">IF(B54&lt;Table5[Barrera],0,MAX(B54-Table5[K (Oz)],0))</f>
        <v>23</v>
      </c>
    </row>
    <row r="55" spans="2:3">
      <c r="B55">
        <v>44</v>
      </c>
      <c r="C55" cm="1">
        <f t="array" ref="C55">IF(B55&lt;Table5[Barrera],0,MAX(B55-Table5[K (Oz)],0))</f>
        <v>24</v>
      </c>
    </row>
    <row r="56" spans="2:3">
      <c r="B56">
        <v>45</v>
      </c>
      <c r="C56" cm="1">
        <f t="array" ref="C56">IF(B56&lt;Table5[Barrera],0,MAX(B56-Table5[K (Oz)],0))</f>
        <v>25</v>
      </c>
    </row>
    <row r="57" spans="2:3">
      <c r="B57">
        <v>46</v>
      </c>
      <c r="C57" cm="1">
        <f t="array" ref="C57">IF(B57&lt;Table5[Barrera],0,MAX(B57-Table5[K (Oz)],0))</f>
        <v>26</v>
      </c>
    </row>
    <row r="58" spans="2:3">
      <c r="B58">
        <v>47</v>
      </c>
      <c r="C58" cm="1">
        <f t="array" ref="C58">IF(B58&lt;Table5[Barrera],0,MAX(B58-Table5[K (Oz)],0))</f>
        <v>27</v>
      </c>
    </row>
    <row r="59" spans="2:3">
      <c r="B59">
        <v>48</v>
      </c>
      <c r="C59" cm="1">
        <f t="array" ref="C59">IF(B59&lt;Table5[Barrera],0,MAX(B59-Table5[K (Oz)],0))</f>
        <v>28</v>
      </c>
    </row>
    <row r="60" spans="2:3">
      <c r="B60">
        <v>49</v>
      </c>
      <c r="C60" cm="1">
        <f t="array" ref="C60">IF(B60&lt;Table5[Barrera],0,MAX(B60-Table5[K (Oz)],0))</f>
        <v>29</v>
      </c>
    </row>
    <row r="61" spans="2:3">
      <c r="B61">
        <v>50</v>
      </c>
      <c r="C61" cm="1">
        <f t="array" ref="C61">IF(B61&lt;Table5[Barrera],0,MAX(B61-Table5[K (Oz)],0))</f>
        <v>30</v>
      </c>
    </row>
  </sheetData>
  <pageMargins left="0.7" right="0.7" top="0.75" bottom="0.75" header="0.3" footer="0.3"/>
  <drawing r:id="rId1"/>
  <tableParts count="7">
    <tablePart r:id="rId2"/>
    <tablePart r:id="rId3"/>
    <tablePart r:id="rId4"/>
    <tablePart r:id="rId5"/>
    <tablePart r:id="rId6"/>
    <tablePart r:id="rId7"/>
    <tablePart r:id="rId8"/>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1D42E-9917-42DE-A544-D204DC064B74}">
  <dimension ref="B6:F129"/>
  <sheetViews>
    <sheetView showGridLines="0" workbookViewId="0">
      <selection activeCell="M18" sqref="M18"/>
    </sheetView>
  </sheetViews>
  <sheetFormatPr defaultRowHeight="16"/>
  <cols>
    <col min="3" max="3" width="9.75" bestFit="1" customWidth="1"/>
  </cols>
  <sheetData>
    <row r="6" spans="2:4">
      <c r="B6" t="s">
        <v>1862</v>
      </c>
      <c r="C6" t="s">
        <v>1863</v>
      </c>
      <c r="D6" t="s">
        <v>114</v>
      </c>
    </row>
    <row r="7" spans="2:4">
      <c r="B7">
        <v>1</v>
      </c>
      <c r="C7">
        <v>0</v>
      </c>
      <c r="D7">
        <v>0</v>
      </c>
    </row>
    <row r="8" spans="2:4">
      <c r="B8">
        <v>2</v>
      </c>
      <c r="C8">
        <v>0</v>
      </c>
      <c r="D8">
        <v>0</v>
      </c>
    </row>
    <row r="9" spans="2:4">
      <c r="B9">
        <v>3</v>
      </c>
      <c r="C9">
        <v>1</v>
      </c>
      <c r="D9">
        <v>110</v>
      </c>
    </row>
    <row r="10" spans="2:4">
      <c r="B10">
        <v>4</v>
      </c>
      <c r="C10">
        <v>1</v>
      </c>
      <c r="D10">
        <v>110</v>
      </c>
    </row>
    <row r="11" spans="2:4">
      <c r="B11">
        <v>5</v>
      </c>
      <c r="C11">
        <v>1</v>
      </c>
      <c r="D11">
        <v>107.5</v>
      </c>
    </row>
    <row r="12" spans="2:4">
      <c r="B12">
        <v>6</v>
      </c>
      <c r="C12">
        <v>1</v>
      </c>
      <c r="D12">
        <v>107.5</v>
      </c>
    </row>
    <row r="13" spans="2:4">
      <c r="B13">
        <v>7</v>
      </c>
      <c r="C13">
        <v>1</v>
      </c>
      <c r="D13">
        <v>106</v>
      </c>
    </row>
    <row r="14" spans="2:4">
      <c r="B14">
        <v>8</v>
      </c>
      <c r="C14">
        <v>1</v>
      </c>
      <c r="D14">
        <v>106</v>
      </c>
    </row>
    <row r="15" spans="2:4">
      <c r="B15">
        <v>9</v>
      </c>
      <c r="C15">
        <v>1</v>
      </c>
      <c r="D15">
        <v>103</v>
      </c>
    </row>
    <row r="16" spans="2:4">
      <c r="B16">
        <v>10</v>
      </c>
      <c r="C16">
        <v>1</v>
      </c>
      <c r="D16">
        <v>103</v>
      </c>
    </row>
    <row r="20" spans="2:6">
      <c r="B20" t="s">
        <v>1835</v>
      </c>
      <c r="C20" t="s">
        <v>1864</v>
      </c>
      <c r="D20" t="s">
        <v>1865</v>
      </c>
      <c r="E20" t="s">
        <v>1866</v>
      </c>
      <c r="F20" t="s">
        <v>1867</v>
      </c>
    </row>
    <row r="21" spans="2:6">
      <c r="B21">
        <v>50</v>
      </c>
      <c r="C21">
        <f>MAX(B21-$D$9,0)</f>
        <v>0</v>
      </c>
      <c r="D21">
        <f>MAX(B21-$D$11,0)</f>
        <v>0</v>
      </c>
      <c r="E21">
        <f>MAX(B21-$D$13,0)</f>
        <v>0</v>
      </c>
      <c r="F21">
        <f>MAX(B21-$D$15,0)</f>
        <v>0</v>
      </c>
    </row>
    <row r="22" spans="2:6">
      <c r="B22">
        <v>51</v>
      </c>
      <c r="C22">
        <f t="shared" ref="C22:C85" si="0">MAX(B22-$D$9,0)</f>
        <v>0</v>
      </c>
      <c r="D22">
        <f t="shared" ref="D22:D85" si="1">MAX(B22-$D$11,0)</f>
        <v>0</v>
      </c>
      <c r="E22">
        <f t="shared" ref="E22:E85" si="2">MAX(B22-$D$13,0)</f>
        <v>0</v>
      </c>
      <c r="F22">
        <f t="shared" ref="F22:F85" si="3">MAX(B22-$D$15,0)</f>
        <v>0</v>
      </c>
    </row>
    <row r="23" spans="2:6">
      <c r="B23">
        <v>52</v>
      </c>
      <c r="C23">
        <f t="shared" si="0"/>
        <v>0</v>
      </c>
      <c r="D23">
        <f t="shared" si="1"/>
        <v>0</v>
      </c>
      <c r="E23">
        <f t="shared" si="2"/>
        <v>0</v>
      </c>
      <c r="F23">
        <f t="shared" si="3"/>
        <v>0</v>
      </c>
    </row>
    <row r="24" spans="2:6">
      <c r="B24">
        <v>53</v>
      </c>
      <c r="C24">
        <f t="shared" si="0"/>
        <v>0</v>
      </c>
      <c r="D24">
        <f t="shared" si="1"/>
        <v>0</v>
      </c>
      <c r="E24">
        <f t="shared" si="2"/>
        <v>0</v>
      </c>
      <c r="F24">
        <f t="shared" si="3"/>
        <v>0</v>
      </c>
    </row>
    <row r="25" spans="2:6">
      <c r="B25">
        <v>54</v>
      </c>
      <c r="C25">
        <f t="shared" si="0"/>
        <v>0</v>
      </c>
      <c r="D25">
        <f t="shared" si="1"/>
        <v>0</v>
      </c>
      <c r="E25">
        <f t="shared" si="2"/>
        <v>0</v>
      </c>
      <c r="F25">
        <f t="shared" si="3"/>
        <v>0</v>
      </c>
    </row>
    <row r="26" spans="2:6">
      <c r="B26">
        <v>55</v>
      </c>
      <c r="C26">
        <f t="shared" si="0"/>
        <v>0</v>
      </c>
      <c r="D26">
        <f t="shared" si="1"/>
        <v>0</v>
      </c>
      <c r="E26">
        <f t="shared" si="2"/>
        <v>0</v>
      </c>
      <c r="F26">
        <f t="shared" si="3"/>
        <v>0</v>
      </c>
    </row>
    <row r="27" spans="2:6">
      <c r="B27">
        <v>56</v>
      </c>
      <c r="C27">
        <f t="shared" si="0"/>
        <v>0</v>
      </c>
      <c r="D27">
        <f t="shared" si="1"/>
        <v>0</v>
      </c>
      <c r="E27">
        <f t="shared" si="2"/>
        <v>0</v>
      </c>
      <c r="F27">
        <f t="shared" si="3"/>
        <v>0</v>
      </c>
    </row>
    <row r="28" spans="2:6">
      <c r="B28">
        <v>57</v>
      </c>
      <c r="C28">
        <f t="shared" si="0"/>
        <v>0</v>
      </c>
      <c r="D28">
        <f t="shared" si="1"/>
        <v>0</v>
      </c>
      <c r="E28">
        <f t="shared" si="2"/>
        <v>0</v>
      </c>
      <c r="F28">
        <f t="shared" si="3"/>
        <v>0</v>
      </c>
    </row>
    <row r="29" spans="2:6">
      <c r="B29">
        <v>58</v>
      </c>
      <c r="C29">
        <f t="shared" si="0"/>
        <v>0</v>
      </c>
      <c r="D29">
        <f t="shared" si="1"/>
        <v>0</v>
      </c>
      <c r="E29">
        <f t="shared" si="2"/>
        <v>0</v>
      </c>
      <c r="F29">
        <f t="shared" si="3"/>
        <v>0</v>
      </c>
    </row>
    <row r="30" spans="2:6">
      <c r="B30">
        <v>59</v>
      </c>
      <c r="C30">
        <f t="shared" si="0"/>
        <v>0</v>
      </c>
      <c r="D30">
        <f t="shared" si="1"/>
        <v>0</v>
      </c>
      <c r="E30">
        <f t="shared" si="2"/>
        <v>0</v>
      </c>
      <c r="F30">
        <f t="shared" si="3"/>
        <v>0</v>
      </c>
    </row>
    <row r="31" spans="2:6">
      <c r="B31">
        <v>60</v>
      </c>
      <c r="C31">
        <f t="shared" si="0"/>
        <v>0</v>
      </c>
      <c r="D31">
        <f t="shared" si="1"/>
        <v>0</v>
      </c>
      <c r="E31">
        <f t="shared" si="2"/>
        <v>0</v>
      </c>
      <c r="F31">
        <f t="shared" si="3"/>
        <v>0</v>
      </c>
    </row>
    <row r="32" spans="2:6">
      <c r="B32">
        <v>61</v>
      </c>
      <c r="C32">
        <f t="shared" si="0"/>
        <v>0</v>
      </c>
      <c r="D32">
        <f t="shared" si="1"/>
        <v>0</v>
      </c>
      <c r="E32">
        <f t="shared" si="2"/>
        <v>0</v>
      </c>
      <c r="F32">
        <f t="shared" si="3"/>
        <v>0</v>
      </c>
    </row>
    <row r="33" spans="2:6">
      <c r="B33">
        <v>62</v>
      </c>
      <c r="C33">
        <f t="shared" si="0"/>
        <v>0</v>
      </c>
      <c r="D33">
        <f t="shared" si="1"/>
        <v>0</v>
      </c>
      <c r="E33">
        <f t="shared" si="2"/>
        <v>0</v>
      </c>
      <c r="F33">
        <f t="shared" si="3"/>
        <v>0</v>
      </c>
    </row>
    <row r="34" spans="2:6">
      <c r="B34">
        <v>63</v>
      </c>
      <c r="C34">
        <f t="shared" si="0"/>
        <v>0</v>
      </c>
      <c r="D34">
        <f t="shared" si="1"/>
        <v>0</v>
      </c>
      <c r="E34">
        <f t="shared" si="2"/>
        <v>0</v>
      </c>
      <c r="F34">
        <f t="shared" si="3"/>
        <v>0</v>
      </c>
    </row>
    <row r="35" spans="2:6">
      <c r="B35">
        <v>64</v>
      </c>
      <c r="C35">
        <f t="shared" si="0"/>
        <v>0</v>
      </c>
      <c r="D35">
        <f t="shared" si="1"/>
        <v>0</v>
      </c>
      <c r="E35">
        <f t="shared" si="2"/>
        <v>0</v>
      </c>
      <c r="F35">
        <f t="shared" si="3"/>
        <v>0</v>
      </c>
    </row>
    <row r="36" spans="2:6">
      <c r="B36">
        <v>65</v>
      </c>
      <c r="C36">
        <f t="shared" si="0"/>
        <v>0</v>
      </c>
      <c r="D36">
        <f t="shared" si="1"/>
        <v>0</v>
      </c>
      <c r="E36">
        <f t="shared" si="2"/>
        <v>0</v>
      </c>
      <c r="F36">
        <f t="shared" si="3"/>
        <v>0</v>
      </c>
    </row>
    <row r="37" spans="2:6">
      <c r="B37">
        <v>66</v>
      </c>
      <c r="C37">
        <f t="shared" si="0"/>
        <v>0</v>
      </c>
      <c r="D37">
        <f t="shared" si="1"/>
        <v>0</v>
      </c>
      <c r="E37">
        <f t="shared" si="2"/>
        <v>0</v>
      </c>
      <c r="F37">
        <f t="shared" si="3"/>
        <v>0</v>
      </c>
    </row>
    <row r="38" spans="2:6">
      <c r="B38">
        <v>67</v>
      </c>
      <c r="C38">
        <f t="shared" si="0"/>
        <v>0</v>
      </c>
      <c r="D38">
        <f t="shared" si="1"/>
        <v>0</v>
      </c>
      <c r="E38">
        <f t="shared" si="2"/>
        <v>0</v>
      </c>
      <c r="F38">
        <f t="shared" si="3"/>
        <v>0</v>
      </c>
    </row>
    <row r="39" spans="2:6">
      <c r="B39">
        <v>68</v>
      </c>
      <c r="C39">
        <f t="shared" si="0"/>
        <v>0</v>
      </c>
      <c r="D39">
        <f t="shared" si="1"/>
        <v>0</v>
      </c>
      <c r="E39">
        <f t="shared" si="2"/>
        <v>0</v>
      </c>
      <c r="F39">
        <f t="shared" si="3"/>
        <v>0</v>
      </c>
    </row>
    <row r="40" spans="2:6">
      <c r="B40">
        <v>69</v>
      </c>
      <c r="C40">
        <f t="shared" si="0"/>
        <v>0</v>
      </c>
      <c r="D40">
        <f t="shared" si="1"/>
        <v>0</v>
      </c>
      <c r="E40">
        <f t="shared" si="2"/>
        <v>0</v>
      </c>
      <c r="F40">
        <f t="shared" si="3"/>
        <v>0</v>
      </c>
    </row>
    <row r="41" spans="2:6">
      <c r="B41">
        <v>70</v>
      </c>
      <c r="C41">
        <f t="shared" si="0"/>
        <v>0</v>
      </c>
      <c r="D41">
        <f t="shared" si="1"/>
        <v>0</v>
      </c>
      <c r="E41">
        <f t="shared" si="2"/>
        <v>0</v>
      </c>
      <c r="F41">
        <f t="shared" si="3"/>
        <v>0</v>
      </c>
    </row>
    <row r="42" spans="2:6">
      <c r="B42">
        <v>71</v>
      </c>
      <c r="C42">
        <f t="shared" si="0"/>
        <v>0</v>
      </c>
      <c r="D42">
        <f t="shared" si="1"/>
        <v>0</v>
      </c>
      <c r="E42">
        <f t="shared" si="2"/>
        <v>0</v>
      </c>
      <c r="F42">
        <f t="shared" si="3"/>
        <v>0</v>
      </c>
    </row>
    <row r="43" spans="2:6">
      <c r="B43">
        <v>72</v>
      </c>
      <c r="C43">
        <f t="shared" si="0"/>
        <v>0</v>
      </c>
      <c r="D43">
        <f t="shared" si="1"/>
        <v>0</v>
      </c>
      <c r="E43">
        <f t="shared" si="2"/>
        <v>0</v>
      </c>
      <c r="F43">
        <f t="shared" si="3"/>
        <v>0</v>
      </c>
    </row>
    <row r="44" spans="2:6">
      <c r="B44">
        <v>73</v>
      </c>
      <c r="C44">
        <f t="shared" si="0"/>
        <v>0</v>
      </c>
      <c r="D44">
        <f t="shared" si="1"/>
        <v>0</v>
      </c>
      <c r="E44">
        <f t="shared" si="2"/>
        <v>0</v>
      </c>
      <c r="F44">
        <f t="shared" si="3"/>
        <v>0</v>
      </c>
    </row>
    <row r="45" spans="2:6">
      <c r="B45">
        <v>74</v>
      </c>
      <c r="C45">
        <f t="shared" si="0"/>
        <v>0</v>
      </c>
      <c r="D45">
        <f t="shared" si="1"/>
        <v>0</v>
      </c>
      <c r="E45">
        <f t="shared" si="2"/>
        <v>0</v>
      </c>
      <c r="F45">
        <f t="shared" si="3"/>
        <v>0</v>
      </c>
    </row>
    <row r="46" spans="2:6">
      <c r="B46">
        <v>75</v>
      </c>
      <c r="C46">
        <f t="shared" si="0"/>
        <v>0</v>
      </c>
      <c r="D46">
        <f t="shared" si="1"/>
        <v>0</v>
      </c>
      <c r="E46">
        <f t="shared" si="2"/>
        <v>0</v>
      </c>
      <c r="F46">
        <f t="shared" si="3"/>
        <v>0</v>
      </c>
    </row>
    <row r="47" spans="2:6">
      <c r="B47">
        <v>76</v>
      </c>
      <c r="C47">
        <f t="shared" si="0"/>
        <v>0</v>
      </c>
      <c r="D47">
        <f t="shared" si="1"/>
        <v>0</v>
      </c>
      <c r="E47">
        <f t="shared" si="2"/>
        <v>0</v>
      </c>
      <c r="F47">
        <f t="shared" si="3"/>
        <v>0</v>
      </c>
    </row>
    <row r="48" spans="2:6">
      <c r="B48">
        <v>77</v>
      </c>
      <c r="C48">
        <f t="shared" si="0"/>
        <v>0</v>
      </c>
      <c r="D48">
        <f t="shared" si="1"/>
        <v>0</v>
      </c>
      <c r="E48">
        <f t="shared" si="2"/>
        <v>0</v>
      </c>
      <c r="F48">
        <f t="shared" si="3"/>
        <v>0</v>
      </c>
    </row>
    <row r="49" spans="2:6">
      <c r="B49">
        <v>78</v>
      </c>
      <c r="C49">
        <f t="shared" si="0"/>
        <v>0</v>
      </c>
      <c r="D49">
        <f t="shared" si="1"/>
        <v>0</v>
      </c>
      <c r="E49">
        <f t="shared" si="2"/>
        <v>0</v>
      </c>
      <c r="F49">
        <f t="shared" si="3"/>
        <v>0</v>
      </c>
    </row>
    <row r="50" spans="2:6">
      <c r="B50">
        <v>79</v>
      </c>
      <c r="C50">
        <f t="shared" si="0"/>
        <v>0</v>
      </c>
      <c r="D50">
        <f t="shared" si="1"/>
        <v>0</v>
      </c>
      <c r="E50">
        <f t="shared" si="2"/>
        <v>0</v>
      </c>
      <c r="F50">
        <f t="shared" si="3"/>
        <v>0</v>
      </c>
    </row>
    <row r="51" spans="2:6">
      <c r="B51">
        <v>80</v>
      </c>
      <c r="C51">
        <f t="shared" si="0"/>
        <v>0</v>
      </c>
      <c r="D51">
        <f t="shared" si="1"/>
        <v>0</v>
      </c>
      <c r="E51">
        <f t="shared" si="2"/>
        <v>0</v>
      </c>
      <c r="F51">
        <f t="shared" si="3"/>
        <v>0</v>
      </c>
    </row>
    <row r="52" spans="2:6">
      <c r="B52">
        <v>81</v>
      </c>
      <c r="C52">
        <f t="shared" si="0"/>
        <v>0</v>
      </c>
      <c r="D52">
        <f t="shared" si="1"/>
        <v>0</v>
      </c>
      <c r="E52">
        <f t="shared" si="2"/>
        <v>0</v>
      </c>
      <c r="F52">
        <f t="shared" si="3"/>
        <v>0</v>
      </c>
    </row>
    <row r="53" spans="2:6">
      <c r="B53">
        <v>82</v>
      </c>
      <c r="C53">
        <f t="shared" si="0"/>
        <v>0</v>
      </c>
      <c r="D53">
        <f t="shared" si="1"/>
        <v>0</v>
      </c>
      <c r="E53">
        <f t="shared" si="2"/>
        <v>0</v>
      </c>
      <c r="F53">
        <f t="shared" si="3"/>
        <v>0</v>
      </c>
    </row>
    <row r="54" spans="2:6">
      <c r="B54">
        <v>83</v>
      </c>
      <c r="C54">
        <f t="shared" si="0"/>
        <v>0</v>
      </c>
      <c r="D54">
        <f t="shared" si="1"/>
        <v>0</v>
      </c>
      <c r="E54">
        <f t="shared" si="2"/>
        <v>0</v>
      </c>
      <c r="F54">
        <f t="shared" si="3"/>
        <v>0</v>
      </c>
    </row>
    <row r="55" spans="2:6">
      <c r="B55">
        <v>84</v>
      </c>
      <c r="C55">
        <f t="shared" si="0"/>
        <v>0</v>
      </c>
      <c r="D55">
        <f t="shared" si="1"/>
        <v>0</v>
      </c>
      <c r="E55">
        <f t="shared" si="2"/>
        <v>0</v>
      </c>
      <c r="F55">
        <f t="shared" si="3"/>
        <v>0</v>
      </c>
    </row>
    <row r="56" spans="2:6">
      <c r="B56">
        <v>85</v>
      </c>
      <c r="C56">
        <f t="shared" si="0"/>
        <v>0</v>
      </c>
      <c r="D56">
        <f t="shared" si="1"/>
        <v>0</v>
      </c>
      <c r="E56">
        <f t="shared" si="2"/>
        <v>0</v>
      </c>
      <c r="F56">
        <f t="shared" si="3"/>
        <v>0</v>
      </c>
    </row>
    <row r="57" spans="2:6">
      <c r="B57">
        <v>86</v>
      </c>
      <c r="C57">
        <f t="shared" si="0"/>
        <v>0</v>
      </c>
      <c r="D57">
        <f t="shared" si="1"/>
        <v>0</v>
      </c>
      <c r="E57">
        <f t="shared" si="2"/>
        <v>0</v>
      </c>
      <c r="F57">
        <f t="shared" si="3"/>
        <v>0</v>
      </c>
    </row>
    <row r="58" spans="2:6">
      <c r="B58">
        <v>87</v>
      </c>
      <c r="C58">
        <f t="shared" si="0"/>
        <v>0</v>
      </c>
      <c r="D58">
        <f t="shared" si="1"/>
        <v>0</v>
      </c>
      <c r="E58">
        <f t="shared" si="2"/>
        <v>0</v>
      </c>
      <c r="F58">
        <f t="shared" si="3"/>
        <v>0</v>
      </c>
    </row>
    <row r="59" spans="2:6">
      <c r="B59">
        <v>88</v>
      </c>
      <c r="C59">
        <f t="shared" si="0"/>
        <v>0</v>
      </c>
      <c r="D59">
        <f t="shared" si="1"/>
        <v>0</v>
      </c>
      <c r="E59">
        <f t="shared" si="2"/>
        <v>0</v>
      </c>
      <c r="F59">
        <f t="shared" si="3"/>
        <v>0</v>
      </c>
    </row>
    <row r="60" spans="2:6">
      <c r="B60">
        <v>89</v>
      </c>
      <c r="C60">
        <f t="shared" si="0"/>
        <v>0</v>
      </c>
      <c r="D60">
        <f t="shared" si="1"/>
        <v>0</v>
      </c>
      <c r="E60">
        <f t="shared" si="2"/>
        <v>0</v>
      </c>
      <c r="F60">
        <f t="shared" si="3"/>
        <v>0</v>
      </c>
    </row>
    <row r="61" spans="2:6">
      <c r="B61">
        <v>90</v>
      </c>
      <c r="C61">
        <f t="shared" si="0"/>
        <v>0</v>
      </c>
      <c r="D61">
        <f t="shared" si="1"/>
        <v>0</v>
      </c>
      <c r="E61">
        <f t="shared" si="2"/>
        <v>0</v>
      </c>
      <c r="F61">
        <f t="shared" si="3"/>
        <v>0</v>
      </c>
    </row>
    <row r="62" spans="2:6">
      <c r="B62">
        <v>91</v>
      </c>
      <c r="C62">
        <f t="shared" si="0"/>
        <v>0</v>
      </c>
      <c r="D62">
        <f t="shared" si="1"/>
        <v>0</v>
      </c>
      <c r="E62">
        <f t="shared" si="2"/>
        <v>0</v>
      </c>
      <c r="F62">
        <f t="shared" si="3"/>
        <v>0</v>
      </c>
    </row>
    <row r="63" spans="2:6">
      <c r="B63">
        <v>92</v>
      </c>
      <c r="C63">
        <f t="shared" si="0"/>
        <v>0</v>
      </c>
      <c r="D63">
        <f t="shared" si="1"/>
        <v>0</v>
      </c>
      <c r="E63">
        <f t="shared" si="2"/>
        <v>0</v>
      </c>
      <c r="F63">
        <f t="shared" si="3"/>
        <v>0</v>
      </c>
    </row>
    <row r="64" spans="2:6">
      <c r="B64">
        <v>93</v>
      </c>
      <c r="C64">
        <f t="shared" si="0"/>
        <v>0</v>
      </c>
      <c r="D64">
        <f t="shared" si="1"/>
        <v>0</v>
      </c>
      <c r="E64">
        <f t="shared" si="2"/>
        <v>0</v>
      </c>
      <c r="F64">
        <f t="shared" si="3"/>
        <v>0</v>
      </c>
    </row>
    <row r="65" spans="2:6">
      <c r="B65">
        <v>94</v>
      </c>
      <c r="C65">
        <f t="shared" si="0"/>
        <v>0</v>
      </c>
      <c r="D65">
        <f t="shared" si="1"/>
        <v>0</v>
      </c>
      <c r="E65">
        <f t="shared" si="2"/>
        <v>0</v>
      </c>
      <c r="F65">
        <f t="shared" si="3"/>
        <v>0</v>
      </c>
    </row>
    <row r="66" spans="2:6">
      <c r="B66">
        <v>95</v>
      </c>
      <c r="C66">
        <f t="shared" si="0"/>
        <v>0</v>
      </c>
      <c r="D66">
        <f t="shared" si="1"/>
        <v>0</v>
      </c>
      <c r="E66">
        <f t="shared" si="2"/>
        <v>0</v>
      </c>
      <c r="F66">
        <f t="shared" si="3"/>
        <v>0</v>
      </c>
    </row>
    <row r="67" spans="2:6">
      <c r="B67">
        <v>96</v>
      </c>
      <c r="C67">
        <f t="shared" si="0"/>
        <v>0</v>
      </c>
      <c r="D67">
        <f t="shared" si="1"/>
        <v>0</v>
      </c>
      <c r="E67">
        <f t="shared" si="2"/>
        <v>0</v>
      </c>
      <c r="F67">
        <f t="shared" si="3"/>
        <v>0</v>
      </c>
    </row>
    <row r="68" spans="2:6">
      <c r="B68">
        <v>97</v>
      </c>
      <c r="C68">
        <f t="shared" si="0"/>
        <v>0</v>
      </c>
      <c r="D68">
        <f t="shared" si="1"/>
        <v>0</v>
      </c>
      <c r="E68">
        <f t="shared" si="2"/>
        <v>0</v>
      </c>
      <c r="F68">
        <f t="shared" si="3"/>
        <v>0</v>
      </c>
    </row>
    <row r="69" spans="2:6">
      <c r="B69">
        <v>98</v>
      </c>
      <c r="C69">
        <f t="shared" si="0"/>
        <v>0</v>
      </c>
      <c r="D69">
        <f t="shared" si="1"/>
        <v>0</v>
      </c>
      <c r="E69">
        <f t="shared" si="2"/>
        <v>0</v>
      </c>
      <c r="F69">
        <f t="shared" si="3"/>
        <v>0</v>
      </c>
    </row>
    <row r="70" spans="2:6">
      <c r="B70">
        <v>99</v>
      </c>
      <c r="C70">
        <f t="shared" si="0"/>
        <v>0</v>
      </c>
      <c r="D70">
        <f t="shared" si="1"/>
        <v>0</v>
      </c>
      <c r="E70">
        <f t="shared" si="2"/>
        <v>0</v>
      </c>
      <c r="F70">
        <f t="shared" si="3"/>
        <v>0</v>
      </c>
    </row>
    <row r="71" spans="2:6">
      <c r="B71">
        <v>100</v>
      </c>
      <c r="C71">
        <f t="shared" si="0"/>
        <v>0</v>
      </c>
      <c r="D71">
        <f t="shared" si="1"/>
        <v>0</v>
      </c>
      <c r="E71">
        <f t="shared" si="2"/>
        <v>0</v>
      </c>
      <c r="F71">
        <f t="shared" si="3"/>
        <v>0</v>
      </c>
    </row>
    <row r="72" spans="2:6">
      <c r="B72">
        <v>101</v>
      </c>
      <c r="C72">
        <f t="shared" si="0"/>
        <v>0</v>
      </c>
      <c r="D72">
        <f t="shared" si="1"/>
        <v>0</v>
      </c>
      <c r="E72">
        <f t="shared" si="2"/>
        <v>0</v>
      </c>
      <c r="F72">
        <f t="shared" si="3"/>
        <v>0</v>
      </c>
    </row>
    <row r="73" spans="2:6">
      <c r="B73">
        <v>102</v>
      </c>
      <c r="C73">
        <f t="shared" si="0"/>
        <v>0</v>
      </c>
      <c r="D73">
        <f t="shared" si="1"/>
        <v>0</v>
      </c>
      <c r="E73">
        <f t="shared" si="2"/>
        <v>0</v>
      </c>
      <c r="F73">
        <f t="shared" si="3"/>
        <v>0</v>
      </c>
    </row>
    <row r="74" spans="2:6">
      <c r="B74">
        <v>103</v>
      </c>
      <c r="C74">
        <f t="shared" si="0"/>
        <v>0</v>
      </c>
      <c r="D74">
        <f t="shared" si="1"/>
        <v>0</v>
      </c>
      <c r="E74">
        <f t="shared" si="2"/>
        <v>0</v>
      </c>
      <c r="F74">
        <f t="shared" si="3"/>
        <v>0</v>
      </c>
    </row>
    <row r="75" spans="2:6">
      <c r="B75">
        <v>104</v>
      </c>
      <c r="C75">
        <f t="shared" si="0"/>
        <v>0</v>
      </c>
      <c r="D75">
        <f t="shared" si="1"/>
        <v>0</v>
      </c>
      <c r="E75">
        <f t="shared" si="2"/>
        <v>0</v>
      </c>
      <c r="F75">
        <f t="shared" si="3"/>
        <v>1</v>
      </c>
    </row>
    <row r="76" spans="2:6">
      <c r="B76">
        <v>105</v>
      </c>
      <c r="C76">
        <f t="shared" si="0"/>
        <v>0</v>
      </c>
      <c r="D76">
        <f t="shared" si="1"/>
        <v>0</v>
      </c>
      <c r="E76">
        <f t="shared" si="2"/>
        <v>0</v>
      </c>
      <c r="F76">
        <f t="shared" si="3"/>
        <v>2</v>
      </c>
    </row>
    <row r="77" spans="2:6">
      <c r="B77">
        <v>106</v>
      </c>
      <c r="C77">
        <f t="shared" si="0"/>
        <v>0</v>
      </c>
      <c r="D77">
        <f t="shared" si="1"/>
        <v>0</v>
      </c>
      <c r="E77">
        <f t="shared" si="2"/>
        <v>0</v>
      </c>
      <c r="F77">
        <f t="shared" si="3"/>
        <v>3</v>
      </c>
    </row>
    <row r="78" spans="2:6">
      <c r="B78">
        <v>107</v>
      </c>
      <c r="C78">
        <f t="shared" si="0"/>
        <v>0</v>
      </c>
      <c r="D78">
        <f t="shared" si="1"/>
        <v>0</v>
      </c>
      <c r="E78">
        <f t="shared" si="2"/>
        <v>1</v>
      </c>
      <c r="F78">
        <f t="shared" si="3"/>
        <v>4</v>
      </c>
    </row>
    <row r="79" spans="2:6">
      <c r="B79">
        <v>108</v>
      </c>
      <c r="C79">
        <f t="shared" si="0"/>
        <v>0</v>
      </c>
      <c r="D79">
        <f t="shared" si="1"/>
        <v>0.5</v>
      </c>
      <c r="E79">
        <f t="shared" si="2"/>
        <v>2</v>
      </c>
      <c r="F79">
        <f t="shared" si="3"/>
        <v>5</v>
      </c>
    </row>
    <row r="80" spans="2:6">
      <c r="B80">
        <v>109</v>
      </c>
      <c r="C80">
        <f t="shared" si="0"/>
        <v>0</v>
      </c>
      <c r="D80">
        <f t="shared" si="1"/>
        <v>1.5</v>
      </c>
      <c r="E80">
        <f t="shared" si="2"/>
        <v>3</v>
      </c>
      <c r="F80">
        <f t="shared" si="3"/>
        <v>6</v>
      </c>
    </row>
    <row r="81" spans="2:6">
      <c r="B81">
        <v>110</v>
      </c>
      <c r="C81">
        <f t="shared" si="0"/>
        <v>0</v>
      </c>
      <c r="D81">
        <f t="shared" si="1"/>
        <v>2.5</v>
      </c>
      <c r="E81">
        <f t="shared" si="2"/>
        <v>4</v>
      </c>
      <c r="F81">
        <f t="shared" si="3"/>
        <v>7</v>
      </c>
    </row>
    <row r="82" spans="2:6">
      <c r="B82">
        <v>111</v>
      </c>
      <c r="C82">
        <f t="shared" si="0"/>
        <v>1</v>
      </c>
      <c r="D82">
        <f t="shared" si="1"/>
        <v>3.5</v>
      </c>
      <c r="E82">
        <f t="shared" si="2"/>
        <v>5</v>
      </c>
      <c r="F82">
        <f t="shared" si="3"/>
        <v>8</v>
      </c>
    </row>
    <row r="83" spans="2:6">
      <c r="B83">
        <v>112</v>
      </c>
      <c r="C83">
        <f t="shared" si="0"/>
        <v>2</v>
      </c>
      <c r="D83">
        <f t="shared" si="1"/>
        <v>4.5</v>
      </c>
      <c r="E83">
        <f t="shared" si="2"/>
        <v>6</v>
      </c>
      <c r="F83">
        <f t="shared" si="3"/>
        <v>9</v>
      </c>
    </row>
    <row r="84" spans="2:6">
      <c r="B84">
        <v>113</v>
      </c>
      <c r="C84">
        <f t="shared" si="0"/>
        <v>3</v>
      </c>
      <c r="D84">
        <f t="shared" si="1"/>
        <v>5.5</v>
      </c>
      <c r="E84">
        <f t="shared" si="2"/>
        <v>7</v>
      </c>
      <c r="F84">
        <f t="shared" si="3"/>
        <v>10</v>
      </c>
    </row>
    <row r="85" spans="2:6">
      <c r="B85">
        <v>114</v>
      </c>
      <c r="C85">
        <f t="shared" si="0"/>
        <v>4</v>
      </c>
      <c r="D85">
        <f t="shared" si="1"/>
        <v>6.5</v>
      </c>
      <c r="E85">
        <f t="shared" si="2"/>
        <v>8</v>
      </c>
      <c r="F85">
        <f t="shared" si="3"/>
        <v>11</v>
      </c>
    </row>
    <row r="86" spans="2:6">
      <c r="B86">
        <v>115</v>
      </c>
      <c r="C86">
        <f t="shared" ref="C86:C129" si="4">MAX(B86-$D$9,0)</f>
        <v>5</v>
      </c>
      <c r="D86">
        <f t="shared" ref="D86:D129" si="5">MAX(B86-$D$11,0)</f>
        <v>7.5</v>
      </c>
      <c r="E86">
        <f t="shared" ref="E86:E129" si="6">MAX(B86-$D$13,0)</f>
        <v>9</v>
      </c>
      <c r="F86">
        <f t="shared" ref="F86:F129" si="7">MAX(B86-$D$15,0)</f>
        <v>12</v>
      </c>
    </row>
    <row r="87" spans="2:6">
      <c r="B87">
        <v>116</v>
      </c>
      <c r="C87">
        <f t="shared" si="4"/>
        <v>6</v>
      </c>
      <c r="D87">
        <f t="shared" si="5"/>
        <v>8.5</v>
      </c>
      <c r="E87">
        <f t="shared" si="6"/>
        <v>10</v>
      </c>
      <c r="F87">
        <f t="shared" si="7"/>
        <v>13</v>
      </c>
    </row>
    <row r="88" spans="2:6">
      <c r="B88">
        <v>117</v>
      </c>
      <c r="C88">
        <f t="shared" si="4"/>
        <v>7</v>
      </c>
      <c r="D88">
        <f t="shared" si="5"/>
        <v>9.5</v>
      </c>
      <c r="E88">
        <f t="shared" si="6"/>
        <v>11</v>
      </c>
      <c r="F88">
        <f t="shared" si="7"/>
        <v>14</v>
      </c>
    </row>
    <row r="89" spans="2:6">
      <c r="B89">
        <v>118</v>
      </c>
      <c r="C89">
        <f t="shared" si="4"/>
        <v>8</v>
      </c>
      <c r="D89">
        <f t="shared" si="5"/>
        <v>10.5</v>
      </c>
      <c r="E89">
        <f t="shared" si="6"/>
        <v>12</v>
      </c>
      <c r="F89">
        <f t="shared" si="7"/>
        <v>15</v>
      </c>
    </row>
    <row r="90" spans="2:6">
      <c r="B90">
        <v>119</v>
      </c>
      <c r="C90">
        <f t="shared" si="4"/>
        <v>9</v>
      </c>
      <c r="D90">
        <f t="shared" si="5"/>
        <v>11.5</v>
      </c>
      <c r="E90">
        <f t="shared" si="6"/>
        <v>13</v>
      </c>
      <c r="F90">
        <f t="shared" si="7"/>
        <v>16</v>
      </c>
    </row>
    <row r="91" spans="2:6">
      <c r="B91">
        <v>120</v>
      </c>
      <c r="C91">
        <f t="shared" si="4"/>
        <v>10</v>
      </c>
      <c r="D91">
        <f t="shared" si="5"/>
        <v>12.5</v>
      </c>
      <c r="E91">
        <f t="shared" si="6"/>
        <v>14</v>
      </c>
      <c r="F91">
        <f t="shared" si="7"/>
        <v>17</v>
      </c>
    </row>
    <row r="92" spans="2:6">
      <c r="B92">
        <v>121</v>
      </c>
      <c r="C92">
        <f t="shared" si="4"/>
        <v>11</v>
      </c>
      <c r="D92">
        <f t="shared" si="5"/>
        <v>13.5</v>
      </c>
      <c r="E92">
        <f t="shared" si="6"/>
        <v>15</v>
      </c>
      <c r="F92">
        <f t="shared" si="7"/>
        <v>18</v>
      </c>
    </row>
    <row r="93" spans="2:6">
      <c r="B93">
        <v>122</v>
      </c>
      <c r="C93">
        <f t="shared" si="4"/>
        <v>12</v>
      </c>
      <c r="D93">
        <f t="shared" si="5"/>
        <v>14.5</v>
      </c>
      <c r="E93">
        <f t="shared" si="6"/>
        <v>16</v>
      </c>
      <c r="F93">
        <f t="shared" si="7"/>
        <v>19</v>
      </c>
    </row>
    <row r="94" spans="2:6">
      <c r="B94">
        <v>123</v>
      </c>
      <c r="C94">
        <f t="shared" si="4"/>
        <v>13</v>
      </c>
      <c r="D94">
        <f t="shared" si="5"/>
        <v>15.5</v>
      </c>
      <c r="E94">
        <f t="shared" si="6"/>
        <v>17</v>
      </c>
      <c r="F94">
        <f t="shared" si="7"/>
        <v>20</v>
      </c>
    </row>
    <row r="95" spans="2:6">
      <c r="B95">
        <v>124</v>
      </c>
      <c r="C95">
        <f t="shared" si="4"/>
        <v>14</v>
      </c>
      <c r="D95">
        <f t="shared" si="5"/>
        <v>16.5</v>
      </c>
      <c r="E95">
        <f t="shared" si="6"/>
        <v>18</v>
      </c>
      <c r="F95">
        <f t="shared" si="7"/>
        <v>21</v>
      </c>
    </row>
    <row r="96" spans="2:6">
      <c r="B96">
        <v>125</v>
      </c>
      <c r="C96">
        <f t="shared" si="4"/>
        <v>15</v>
      </c>
      <c r="D96">
        <f t="shared" si="5"/>
        <v>17.5</v>
      </c>
      <c r="E96">
        <f t="shared" si="6"/>
        <v>19</v>
      </c>
      <c r="F96">
        <f t="shared" si="7"/>
        <v>22</v>
      </c>
    </row>
    <row r="97" spans="2:6">
      <c r="B97">
        <v>126</v>
      </c>
      <c r="C97">
        <f t="shared" si="4"/>
        <v>16</v>
      </c>
      <c r="D97">
        <f t="shared" si="5"/>
        <v>18.5</v>
      </c>
      <c r="E97">
        <f t="shared" si="6"/>
        <v>20</v>
      </c>
      <c r="F97">
        <f t="shared" si="7"/>
        <v>23</v>
      </c>
    </row>
    <row r="98" spans="2:6">
      <c r="B98">
        <v>127</v>
      </c>
      <c r="C98">
        <f t="shared" si="4"/>
        <v>17</v>
      </c>
      <c r="D98">
        <f t="shared" si="5"/>
        <v>19.5</v>
      </c>
      <c r="E98">
        <f t="shared" si="6"/>
        <v>21</v>
      </c>
      <c r="F98">
        <f t="shared" si="7"/>
        <v>24</v>
      </c>
    </row>
    <row r="99" spans="2:6">
      <c r="B99">
        <v>128</v>
      </c>
      <c r="C99">
        <f t="shared" si="4"/>
        <v>18</v>
      </c>
      <c r="D99">
        <f t="shared" si="5"/>
        <v>20.5</v>
      </c>
      <c r="E99">
        <f t="shared" si="6"/>
        <v>22</v>
      </c>
      <c r="F99">
        <f t="shared" si="7"/>
        <v>25</v>
      </c>
    </row>
    <row r="100" spans="2:6">
      <c r="B100">
        <v>129</v>
      </c>
      <c r="C100">
        <f t="shared" si="4"/>
        <v>19</v>
      </c>
      <c r="D100">
        <f t="shared" si="5"/>
        <v>21.5</v>
      </c>
      <c r="E100">
        <f t="shared" si="6"/>
        <v>23</v>
      </c>
      <c r="F100">
        <f t="shared" si="7"/>
        <v>26</v>
      </c>
    </row>
    <row r="101" spans="2:6">
      <c r="B101">
        <v>130</v>
      </c>
      <c r="C101">
        <f t="shared" si="4"/>
        <v>20</v>
      </c>
      <c r="D101">
        <f t="shared" si="5"/>
        <v>22.5</v>
      </c>
      <c r="E101">
        <f t="shared" si="6"/>
        <v>24</v>
      </c>
      <c r="F101">
        <f t="shared" si="7"/>
        <v>27</v>
      </c>
    </row>
    <row r="102" spans="2:6">
      <c r="B102">
        <v>131</v>
      </c>
      <c r="C102">
        <f t="shared" si="4"/>
        <v>21</v>
      </c>
      <c r="D102">
        <f t="shared" si="5"/>
        <v>23.5</v>
      </c>
      <c r="E102">
        <f t="shared" si="6"/>
        <v>25</v>
      </c>
      <c r="F102">
        <f t="shared" si="7"/>
        <v>28</v>
      </c>
    </row>
    <row r="103" spans="2:6">
      <c r="B103">
        <v>132</v>
      </c>
      <c r="C103">
        <f t="shared" si="4"/>
        <v>22</v>
      </c>
      <c r="D103">
        <f t="shared" si="5"/>
        <v>24.5</v>
      </c>
      <c r="E103">
        <f t="shared" si="6"/>
        <v>26</v>
      </c>
      <c r="F103">
        <f t="shared" si="7"/>
        <v>29</v>
      </c>
    </row>
    <row r="104" spans="2:6">
      <c r="B104">
        <v>133</v>
      </c>
      <c r="C104">
        <f t="shared" si="4"/>
        <v>23</v>
      </c>
      <c r="D104">
        <f t="shared" si="5"/>
        <v>25.5</v>
      </c>
      <c r="E104">
        <f t="shared" si="6"/>
        <v>27</v>
      </c>
      <c r="F104">
        <f t="shared" si="7"/>
        <v>30</v>
      </c>
    </row>
    <row r="105" spans="2:6">
      <c r="B105">
        <v>134</v>
      </c>
      <c r="C105">
        <f t="shared" si="4"/>
        <v>24</v>
      </c>
      <c r="D105">
        <f t="shared" si="5"/>
        <v>26.5</v>
      </c>
      <c r="E105">
        <f t="shared" si="6"/>
        <v>28</v>
      </c>
      <c r="F105">
        <f t="shared" si="7"/>
        <v>31</v>
      </c>
    </row>
    <row r="106" spans="2:6">
      <c r="B106">
        <v>135</v>
      </c>
      <c r="C106">
        <f t="shared" si="4"/>
        <v>25</v>
      </c>
      <c r="D106">
        <f t="shared" si="5"/>
        <v>27.5</v>
      </c>
      <c r="E106">
        <f t="shared" si="6"/>
        <v>29</v>
      </c>
      <c r="F106">
        <f t="shared" si="7"/>
        <v>32</v>
      </c>
    </row>
    <row r="107" spans="2:6">
      <c r="B107">
        <v>136</v>
      </c>
      <c r="C107">
        <f t="shared" si="4"/>
        <v>26</v>
      </c>
      <c r="D107">
        <f t="shared" si="5"/>
        <v>28.5</v>
      </c>
      <c r="E107">
        <f t="shared" si="6"/>
        <v>30</v>
      </c>
      <c r="F107">
        <f t="shared" si="7"/>
        <v>33</v>
      </c>
    </row>
    <row r="108" spans="2:6">
      <c r="B108">
        <v>137</v>
      </c>
      <c r="C108">
        <f t="shared" si="4"/>
        <v>27</v>
      </c>
      <c r="D108">
        <f t="shared" si="5"/>
        <v>29.5</v>
      </c>
      <c r="E108">
        <f t="shared" si="6"/>
        <v>31</v>
      </c>
      <c r="F108">
        <f t="shared" si="7"/>
        <v>34</v>
      </c>
    </row>
    <row r="109" spans="2:6">
      <c r="B109">
        <v>138</v>
      </c>
      <c r="C109">
        <f t="shared" si="4"/>
        <v>28</v>
      </c>
      <c r="D109">
        <f t="shared" si="5"/>
        <v>30.5</v>
      </c>
      <c r="E109">
        <f t="shared" si="6"/>
        <v>32</v>
      </c>
      <c r="F109">
        <f t="shared" si="7"/>
        <v>35</v>
      </c>
    </row>
    <row r="110" spans="2:6">
      <c r="B110">
        <v>139</v>
      </c>
      <c r="C110">
        <f t="shared" si="4"/>
        <v>29</v>
      </c>
      <c r="D110">
        <f t="shared" si="5"/>
        <v>31.5</v>
      </c>
      <c r="E110">
        <f t="shared" si="6"/>
        <v>33</v>
      </c>
      <c r="F110">
        <f t="shared" si="7"/>
        <v>36</v>
      </c>
    </row>
    <row r="111" spans="2:6">
      <c r="B111">
        <v>140</v>
      </c>
      <c r="C111">
        <f t="shared" si="4"/>
        <v>30</v>
      </c>
      <c r="D111">
        <f t="shared" si="5"/>
        <v>32.5</v>
      </c>
      <c r="E111">
        <f t="shared" si="6"/>
        <v>34</v>
      </c>
      <c r="F111">
        <f t="shared" si="7"/>
        <v>37</v>
      </c>
    </row>
    <row r="112" spans="2:6">
      <c r="B112">
        <v>141</v>
      </c>
      <c r="C112">
        <f t="shared" si="4"/>
        <v>31</v>
      </c>
      <c r="D112">
        <f t="shared" si="5"/>
        <v>33.5</v>
      </c>
      <c r="E112">
        <f t="shared" si="6"/>
        <v>35</v>
      </c>
      <c r="F112">
        <f t="shared" si="7"/>
        <v>38</v>
      </c>
    </row>
    <row r="113" spans="2:6">
      <c r="B113">
        <v>142</v>
      </c>
      <c r="C113">
        <f t="shared" si="4"/>
        <v>32</v>
      </c>
      <c r="D113">
        <f t="shared" si="5"/>
        <v>34.5</v>
      </c>
      <c r="E113">
        <f t="shared" si="6"/>
        <v>36</v>
      </c>
      <c r="F113">
        <f t="shared" si="7"/>
        <v>39</v>
      </c>
    </row>
    <row r="114" spans="2:6">
      <c r="B114">
        <v>143</v>
      </c>
      <c r="C114">
        <f t="shared" si="4"/>
        <v>33</v>
      </c>
      <c r="D114">
        <f t="shared" si="5"/>
        <v>35.5</v>
      </c>
      <c r="E114">
        <f t="shared" si="6"/>
        <v>37</v>
      </c>
      <c r="F114">
        <f t="shared" si="7"/>
        <v>40</v>
      </c>
    </row>
    <row r="115" spans="2:6">
      <c r="B115">
        <v>144</v>
      </c>
      <c r="C115">
        <f t="shared" si="4"/>
        <v>34</v>
      </c>
      <c r="D115">
        <f t="shared" si="5"/>
        <v>36.5</v>
      </c>
      <c r="E115">
        <f t="shared" si="6"/>
        <v>38</v>
      </c>
      <c r="F115">
        <f t="shared" si="7"/>
        <v>41</v>
      </c>
    </row>
    <row r="116" spans="2:6">
      <c r="B116">
        <v>145</v>
      </c>
      <c r="C116">
        <f t="shared" si="4"/>
        <v>35</v>
      </c>
      <c r="D116">
        <f t="shared" si="5"/>
        <v>37.5</v>
      </c>
      <c r="E116">
        <f t="shared" si="6"/>
        <v>39</v>
      </c>
      <c r="F116">
        <f t="shared" si="7"/>
        <v>42</v>
      </c>
    </row>
    <row r="117" spans="2:6">
      <c r="B117">
        <v>146</v>
      </c>
      <c r="C117">
        <f t="shared" si="4"/>
        <v>36</v>
      </c>
      <c r="D117">
        <f t="shared" si="5"/>
        <v>38.5</v>
      </c>
      <c r="E117">
        <f t="shared" si="6"/>
        <v>40</v>
      </c>
      <c r="F117">
        <f t="shared" si="7"/>
        <v>43</v>
      </c>
    </row>
    <row r="118" spans="2:6">
      <c r="B118">
        <v>147</v>
      </c>
      <c r="C118">
        <f t="shared" si="4"/>
        <v>37</v>
      </c>
      <c r="D118">
        <f t="shared" si="5"/>
        <v>39.5</v>
      </c>
      <c r="E118">
        <f t="shared" si="6"/>
        <v>41</v>
      </c>
      <c r="F118">
        <f t="shared" si="7"/>
        <v>44</v>
      </c>
    </row>
    <row r="119" spans="2:6">
      <c r="B119">
        <v>148</v>
      </c>
      <c r="C119">
        <f t="shared" si="4"/>
        <v>38</v>
      </c>
      <c r="D119">
        <f t="shared" si="5"/>
        <v>40.5</v>
      </c>
      <c r="E119">
        <f t="shared" si="6"/>
        <v>42</v>
      </c>
      <c r="F119">
        <f t="shared" si="7"/>
        <v>45</v>
      </c>
    </row>
    <row r="120" spans="2:6">
      <c r="B120">
        <v>149</v>
      </c>
      <c r="C120">
        <f t="shared" si="4"/>
        <v>39</v>
      </c>
      <c r="D120">
        <f t="shared" si="5"/>
        <v>41.5</v>
      </c>
      <c r="E120">
        <f t="shared" si="6"/>
        <v>43</v>
      </c>
      <c r="F120">
        <f t="shared" si="7"/>
        <v>46</v>
      </c>
    </row>
    <row r="121" spans="2:6">
      <c r="B121">
        <v>150</v>
      </c>
      <c r="C121">
        <f t="shared" si="4"/>
        <v>40</v>
      </c>
      <c r="D121">
        <f t="shared" si="5"/>
        <v>42.5</v>
      </c>
      <c r="E121">
        <f t="shared" si="6"/>
        <v>44</v>
      </c>
      <c r="F121">
        <f t="shared" si="7"/>
        <v>47</v>
      </c>
    </row>
    <row r="122" spans="2:6">
      <c r="B122">
        <v>151</v>
      </c>
      <c r="C122">
        <f t="shared" si="4"/>
        <v>41</v>
      </c>
      <c r="D122">
        <f t="shared" si="5"/>
        <v>43.5</v>
      </c>
      <c r="E122">
        <f t="shared" si="6"/>
        <v>45</v>
      </c>
      <c r="F122">
        <f t="shared" si="7"/>
        <v>48</v>
      </c>
    </row>
    <row r="123" spans="2:6">
      <c r="B123">
        <v>152</v>
      </c>
      <c r="C123">
        <f t="shared" si="4"/>
        <v>42</v>
      </c>
      <c r="D123">
        <f t="shared" si="5"/>
        <v>44.5</v>
      </c>
      <c r="E123">
        <f t="shared" si="6"/>
        <v>46</v>
      </c>
      <c r="F123">
        <f t="shared" si="7"/>
        <v>49</v>
      </c>
    </row>
    <row r="124" spans="2:6">
      <c r="B124">
        <v>153</v>
      </c>
      <c r="C124">
        <f t="shared" si="4"/>
        <v>43</v>
      </c>
      <c r="D124">
        <f t="shared" si="5"/>
        <v>45.5</v>
      </c>
      <c r="E124">
        <f t="shared" si="6"/>
        <v>47</v>
      </c>
      <c r="F124">
        <f t="shared" si="7"/>
        <v>50</v>
      </c>
    </row>
    <row r="125" spans="2:6">
      <c r="B125">
        <v>154</v>
      </c>
      <c r="C125">
        <f t="shared" si="4"/>
        <v>44</v>
      </c>
      <c r="D125">
        <f t="shared" si="5"/>
        <v>46.5</v>
      </c>
      <c r="E125">
        <f t="shared" si="6"/>
        <v>48</v>
      </c>
      <c r="F125">
        <f t="shared" si="7"/>
        <v>51</v>
      </c>
    </row>
    <row r="126" spans="2:6">
      <c r="B126">
        <v>155</v>
      </c>
      <c r="C126">
        <f t="shared" si="4"/>
        <v>45</v>
      </c>
      <c r="D126">
        <f t="shared" si="5"/>
        <v>47.5</v>
      </c>
      <c r="E126">
        <f t="shared" si="6"/>
        <v>49</v>
      </c>
      <c r="F126">
        <f t="shared" si="7"/>
        <v>52</v>
      </c>
    </row>
    <row r="127" spans="2:6">
      <c r="B127">
        <v>156</v>
      </c>
      <c r="C127">
        <f t="shared" si="4"/>
        <v>46</v>
      </c>
      <c r="D127">
        <f t="shared" si="5"/>
        <v>48.5</v>
      </c>
      <c r="E127">
        <f t="shared" si="6"/>
        <v>50</v>
      </c>
      <c r="F127">
        <f t="shared" si="7"/>
        <v>53</v>
      </c>
    </row>
    <row r="128" spans="2:6">
      <c r="B128">
        <v>157</v>
      </c>
      <c r="C128">
        <f t="shared" si="4"/>
        <v>47</v>
      </c>
      <c r="D128">
        <f t="shared" si="5"/>
        <v>49.5</v>
      </c>
      <c r="E128">
        <f t="shared" si="6"/>
        <v>51</v>
      </c>
      <c r="F128">
        <f t="shared" si="7"/>
        <v>54</v>
      </c>
    </row>
    <row r="129" spans="2:6">
      <c r="B129">
        <v>158</v>
      </c>
      <c r="C129">
        <f t="shared" si="4"/>
        <v>48</v>
      </c>
      <c r="D129">
        <f t="shared" si="5"/>
        <v>50.5</v>
      </c>
      <c r="E129">
        <f t="shared" si="6"/>
        <v>52</v>
      </c>
      <c r="F129">
        <f t="shared" si="7"/>
        <v>55</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FB4D0-1CE7-4A9B-ACF7-5F558E3562A1}">
  <dimension ref="B3:M27"/>
  <sheetViews>
    <sheetView showGridLines="0" workbookViewId="0">
      <selection activeCell="E25" sqref="E25"/>
    </sheetView>
  </sheetViews>
  <sheetFormatPr defaultRowHeight="16"/>
  <cols>
    <col min="2" max="2" width="11" bestFit="1" customWidth="1"/>
    <col min="3" max="3" width="12.33203125" bestFit="1" customWidth="1"/>
    <col min="4" max="4" width="10.33203125" bestFit="1" customWidth="1"/>
    <col min="12" max="12" width="9.75" customWidth="1"/>
    <col min="13" max="13" width="16.1640625" customWidth="1"/>
  </cols>
  <sheetData>
    <row r="3" spans="2:13">
      <c r="L3" s="389"/>
      <c r="M3" s="389"/>
    </row>
    <row r="7" spans="2:13">
      <c r="B7" t="s">
        <v>1868</v>
      </c>
      <c r="C7" t="s">
        <v>135</v>
      </c>
      <c r="D7" t="s">
        <v>114</v>
      </c>
      <c r="E7" t="s">
        <v>866</v>
      </c>
      <c r="F7" t="s">
        <v>869</v>
      </c>
      <c r="G7" t="s">
        <v>146</v>
      </c>
      <c r="H7" t="s">
        <v>149</v>
      </c>
      <c r="I7" t="s">
        <v>1869</v>
      </c>
      <c r="J7" s="389"/>
    </row>
    <row r="8" spans="2:13">
      <c r="B8" t="s">
        <v>1870</v>
      </c>
      <c r="C8">
        <f>10/12</f>
        <v>0.83333333333333337</v>
      </c>
      <c r="D8">
        <v>1000</v>
      </c>
      <c r="E8">
        <f>(LN(B27/D8)+(C14+C16^2*0.5)*C8)/(C16*SQRT(C8))</f>
        <v>-0.71613708758076322</v>
      </c>
      <c r="F8">
        <f>E8-C16*SQRT(C8)</f>
        <v>-0.7982954712065381</v>
      </c>
      <c r="G8">
        <f>_xlfn.NORM.S.DIST(E8,TRUE)</f>
        <v>0.23695335256971051</v>
      </c>
      <c r="H8">
        <f>_xlfn.NORM.S.DIST(F8,TRUE)</f>
        <v>0.2123495227600973</v>
      </c>
      <c r="I8">
        <f>B27*G8-D8*EXP(-C14*(C8))*H8</f>
        <v>9.4872620820483746</v>
      </c>
    </row>
    <row r="10" spans="2:13">
      <c r="B10" t="s">
        <v>1871</v>
      </c>
      <c r="C10" t="s">
        <v>135</v>
      </c>
      <c r="D10" t="s">
        <v>1872</v>
      </c>
      <c r="E10" t="s">
        <v>1873</v>
      </c>
    </row>
    <row r="11" spans="2:13">
      <c r="C11">
        <v>9.75</v>
      </c>
      <c r="D11">
        <v>1000</v>
      </c>
      <c r="E11">
        <v>960</v>
      </c>
    </row>
    <row r="13" spans="2:13">
      <c r="B13" t="s">
        <v>1874</v>
      </c>
      <c r="C13" s="389" t="s">
        <v>1875</v>
      </c>
    </row>
    <row r="14" spans="2:13">
      <c r="B14" t="s">
        <v>1876</v>
      </c>
      <c r="C14" s="389">
        <v>0.1</v>
      </c>
    </row>
    <row r="15" spans="2:13">
      <c r="B15" t="s">
        <v>1877</v>
      </c>
      <c r="C15" t="s">
        <v>1878</v>
      </c>
      <c r="D15" t="s">
        <v>1879</v>
      </c>
    </row>
    <row r="16" spans="2:13">
      <c r="B16" t="s">
        <v>1871</v>
      </c>
      <c r="C16" s="389">
        <v>0.09</v>
      </c>
      <c r="D16" s="389">
        <v>0.1</v>
      </c>
    </row>
    <row r="18" spans="2:4">
      <c r="B18" t="s">
        <v>1880</v>
      </c>
      <c r="C18" s="389" t="s">
        <v>1881</v>
      </c>
    </row>
    <row r="19" spans="2:4">
      <c r="B19" t="s">
        <v>1882</v>
      </c>
      <c r="C19" s="390">
        <v>9.5000000000000001E-2</v>
      </c>
    </row>
    <row r="21" spans="2:4">
      <c r="B21" t="s">
        <v>1879</v>
      </c>
      <c r="C21" t="s">
        <v>135</v>
      </c>
      <c r="D21" t="s">
        <v>1883</v>
      </c>
    </row>
    <row r="22" spans="2:4">
      <c r="B22">
        <v>50</v>
      </c>
      <c r="C22">
        <f>3/12</f>
        <v>0.25</v>
      </c>
      <c r="D22">
        <f>B22*EXP(-C22*C18)</f>
        <v>48.887561859666818</v>
      </c>
    </row>
    <row r="23" spans="2:4">
      <c r="B23">
        <v>50</v>
      </c>
      <c r="C23">
        <f>9/12</f>
        <v>0.75</v>
      </c>
      <c r="D23">
        <f>B23*EXP(-C23*C19)</f>
        <v>46.561452788015941</v>
      </c>
    </row>
    <row r="26" spans="2:4">
      <c r="B26" t="s">
        <v>1884</v>
      </c>
    </row>
    <row r="27" spans="2:4">
      <c r="B27">
        <f>E11-D22-D23</f>
        <v>864.5509853523173</v>
      </c>
    </row>
  </sheetData>
  <pageMargins left="0.7" right="0.7" top="0.75" bottom="0.75" header="0.3" footer="0.3"/>
  <drawing r:id="rId1"/>
  <tableParts count="7">
    <tablePart r:id="rId2"/>
    <tablePart r:id="rId3"/>
    <tablePart r:id="rId4"/>
    <tablePart r:id="rId5"/>
    <tablePart r:id="rId6"/>
    <tablePart r:id="rId7"/>
    <tablePart r:id="rId8"/>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26528-706C-4E6B-9D77-4C330B15913A}">
  <dimension ref="B6:G16"/>
  <sheetViews>
    <sheetView showGridLines="0" workbookViewId="0">
      <selection activeCell="C17" sqref="C17"/>
    </sheetView>
  </sheetViews>
  <sheetFormatPr defaultRowHeight="16"/>
  <cols>
    <col min="2" max="2" width="21.08203125" customWidth="1"/>
    <col min="3" max="3" width="14.33203125" customWidth="1"/>
    <col min="5" max="5" width="12" bestFit="1" customWidth="1"/>
  </cols>
  <sheetData>
    <row r="6" spans="2:7">
      <c r="B6" t="s">
        <v>1724</v>
      </c>
      <c r="C6" t="s">
        <v>114</v>
      </c>
      <c r="D6" t="s">
        <v>1876</v>
      </c>
      <c r="E6" t="s">
        <v>1849</v>
      </c>
      <c r="F6" t="s">
        <v>1661</v>
      </c>
      <c r="G6" t="s">
        <v>1665</v>
      </c>
    </row>
    <row r="7" spans="2:7">
      <c r="B7">
        <v>10</v>
      </c>
      <c r="C7" s="389">
        <v>0.08</v>
      </c>
      <c r="D7" s="389">
        <v>7.0000000000000007E-2</v>
      </c>
      <c r="E7" s="389">
        <v>0.2</v>
      </c>
      <c r="F7">
        <v>1</v>
      </c>
      <c r="G7">
        <f>15/12</f>
        <v>1.25</v>
      </c>
    </row>
    <row r="9" spans="2:7">
      <c r="B9" t="s">
        <v>1885</v>
      </c>
      <c r="C9" t="s">
        <v>866</v>
      </c>
      <c r="D9" t="s">
        <v>869</v>
      </c>
      <c r="E9" t="s">
        <v>146</v>
      </c>
      <c r="F9" t="s">
        <v>149</v>
      </c>
    </row>
    <row r="10" spans="2:7">
      <c r="B10">
        <f>D7*E10-C7*F10</f>
        <v>2.2517367617165551E-3</v>
      </c>
      <c r="C10">
        <f>(LN(D7/C7)+(0.5*E7^2*F7))/(E7*SQRT(F7))</f>
        <v>-0.56765696312261238</v>
      </c>
      <c r="D10">
        <f>C10-E7*SQRT(F7)</f>
        <v>-0.76765696312261245</v>
      </c>
      <c r="E10">
        <f>_xlfn.NORM.S.DIST(C10,TRUE)</f>
        <v>0.28513395992035584</v>
      </c>
      <c r="F10">
        <f>_xlfn.NORM.S.DIST(D10,TRUE)</f>
        <v>0.22134550540885442</v>
      </c>
    </row>
    <row r="12" spans="2:7">
      <c r="B12" t="s">
        <v>1886</v>
      </c>
    </row>
    <row r="13" spans="2:7">
      <c r="B13">
        <f>(1+D7/4)^(-5)</f>
        <v>0.91691253617467294</v>
      </c>
    </row>
    <row r="15" spans="2:7">
      <c r="B15" t="s">
        <v>14</v>
      </c>
      <c r="C15" t="s">
        <v>1887</v>
      </c>
    </row>
    <row r="16" spans="2:7">
      <c r="B16">
        <f>B7*0.25*B13*B10</f>
        <v>5.1616141624581799E-3</v>
      </c>
      <c r="C16" t="s">
        <v>1888</v>
      </c>
    </row>
  </sheetData>
  <pageMargins left="0.7" right="0.7" top="0.75" bottom="0.75" header="0.3" footer="0.3"/>
  <drawing r:id="rId1"/>
  <tableParts count="4">
    <tablePart r:id="rId2"/>
    <tablePart r:id="rId3"/>
    <tablePart r:id="rId4"/>
    <tablePart r:id="rId5"/>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Ejercicio 1 al 3</vt:lpstr>
      <vt:lpstr>Ejercicio 4</vt:lpstr>
      <vt:lpstr>Ejercico 5</vt:lpstr>
      <vt:lpstr>Ejercico 6</vt:lpstr>
      <vt:lpstr>Ejercico 7</vt:lpstr>
      <vt:lpstr>Ejercicio 8 y 9</vt:lpstr>
      <vt:lpstr>Ejercicio 10 y 11</vt:lpstr>
      <vt:lpstr>Ejercicio 12</vt:lpstr>
      <vt:lpstr>Ejercicio 13</vt:lpstr>
      <vt:lpstr>Ejercicio 14 </vt:lpstr>
      <vt:lpstr>Ejercicio 17</vt:lpstr>
      <vt:lpstr>Ejercicio 21</vt:lpstr>
      <vt:lpstr>Ejercicio 22</vt:lpstr>
      <vt:lpstr>Ejercicio 25</vt:lpstr>
      <vt:lpstr>Ejercicio 26</vt:lpstr>
      <vt:lpstr>Ejercicio 27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Armando Alberto Arenas Recinos</dc:creator>
  <cp:keywords/>
  <dc:description/>
  <cp:lastModifiedBy>Heriberto Espino Montelongo</cp:lastModifiedBy>
  <cp:revision/>
  <dcterms:created xsi:type="dcterms:W3CDTF">2026-03-14T20:52:35Z</dcterms:created>
  <dcterms:modified xsi:type="dcterms:W3CDTF">2026-05-17T10:29:50Z</dcterms:modified>
  <cp:category/>
  <cp:contentStatus/>
</cp:coreProperties>
</file>