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c0c253d90d6f4461"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ELL\Desktop\"/>
    </mc:Choice>
  </mc:AlternateContent>
  <bookViews>
    <workbookView xWindow="0" yWindow="0" windowWidth="10290" windowHeight="7710" tabRatio="801" activeTab="1"/>
  </bookViews>
  <sheets>
    <sheet name="Check" sheetId="23" r:id="rId1"/>
    <sheet name="Dashboard" sheetId="3" r:id="rId2"/>
    <sheet name="Report 2" sheetId="16" r:id="rId3"/>
    <sheet name="Calculated table" sheetId="15" r:id="rId4"/>
    <sheet name="Data" sheetId="2" r:id="rId5"/>
    <sheet name="Organisations" sheetId="7" r:id="rId6"/>
    <sheet name="Vocabulary" sheetId="5" r:id="rId7"/>
    <sheet name="Gears" sheetId="13" r:id="rId8"/>
    <sheet name="Geometry" sheetId="11" r:id="rId9"/>
    <sheet name="DB_Frames" sheetId="18" r:id="rId10"/>
    <sheet name="Setup Instructions" sheetId="14" r:id="rId11"/>
    <sheet name="NamedRanges" sheetId="19" r:id="rId12"/>
    <sheet name="Config" sheetId="21" r:id="rId13"/>
    <sheet name="ErrReport" sheetId="22" r:id="rId14"/>
  </sheets>
  <functionGroups builtInGroupCount="18"/>
  <definedNames>
    <definedName name="_xlnm._FilterDatabase" localSheetId="4" hidden="1">Data!$C$4:$H$814</definedName>
    <definedName name="_Map0">Dashboard!$E$10</definedName>
    <definedName name="_Map1">Dashboard!$E$32</definedName>
    <definedName name="_Map10">Dashboard!$E$77</definedName>
    <definedName name="_Map11">Dashboard!$V$77</definedName>
    <definedName name="_Map12">Dashboard!$AM$77</definedName>
    <definedName name="_Map2">Dashboard!$V$32</definedName>
    <definedName name="_Map3">Dashboard!$AM$32</definedName>
    <definedName name="_Map4">Dashboard!$E$47</definedName>
    <definedName name="_Map5">Dashboard!$V$47</definedName>
    <definedName name="_Map6">Dashboard!$AM$47</definedName>
    <definedName name="_Map7">Dashboard!$E$62</definedName>
    <definedName name="_Map8">Dashboard!$V$62</definedName>
    <definedName name="_Map9">Dashboard!$AM$62</definedName>
    <definedName name="AcronymList">Organizations[Acronym]</definedName>
    <definedName name="ActiveRows">Geometry!$A$11:$A$17</definedName>
    <definedName name="Activity">Dashboard!$B$4</definedName>
    <definedName name="ActivityTypesAll">ActivityTypes[Activity Type]</definedName>
    <definedName name="ActivityTypesForValidation">Vocabulary!$D$2:$D$3</definedName>
    <definedName name="AdminNameDataList">Main3WData[Admin Unit Name]</definedName>
    <definedName name="AdminNamesList">AdminUnits[AdminName]</definedName>
    <definedName name="AdminPcodesList">AdminUnits[Pcode]</definedName>
    <definedName name="AllSectorBins">Gears!$U$6:$U$10</definedName>
    <definedName name="ChartData_Org">Gears!$A$44:$A$52,Gears!$C$44:$C$52</definedName>
    <definedName name="ChartData_Sector">Gears!$A$57:$A$68,Gears!$C$57:$C$68</definedName>
    <definedName name="Data_Acro">Main3WData[Acronym]</definedName>
    <definedName name="Data_Act">Main3WData[Activity Type]</definedName>
    <definedName name="Data_OrgTyp">Main3WData[Org Type]</definedName>
    <definedName name="Data_Pcd">Main3WData[Pcode]</definedName>
    <definedName name="Data_Sect">Main3WData[Sector]</definedName>
    <definedName name="FormulaOrgList1">Main3WData[[#Headers],[PT.Concat]]</definedName>
    <definedName name="FormulaOrgList2">Main3WData[[#Headers],[Count PT.Concat]]</definedName>
    <definedName name="FormulaOrgList3">Main3WData[[#Headers],[PT.ID]]</definedName>
    <definedName name="FormulaOrgList4">Main3WData[[#Headers],[PT.FirstID]]</definedName>
    <definedName name="FormulaOrgList5">Main3WData[[#Headers],[PT.LastID.Row]]</definedName>
    <definedName name="FormulaOrgList6">Main3WData[[#Headers],[PT.LstOrg]]</definedName>
    <definedName name="FormulaOrgList7">Main3WData[[#Headers],[PT.Show]]</definedName>
    <definedName name="_xlnm.Print_Titles" localSheetId="2">'Report 2'!$4:$4</definedName>
    <definedName name="Map0Data">Gears!$A$6:$T$39</definedName>
    <definedName name="Map10Data">Gears!$A$6:$AN$39</definedName>
    <definedName name="Map11Data">Gears!$A$6:$AP$39</definedName>
    <definedName name="Map12Data">Gears!$A$6:$AR$39</definedName>
    <definedName name="Map13Data">Gears!$A$6:$AX$171</definedName>
    <definedName name="Map14Data">Gears!$A$6:$AZ$171</definedName>
    <definedName name="Map15Data">Gears!$A$6:$BB$171</definedName>
    <definedName name="Map16Data">Gears!$A$6:$BD$171</definedName>
    <definedName name="Map1Data">Gears!$A$6:$V$39</definedName>
    <definedName name="Map2Data">Gears!$A$6:$X$39</definedName>
    <definedName name="Map3Data">Gears!$A$6:$Z$39</definedName>
    <definedName name="Map4Data">Gears!$A$6:$AB$39</definedName>
    <definedName name="Map5Data">Gears!$A$6:$AD$39</definedName>
    <definedName name="Map6Data">Gears!$A$6:$AF$39</definedName>
    <definedName name="Map7Data">Gears!$A$6:$AH$39</definedName>
    <definedName name="Map8Data">Gears!$A$6:$AJ$39</definedName>
    <definedName name="Map9Data">Gears!$A$6:$AL$39</definedName>
    <definedName name="NumbOfMaps">NumOfMaps[Number of Dashboard Maps]</definedName>
    <definedName name="OrgByAdmin_All">Gears!$R$6:$R$39</definedName>
    <definedName name="OrgByAdmin_Emg">Gears!$Q$6:$Q$39</definedName>
    <definedName name="OrgByAdmin_Reg">Gears!$P$6:$P$39</definedName>
    <definedName name="OrgByOrgType_All">Gears!$D$44:$D$52</definedName>
    <definedName name="OrgByOrgType_Emg">Gears!$C$44:$C$52</definedName>
    <definedName name="OrgByOrgType_Reg">Gears!$B$44:$B$52</definedName>
    <definedName name="OrgNameList">Organizations[Name]</definedName>
    <definedName name="OrgRpt_AdminNamesStart">Tbl_OrgReport[[#Headers],[District]]</definedName>
    <definedName name="OrgRpt_PcodesStart">Tbl_OrgReport[[#Headers],[PCODE]]</definedName>
    <definedName name="OrgRpt_SectorStart">Tbl_OrgReport[[#Headers],[Communication/Mobilisation sociale]]</definedName>
    <definedName name="OrgTypeList">OrganizationTypes[Organiztion Type]</definedName>
    <definedName name="SectorCount0">Gears!$C$6:$C$39</definedName>
    <definedName name="SectorCount1">Gears!$D$6:$D$39</definedName>
    <definedName name="SectorCount10">Gears!$M$6:$M$39</definedName>
    <definedName name="SectorCount11">Gears!$N$6:$N$39</definedName>
    <definedName name="SectorCount12">Gears!$O$6:$O$171</definedName>
    <definedName name="SectorCount13">Gears!$P$6:$P$171</definedName>
    <definedName name="SectorCount14">Gears!$Q$6:$Q$171</definedName>
    <definedName name="SectorCount15">Gears!$R$6:$R$171</definedName>
    <definedName name="SectorCount2">Gears!$E$6:$E$39</definedName>
    <definedName name="SectorCount3">Gears!$F$6:$F$39</definedName>
    <definedName name="SectorCount4">Gears!$G$6:$G$39</definedName>
    <definedName name="SectorCount5">Gears!$H$6:$H$39</definedName>
    <definedName name="SectorCount6">Gears!$I$6:$I$39</definedName>
    <definedName name="SectorCount7">Gears!$J$6:$J$39</definedName>
    <definedName name="SectorCount8">Gears!$K$6:$K$39</definedName>
    <definedName name="SectorCount9">Gears!$L$6:$L$39</definedName>
    <definedName name="SectorCountBins0">Gears!$W$6:$W$10</definedName>
    <definedName name="SectorCountBins1">Gears!$Y$6:$Y$10</definedName>
    <definedName name="SectorCountBins10">Gears!$AQ$6:$AQ$10</definedName>
    <definedName name="SectorCountBins11">Gears!$AS$6:$AS$10</definedName>
    <definedName name="SectorCountBins12">Gears!$AY$6:$AY$10</definedName>
    <definedName name="SectorCountBins13">Gears!$BA$6:$BA$10</definedName>
    <definedName name="SectorCountBins14">Gears!$BC$6:$BC$10</definedName>
    <definedName name="SectorCountBins15">Gears!$BE$6:$BE$10</definedName>
    <definedName name="SectorCountBins2">Gears!$AA$6:$AA$10</definedName>
    <definedName name="SectorCountBins3">Gears!$AC$6:$AC$10</definedName>
    <definedName name="SectorCountBins4">Gears!$AE$6:$AE$10</definedName>
    <definedName name="SectorCountBins5">Gears!$AG$6:$AG$10</definedName>
    <definedName name="SectorCountBins6">Gears!$AI$6:$AI$10</definedName>
    <definedName name="SectorCountBins7">Gears!$AK$6:$AK$10</definedName>
    <definedName name="SectorCountBins8">Gears!$AM$6:$AM$10</definedName>
    <definedName name="SectorCountBins9">Gears!$AO$6:$AO$10</definedName>
    <definedName name="SectorList">Sectors[Sector]</definedName>
    <definedName name="SectorsList">Sectors[Sector]</definedName>
    <definedName name="StdScale">Dashboard!$B$9</definedName>
    <definedName name="UniqueByAdminSector_Start">Gears!$A$5</definedName>
    <definedName name="UniqueByOrgType">Gears!$A$44:$D$52</definedName>
    <definedName name="UniqueByOrgType_Anchor">Gears!$A$43</definedName>
    <definedName name="UniqueBySector">Gears!$A$57:$D$68</definedName>
    <definedName name="UniqueBySector_Anchor">Gears!$A$56</definedName>
    <definedName name="UniqueCalc_Start">Gears!$C$6</definedName>
    <definedName name="_xlnm.Print_Area" localSheetId="1">Dashboard!$E$2:$BC$91</definedName>
    <definedName name="_xlnm.Print_Area" localSheetId="2">'Report 2'!$C$4:$N$38</definedName>
  </definedNames>
  <calcPr calcId="152511"/>
</workbook>
</file>

<file path=xl/calcChain.xml><?xml version="1.0" encoding="utf-8"?>
<calcChain xmlns="http://schemas.openxmlformats.org/spreadsheetml/2006/main">
  <c r="U10" i="13" l="1"/>
  <c r="U6" i="13" a="1"/>
  <c r="U6" i="13"/>
  <c r="U7" i="13" s="1"/>
  <c r="U8" i="13" s="1"/>
  <c r="T6" i="13" l="1"/>
  <c r="T10" i="13"/>
  <c r="T14" i="13"/>
  <c r="T18" i="13"/>
  <c r="T26" i="13"/>
  <c r="T30" i="13"/>
  <c r="T34" i="13"/>
  <c r="T7" i="13"/>
  <c r="T11" i="13"/>
  <c r="T15" i="13"/>
  <c r="T19" i="13"/>
  <c r="T23" i="13"/>
  <c r="T27" i="13"/>
  <c r="T31" i="13"/>
  <c r="T39" i="13"/>
  <c r="T8" i="13"/>
  <c r="T12" i="13"/>
  <c r="T20" i="13"/>
  <c r="T24" i="13"/>
  <c r="T28" i="13"/>
  <c r="T32" i="13"/>
  <c r="T36" i="13"/>
  <c r="U9" i="13"/>
  <c r="T22" i="13" s="1"/>
  <c r="T9" i="13"/>
  <c r="T13" i="13"/>
  <c r="T17" i="13"/>
  <c r="T21" i="13"/>
  <c r="T25" i="13"/>
  <c r="T29" i="13"/>
  <c r="T33" i="13"/>
  <c r="T37" i="13"/>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L5" i="15"/>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M5" i="15"/>
  <c r="M6" i="15"/>
  <c r="M7" i="15"/>
  <c r="M8" i="15"/>
  <c r="M9"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C5" i="15"/>
  <c r="O38" i="16" a="1"/>
  <c r="O38" i="16" s="1"/>
  <c r="O37" i="16" a="1"/>
  <c r="O37" i="16" s="1"/>
  <c r="O36" i="16" a="1"/>
  <c r="O36" i="16" s="1"/>
  <c r="O35" i="16" a="1"/>
  <c r="O35" i="16" s="1"/>
  <c r="O34" i="16" a="1"/>
  <c r="O34" i="16" s="1"/>
  <c r="O33" i="16"/>
  <c r="O33" i="16" a="1"/>
  <c r="O32" i="16" a="1"/>
  <c r="O32" i="16" s="1"/>
  <c r="O31" i="16" a="1"/>
  <c r="O31" i="16" s="1"/>
  <c r="O30" i="16" a="1"/>
  <c r="O30" i="16" s="1"/>
  <c r="O29" i="16" a="1"/>
  <c r="O29" i="16" s="1"/>
  <c r="O28" i="16" a="1"/>
  <c r="O28" i="16" s="1"/>
  <c r="O27" i="16"/>
  <c r="O27" i="16" a="1"/>
  <c r="O26" i="16" a="1"/>
  <c r="O26" i="16" s="1"/>
  <c r="O25" i="16"/>
  <c r="O25" i="16" a="1"/>
  <c r="O24" i="16" a="1"/>
  <c r="O24" i="16" s="1"/>
  <c r="O23" i="16" a="1"/>
  <c r="O23" i="16" s="1"/>
  <c r="O22" i="16" a="1"/>
  <c r="O22" i="16" s="1"/>
  <c r="O21" i="16" a="1"/>
  <c r="O21" i="16" s="1"/>
  <c r="O20" i="16" a="1"/>
  <c r="O20" i="16" s="1"/>
  <c r="O19" i="16"/>
  <c r="O19" i="16" a="1"/>
  <c r="O18" i="16" a="1"/>
  <c r="O18" i="16" s="1"/>
  <c r="O17" i="16"/>
  <c r="O17" i="16" a="1"/>
  <c r="O16" i="16" a="1"/>
  <c r="O16" i="16" s="1"/>
  <c r="O15" i="16" a="1"/>
  <c r="O15" i="16" s="1"/>
  <c r="O14" i="16" a="1"/>
  <c r="O14" i="16" s="1"/>
  <c r="O13" i="16"/>
  <c r="O13" i="16" a="1"/>
  <c r="O12" i="16" a="1"/>
  <c r="O12" i="16" s="1"/>
  <c r="O11" i="16"/>
  <c r="O11" i="16" a="1"/>
  <c r="O10" i="16" a="1"/>
  <c r="O10" i="16" s="1"/>
  <c r="O9" i="16"/>
  <c r="O9" i="16" a="1"/>
  <c r="O8" i="16" a="1"/>
  <c r="O8" i="16" s="1"/>
  <c r="O7" i="16" a="1"/>
  <c r="O7" i="16" s="1"/>
  <c r="O6" i="16" a="1"/>
  <c r="O6" i="16" s="1"/>
  <c r="O5" i="16"/>
  <c r="O5" i="16" a="1"/>
  <c r="N38" i="16" a="1"/>
  <c r="N38" i="16" s="1"/>
  <c r="N37" i="16"/>
  <c r="N37" i="16" a="1"/>
  <c r="N36" i="16" a="1"/>
  <c r="N36" i="16" s="1"/>
  <c r="N35" i="16"/>
  <c r="N35" i="16" a="1"/>
  <c r="N34" i="16" a="1"/>
  <c r="N34" i="16" s="1"/>
  <c r="N33" i="16" a="1"/>
  <c r="N33" i="16" s="1"/>
  <c r="N32" i="16" a="1"/>
  <c r="N32" i="16" s="1"/>
  <c r="N31" i="16"/>
  <c r="N31" i="16" a="1"/>
  <c r="N30" i="16" a="1"/>
  <c r="N30" i="16" s="1"/>
  <c r="N29" i="16"/>
  <c r="N29" i="16" a="1"/>
  <c r="N28" i="16" a="1"/>
  <c r="N28" i="16" s="1"/>
  <c r="N27" i="16"/>
  <c r="N27" i="16" a="1"/>
  <c r="N26" i="16" a="1"/>
  <c r="N26" i="16" s="1"/>
  <c r="N25" i="16" a="1"/>
  <c r="N25" i="16" s="1"/>
  <c r="N24" i="16" a="1"/>
  <c r="N24" i="16" s="1"/>
  <c r="N23" i="16"/>
  <c r="N23" i="16" a="1"/>
  <c r="N22" i="16" a="1"/>
  <c r="N22" i="16" s="1"/>
  <c r="N21" i="16"/>
  <c r="N21" i="16" a="1"/>
  <c r="N20" i="16" a="1"/>
  <c r="N20" i="16" s="1"/>
  <c r="N19" i="16"/>
  <c r="N19" i="16" a="1"/>
  <c r="N18" i="16" a="1"/>
  <c r="N18" i="16" s="1"/>
  <c r="N17" i="16" a="1"/>
  <c r="N17" i="16" s="1"/>
  <c r="N16" i="16" a="1"/>
  <c r="N16" i="16" s="1"/>
  <c r="N15" i="16"/>
  <c r="N15" i="16" a="1"/>
  <c r="N14" i="16" a="1"/>
  <c r="N14" i="16" s="1"/>
  <c r="N13" i="16"/>
  <c r="N13" i="16" a="1"/>
  <c r="N12" i="16" a="1"/>
  <c r="N12" i="16" s="1"/>
  <c r="N11" i="16"/>
  <c r="N11" i="16" a="1"/>
  <c r="N10" i="16" a="1"/>
  <c r="N10" i="16" s="1"/>
  <c r="N9" i="16" a="1"/>
  <c r="N9" i="16" s="1"/>
  <c r="N8" i="16" a="1"/>
  <c r="N8" i="16" s="1"/>
  <c r="N7" i="16"/>
  <c r="N7" i="16" a="1"/>
  <c r="N6" i="16" a="1"/>
  <c r="N6" i="16" s="1"/>
  <c r="N5" i="16"/>
  <c r="N5" i="16" a="1"/>
  <c r="M38" i="16" a="1"/>
  <c r="M38" i="16" s="1"/>
  <c r="M37" i="16"/>
  <c r="M37" i="16" a="1"/>
  <c r="M36" i="16" a="1"/>
  <c r="M36" i="16" s="1"/>
  <c r="M35" i="16" a="1"/>
  <c r="M35" i="16" s="1"/>
  <c r="M34" i="16" a="1"/>
  <c r="M34" i="16" s="1"/>
  <c r="M33" i="16"/>
  <c r="M33" i="16" a="1"/>
  <c r="M32" i="16" a="1"/>
  <c r="M32" i="16" s="1"/>
  <c r="M31" i="16"/>
  <c r="M31" i="16" a="1"/>
  <c r="M30" i="16" a="1"/>
  <c r="M30" i="16" s="1"/>
  <c r="M29" i="16"/>
  <c r="M29" i="16" a="1"/>
  <c r="M28" i="16" a="1"/>
  <c r="M28" i="16" s="1"/>
  <c r="M27" i="16" a="1"/>
  <c r="M27" i="16" s="1"/>
  <c r="M26" i="16" a="1"/>
  <c r="M26" i="16" s="1"/>
  <c r="M25" i="16"/>
  <c r="M25" i="16" a="1"/>
  <c r="M24" i="16" a="1"/>
  <c r="M24" i="16" s="1"/>
  <c r="M23" i="16"/>
  <c r="M23" i="16" a="1"/>
  <c r="M22" i="16" a="1"/>
  <c r="M22" i="16" s="1"/>
  <c r="M21" i="16"/>
  <c r="M21" i="16" a="1"/>
  <c r="M20" i="16" a="1"/>
  <c r="M20" i="16" s="1"/>
  <c r="M19" i="16" a="1"/>
  <c r="M19" i="16" s="1"/>
  <c r="M18" i="16" a="1"/>
  <c r="M18" i="16" s="1"/>
  <c r="M17" i="16"/>
  <c r="M17" i="16" a="1"/>
  <c r="M16" i="16" a="1"/>
  <c r="M16" i="16" s="1"/>
  <c r="M15" i="16"/>
  <c r="M15" i="16" a="1"/>
  <c r="M14" i="16" a="1"/>
  <c r="M14" i="16" s="1"/>
  <c r="M13" i="16"/>
  <c r="M13" i="16" a="1"/>
  <c r="M12" i="16" a="1"/>
  <c r="M12" i="16" s="1"/>
  <c r="M11" i="16" a="1"/>
  <c r="M11" i="16" s="1"/>
  <c r="M10" i="16" a="1"/>
  <c r="M10" i="16" s="1"/>
  <c r="M9" i="16"/>
  <c r="M9" i="16" a="1"/>
  <c r="M8" i="16" a="1"/>
  <c r="M8" i="16" s="1"/>
  <c r="M7" i="16"/>
  <c r="M7" i="16" a="1"/>
  <c r="M6" i="16" a="1"/>
  <c r="M6" i="16" s="1"/>
  <c r="M5" i="16"/>
  <c r="M5" i="16" a="1"/>
  <c r="L38" i="16" a="1"/>
  <c r="L38" i="16" s="1"/>
  <c r="L37" i="16" a="1"/>
  <c r="L37" i="16" s="1"/>
  <c r="L36" i="16" a="1"/>
  <c r="L36" i="16" s="1"/>
  <c r="L35" i="16"/>
  <c r="L35" i="16" a="1"/>
  <c r="L34" i="16" a="1"/>
  <c r="L34" i="16" s="1"/>
  <c r="L33" i="16"/>
  <c r="L33" i="16" a="1"/>
  <c r="L32" i="16" a="1"/>
  <c r="L32" i="16" s="1"/>
  <c r="L31" i="16"/>
  <c r="L31" i="16" a="1"/>
  <c r="L30" i="16" a="1"/>
  <c r="L30" i="16" s="1"/>
  <c r="L29" i="16" a="1"/>
  <c r="L29" i="16" s="1"/>
  <c r="L28" i="16" a="1"/>
  <c r="L28" i="16" s="1"/>
  <c r="L27" i="16"/>
  <c r="L27" i="16" a="1"/>
  <c r="L26" i="16" a="1"/>
  <c r="L26" i="16" s="1"/>
  <c r="L25" i="16"/>
  <c r="L25" i="16" a="1"/>
  <c r="L24" i="16" a="1"/>
  <c r="L24" i="16" s="1"/>
  <c r="L23" i="16"/>
  <c r="L23" i="16" a="1"/>
  <c r="L22" i="16" a="1"/>
  <c r="L22" i="16" s="1"/>
  <c r="L21" i="16" a="1"/>
  <c r="L21" i="16" s="1"/>
  <c r="L20" i="16" a="1"/>
  <c r="L20" i="16" s="1"/>
  <c r="L19" i="16"/>
  <c r="L19" i="16" a="1"/>
  <c r="L18" i="16" a="1"/>
  <c r="L18" i="16" s="1"/>
  <c r="L17" i="16"/>
  <c r="L17" i="16" a="1"/>
  <c r="L16" i="16" a="1"/>
  <c r="L16" i="16" s="1"/>
  <c r="L15" i="16"/>
  <c r="L15" i="16" a="1"/>
  <c r="L14" i="16" a="1"/>
  <c r="L14" i="16" s="1"/>
  <c r="L13" i="16" a="1"/>
  <c r="L13" i="16" s="1"/>
  <c r="L12" i="16" a="1"/>
  <c r="L12" i="16" s="1"/>
  <c r="L11" i="16"/>
  <c r="L11" i="16" a="1"/>
  <c r="L10" i="16" a="1"/>
  <c r="L10" i="16" s="1"/>
  <c r="L9" i="16"/>
  <c r="L9" i="16" a="1"/>
  <c r="L8" i="16" a="1"/>
  <c r="L8" i="16" s="1"/>
  <c r="L7" i="16" a="1"/>
  <c r="L7" i="16" s="1"/>
  <c r="L6" i="16" a="1"/>
  <c r="L6" i="16" s="1"/>
  <c r="L5" i="16" a="1"/>
  <c r="L5" i="16" s="1"/>
  <c r="K38" i="16" a="1"/>
  <c r="K38" i="16" s="1"/>
  <c r="K37" i="16"/>
  <c r="K37" i="16" a="1"/>
  <c r="K36" i="16" a="1"/>
  <c r="K36" i="16" s="1"/>
  <c r="K35" i="16"/>
  <c r="K35" i="16" a="1"/>
  <c r="K34" i="16" a="1"/>
  <c r="K34" i="16" s="1"/>
  <c r="K33" i="16" a="1"/>
  <c r="K33" i="16" s="1"/>
  <c r="K32" i="16" a="1"/>
  <c r="K32" i="16" s="1"/>
  <c r="K31" i="16" a="1"/>
  <c r="K31" i="16" s="1"/>
  <c r="K30" i="16" a="1"/>
  <c r="K30" i="16" s="1"/>
  <c r="K29" i="16"/>
  <c r="K29" i="16" a="1"/>
  <c r="K28" i="16" a="1"/>
  <c r="K28" i="16" s="1"/>
  <c r="K27" i="16"/>
  <c r="K27" i="16" a="1"/>
  <c r="K26" i="16" a="1"/>
  <c r="K26" i="16" s="1"/>
  <c r="K25" i="16" a="1"/>
  <c r="K25" i="16" s="1"/>
  <c r="K24" i="16" a="1"/>
  <c r="K24" i="16" s="1"/>
  <c r="K23" i="16" a="1"/>
  <c r="K23" i="16" s="1"/>
  <c r="K22" i="16" a="1"/>
  <c r="K22" i="16" s="1"/>
  <c r="K21" i="16"/>
  <c r="K21" i="16" a="1"/>
  <c r="K20" i="16" a="1"/>
  <c r="K20" i="16" s="1"/>
  <c r="K19" i="16"/>
  <c r="K19" i="16" a="1"/>
  <c r="K18" i="16" a="1"/>
  <c r="K18" i="16" s="1"/>
  <c r="K17" i="16" a="1"/>
  <c r="K17" i="16" s="1"/>
  <c r="K16" i="16" a="1"/>
  <c r="K16" i="16" s="1"/>
  <c r="K15" i="16" a="1"/>
  <c r="K15" i="16" s="1"/>
  <c r="K14" i="16" a="1"/>
  <c r="K14" i="16" s="1"/>
  <c r="K13" i="16"/>
  <c r="K13" i="16" a="1"/>
  <c r="K12" i="16" a="1"/>
  <c r="K12" i="16" s="1"/>
  <c r="K11" i="16"/>
  <c r="K11" i="16" a="1"/>
  <c r="K10" i="16" a="1"/>
  <c r="K10" i="16" s="1"/>
  <c r="K9" i="16" a="1"/>
  <c r="K9" i="16" s="1"/>
  <c r="K8" i="16" a="1"/>
  <c r="K8" i="16" s="1"/>
  <c r="K7" i="16" a="1"/>
  <c r="K7" i="16" s="1"/>
  <c r="K6" i="16" a="1"/>
  <c r="K6" i="16" s="1"/>
  <c r="K5" i="16"/>
  <c r="K5" i="16" a="1"/>
  <c r="J38" i="16"/>
  <c r="J38" i="16" a="1"/>
  <c r="J37" i="16"/>
  <c r="J37" i="16" a="1"/>
  <c r="J36" i="16"/>
  <c r="J36" i="16" a="1"/>
  <c r="J35" i="16"/>
  <c r="J35" i="16" a="1"/>
  <c r="J34" i="16" a="1"/>
  <c r="J34" i="16" s="1"/>
  <c r="J33" i="16"/>
  <c r="J33" i="16" a="1"/>
  <c r="J32" i="16" a="1"/>
  <c r="J32" i="16" s="1"/>
  <c r="J31" i="16"/>
  <c r="J31" i="16" a="1"/>
  <c r="J30" i="16" a="1"/>
  <c r="J30" i="16" s="1"/>
  <c r="J29" i="16"/>
  <c r="J29" i="16" a="1"/>
  <c r="J28" i="16" a="1"/>
  <c r="J28" i="16" s="1"/>
  <c r="J27" i="16"/>
  <c r="J27" i="16" a="1"/>
  <c r="J26" i="16" a="1"/>
  <c r="J26" i="16" s="1"/>
  <c r="J25" i="16"/>
  <c r="J25" i="16" a="1"/>
  <c r="J24" i="16" a="1"/>
  <c r="J24" i="16" s="1"/>
  <c r="J23" i="16"/>
  <c r="J23" i="16" a="1"/>
  <c r="J22" i="16" a="1"/>
  <c r="J22" i="16" s="1"/>
  <c r="J21" i="16"/>
  <c r="J21" i="16" a="1"/>
  <c r="J20" i="16" a="1"/>
  <c r="J20" i="16" s="1"/>
  <c r="J19" i="16"/>
  <c r="J19" i="16" a="1"/>
  <c r="J18" i="16" a="1"/>
  <c r="J18" i="16" s="1"/>
  <c r="J17" i="16"/>
  <c r="J17" i="16" a="1"/>
  <c r="J16" i="16" a="1"/>
  <c r="J16" i="16" s="1"/>
  <c r="J15" i="16"/>
  <c r="J15" i="16" a="1"/>
  <c r="J14" i="16" a="1"/>
  <c r="J14" i="16" s="1"/>
  <c r="J13" i="16" a="1"/>
  <c r="J13" i="16" s="1"/>
  <c r="J12" i="16" a="1"/>
  <c r="J12" i="16" s="1"/>
  <c r="J11" i="16" a="1"/>
  <c r="J11" i="16" s="1"/>
  <c r="J10" i="16" a="1"/>
  <c r="J10" i="16" s="1"/>
  <c r="J9" i="16" a="1"/>
  <c r="J9" i="16" s="1"/>
  <c r="J8" i="16"/>
  <c r="J8" i="16" a="1"/>
  <c r="J7" i="16" a="1"/>
  <c r="J7" i="16" s="1"/>
  <c r="J6" i="16" a="1"/>
  <c r="J6" i="16" s="1"/>
  <c r="J5" i="16" a="1"/>
  <c r="J5" i="16" s="1"/>
  <c r="I38" i="16" a="1"/>
  <c r="I38" i="16" s="1"/>
  <c r="I37" i="16" a="1"/>
  <c r="I37" i="16" s="1"/>
  <c r="I36" i="16" a="1"/>
  <c r="I36" i="16" s="1"/>
  <c r="I35" i="16" a="1"/>
  <c r="I35" i="16" s="1"/>
  <c r="I34" i="16"/>
  <c r="I34" i="16" a="1"/>
  <c r="I33" i="16" a="1"/>
  <c r="I33" i="16" s="1"/>
  <c r="I32" i="16" a="1"/>
  <c r="I32" i="16" s="1"/>
  <c r="I31" i="16" a="1"/>
  <c r="I31" i="16" s="1"/>
  <c r="I30" i="16" a="1"/>
  <c r="I30" i="16" s="1"/>
  <c r="I29" i="16" a="1"/>
  <c r="I29" i="16" s="1"/>
  <c r="I28" i="16" a="1"/>
  <c r="I28" i="16" s="1"/>
  <c r="I27" i="16" a="1"/>
  <c r="I27" i="16" s="1"/>
  <c r="I26" i="16"/>
  <c r="I26" i="16" a="1"/>
  <c r="I25" i="16" a="1"/>
  <c r="I25" i="16" s="1"/>
  <c r="I24" i="16" a="1"/>
  <c r="I24" i="16" s="1"/>
  <c r="I23" i="16" a="1"/>
  <c r="I23" i="16" s="1"/>
  <c r="I22" i="16" a="1"/>
  <c r="I22" i="16" s="1"/>
  <c r="I21" i="16" a="1"/>
  <c r="I21" i="16" s="1"/>
  <c r="I20" i="16" a="1"/>
  <c r="I20" i="16" s="1"/>
  <c r="I19" i="16" a="1"/>
  <c r="I19" i="16" s="1"/>
  <c r="I18" i="16"/>
  <c r="I18" i="16" a="1"/>
  <c r="I17" i="16" a="1"/>
  <c r="I17" i="16" s="1"/>
  <c r="I16" i="16" a="1"/>
  <c r="I16" i="16" s="1"/>
  <c r="I15" i="16" a="1"/>
  <c r="I15" i="16" s="1"/>
  <c r="I14" i="16" a="1"/>
  <c r="I14" i="16" s="1"/>
  <c r="I13" i="16" a="1"/>
  <c r="I13" i="16" s="1"/>
  <c r="I12" i="16" a="1"/>
  <c r="I12" i="16" s="1"/>
  <c r="I11" i="16" a="1"/>
  <c r="I11" i="16" s="1"/>
  <c r="I10" i="16"/>
  <c r="I10" i="16" a="1"/>
  <c r="I9" i="16" a="1"/>
  <c r="I9" i="16" s="1"/>
  <c r="I8" i="16" a="1"/>
  <c r="I8" i="16" s="1"/>
  <c r="I7" i="16" a="1"/>
  <c r="I7" i="16" s="1"/>
  <c r="I6" i="16" a="1"/>
  <c r="I6" i="16" s="1"/>
  <c r="I5" i="16" a="1"/>
  <c r="I5" i="16" s="1"/>
  <c r="H38" i="16" a="1"/>
  <c r="H38" i="16" s="1"/>
  <c r="H37" i="16" a="1"/>
  <c r="H37" i="16" s="1"/>
  <c r="H36" i="16"/>
  <c r="H36" i="16" a="1"/>
  <c r="H35" i="16" a="1"/>
  <c r="H35" i="16" s="1"/>
  <c r="H34" i="16" a="1"/>
  <c r="H34" i="16" s="1"/>
  <c r="H33" i="16" a="1"/>
  <c r="H33" i="16" s="1"/>
  <c r="H32" i="16" a="1"/>
  <c r="H32" i="16" s="1"/>
  <c r="H31" i="16" a="1"/>
  <c r="H31" i="16" s="1"/>
  <c r="H30" i="16" a="1"/>
  <c r="H30" i="16" s="1"/>
  <c r="H29" i="16" a="1"/>
  <c r="H29" i="16" s="1"/>
  <c r="H28" i="16"/>
  <c r="H28" i="16" a="1"/>
  <c r="H27" i="16" a="1"/>
  <c r="H27" i="16" s="1"/>
  <c r="H26" i="16" a="1"/>
  <c r="H26" i="16" s="1"/>
  <c r="H25" i="16" a="1"/>
  <c r="H25" i="16" s="1"/>
  <c r="H24" i="16" a="1"/>
  <c r="H24" i="16" s="1"/>
  <c r="H23" i="16" a="1"/>
  <c r="H23" i="16" s="1"/>
  <c r="H22" i="16" a="1"/>
  <c r="H22" i="16" s="1"/>
  <c r="H21" i="16" a="1"/>
  <c r="H21" i="16" s="1"/>
  <c r="H20" i="16"/>
  <c r="H20" i="16" a="1"/>
  <c r="H19" i="16" a="1"/>
  <c r="H19" i="16" s="1"/>
  <c r="H18" i="16" a="1"/>
  <c r="H18" i="16" s="1"/>
  <c r="H17" i="16" a="1"/>
  <c r="H17" i="16" s="1"/>
  <c r="H16" i="16" a="1"/>
  <c r="H16" i="16" s="1"/>
  <c r="H15" i="16" a="1"/>
  <c r="H15" i="16" s="1"/>
  <c r="H14" i="16" a="1"/>
  <c r="H14" i="16" s="1"/>
  <c r="H13" i="16" a="1"/>
  <c r="H13" i="16" s="1"/>
  <c r="H12" i="16"/>
  <c r="H12" i="16" a="1"/>
  <c r="H11" i="16" a="1"/>
  <c r="H11" i="16" s="1"/>
  <c r="H10" i="16" a="1"/>
  <c r="H10" i="16" s="1"/>
  <c r="H9" i="16" a="1"/>
  <c r="H9" i="16" s="1"/>
  <c r="H8" i="16" a="1"/>
  <c r="H8" i="16" s="1"/>
  <c r="H7" i="16" a="1"/>
  <c r="H7" i="16" s="1"/>
  <c r="H6" i="16" a="1"/>
  <c r="H6" i="16" s="1"/>
  <c r="H5" i="16" a="1"/>
  <c r="H5" i="16" s="1"/>
  <c r="G38" i="16"/>
  <c r="G38" i="16" a="1"/>
  <c r="G37" i="16" a="1"/>
  <c r="G37" i="16" s="1"/>
  <c r="G36" i="16" a="1"/>
  <c r="G36" i="16" s="1"/>
  <c r="G35" i="16" a="1"/>
  <c r="G35" i="16" s="1"/>
  <c r="G34" i="16" a="1"/>
  <c r="G34" i="16" s="1"/>
  <c r="G33" i="16" a="1"/>
  <c r="G33" i="16" s="1"/>
  <c r="G32" i="16" a="1"/>
  <c r="G32" i="16" s="1"/>
  <c r="G31" i="16" a="1"/>
  <c r="G31" i="16" s="1"/>
  <c r="G30" i="16"/>
  <c r="G30" i="16" a="1"/>
  <c r="G29" i="16" a="1"/>
  <c r="G29" i="16" s="1"/>
  <c r="G28" i="16" a="1"/>
  <c r="G28" i="16" s="1"/>
  <c r="G27" i="16" a="1"/>
  <c r="G27" i="16" s="1"/>
  <c r="G26" i="16" a="1"/>
  <c r="G26" i="16" s="1"/>
  <c r="G25" i="16" a="1"/>
  <c r="G25" i="16" s="1"/>
  <c r="G24" i="16" a="1"/>
  <c r="G24" i="16" s="1"/>
  <c r="G23" i="16" a="1"/>
  <c r="G23" i="16" s="1"/>
  <c r="G22" i="16"/>
  <c r="G22" i="16" a="1"/>
  <c r="G21" i="16" a="1"/>
  <c r="G21" i="16" s="1"/>
  <c r="G20" i="16" a="1"/>
  <c r="G20" i="16" s="1"/>
  <c r="G19" i="16" a="1"/>
  <c r="G19" i="16" s="1"/>
  <c r="G18" i="16" a="1"/>
  <c r="G18" i="16" s="1"/>
  <c r="G17" i="16" a="1"/>
  <c r="G17" i="16" s="1"/>
  <c r="G16" i="16" a="1"/>
  <c r="G16" i="16" s="1"/>
  <c r="G15" i="16" a="1"/>
  <c r="G15" i="16" s="1"/>
  <c r="G14" i="16"/>
  <c r="G14" i="16" a="1"/>
  <c r="G13" i="16" a="1"/>
  <c r="G13" i="16" s="1"/>
  <c r="G12" i="16" a="1"/>
  <c r="G12" i="16" s="1"/>
  <c r="G11" i="16" a="1"/>
  <c r="G11" i="16" s="1"/>
  <c r="G10" i="16" a="1"/>
  <c r="G10" i="16" s="1"/>
  <c r="G9" i="16" a="1"/>
  <c r="G9" i="16" s="1"/>
  <c r="G8" i="16" a="1"/>
  <c r="G8" i="16" s="1"/>
  <c r="G7" i="16" a="1"/>
  <c r="G7" i="16" s="1"/>
  <c r="G6" i="16"/>
  <c r="G6" i="16" a="1"/>
  <c r="G5" i="16" a="1"/>
  <c r="G5" i="16" s="1"/>
  <c r="F38" i="16" a="1"/>
  <c r="F38" i="16" s="1"/>
  <c r="F37" i="16" a="1"/>
  <c r="F37" i="16" s="1"/>
  <c r="F36" i="16" a="1"/>
  <c r="F36" i="16" s="1"/>
  <c r="F35" i="16" a="1"/>
  <c r="F35" i="16" s="1"/>
  <c r="F34" i="16" a="1"/>
  <c r="F34" i="16" s="1"/>
  <c r="F33" i="16" a="1"/>
  <c r="F33" i="16" s="1"/>
  <c r="F32" i="16"/>
  <c r="F32" i="16" a="1"/>
  <c r="F31" i="16" a="1"/>
  <c r="F31" i="16" s="1"/>
  <c r="F30" i="16" a="1"/>
  <c r="F30" i="16" s="1"/>
  <c r="F29" i="16" a="1"/>
  <c r="F29" i="16" s="1"/>
  <c r="F28" i="16" a="1"/>
  <c r="F28" i="16" s="1"/>
  <c r="F27" i="16" a="1"/>
  <c r="F27" i="16" s="1"/>
  <c r="F26" i="16" a="1"/>
  <c r="F26" i="16" s="1"/>
  <c r="F25" i="16" a="1"/>
  <c r="F25" i="16" s="1"/>
  <c r="F24" i="16"/>
  <c r="F24" i="16" a="1"/>
  <c r="F23" i="16" a="1"/>
  <c r="F23" i="16" s="1"/>
  <c r="F22" i="16" a="1"/>
  <c r="F22" i="16" s="1"/>
  <c r="F21" i="16" a="1"/>
  <c r="F21" i="16" s="1"/>
  <c r="F20" i="16"/>
  <c r="F20" i="16" a="1"/>
  <c r="F19" i="16" a="1"/>
  <c r="F19" i="16" s="1"/>
  <c r="F18" i="16" a="1"/>
  <c r="F18" i="16" s="1"/>
  <c r="F17" i="16" a="1"/>
  <c r="F17" i="16" s="1"/>
  <c r="F16" i="16"/>
  <c r="F16" i="16" a="1"/>
  <c r="F15" i="16" a="1"/>
  <c r="F15" i="16" s="1"/>
  <c r="F14" i="16" a="1"/>
  <c r="F14" i="16" s="1"/>
  <c r="F13" i="16" a="1"/>
  <c r="F13" i="16" s="1"/>
  <c r="F12" i="16"/>
  <c r="F12" i="16" a="1"/>
  <c r="F11" i="16" a="1"/>
  <c r="F11" i="16" s="1"/>
  <c r="F10" i="16" a="1"/>
  <c r="F10" i="16" s="1"/>
  <c r="F9" i="16" a="1"/>
  <c r="F9" i="16" s="1"/>
  <c r="F8" i="16"/>
  <c r="F8" i="16" a="1"/>
  <c r="F7" i="16" a="1"/>
  <c r="F7" i="16" s="1"/>
  <c r="F6" i="16" a="1"/>
  <c r="F6" i="16" s="1"/>
  <c r="F5" i="16" a="1"/>
  <c r="F5" i="16" s="1"/>
  <c r="E38" i="16"/>
  <c r="E38" i="16" a="1"/>
  <c r="E37" i="16" a="1"/>
  <c r="E37" i="16" s="1"/>
  <c r="E36" i="16" a="1"/>
  <c r="E36" i="16" s="1"/>
  <c r="E35" i="16" a="1"/>
  <c r="E35" i="16" s="1"/>
  <c r="E34" i="16"/>
  <c r="E34" i="16" a="1"/>
  <c r="E33" i="16" a="1"/>
  <c r="E33" i="16" s="1"/>
  <c r="E32" i="16" a="1"/>
  <c r="E32" i="16" s="1"/>
  <c r="E31" i="16" a="1"/>
  <c r="E31" i="16" s="1"/>
  <c r="E30" i="16"/>
  <c r="E30" i="16" a="1"/>
  <c r="E29" i="16" a="1"/>
  <c r="E29" i="16" s="1"/>
  <c r="E28" i="16" a="1"/>
  <c r="E28" i="16" s="1"/>
  <c r="E27" i="16" a="1"/>
  <c r="E27" i="16" s="1"/>
  <c r="E26" i="16"/>
  <c r="E26" i="16" a="1"/>
  <c r="E25" i="16" a="1"/>
  <c r="E25" i="16" s="1"/>
  <c r="E24" i="16" a="1"/>
  <c r="E24" i="16" s="1"/>
  <c r="E23" i="16" a="1"/>
  <c r="E23" i="16" s="1"/>
  <c r="E22" i="16"/>
  <c r="E22" i="16" a="1"/>
  <c r="E21" i="16" a="1"/>
  <c r="E21" i="16" s="1"/>
  <c r="E20" i="16" a="1"/>
  <c r="E20" i="16" s="1"/>
  <c r="E19" i="16" a="1"/>
  <c r="E19" i="16" s="1"/>
  <c r="E18" i="16" a="1"/>
  <c r="E18" i="16" s="1"/>
  <c r="E17" i="16" a="1"/>
  <c r="E17" i="16" s="1"/>
  <c r="E16" i="16" a="1"/>
  <c r="E16" i="16" s="1"/>
  <c r="E15" i="16" a="1"/>
  <c r="E15" i="16" s="1"/>
  <c r="E14" i="16" a="1"/>
  <c r="E14" i="16" s="1"/>
  <c r="E13" i="16" a="1"/>
  <c r="E13" i="16" s="1"/>
  <c r="E12" i="16" a="1"/>
  <c r="E12" i="16" s="1"/>
  <c r="E11" i="16" a="1"/>
  <c r="E11" i="16" s="1"/>
  <c r="E10" i="16" a="1"/>
  <c r="E10" i="16" s="1"/>
  <c r="E9" i="16" a="1"/>
  <c r="E9" i="16" s="1"/>
  <c r="E8" i="16" a="1"/>
  <c r="E8" i="16" s="1"/>
  <c r="E7" i="16" a="1"/>
  <c r="E7" i="16" s="1"/>
  <c r="E6" i="16" a="1"/>
  <c r="E6" i="16" s="1"/>
  <c r="E5" i="16" a="1"/>
  <c r="E5" i="16" s="1"/>
  <c r="D5" i="16" a="1"/>
  <c r="D5" i="16"/>
  <c r="D38" i="16" a="1"/>
  <c r="D38" i="16"/>
  <c r="D37" i="16" a="1"/>
  <c r="D37" i="16"/>
  <c r="D36" i="16" a="1"/>
  <c r="D36" i="16"/>
  <c r="D35" i="16" a="1"/>
  <c r="D35" i="16"/>
  <c r="D34" i="16" a="1"/>
  <c r="D34" i="16"/>
  <c r="D33" i="16" a="1"/>
  <c r="D33" i="16"/>
  <c r="D32" i="16" a="1"/>
  <c r="D32" i="16"/>
  <c r="D31" i="16" a="1"/>
  <c r="D31" i="16"/>
  <c r="D30" i="16" a="1"/>
  <c r="D30" i="16"/>
  <c r="D29" i="16" a="1"/>
  <c r="D29" i="16"/>
  <c r="D28" i="16" a="1"/>
  <c r="D28" i="16"/>
  <c r="D27" i="16" a="1"/>
  <c r="D27" i="16"/>
  <c r="D26" i="16" a="1"/>
  <c r="D26" i="16"/>
  <c r="D25" i="16" a="1"/>
  <c r="D25" i="16"/>
  <c r="D24" i="16" a="1"/>
  <c r="D24" i="16"/>
  <c r="D23" i="16" a="1"/>
  <c r="D23" i="16"/>
  <c r="D22" i="16" a="1"/>
  <c r="D22" i="16"/>
  <c r="D21" i="16" a="1"/>
  <c r="D21" i="16"/>
  <c r="D20" i="16" a="1"/>
  <c r="D20" i="16"/>
  <c r="D19" i="16" a="1"/>
  <c r="D19" i="16"/>
  <c r="D18" i="16" a="1"/>
  <c r="D18" i="16"/>
  <c r="D17" i="16" a="1"/>
  <c r="D17" i="16"/>
  <c r="D16" i="16" a="1"/>
  <c r="D16" i="16"/>
  <c r="D15" i="16" a="1"/>
  <c r="D15" i="16"/>
  <c r="D14" i="16" a="1"/>
  <c r="D14" i="16"/>
  <c r="D13" i="16" a="1"/>
  <c r="D13" i="16"/>
  <c r="D12" i="16" a="1"/>
  <c r="D12" i="16"/>
  <c r="D11" i="16" a="1"/>
  <c r="D11" i="16" s="1"/>
  <c r="D10" i="16" a="1"/>
  <c r="D10" i="16"/>
  <c r="D9" i="16" a="1"/>
  <c r="D9" i="16" s="1"/>
  <c r="D8" i="16" a="1"/>
  <c r="D8" i="16"/>
  <c r="D7" i="16" a="1"/>
  <c r="D7" i="16" s="1"/>
  <c r="D6" i="16" a="1"/>
  <c r="D6" i="16"/>
  <c r="AS6" i="13" a="1"/>
  <c r="AS6" i="13" s="1"/>
  <c r="AQ6" i="13" a="1"/>
  <c r="AQ6" i="13" s="1"/>
  <c r="AO6" i="13" a="1"/>
  <c r="AO6" i="13" s="1"/>
  <c r="AM6" i="13" a="1"/>
  <c r="AM6" i="13" s="1"/>
  <c r="AK6" i="13" a="1"/>
  <c r="AK6" i="13" s="1"/>
  <c r="AI6" i="13" a="1"/>
  <c r="AI6" i="13" s="1"/>
  <c r="AG6" i="13" a="1"/>
  <c r="AG6" i="13" s="1"/>
  <c r="AE6" i="13" a="1"/>
  <c r="AE6" i="13" s="1"/>
  <c r="AC6" i="13" a="1"/>
  <c r="AC6" i="13"/>
  <c r="AA6" i="13" a="1"/>
  <c r="AA6" i="13"/>
  <c r="Y6" i="13" a="1"/>
  <c r="Y6" i="13"/>
  <c r="W6" i="13" a="1"/>
  <c r="W6" i="13"/>
  <c r="D60" i="13" a="1"/>
  <c r="D60" i="13" s="1"/>
  <c r="D59" i="13" a="1"/>
  <c r="D59" i="13" s="1"/>
  <c r="D62" i="13" a="1"/>
  <c r="D62" i="13" s="1"/>
  <c r="D68" i="13" a="1"/>
  <c r="D68" i="13" s="1"/>
  <c r="D64" i="13" a="1"/>
  <c r="D64" i="13" s="1"/>
  <c r="D57" i="13" a="1"/>
  <c r="D57" i="13" s="1"/>
  <c r="D65" i="13" a="1"/>
  <c r="D65" i="13" s="1"/>
  <c r="D63" i="13" a="1"/>
  <c r="D63" i="13" s="1"/>
  <c r="D67" i="13" a="1"/>
  <c r="D67" i="13" s="1"/>
  <c r="D66" i="13" a="1"/>
  <c r="D66" i="13" s="1"/>
  <c r="D61" i="13" a="1"/>
  <c r="D61" i="13" s="1"/>
  <c r="D58" i="13" a="1"/>
  <c r="D58" i="13" s="1"/>
  <c r="C60" i="13" a="1"/>
  <c r="C60" i="13" s="1"/>
  <c r="C59" i="13" a="1"/>
  <c r="C59" i="13" s="1"/>
  <c r="C62" i="13" a="1"/>
  <c r="C62" i="13" s="1"/>
  <c r="C68" i="13" a="1"/>
  <c r="C68" i="13" s="1"/>
  <c r="C64" i="13" a="1"/>
  <c r="C64" i="13" s="1"/>
  <c r="C57" i="13" a="1"/>
  <c r="C57" i="13" s="1"/>
  <c r="C65" i="13" a="1"/>
  <c r="C65" i="13" s="1"/>
  <c r="C63" i="13" a="1"/>
  <c r="C63" i="13" s="1"/>
  <c r="C67" i="13" a="1"/>
  <c r="C67" i="13" s="1"/>
  <c r="C66" i="13" a="1"/>
  <c r="C66" i="13" s="1"/>
  <c r="C61" i="13" a="1"/>
  <c r="C61" i="13" s="1"/>
  <c r="C58" i="13" a="1"/>
  <c r="C58" i="13" s="1"/>
  <c r="B60" i="13" a="1"/>
  <c r="B60" i="13" s="1"/>
  <c r="B59" i="13" a="1"/>
  <c r="B59" i="13" s="1"/>
  <c r="B62" i="13" a="1"/>
  <c r="B62" i="13" s="1"/>
  <c r="B68" i="13" a="1"/>
  <c r="B68" i="13" s="1"/>
  <c r="B64" i="13" a="1"/>
  <c r="B64" i="13" s="1"/>
  <c r="B57" i="13" a="1"/>
  <c r="B57" i="13" s="1"/>
  <c r="B65" i="13" a="1"/>
  <c r="B65" i="13" s="1"/>
  <c r="B63" i="13" a="1"/>
  <c r="B63" i="13" s="1"/>
  <c r="B67" i="13" a="1"/>
  <c r="B67" i="13" s="1"/>
  <c r="B66" i="13" a="1"/>
  <c r="B66" i="13" s="1"/>
  <c r="B61" i="13" a="1"/>
  <c r="B61" i="13" s="1"/>
  <c r="B58" i="13" a="1"/>
  <c r="B58" i="13" s="1"/>
  <c r="D46" i="13" a="1"/>
  <c r="D46" i="13" s="1"/>
  <c r="D48" i="13" a="1"/>
  <c r="D48" i="13" s="1"/>
  <c r="D52" i="13" a="1"/>
  <c r="D52" i="13" s="1"/>
  <c r="D51" i="13" a="1"/>
  <c r="D51" i="13" s="1"/>
  <c r="D50" i="13" a="1"/>
  <c r="D50" i="13" s="1"/>
  <c r="D45" i="13" a="1"/>
  <c r="D45" i="13" s="1"/>
  <c r="D44" i="13" a="1"/>
  <c r="D44" i="13" s="1"/>
  <c r="D49" i="13" a="1"/>
  <c r="D49" i="13" s="1"/>
  <c r="D47" i="13" a="1"/>
  <c r="D47" i="13" s="1"/>
  <c r="C46" i="13" a="1"/>
  <c r="C46" i="13" s="1"/>
  <c r="C48" i="13" a="1"/>
  <c r="C48" i="13" s="1"/>
  <c r="C52" i="13" a="1"/>
  <c r="C52" i="13" s="1"/>
  <c r="C51" i="13" a="1"/>
  <c r="C51" i="13" s="1"/>
  <c r="C50" i="13" a="1"/>
  <c r="C50" i="13" s="1"/>
  <c r="C45" i="13" a="1"/>
  <c r="C45" i="13" s="1"/>
  <c r="C44" i="13" a="1"/>
  <c r="C44" i="13" s="1"/>
  <c r="C49" i="13" a="1"/>
  <c r="C49" i="13" s="1"/>
  <c r="C47" i="13" a="1"/>
  <c r="C47" i="13" s="1"/>
  <c r="B46" i="13" a="1"/>
  <c r="B46" i="13" s="1"/>
  <c r="B48" i="13" a="1"/>
  <c r="B48" i="13" s="1"/>
  <c r="B52" i="13" a="1"/>
  <c r="B52" i="13" s="1"/>
  <c r="B51" i="13" a="1"/>
  <c r="B51" i="13" s="1"/>
  <c r="B50" i="13" a="1"/>
  <c r="B50" i="13" s="1"/>
  <c r="B45" i="13" a="1"/>
  <c r="B45" i="13" s="1"/>
  <c r="B44" i="13" a="1"/>
  <c r="B44" i="13" s="1"/>
  <c r="B49" i="13" a="1"/>
  <c r="B49" i="13" s="1"/>
  <c r="B47" i="13" a="1"/>
  <c r="B47" i="13" s="1"/>
  <c r="R39" i="13" a="1"/>
  <c r="R39" i="13" s="1"/>
  <c r="R38" i="13" a="1"/>
  <c r="R38" i="13" s="1"/>
  <c r="R37" i="13" a="1"/>
  <c r="R37" i="13" s="1"/>
  <c r="R36" i="13" a="1"/>
  <c r="R36" i="13" s="1"/>
  <c r="R35" i="13" a="1"/>
  <c r="R35" i="13"/>
  <c r="R34" i="13" a="1"/>
  <c r="R34" i="13" s="1"/>
  <c r="R33" i="13" a="1"/>
  <c r="R33" i="13"/>
  <c r="R32" i="13" a="1"/>
  <c r="R32" i="13" s="1"/>
  <c r="R31" i="13" a="1"/>
  <c r="R31" i="13" s="1"/>
  <c r="R30" i="13" a="1"/>
  <c r="R30" i="13" s="1"/>
  <c r="R29" i="13" a="1"/>
  <c r="R29" i="13" s="1"/>
  <c r="R28" i="13" a="1"/>
  <c r="R28" i="13" s="1"/>
  <c r="R27" i="13" a="1"/>
  <c r="R27" i="13"/>
  <c r="R26" i="13" a="1"/>
  <c r="R26" i="13" s="1"/>
  <c r="R25" i="13" a="1"/>
  <c r="R25" i="13"/>
  <c r="R24" i="13" a="1"/>
  <c r="R24" i="13" s="1"/>
  <c r="R23" i="13" a="1"/>
  <c r="R23" i="13" s="1"/>
  <c r="R22" i="13" a="1"/>
  <c r="R22" i="13" s="1"/>
  <c r="R21" i="13" a="1"/>
  <c r="R21" i="13" s="1"/>
  <c r="R20" i="13" a="1"/>
  <c r="R20" i="13" s="1"/>
  <c r="R19" i="13" a="1"/>
  <c r="R19" i="13"/>
  <c r="R18" i="13" a="1"/>
  <c r="R18" i="13" s="1"/>
  <c r="R17" i="13" a="1"/>
  <c r="R17" i="13"/>
  <c r="R16" i="13" a="1"/>
  <c r="R16" i="13" s="1"/>
  <c r="R15" i="13" a="1"/>
  <c r="R15" i="13" s="1"/>
  <c r="R14" i="13" a="1"/>
  <c r="R14" i="13" s="1"/>
  <c r="R13" i="13" a="1"/>
  <c r="R13" i="13" s="1"/>
  <c r="R12" i="13" a="1"/>
  <c r="R12" i="13" s="1"/>
  <c r="R11" i="13" a="1"/>
  <c r="R11" i="13"/>
  <c r="R10" i="13" a="1"/>
  <c r="R10" i="13" s="1"/>
  <c r="R9" i="13" a="1"/>
  <c r="R9" i="13"/>
  <c r="R8" i="13" a="1"/>
  <c r="R8" i="13" s="1"/>
  <c r="R7" i="13" a="1"/>
  <c r="R7" i="13" s="1"/>
  <c r="R6" i="13" a="1"/>
  <c r="R6" i="13" s="1"/>
  <c r="Q39" i="13" a="1"/>
  <c r="Q39" i="13" s="1"/>
  <c r="Q38" i="13" a="1"/>
  <c r="Q38" i="13" s="1"/>
  <c r="Q37" i="13" a="1"/>
  <c r="Q37" i="13"/>
  <c r="Q36" i="13" a="1"/>
  <c r="Q36" i="13" s="1"/>
  <c r="Q35" i="13" a="1"/>
  <c r="Q35" i="13"/>
  <c r="Q34" i="13" a="1"/>
  <c r="Q34" i="13" s="1"/>
  <c r="Q33" i="13" a="1"/>
  <c r="Q33" i="13" s="1"/>
  <c r="Q32" i="13" a="1"/>
  <c r="Q32" i="13" s="1"/>
  <c r="Q31" i="13" a="1"/>
  <c r="Q31" i="13" s="1"/>
  <c r="Q30" i="13" a="1"/>
  <c r="Q30" i="13" s="1"/>
  <c r="Q29" i="13" a="1"/>
  <c r="Q29" i="13"/>
  <c r="Q28" i="13" a="1"/>
  <c r="Q28" i="13" s="1"/>
  <c r="Q27" i="13" a="1"/>
  <c r="Q27" i="13"/>
  <c r="Q26" i="13" a="1"/>
  <c r="Q26" i="13" s="1"/>
  <c r="Q25" i="13" a="1"/>
  <c r="Q25" i="13" s="1"/>
  <c r="Q24" i="13" a="1"/>
  <c r="Q24" i="13" s="1"/>
  <c r="Q23" i="13" a="1"/>
  <c r="Q23" i="13" s="1"/>
  <c r="Q22" i="13" a="1"/>
  <c r="Q22" i="13" s="1"/>
  <c r="Q21" i="13" a="1"/>
  <c r="Q21" i="13"/>
  <c r="Q20" i="13" a="1"/>
  <c r="Q20" i="13" s="1"/>
  <c r="Q19" i="13" a="1"/>
  <c r="Q19" i="13"/>
  <c r="Q18" i="13" a="1"/>
  <c r="Q18" i="13" s="1"/>
  <c r="Q17" i="13" a="1"/>
  <c r="Q17" i="13" s="1"/>
  <c r="Q16" i="13" a="1"/>
  <c r="Q16" i="13" s="1"/>
  <c r="Q15" i="13" a="1"/>
  <c r="Q15" i="13" s="1"/>
  <c r="Q14" i="13" a="1"/>
  <c r="Q14" i="13" s="1"/>
  <c r="Q13" i="13" a="1"/>
  <c r="Q13" i="13"/>
  <c r="Q12" i="13" a="1"/>
  <c r="Q12" i="13" s="1"/>
  <c r="Q11" i="13" a="1"/>
  <c r="Q11" i="13"/>
  <c r="Q10" i="13" a="1"/>
  <c r="Q10" i="13" s="1"/>
  <c r="Q9" i="13" a="1"/>
  <c r="Q9" i="13" s="1"/>
  <c r="Q8" i="13" a="1"/>
  <c r="Q8" i="13" s="1"/>
  <c r="Q7" i="13" a="1"/>
  <c r="Q7" i="13" s="1"/>
  <c r="Q6" i="13" a="1"/>
  <c r="Q6" i="13" s="1"/>
  <c r="P39" i="13" a="1"/>
  <c r="P39" i="13"/>
  <c r="P38" i="13" a="1"/>
  <c r="P38" i="13" s="1"/>
  <c r="P37" i="13" a="1"/>
  <c r="P37" i="13"/>
  <c r="P36" i="13" a="1"/>
  <c r="P36" i="13" s="1"/>
  <c r="P35" i="13" a="1"/>
  <c r="P35" i="13" s="1"/>
  <c r="P34" i="13" a="1"/>
  <c r="P34" i="13" s="1"/>
  <c r="P33" i="13" a="1"/>
  <c r="P33" i="13" s="1"/>
  <c r="P32" i="13" a="1"/>
  <c r="P32" i="13" s="1"/>
  <c r="P31" i="13" a="1"/>
  <c r="P31" i="13"/>
  <c r="P30" i="13" a="1"/>
  <c r="P30" i="13" s="1"/>
  <c r="P29" i="13" a="1"/>
  <c r="P29" i="13"/>
  <c r="P28" i="13" a="1"/>
  <c r="P28" i="13" s="1"/>
  <c r="P27" i="13" a="1"/>
  <c r="P27" i="13" s="1"/>
  <c r="P26" i="13" a="1"/>
  <c r="P26" i="13" s="1"/>
  <c r="P25" i="13" a="1"/>
  <c r="P25" i="13" s="1"/>
  <c r="P24" i="13" a="1"/>
  <c r="P24" i="13" s="1"/>
  <c r="P23" i="13" a="1"/>
  <c r="P23" i="13"/>
  <c r="P22" i="13" a="1"/>
  <c r="P22" i="13" s="1"/>
  <c r="P21" i="13" a="1"/>
  <c r="P21" i="13"/>
  <c r="P20" i="13" a="1"/>
  <c r="P20" i="13" s="1"/>
  <c r="P19" i="13" a="1"/>
  <c r="P19" i="13" s="1"/>
  <c r="P18" i="13" a="1"/>
  <c r="P18" i="13" s="1"/>
  <c r="P17" i="13" a="1"/>
  <c r="P17" i="13" s="1"/>
  <c r="P16" i="13" a="1"/>
  <c r="P16" i="13" s="1"/>
  <c r="P15" i="13" a="1"/>
  <c r="P15" i="13"/>
  <c r="P14" i="13" a="1"/>
  <c r="P14" i="13" s="1"/>
  <c r="P13" i="13" a="1"/>
  <c r="P13" i="13"/>
  <c r="P12" i="13" a="1"/>
  <c r="P12" i="13" s="1"/>
  <c r="P11" i="13" a="1"/>
  <c r="P11" i="13" s="1"/>
  <c r="P10" i="13" a="1"/>
  <c r="P10" i="13" s="1"/>
  <c r="P9" i="13" a="1"/>
  <c r="P9" i="13" s="1"/>
  <c r="P8" i="13" a="1"/>
  <c r="P8" i="13" s="1"/>
  <c r="P7" i="13" a="1"/>
  <c r="P7" i="13"/>
  <c r="P6" i="13" a="1"/>
  <c r="P6" i="13" s="1"/>
  <c r="C6" i="13"/>
  <c r="D6" i="13"/>
  <c r="E6" i="13"/>
  <c r="F6" i="13"/>
  <c r="G6" i="13"/>
  <c r="H6" i="13"/>
  <c r="AF6" i="13" s="1"/>
  <c r="I6" i="13"/>
  <c r="AH6" i="13" s="1"/>
  <c r="J6" i="13"/>
  <c r="AJ6" i="13" s="1"/>
  <c r="K6" i="13"/>
  <c r="AL6" i="13" s="1"/>
  <c r="L6" i="13"/>
  <c r="M6" i="13"/>
  <c r="N6" i="13"/>
  <c r="AR6" i="13" s="1"/>
  <c r="C7" i="13"/>
  <c r="D7" i="13"/>
  <c r="E7" i="13"/>
  <c r="F7" i="13"/>
  <c r="G7" i="13"/>
  <c r="H7" i="13"/>
  <c r="AF7" i="13" s="1"/>
  <c r="I7" i="13"/>
  <c r="AH7" i="13" s="1"/>
  <c r="J7" i="13"/>
  <c r="AJ7" i="13" s="1"/>
  <c r="K7" i="13"/>
  <c r="AL7" i="13" s="1"/>
  <c r="L7" i="13"/>
  <c r="AN7" i="13" s="1"/>
  <c r="M7" i="13"/>
  <c r="N7" i="13"/>
  <c r="AR7" i="13" s="1"/>
  <c r="C8" i="13"/>
  <c r="D8" i="13"/>
  <c r="E8" i="13"/>
  <c r="F8" i="13"/>
  <c r="G8" i="13"/>
  <c r="H8" i="13"/>
  <c r="AF8" i="13" s="1"/>
  <c r="I8" i="13"/>
  <c r="AH8" i="13" s="1"/>
  <c r="J8" i="13"/>
  <c r="AJ8" i="13" s="1"/>
  <c r="K8" i="13"/>
  <c r="AL8" i="13" s="1"/>
  <c r="L8" i="13"/>
  <c r="AN8" i="13" s="1"/>
  <c r="M8" i="13"/>
  <c r="N8" i="13"/>
  <c r="AR8" i="13" s="1"/>
  <c r="C9" i="13"/>
  <c r="D9" i="13"/>
  <c r="E9" i="13"/>
  <c r="F9" i="13"/>
  <c r="G9" i="13"/>
  <c r="H9" i="13"/>
  <c r="AF9" i="13" s="1"/>
  <c r="I9" i="13"/>
  <c r="AH9" i="13" s="1"/>
  <c r="J9" i="13"/>
  <c r="AJ9" i="13" s="1"/>
  <c r="K9" i="13"/>
  <c r="AL9" i="13" s="1"/>
  <c r="L9" i="13"/>
  <c r="AN9" i="13" s="1"/>
  <c r="M9" i="13"/>
  <c r="N9" i="13"/>
  <c r="AR9" i="13" s="1"/>
  <c r="C10" i="13"/>
  <c r="D10" i="13"/>
  <c r="E10" i="13"/>
  <c r="F10" i="13"/>
  <c r="G10" i="13"/>
  <c r="H10" i="13"/>
  <c r="I10" i="13"/>
  <c r="J10" i="13"/>
  <c r="AJ10" i="13" s="1"/>
  <c r="K10" i="13"/>
  <c r="AL10" i="13" s="1"/>
  <c r="L10" i="13"/>
  <c r="M10" i="13"/>
  <c r="N10" i="13"/>
  <c r="C11" i="13"/>
  <c r="D11" i="13"/>
  <c r="E11" i="13"/>
  <c r="F11" i="13"/>
  <c r="G11" i="13"/>
  <c r="H11" i="13"/>
  <c r="I11" i="13"/>
  <c r="AH11" i="13" s="1"/>
  <c r="J11" i="13"/>
  <c r="AJ11" i="13" s="1"/>
  <c r="K11" i="13"/>
  <c r="AL11" i="13" s="1"/>
  <c r="L11" i="13"/>
  <c r="AN11" i="13" s="1"/>
  <c r="M11" i="13"/>
  <c r="N11" i="13"/>
  <c r="AR11" i="13" s="1"/>
  <c r="C12" i="13"/>
  <c r="D12" i="13"/>
  <c r="E12" i="13"/>
  <c r="F12" i="13"/>
  <c r="G12" i="13"/>
  <c r="H12" i="13"/>
  <c r="AF12" i="13" s="1"/>
  <c r="I12" i="13"/>
  <c r="AH12" i="13" s="1"/>
  <c r="J12" i="13"/>
  <c r="AJ12" i="13" s="1"/>
  <c r="K12" i="13"/>
  <c r="AL12" i="13" s="1"/>
  <c r="L12" i="13"/>
  <c r="AN12" i="13" s="1"/>
  <c r="M12" i="13"/>
  <c r="N12" i="13"/>
  <c r="AR12" i="13" s="1"/>
  <c r="C13" i="13"/>
  <c r="D13" i="13"/>
  <c r="E13" i="13"/>
  <c r="F13" i="13"/>
  <c r="G13" i="13"/>
  <c r="H13" i="13"/>
  <c r="I13" i="13"/>
  <c r="AH13" i="13" s="1"/>
  <c r="J13" i="13"/>
  <c r="AJ13" i="13" s="1"/>
  <c r="K13" i="13"/>
  <c r="AL13" i="13" s="1"/>
  <c r="L13" i="13"/>
  <c r="M13" i="13"/>
  <c r="N13" i="13"/>
  <c r="AR13" i="13" s="1"/>
  <c r="C14" i="13"/>
  <c r="D14" i="13"/>
  <c r="E14" i="13"/>
  <c r="F14" i="13"/>
  <c r="G14" i="13"/>
  <c r="H14" i="13"/>
  <c r="I14" i="13"/>
  <c r="AH14" i="13" s="1"/>
  <c r="J14" i="13"/>
  <c r="AJ14" i="13" s="1"/>
  <c r="K14" i="13"/>
  <c r="AL14" i="13" s="1"/>
  <c r="L14" i="13"/>
  <c r="M14" i="13"/>
  <c r="N14" i="13"/>
  <c r="AR14" i="13" s="1"/>
  <c r="C15" i="13"/>
  <c r="D15" i="13"/>
  <c r="E15" i="13"/>
  <c r="F15" i="13"/>
  <c r="G15" i="13"/>
  <c r="H15" i="13"/>
  <c r="I15" i="13"/>
  <c r="J15" i="13"/>
  <c r="AJ15" i="13" s="1"/>
  <c r="K15" i="13"/>
  <c r="AL15" i="13" s="1"/>
  <c r="L15" i="13"/>
  <c r="M15" i="13"/>
  <c r="N15" i="13"/>
  <c r="C16" i="13"/>
  <c r="D16" i="13"/>
  <c r="E16" i="13"/>
  <c r="F16" i="13"/>
  <c r="G16" i="13"/>
  <c r="H16" i="13"/>
  <c r="I16" i="13"/>
  <c r="J16" i="13"/>
  <c r="AJ16" i="13" s="1"/>
  <c r="K16" i="13"/>
  <c r="AL16" i="13" s="1"/>
  <c r="L16" i="13"/>
  <c r="M16" i="13"/>
  <c r="N16" i="13"/>
  <c r="C17" i="13"/>
  <c r="D17" i="13"/>
  <c r="E17" i="13"/>
  <c r="F17" i="13"/>
  <c r="G17" i="13"/>
  <c r="H17" i="13"/>
  <c r="I17" i="13"/>
  <c r="AH17" i="13" s="1"/>
  <c r="J17" i="13"/>
  <c r="AJ17" i="13" s="1"/>
  <c r="K17" i="13"/>
  <c r="AL17" i="13" s="1"/>
  <c r="L17" i="13"/>
  <c r="M17" i="13"/>
  <c r="N17" i="13"/>
  <c r="AR17" i="13" s="1"/>
  <c r="C18" i="13"/>
  <c r="D18" i="13"/>
  <c r="E18" i="13"/>
  <c r="F18" i="13"/>
  <c r="G18" i="13"/>
  <c r="H18" i="13"/>
  <c r="I18" i="13"/>
  <c r="J18" i="13"/>
  <c r="K18" i="13"/>
  <c r="AL18" i="13" s="1"/>
  <c r="L18" i="13"/>
  <c r="AN18" i="13" s="1"/>
  <c r="M18" i="13"/>
  <c r="N18" i="13"/>
  <c r="C19" i="13"/>
  <c r="D19" i="13"/>
  <c r="E19" i="13"/>
  <c r="F19" i="13"/>
  <c r="G19" i="13"/>
  <c r="H19" i="13"/>
  <c r="I19" i="13"/>
  <c r="J19" i="13"/>
  <c r="AJ19" i="13" s="1"/>
  <c r="K19" i="13"/>
  <c r="L19" i="13"/>
  <c r="M19" i="13"/>
  <c r="N19" i="13"/>
  <c r="AR19" i="13" s="1"/>
  <c r="C20" i="13"/>
  <c r="D20" i="13"/>
  <c r="E20" i="13"/>
  <c r="F20" i="13"/>
  <c r="G20" i="13"/>
  <c r="H20" i="13"/>
  <c r="I20" i="13"/>
  <c r="J20" i="13"/>
  <c r="AJ20" i="13" s="1"/>
  <c r="K20" i="13"/>
  <c r="AL20" i="13" s="1"/>
  <c r="L20" i="13"/>
  <c r="M20" i="13"/>
  <c r="N20" i="13"/>
  <c r="C21" i="13"/>
  <c r="D21" i="13"/>
  <c r="E21" i="13"/>
  <c r="F21" i="13"/>
  <c r="G21" i="13"/>
  <c r="H21" i="13"/>
  <c r="I21" i="13"/>
  <c r="AH21" i="13" s="1"/>
  <c r="J21" i="13"/>
  <c r="AJ21" i="13" s="1"/>
  <c r="K21" i="13"/>
  <c r="AL21" i="13" s="1"/>
  <c r="L21" i="13"/>
  <c r="M21" i="13"/>
  <c r="N21" i="13"/>
  <c r="AR21" i="13" s="1"/>
  <c r="C22" i="13"/>
  <c r="D22" i="13"/>
  <c r="E22" i="13"/>
  <c r="F22" i="13"/>
  <c r="G22" i="13"/>
  <c r="H22" i="13"/>
  <c r="I22" i="13"/>
  <c r="J22" i="13"/>
  <c r="AJ22" i="13" s="1"/>
  <c r="K22" i="13"/>
  <c r="AL22" i="13" s="1"/>
  <c r="L22" i="13"/>
  <c r="M22" i="13"/>
  <c r="N22" i="13"/>
  <c r="AR22" i="13" s="1"/>
  <c r="C23" i="13"/>
  <c r="D23" i="13"/>
  <c r="E23" i="13"/>
  <c r="F23" i="13"/>
  <c r="G23" i="13"/>
  <c r="H23" i="13"/>
  <c r="AF23" i="13" s="1"/>
  <c r="I23" i="13"/>
  <c r="AH23" i="13" s="1"/>
  <c r="J23" i="13"/>
  <c r="AJ23" i="13" s="1"/>
  <c r="K23" i="13"/>
  <c r="AL23" i="13" s="1"/>
  <c r="L23" i="13"/>
  <c r="AN23" i="13" s="1"/>
  <c r="M23" i="13"/>
  <c r="N23" i="13"/>
  <c r="AR23" i="13" s="1"/>
  <c r="C24" i="13"/>
  <c r="D24" i="13"/>
  <c r="E24" i="13"/>
  <c r="F24" i="13"/>
  <c r="G24" i="13"/>
  <c r="H24" i="13"/>
  <c r="I24" i="13"/>
  <c r="AH24" i="13" s="1"/>
  <c r="J24" i="13"/>
  <c r="AJ24" i="13" s="1"/>
  <c r="K24" i="13"/>
  <c r="AL24" i="13" s="1"/>
  <c r="L24" i="13"/>
  <c r="M24" i="13"/>
  <c r="N24" i="13"/>
  <c r="AR24" i="13" s="1"/>
  <c r="C25" i="13"/>
  <c r="D25" i="13"/>
  <c r="E25" i="13"/>
  <c r="F25" i="13"/>
  <c r="G25" i="13"/>
  <c r="H25" i="13"/>
  <c r="AF25" i="13" s="1"/>
  <c r="I25" i="13"/>
  <c r="AH25" i="13" s="1"/>
  <c r="J25" i="13"/>
  <c r="AJ25" i="13" s="1"/>
  <c r="K25" i="13"/>
  <c r="AL25" i="13" s="1"/>
  <c r="L25" i="13"/>
  <c r="AN25" i="13" s="1"/>
  <c r="M25" i="13"/>
  <c r="N25" i="13"/>
  <c r="AR25" i="13" s="1"/>
  <c r="C26" i="13"/>
  <c r="D26" i="13"/>
  <c r="E26" i="13"/>
  <c r="F26" i="13"/>
  <c r="G26" i="13"/>
  <c r="H26" i="13"/>
  <c r="AF26" i="13" s="1"/>
  <c r="I26" i="13"/>
  <c r="AH26" i="13" s="1"/>
  <c r="J26" i="13"/>
  <c r="AJ26" i="13" s="1"/>
  <c r="K26" i="13"/>
  <c r="AL26" i="13" s="1"/>
  <c r="L26" i="13"/>
  <c r="AN26" i="13" s="1"/>
  <c r="M26" i="13"/>
  <c r="N26" i="13"/>
  <c r="AR26" i="13" s="1"/>
  <c r="C27" i="13"/>
  <c r="D27" i="13"/>
  <c r="E27" i="13"/>
  <c r="F27" i="13"/>
  <c r="G27" i="13"/>
  <c r="H27" i="13"/>
  <c r="AF27" i="13" s="1"/>
  <c r="I27" i="13"/>
  <c r="AH27" i="13" s="1"/>
  <c r="J27" i="13"/>
  <c r="AJ27" i="13" s="1"/>
  <c r="K27" i="13"/>
  <c r="AL27" i="13" s="1"/>
  <c r="L27" i="13"/>
  <c r="AN27" i="13" s="1"/>
  <c r="M27" i="13"/>
  <c r="N27" i="13"/>
  <c r="AR27" i="13" s="1"/>
  <c r="C28" i="13"/>
  <c r="D28" i="13"/>
  <c r="E28" i="13"/>
  <c r="F28" i="13"/>
  <c r="G28" i="13"/>
  <c r="H28" i="13"/>
  <c r="AF28" i="13" s="1"/>
  <c r="I28" i="13"/>
  <c r="AH28" i="13" s="1"/>
  <c r="J28" i="13"/>
  <c r="AJ28" i="13" s="1"/>
  <c r="K28" i="13"/>
  <c r="AL28" i="13" s="1"/>
  <c r="L28" i="13"/>
  <c r="AN28" i="13" s="1"/>
  <c r="M28" i="13"/>
  <c r="N28" i="13"/>
  <c r="AR28" i="13" s="1"/>
  <c r="C29" i="13"/>
  <c r="D29" i="13"/>
  <c r="E29" i="13"/>
  <c r="F29" i="13"/>
  <c r="G29" i="13"/>
  <c r="H29" i="13"/>
  <c r="AF29" i="13" s="1"/>
  <c r="I29" i="13"/>
  <c r="AH29" i="13" s="1"/>
  <c r="J29" i="13"/>
  <c r="AJ29" i="13" s="1"/>
  <c r="K29" i="13"/>
  <c r="AL29" i="13" s="1"/>
  <c r="L29" i="13"/>
  <c r="AN29" i="13" s="1"/>
  <c r="M29" i="13"/>
  <c r="N29" i="13"/>
  <c r="AR29" i="13" s="1"/>
  <c r="C30" i="13"/>
  <c r="D30" i="13"/>
  <c r="E30" i="13"/>
  <c r="F30" i="13"/>
  <c r="G30" i="13"/>
  <c r="H30" i="13"/>
  <c r="AF30" i="13" s="1"/>
  <c r="I30" i="13"/>
  <c r="AH30" i="13" s="1"/>
  <c r="J30" i="13"/>
  <c r="AJ30" i="13" s="1"/>
  <c r="K30" i="13"/>
  <c r="AL30" i="13" s="1"/>
  <c r="L30" i="13"/>
  <c r="AN30" i="13" s="1"/>
  <c r="M30" i="13"/>
  <c r="N30" i="13"/>
  <c r="AR30" i="13" s="1"/>
  <c r="C31" i="13"/>
  <c r="D31" i="13"/>
  <c r="E31" i="13"/>
  <c r="F31" i="13"/>
  <c r="G31" i="13"/>
  <c r="H31" i="13"/>
  <c r="AF31" i="13" s="1"/>
  <c r="I31" i="13"/>
  <c r="AH31" i="13" s="1"/>
  <c r="J31" i="13"/>
  <c r="AJ31" i="13" s="1"/>
  <c r="K31" i="13"/>
  <c r="AL31" i="13" s="1"/>
  <c r="L31" i="13"/>
  <c r="AN31" i="13" s="1"/>
  <c r="M31" i="13"/>
  <c r="N31" i="13"/>
  <c r="AR31" i="13" s="1"/>
  <c r="C32" i="13"/>
  <c r="D32" i="13"/>
  <c r="E32" i="13"/>
  <c r="F32" i="13"/>
  <c r="G32" i="13"/>
  <c r="H32" i="13"/>
  <c r="AF32" i="13" s="1"/>
  <c r="I32" i="13"/>
  <c r="AH32" i="13" s="1"/>
  <c r="J32" i="13"/>
  <c r="AJ32" i="13" s="1"/>
  <c r="K32" i="13"/>
  <c r="AL32" i="13" s="1"/>
  <c r="L32" i="13"/>
  <c r="AN32" i="13" s="1"/>
  <c r="M32" i="13"/>
  <c r="N32" i="13"/>
  <c r="AR32" i="13" s="1"/>
  <c r="C33" i="13"/>
  <c r="D33" i="13"/>
  <c r="E33" i="13"/>
  <c r="F33" i="13"/>
  <c r="G33" i="13"/>
  <c r="H33" i="13"/>
  <c r="AF33" i="13" s="1"/>
  <c r="I33" i="13"/>
  <c r="AH33" i="13" s="1"/>
  <c r="J33" i="13"/>
  <c r="AJ33" i="13" s="1"/>
  <c r="K33" i="13"/>
  <c r="AL33" i="13" s="1"/>
  <c r="L33" i="13"/>
  <c r="AN33" i="13" s="1"/>
  <c r="M33" i="13"/>
  <c r="N33" i="13"/>
  <c r="AR33" i="13" s="1"/>
  <c r="C34" i="13"/>
  <c r="D34" i="13"/>
  <c r="E34" i="13"/>
  <c r="F34" i="13"/>
  <c r="G34" i="13"/>
  <c r="H34" i="13"/>
  <c r="I34" i="13"/>
  <c r="J34" i="13"/>
  <c r="AJ34" i="13" s="1"/>
  <c r="K34" i="13"/>
  <c r="AL34" i="13" s="1"/>
  <c r="L34" i="13"/>
  <c r="M34" i="13"/>
  <c r="N34" i="13"/>
  <c r="AR34" i="13" s="1"/>
  <c r="C35" i="13"/>
  <c r="D35" i="13"/>
  <c r="E35" i="13"/>
  <c r="F35" i="13"/>
  <c r="G35" i="13"/>
  <c r="H35" i="13"/>
  <c r="I35" i="13"/>
  <c r="J35" i="13"/>
  <c r="AJ35" i="13" s="1"/>
  <c r="K35" i="13"/>
  <c r="AL35" i="13" s="1"/>
  <c r="L35" i="13"/>
  <c r="M35" i="13"/>
  <c r="N35" i="13"/>
  <c r="C36" i="13"/>
  <c r="D36" i="13"/>
  <c r="E36" i="13"/>
  <c r="F36" i="13"/>
  <c r="G36" i="13"/>
  <c r="H36" i="13"/>
  <c r="AF36" i="13" s="1"/>
  <c r="I36" i="13"/>
  <c r="J36" i="13"/>
  <c r="AJ36" i="13" s="1"/>
  <c r="K36" i="13"/>
  <c r="AL36" i="13" s="1"/>
  <c r="L36" i="13"/>
  <c r="M36" i="13"/>
  <c r="N36" i="13"/>
  <c r="AR36" i="13" s="1"/>
  <c r="C37" i="13"/>
  <c r="D37" i="13"/>
  <c r="E37" i="13"/>
  <c r="F37" i="13"/>
  <c r="G37" i="13"/>
  <c r="H37" i="13"/>
  <c r="I37" i="13"/>
  <c r="J37" i="13"/>
  <c r="AJ37" i="13" s="1"/>
  <c r="K37" i="13"/>
  <c r="L37" i="13"/>
  <c r="M37" i="13"/>
  <c r="N37" i="13"/>
  <c r="C38" i="13"/>
  <c r="D38" i="13"/>
  <c r="E38" i="13"/>
  <c r="F38" i="13"/>
  <c r="G38" i="13"/>
  <c r="H38" i="13"/>
  <c r="I38" i="13"/>
  <c r="J38" i="13"/>
  <c r="AJ38" i="13" s="1"/>
  <c r="K38" i="13"/>
  <c r="L38" i="13"/>
  <c r="M38" i="13"/>
  <c r="N38" i="13"/>
  <c r="C39" i="13"/>
  <c r="D39" i="13"/>
  <c r="E39" i="13"/>
  <c r="F39" i="13"/>
  <c r="G39" i="13"/>
  <c r="H39" i="13"/>
  <c r="AF39" i="13" s="1"/>
  <c r="I39" i="13"/>
  <c r="J39" i="13"/>
  <c r="AJ39" i="13" s="1"/>
  <c r="K39" i="13"/>
  <c r="AL39" i="13" s="1"/>
  <c r="L39" i="13"/>
  <c r="M39" i="13"/>
  <c r="N39" i="13"/>
  <c r="AR39" i="13" s="1"/>
  <c r="H6" i="2"/>
  <c r="H7" i="2"/>
  <c r="H8" i="2"/>
  <c r="H9" i="2"/>
  <c r="L9" i="2" s="1"/>
  <c r="H10" i="2"/>
  <c r="H11" i="2"/>
  <c r="H12" i="2"/>
  <c r="L12" i="2" s="1"/>
  <c r="H13" i="2"/>
  <c r="H14" i="2"/>
  <c r="H15" i="2"/>
  <c r="H16" i="2"/>
  <c r="L16" i="2" s="1"/>
  <c r="H17" i="2"/>
  <c r="H18" i="2"/>
  <c r="H19" i="2"/>
  <c r="L19" i="2" s="1"/>
  <c r="H20" i="2"/>
  <c r="L20" i="2" s="1"/>
  <c r="H21" i="2"/>
  <c r="J21" i="2" s="1"/>
  <c r="H22" i="2"/>
  <c r="H23" i="2"/>
  <c r="H24" i="2"/>
  <c r="L24" i="2" s="1"/>
  <c r="H25" i="2"/>
  <c r="L25" i="2" s="1"/>
  <c r="H26" i="2"/>
  <c r="H27" i="2"/>
  <c r="H28" i="2"/>
  <c r="L28" i="2" s="1"/>
  <c r="H29" i="2"/>
  <c r="H30" i="2"/>
  <c r="H31" i="2"/>
  <c r="H32" i="2"/>
  <c r="L32" i="2" s="1"/>
  <c r="H33" i="2"/>
  <c r="H34" i="2"/>
  <c r="H35" i="2"/>
  <c r="L35" i="2" s="1"/>
  <c r="H36" i="2"/>
  <c r="L36" i="2" s="1"/>
  <c r="H37" i="2"/>
  <c r="J37" i="2" s="1"/>
  <c r="H38" i="2"/>
  <c r="H39" i="2"/>
  <c r="H40" i="2"/>
  <c r="L40" i="2" s="1"/>
  <c r="H41" i="2"/>
  <c r="L41" i="2" s="1"/>
  <c r="H42" i="2"/>
  <c r="H43" i="2"/>
  <c r="H44" i="2"/>
  <c r="L44" i="2" s="1"/>
  <c r="H45" i="2"/>
  <c r="H46" i="2"/>
  <c r="H47" i="2"/>
  <c r="H48" i="2"/>
  <c r="L48" i="2" s="1"/>
  <c r="H49" i="2"/>
  <c r="H50" i="2"/>
  <c r="H51" i="2"/>
  <c r="L51" i="2" s="1"/>
  <c r="H52" i="2"/>
  <c r="L52" i="2" s="1"/>
  <c r="H53" i="2"/>
  <c r="H54" i="2"/>
  <c r="H55" i="2"/>
  <c r="H56" i="2"/>
  <c r="L56" i="2" s="1"/>
  <c r="H57" i="2"/>
  <c r="H58" i="2"/>
  <c r="H59" i="2"/>
  <c r="H60" i="2"/>
  <c r="L60" i="2" s="1"/>
  <c r="H61" i="2"/>
  <c r="H62" i="2"/>
  <c r="H63" i="2"/>
  <c r="H64" i="2"/>
  <c r="L64" i="2" s="1"/>
  <c r="H65" i="2"/>
  <c r="H66" i="2"/>
  <c r="H67" i="2"/>
  <c r="L67" i="2" s="1"/>
  <c r="H68" i="2"/>
  <c r="L68" i="2" s="1"/>
  <c r="H69" i="2"/>
  <c r="H70" i="2"/>
  <c r="H71" i="2"/>
  <c r="H72" i="2"/>
  <c r="L72" i="2" s="1"/>
  <c r="H73" i="2"/>
  <c r="L73" i="2" s="1"/>
  <c r="H74" i="2"/>
  <c r="H75" i="2"/>
  <c r="H76" i="2"/>
  <c r="L76" i="2" s="1"/>
  <c r="H77" i="2"/>
  <c r="J77" i="2" s="1"/>
  <c r="H78" i="2"/>
  <c r="H79" i="2"/>
  <c r="H80" i="2"/>
  <c r="L80" i="2" s="1"/>
  <c r="H81" i="2"/>
  <c r="H82" i="2"/>
  <c r="H83" i="2"/>
  <c r="L83" i="2" s="1"/>
  <c r="H84" i="2"/>
  <c r="L84" i="2" s="1"/>
  <c r="H85" i="2"/>
  <c r="H86" i="2"/>
  <c r="H87" i="2"/>
  <c r="H88" i="2"/>
  <c r="L88" i="2" s="1"/>
  <c r="H89" i="2"/>
  <c r="L89" i="2" s="1"/>
  <c r="H90" i="2"/>
  <c r="H91" i="2"/>
  <c r="H92" i="2"/>
  <c r="L92" i="2" s="1"/>
  <c r="H93" i="2"/>
  <c r="H94" i="2"/>
  <c r="H95" i="2"/>
  <c r="H96" i="2"/>
  <c r="L96" i="2" s="1"/>
  <c r="H97" i="2"/>
  <c r="H98" i="2"/>
  <c r="H99" i="2"/>
  <c r="L99" i="2" s="1"/>
  <c r="H100" i="2"/>
  <c r="L100" i="2" s="1"/>
  <c r="H101" i="2"/>
  <c r="J101" i="2" s="1"/>
  <c r="H102" i="2"/>
  <c r="H103" i="2"/>
  <c r="H104" i="2"/>
  <c r="L104" i="2" s="1"/>
  <c r="H105" i="2"/>
  <c r="L105" i="2" s="1"/>
  <c r="H106" i="2"/>
  <c r="H107" i="2"/>
  <c r="H108" i="2"/>
  <c r="L108" i="2" s="1"/>
  <c r="H109" i="2"/>
  <c r="H110" i="2"/>
  <c r="H111" i="2"/>
  <c r="H112" i="2"/>
  <c r="L112" i="2" s="1"/>
  <c r="H113" i="2"/>
  <c r="H114" i="2"/>
  <c r="H115" i="2"/>
  <c r="L115" i="2" s="1"/>
  <c r="H116" i="2"/>
  <c r="L116" i="2" s="1"/>
  <c r="H117" i="2"/>
  <c r="H118" i="2"/>
  <c r="H119" i="2"/>
  <c r="H120" i="2"/>
  <c r="H121" i="2"/>
  <c r="H122" i="2"/>
  <c r="H123" i="2"/>
  <c r="J123" i="2" s="1"/>
  <c r="H124" i="2"/>
  <c r="L124" i="2" s="1"/>
  <c r="H125" i="2"/>
  <c r="H126" i="2"/>
  <c r="H127" i="2"/>
  <c r="H128" i="2"/>
  <c r="L128" i="2" s="1"/>
  <c r="H129" i="2"/>
  <c r="J129" i="2" s="1"/>
  <c r="H130" i="2"/>
  <c r="H131" i="2"/>
  <c r="L131" i="2" s="1"/>
  <c r="H132" i="2"/>
  <c r="H133" i="2"/>
  <c r="H134" i="2"/>
  <c r="H135" i="2"/>
  <c r="H136" i="2"/>
  <c r="L136" i="2" s="1"/>
  <c r="H137" i="2"/>
  <c r="H138" i="2"/>
  <c r="H139" i="2"/>
  <c r="H140" i="2"/>
  <c r="L140" i="2" s="1"/>
  <c r="H141" i="2"/>
  <c r="H142" i="2"/>
  <c r="H143" i="2"/>
  <c r="H144" i="2"/>
  <c r="L144" i="2" s="1"/>
  <c r="H145" i="2"/>
  <c r="J145" i="2" s="1"/>
  <c r="H146" i="2"/>
  <c r="H147" i="2"/>
  <c r="H148" i="2"/>
  <c r="L148" i="2" s="1"/>
  <c r="H149" i="2"/>
  <c r="H150" i="2"/>
  <c r="H151" i="2"/>
  <c r="H152" i="2"/>
  <c r="H153" i="2"/>
  <c r="H154" i="2"/>
  <c r="H155" i="2"/>
  <c r="H156" i="2"/>
  <c r="L156" i="2" s="1"/>
  <c r="H157" i="2"/>
  <c r="H158" i="2"/>
  <c r="H159" i="2"/>
  <c r="H160" i="2"/>
  <c r="L160" i="2" s="1"/>
  <c r="H161" i="2"/>
  <c r="J161" i="2" s="1"/>
  <c r="H162" i="2"/>
  <c r="H163" i="2"/>
  <c r="L163" i="2" s="1"/>
  <c r="H164" i="2"/>
  <c r="H165" i="2"/>
  <c r="H166" i="2"/>
  <c r="H167" i="2"/>
  <c r="J167" i="2" s="1"/>
  <c r="H168" i="2"/>
  <c r="L168" i="2" s="1"/>
  <c r="H169" i="2"/>
  <c r="H170" i="2"/>
  <c r="H171" i="2"/>
  <c r="H172" i="2"/>
  <c r="L172" i="2" s="1"/>
  <c r="H173" i="2"/>
  <c r="H174" i="2"/>
  <c r="H175" i="2"/>
  <c r="H176" i="2"/>
  <c r="L176" i="2" s="1"/>
  <c r="H177" i="2"/>
  <c r="J177" i="2" s="1"/>
  <c r="H178" i="2"/>
  <c r="H179" i="2"/>
  <c r="L179" i="2" s="1"/>
  <c r="H180" i="2"/>
  <c r="L180" i="2" s="1"/>
  <c r="H181" i="2"/>
  <c r="H182" i="2"/>
  <c r="H183" i="2"/>
  <c r="H184" i="2"/>
  <c r="H185" i="2"/>
  <c r="H186" i="2"/>
  <c r="H187" i="2"/>
  <c r="J187" i="2" s="1"/>
  <c r="H188" i="2"/>
  <c r="L188" i="2" s="1"/>
  <c r="H189" i="2"/>
  <c r="H190" i="2"/>
  <c r="H191" i="2"/>
  <c r="H192" i="2"/>
  <c r="L192" i="2" s="1"/>
  <c r="H193" i="2"/>
  <c r="J193" i="2" s="1"/>
  <c r="H194" i="2"/>
  <c r="H195" i="2"/>
  <c r="L195" i="2" s="1"/>
  <c r="H196" i="2"/>
  <c r="H197" i="2"/>
  <c r="H198" i="2"/>
  <c r="H199" i="2"/>
  <c r="H200" i="2"/>
  <c r="L200" i="2" s="1"/>
  <c r="H201" i="2"/>
  <c r="H202" i="2"/>
  <c r="H203" i="2"/>
  <c r="H204" i="2"/>
  <c r="L204" i="2" s="1"/>
  <c r="H205" i="2"/>
  <c r="H206" i="2"/>
  <c r="H207" i="2"/>
  <c r="H208" i="2"/>
  <c r="L208" i="2" s="1"/>
  <c r="H209" i="2"/>
  <c r="J209" i="2" s="1"/>
  <c r="H210" i="2"/>
  <c r="H211" i="2"/>
  <c r="H212" i="2"/>
  <c r="L212" i="2" s="1"/>
  <c r="H213" i="2"/>
  <c r="H214" i="2"/>
  <c r="H215" i="2"/>
  <c r="H216" i="2"/>
  <c r="H217" i="2"/>
  <c r="H218" i="2"/>
  <c r="H219" i="2"/>
  <c r="H220" i="2"/>
  <c r="L220" i="2" s="1"/>
  <c r="H221" i="2"/>
  <c r="H222" i="2"/>
  <c r="H223" i="2"/>
  <c r="H224" i="2"/>
  <c r="L224" i="2" s="1"/>
  <c r="H225" i="2"/>
  <c r="J225" i="2" s="1"/>
  <c r="H226" i="2"/>
  <c r="H227" i="2"/>
  <c r="L227" i="2" s="1"/>
  <c r="H228" i="2"/>
  <c r="H229" i="2"/>
  <c r="H230" i="2"/>
  <c r="H231" i="2"/>
  <c r="J231" i="2" s="1"/>
  <c r="H232" i="2"/>
  <c r="L232" i="2" s="1"/>
  <c r="H233" i="2"/>
  <c r="H234" i="2"/>
  <c r="H235" i="2"/>
  <c r="H236" i="2"/>
  <c r="L236" i="2" s="1"/>
  <c r="H237" i="2"/>
  <c r="H238" i="2"/>
  <c r="H239" i="2"/>
  <c r="H240" i="2"/>
  <c r="L240" i="2" s="1"/>
  <c r="H241" i="2"/>
  <c r="J241" i="2" s="1"/>
  <c r="H242" i="2"/>
  <c r="H243" i="2"/>
  <c r="L243" i="2" s="1"/>
  <c r="H244" i="2"/>
  <c r="L244" i="2" s="1"/>
  <c r="H245" i="2"/>
  <c r="H246" i="2"/>
  <c r="H247" i="2"/>
  <c r="H248" i="2"/>
  <c r="H249" i="2"/>
  <c r="H250" i="2"/>
  <c r="H251" i="2"/>
  <c r="J251" i="2" s="1"/>
  <c r="H252" i="2"/>
  <c r="L252" i="2" s="1"/>
  <c r="H253" i="2"/>
  <c r="H254" i="2"/>
  <c r="H255" i="2"/>
  <c r="H256" i="2"/>
  <c r="L256" i="2" s="1"/>
  <c r="H257" i="2"/>
  <c r="J257" i="2" s="1"/>
  <c r="H258" i="2"/>
  <c r="H259" i="2"/>
  <c r="L259" i="2" s="1"/>
  <c r="H260" i="2"/>
  <c r="H261" i="2"/>
  <c r="H262" i="2"/>
  <c r="H263" i="2"/>
  <c r="H264" i="2"/>
  <c r="L264" i="2" s="1"/>
  <c r="H265" i="2"/>
  <c r="H266" i="2"/>
  <c r="H267" i="2"/>
  <c r="H268" i="2"/>
  <c r="L268" i="2" s="1"/>
  <c r="H269" i="2"/>
  <c r="H270" i="2"/>
  <c r="H271" i="2"/>
  <c r="H272" i="2"/>
  <c r="L272" i="2" s="1"/>
  <c r="H273" i="2"/>
  <c r="J273" i="2" s="1"/>
  <c r="H274" i="2"/>
  <c r="H275" i="2"/>
  <c r="H276" i="2"/>
  <c r="L276" i="2" s="1"/>
  <c r="H277" i="2"/>
  <c r="H278" i="2"/>
  <c r="H279" i="2"/>
  <c r="H280" i="2"/>
  <c r="H281" i="2"/>
  <c r="H282" i="2"/>
  <c r="H283" i="2"/>
  <c r="H284" i="2"/>
  <c r="L284" i="2" s="1"/>
  <c r="H285" i="2"/>
  <c r="H286" i="2"/>
  <c r="H287" i="2"/>
  <c r="H288" i="2"/>
  <c r="L288" i="2" s="1"/>
  <c r="H289" i="2"/>
  <c r="J289" i="2" s="1"/>
  <c r="H290" i="2"/>
  <c r="H291" i="2"/>
  <c r="L291" i="2" s="1"/>
  <c r="H292" i="2"/>
  <c r="H293" i="2"/>
  <c r="H294" i="2"/>
  <c r="H295" i="2"/>
  <c r="J295" i="2" s="1"/>
  <c r="H296" i="2"/>
  <c r="L296" i="2" s="1"/>
  <c r="H297" i="2"/>
  <c r="H298" i="2"/>
  <c r="H299" i="2"/>
  <c r="H300" i="2"/>
  <c r="L300" i="2" s="1"/>
  <c r="H301" i="2"/>
  <c r="H302" i="2"/>
  <c r="H303" i="2"/>
  <c r="H304" i="2"/>
  <c r="L304" i="2" s="1"/>
  <c r="H305" i="2"/>
  <c r="J305" i="2" s="1"/>
  <c r="H306" i="2"/>
  <c r="H307" i="2"/>
  <c r="L307" i="2" s="1"/>
  <c r="H308" i="2"/>
  <c r="L308" i="2" s="1"/>
  <c r="H309" i="2"/>
  <c r="H310" i="2"/>
  <c r="H311" i="2"/>
  <c r="H312" i="2"/>
  <c r="H313" i="2"/>
  <c r="H314" i="2"/>
  <c r="H315" i="2"/>
  <c r="J315" i="2" s="1"/>
  <c r="H316" i="2"/>
  <c r="L316" i="2" s="1"/>
  <c r="H317" i="2"/>
  <c r="H318" i="2"/>
  <c r="H319" i="2"/>
  <c r="H320" i="2"/>
  <c r="L320" i="2" s="1"/>
  <c r="H321" i="2"/>
  <c r="J321" i="2" s="1"/>
  <c r="H322" i="2"/>
  <c r="H323" i="2"/>
  <c r="L323" i="2" s="1"/>
  <c r="H324" i="2"/>
  <c r="H325" i="2"/>
  <c r="H326" i="2"/>
  <c r="H327" i="2"/>
  <c r="H328" i="2"/>
  <c r="L328" i="2" s="1"/>
  <c r="H329" i="2"/>
  <c r="H330" i="2"/>
  <c r="H331" i="2"/>
  <c r="H332" i="2"/>
  <c r="L332" i="2" s="1"/>
  <c r="H333" i="2"/>
  <c r="H334" i="2"/>
  <c r="H335" i="2"/>
  <c r="H336" i="2"/>
  <c r="L336" i="2" s="1"/>
  <c r="H337" i="2"/>
  <c r="J337" i="2" s="1"/>
  <c r="H338" i="2"/>
  <c r="H339" i="2"/>
  <c r="H340" i="2"/>
  <c r="L340" i="2" s="1"/>
  <c r="H341" i="2"/>
  <c r="H342" i="2"/>
  <c r="H343" i="2"/>
  <c r="H344" i="2"/>
  <c r="H345" i="2"/>
  <c r="H346" i="2"/>
  <c r="H347" i="2"/>
  <c r="H348" i="2"/>
  <c r="L348" i="2" s="1"/>
  <c r="H349" i="2"/>
  <c r="H350" i="2"/>
  <c r="H351" i="2"/>
  <c r="H352" i="2"/>
  <c r="L352" i="2" s="1"/>
  <c r="H353" i="2"/>
  <c r="J353" i="2" s="1"/>
  <c r="H354" i="2"/>
  <c r="H355" i="2"/>
  <c r="L355" i="2" s="1"/>
  <c r="H356" i="2"/>
  <c r="H357" i="2"/>
  <c r="H358" i="2"/>
  <c r="H359" i="2"/>
  <c r="J359" i="2" s="1"/>
  <c r="H360" i="2"/>
  <c r="L360" i="2" s="1"/>
  <c r="H361" i="2"/>
  <c r="H362" i="2"/>
  <c r="H363" i="2"/>
  <c r="H364" i="2"/>
  <c r="L364" i="2" s="1"/>
  <c r="H365" i="2"/>
  <c r="H366" i="2"/>
  <c r="H367" i="2"/>
  <c r="H368" i="2"/>
  <c r="L368" i="2" s="1"/>
  <c r="H369" i="2"/>
  <c r="J369" i="2" s="1"/>
  <c r="H370" i="2"/>
  <c r="H371" i="2"/>
  <c r="L371" i="2" s="1"/>
  <c r="H372" i="2"/>
  <c r="L372" i="2" s="1"/>
  <c r="H373" i="2"/>
  <c r="H374" i="2"/>
  <c r="H375" i="2"/>
  <c r="H376" i="2"/>
  <c r="H377" i="2"/>
  <c r="H378" i="2"/>
  <c r="H379" i="2"/>
  <c r="J379" i="2" s="1"/>
  <c r="H380" i="2"/>
  <c r="L380" i="2" s="1"/>
  <c r="H381" i="2"/>
  <c r="H382" i="2"/>
  <c r="H383" i="2"/>
  <c r="H384" i="2"/>
  <c r="L384" i="2" s="1"/>
  <c r="H385" i="2"/>
  <c r="J385" i="2" s="1"/>
  <c r="H386" i="2"/>
  <c r="H387" i="2"/>
  <c r="L387" i="2" s="1"/>
  <c r="H388" i="2"/>
  <c r="H389" i="2"/>
  <c r="H390" i="2"/>
  <c r="H391" i="2"/>
  <c r="H392" i="2"/>
  <c r="L392" i="2" s="1"/>
  <c r="H393" i="2"/>
  <c r="H394" i="2"/>
  <c r="H395" i="2"/>
  <c r="H396" i="2"/>
  <c r="L396" i="2" s="1"/>
  <c r="H397" i="2"/>
  <c r="H398" i="2"/>
  <c r="H399" i="2"/>
  <c r="H400" i="2"/>
  <c r="L400" i="2" s="1"/>
  <c r="H401" i="2"/>
  <c r="J401" i="2" s="1"/>
  <c r="H402" i="2"/>
  <c r="H403" i="2"/>
  <c r="H404" i="2"/>
  <c r="L404" i="2" s="1"/>
  <c r="H405" i="2"/>
  <c r="H406" i="2"/>
  <c r="H407" i="2"/>
  <c r="H408" i="2"/>
  <c r="H409" i="2"/>
  <c r="H410" i="2"/>
  <c r="H411" i="2"/>
  <c r="H412" i="2"/>
  <c r="L412" i="2" s="1"/>
  <c r="H413" i="2"/>
  <c r="H414" i="2"/>
  <c r="H415" i="2"/>
  <c r="H416" i="2"/>
  <c r="L416" i="2" s="1"/>
  <c r="H417" i="2"/>
  <c r="J417" i="2" s="1"/>
  <c r="H418" i="2"/>
  <c r="H419" i="2"/>
  <c r="L419" i="2" s="1"/>
  <c r="H420" i="2"/>
  <c r="H421" i="2"/>
  <c r="H422" i="2"/>
  <c r="H423" i="2"/>
  <c r="H424" i="2"/>
  <c r="H425" i="2"/>
  <c r="L425" i="2" s="1"/>
  <c r="H426" i="2"/>
  <c r="H427" i="2"/>
  <c r="J427" i="2" s="1"/>
  <c r="H428" i="2"/>
  <c r="H429" i="2"/>
  <c r="H430" i="2"/>
  <c r="H431" i="2"/>
  <c r="H432" i="2"/>
  <c r="H433" i="2"/>
  <c r="L433" i="2" s="1"/>
  <c r="H434" i="2"/>
  <c r="H435" i="2"/>
  <c r="L435" i="2" s="1"/>
  <c r="H436" i="2"/>
  <c r="L436" i="2" s="1"/>
  <c r="H437" i="2"/>
  <c r="H438" i="2"/>
  <c r="H439" i="2"/>
  <c r="J439" i="2" s="1"/>
  <c r="H440" i="2"/>
  <c r="L440" i="2" s="1"/>
  <c r="H441" i="2"/>
  <c r="L441" i="2" s="1"/>
  <c r="H442" i="2"/>
  <c r="H443" i="2"/>
  <c r="H444" i="2"/>
  <c r="L444" i="2" s="1"/>
  <c r="H445" i="2"/>
  <c r="J445" i="2" s="1"/>
  <c r="H446" i="2"/>
  <c r="H447" i="2"/>
  <c r="H448" i="2"/>
  <c r="H449" i="2"/>
  <c r="H450" i="2"/>
  <c r="H451" i="2"/>
  <c r="L451" i="2" s="1"/>
  <c r="H452" i="2"/>
  <c r="L452" i="2" s="1"/>
  <c r="H453" i="2"/>
  <c r="J453" i="2" s="1"/>
  <c r="H454" i="2"/>
  <c r="H455" i="2"/>
  <c r="J455" i="2" s="1"/>
  <c r="H456" i="2"/>
  <c r="L456" i="2" s="1"/>
  <c r="H457" i="2"/>
  <c r="L457" i="2" s="1"/>
  <c r="H458" i="2"/>
  <c r="H459" i="2"/>
  <c r="H460" i="2"/>
  <c r="H461" i="2"/>
  <c r="H462" i="2"/>
  <c r="H463" i="2"/>
  <c r="H464" i="2"/>
  <c r="H465" i="2"/>
  <c r="J465" i="2" s="1"/>
  <c r="H466" i="2"/>
  <c r="H467" i="2"/>
  <c r="L467" i="2" s="1"/>
  <c r="H468" i="2"/>
  <c r="L468" i="2" s="1"/>
  <c r="H469" i="2"/>
  <c r="H470" i="2"/>
  <c r="H471" i="2"/>
  <c r="H472" i="2"/>
  <c r="H473" i="2"/>
  <c r="L473" i="2" s="1"/>
  <c r="H474" i="2"/>
  <c r="H475" i="2"/>
  <c r="H476" i="2"/>
  <c r="L476" i="2" s="1"/>
  <c r="H477" i="2"/>
  <c r="J477" i="2" s="1"/>
  <c r="H478" i="2"/>
  <c r="H479" i="2"/>
  <c r="H480" i="2"/>
  <c r="H481" i="2"/>
  <c r="H482" i="2"/>
  <c r="H483" i="2"/>
  <c r="L483" i="2" s="1"/>
  <c r="H484" i="2"/>
  <c r="H485" i="2"/>
  <c r="L485" i="2" s="1"/>
  <c r="H486" i="2"/>
  <c r="H487" i="2"/>
  <c r="H488" i="2"/>
  <c r="H489" i="2"/>
  <c r="H490" i="2"/>
  <c r="H491" i="2"/>
  <c r="H492" i="2"/>
  <c r="L492" i="2" s="1"/>
  <c r="H493" i="2"/>
  <c r="H494" i="2"/>
  <c r="H495" i="2"/>
  <c r="H496" i="2"/>
  <c r="H497" i="2"/>
  <c r="L497" i="2" s="1"/>
  <c r="H498" i="2"/>
  <c r="H499" i="2"/>
  <c r="L499" i="2" s="1"/>
  <c r="H500" i="2"/>
  <c r="L500" i="2" s="1"/>
  <c r="H501" i="2"/>
  <c r="H502" i="2"/>
  <c r="H503" i="2"/>
  <c r="J503" i="2" s="1"/>
  <c r="H504" i="2"/>
  <c r="H505" i="2"/>
  <c r="L505" i="2" s="1"/>
  <c r="H506" i="2"/>
  <c r="H507" i="2"/>
  <c r="H508" i="2"/>
  <c r="L508" i="2" s="1"/>
  <c r="H509" i="2"/>
  <c r="H510" i="2"/>
  <c r="H511" i="2"/>
  <c r="H512" i="2"/>
  <c r="L512" i="2" s="1"/>
  <c r="H513" i="2"/>
  <c r="H514" i="2"/>
  <c r="H515" i="2"/>
  <c r="L515" i="2" s="1"/>
  <c r="H516" i="2"/>
  <c r="L516" i="2" s="1"/>
  <c r="H517" i="2"/>
  <c r="L517" i="2" s="1"/>
  <c r="H518" i="2"/>
  <c r="H519" i="2"/>
  <c r="H520" i="2"/>
  <c r="L520" i="2" s="1"/>
  <c r="H521" i="2"/>
  <c r="L521" i="2" s="1"/>
  <c r="H522" i="2"/>
  <c r="H523" i="2"/>
  <c r="J523" i="2" s="1"/>
  <c r="H524" i="2"/>
  <c r="L524" i="2" s="1"/>
  <c r="H525" i="2"/>
  <c r="H526" i="2"/>
  <c r="H527" i="2"/>
  <c r="H528" i="2"/>
  <c r="L528" i="2" s="1"/>
  <c r="H529" i="2"/>
  <c r="L529" i="2" s="1"/>
  <c r="H530" i="2"/>
  <c r="H531" i="2"/>
  <c r="L531" i="2" s="1"/>
  <c r="H532" i="2"/>
  <c r="H533" i="2"/>
  <c r="H534" i="2"/>
  <c r="H535" i="2"/>
  <c r="H536" i="2"/>
  <c r="L536" i="2" s="1"/>
  <c r="H537" i="2"/>
  <c r="L537" i="2" s="1"/>
  <c r="H538" i="2"/>
  <c r="H539" i="2"/>
  <c r="H540" i="2"/>
  <c r="L540" i="2" s="1"/>
  <c r="H541" i="2"/>
  <c r="H542" i="2"/>
  <c r="H543" i="2"/>
  <c r="H544" i="2"/>
  <c r="L544" i="2" s="1"/>
  <c r="H545" i="2"/>
  <c r="H546" i="2"/>
  <c r="H547" i="2"/>
  <c r="H548" i="2"/>
  <c r="L548" i="2" s="1"/>
  <c r="H549" i="2"/>
  <c r="L549" i="2" s="1"/>
  <c r="H550" i="2"/>
  <c r="H551" i="2"/>
  <c r="H552" i="2"/>
  <c r="H553" i="2"/>
  <c r="L553" i="2" s="1"/>
  <c r="H554" i="2"/>
  <c r="H555" i="2"/>
  <c r="H556" i="2"/>
  <c r="L556" i="2" s="1"/>
  <c r="H557" i="2"/>
  <c r="H558" i="2"/>
  <c r="H559" i="2"/>
  <c r="H560" i="2"/>
  <c r="H561" i="2"/>
  <c r="L561" i="2" s="1"/>
  <c r="H562" i="2"/>
  <c r="H563" i="2"/>
  <c r="L563" i="2" s="1"/>
  <c r="H564" i="2"/>
  <c r="L564" i="2" s="1"/>
  <c r="H565" i="2"/>
  <c r="H566" i="2"/>
  <c r="H567" i="2"/>
  <c r="H568" i="2"/>
  <c r="L568" i="2" s="1"/>
  <c r="H569" i="2"/>
  <c r="L569" i="2" s="1"/>
  <c r="H570" i="2"/>
  <c r="H571" i="2"/>
  <c r="J571" i="2" s="1"/>
  <c r="H572" i="2"/>
  <c r="L572" i="2" s="1"/>
  <c r="H573" i="2"/>
  <c r="H574" i="2"/>
  <c r="H575" i="2"/>
  <c r="H576" i="2"/>
  <c r="L576" i="2" s="1"/>
  <c r="H577" i="2"/>
  <c r="H578" i="2"/>
  <c r="H579" i="2"/>
  <c r="L579" i="2" s="1"/>
  <c r="H580" i="2"/>
  <c r="L580" i="2" s="1"/>
  <c r="H581" i="2"/>
  <c r="L581" i="2" s="1"/>
  <c r="H582" i="2"/>
  <c r="H583" i="2"/>
  <c r="H584" i="2"/>
  <c r="L584" i="2" s="1"/>
  <c r="H585" i="2"/>
  <c r="L585" i="2" s="1"/>
  <c r="H586" i="2"/>
  <c r="H587" i="2"/>
  <c r="H588" i="2"/>
  <c r="H589" i="2"/>
  <c r="H590" i="2"/>
  <c r="H591" i="2"/>
  <c r="J591" i="2" s="1"/>
  <c r="H592" i="2"/>
  <c r="L592" i="2" s="1"/>
  <c r="H593" i="2"/>
  <c r="L593" i="2" s="1"/>
  <c r="H594" i="2"/>
  <c r="H595" i="2"/>
  <c r="L595" i="2" s="1"/>
  <c r="H596" i="2"/>
  <c r="H597" i="2"/>
  <c r="H598" i="2"/>
  <c r="H599" i="2"/>
  <c r="H600" i="2"/>
  <c r="L600" i="2" s="1"/>
  <c r="H601" i="2"/>
  <c r="L601" i="2" s="1"/>
  <c r="H602" i="2"/>
  <c r="H603" i="2"/>
  <c r="H604" i="2"/>
  <c r="L604" i="2" s="1"/>
  <c r="H605" i="2"/>
  <c r="H606" i="2"/>
  <c r="H607" i="2"/>
  <c r="H608" i="2"/>
  <c r="H609" i="2"/>
  <c r="H610" i="2"/>
  <c r="H611" i="2"/>
  <c r="L611" i="2" s="1"/>
  <c r="H612" i="2"/>
  <c r="L612" i="2" s="1"/>
  <c r="H613" i="2"/>
  <c r="L613" i="2" s="1"/>
  <c r="H614" i="2"/>
  <c r="H615" i="2"/>
  <c r="J615" i="2" s="1"/>
  <c r="H616" i="2"/>
  <c r="H617" i="2"/>
  <c r="L617" i="2" s="1"/>
  <c r="H618" i="2"/>
  <c r="H619" i="2"/>
  <c r="H620" i="2"/>
  <c r="L620" i="2" s="1"/>
  <c r="H621" i="2"/>
  <c r="H622" i="2"/>
  <c r="H623" i="2"/>
  <c r="H624" i="2"/>
  <c r="L624" i="2" s="1"/>
  <c r="H625" i="2"/>
  <c r="L625" i="2" s="1"/>
  <c r="H626" i="2"/>
  <c r="H627" i="2"/>
  <c r="L627" i="2" s="1"/>
  <c r="H628" i="2"/>
  <c r="L628" i="2" s="1"/>
  <c r="H629" i="2"/>
  <c r="H630" i="2"/>
  <c r="H631" i="2"/>
  <c r="H632" i="2"/>
  <c r="L632" i="2" s="1"/>
  <c r="H633" i="2"/>
  <c r="L633" i="2" s="1"/>
  <c r="H634" i="2"/>
  <c r="H635" i="2"/>
  <c r="H636" i="2"/>
  <c r="H637" i="2"/>
  <c r="H638" i="2"/>
  <c r="H639" i="2"/>
  <c r="H640" i="2"/>
  <c r="L640" i="2" s="1"/>
  <c r="H641" i="2"/>
  <c r="H642" i="2"/>
  <c r="H643" i="2"/>
  <c r="H644" i="2"/>
  <c r="L644" i="2" s="1"/>
  <c r="H645" i="2"/>
  <c r="L645" i="2" s="1"/>
  <c r="H646" i="2"/>
  <c r="H647" i="2"/>
  <c r="H648" i="2"/>
  <c r="L648" i="2" s="1"/>
  <c r="H649" i="2"/>
  <c r="L649" i="2" s="1"/>
  <c r="H650" i="2"/>
  <c r="H651" i="2"/>
  <c r="H652" i="2"/>
  <c r="L652" i="2" s="1"/>
  <c r="H653" i="2"/>
  <c r="H654" i="2"/>
  <c r="H655" i="2"/>
  <c r="H656" i="2"/>
  <c r="H657" i="2"/>
  <c r="L657" i="2" s="1"/>
  <c r="H658" i="2"/>
  <c r="H659" i="2"/>
  <c r="L659" i="2" s="1"/>
  <c r="H660" i="2"/>
  <c r="L660" i="2" s="1"/>
  <c r="H661" i="2"/>
  <c r="H662" i="2"/>
  <c r="H663" i="2"/>
  <c r="H664" i="2"/>
  <c r="L664" i="2" s="1"/>
  <c r="H665" i="2"/>
  <c r="L665" i="2" s="1"/>
  <c r="H666" i="2"/>
  <c r="H667" i="2"/>
  <c r="J667" i="2" s="1"/>
  <c r="H668" i="2"/>
  <c r="L668" i="2" s="1"/>
  <c r="H669" i="2"/>
  <c r="H670" i="2"/>
  <c r="H671" i="2"/>
  <c r="H672" i="2"/>
  <c r="L672" i="2" s="1"/>
  <c r="H673" i="2"/>
  <c r="H674" i="2"/>
  <c r="H675" i="2"/>
  <c r="L675" i="2" s="1"/>
  <c r="H676" i="2"/>
  <c r="L676" i="2" s="1"/>
  <c r="H677" i="2"/>
  <c r="L677" i="2" s="1"/>
  <c r="H678" i="2"/>
  <c r="H679" i="2"/>
  <c r="H680" i="2"/>
  <c r="L680" i="2" s="1"/>
  <c r="H681" i="2"/>
  <c r="L681" i="2" s="1"/>
  <c r="H682" i="2"/>
  <c r="H683" i="2"/>
  <c r="H684" i="2"/>
  <c r="H685" i="2"/>
  <c r="H686" i="2"/>
  <c r="H687" i="2"/>
  <c r="J687" i="2" s="1"/>
  <c r="H688" i="2"/>
  <c r="L688" i="2" s="1"/>
  <c r="H689" i="2"/>
  <c r="H690" i="2"/>
  <c r="H691" i="2"/>
  <c r="H692" i="2"/>
  <c r="L692" i="2" s="1"/>
  <c r="H693" i="2"/>
  <c r="H694" i="2"/>
  <c r="H695" i="2"/>
  <c r="H696" i="2"/>
  <c r="L696" i="2" s="1"/>
  <c r="H697" i="2"/>
  <c r="H698" i="2"/>
  <c r="H699" i="2"/>
  <c r="H700" i="2"/>
  <c r="H701" i="2"/>
  <c r="H702" i="2"/>
  <c r="H703" i="2"/>
  <c r="J703" i="2" s="1"/>
  <c r="H704" i="2"/>
  <c r="L704" i="2" s="1"/>
  <c r="H705" i="2"/>
  <c r="H706" i="2"/>
  <c r="H707" i="2"/>
  <c r="H708" i="2"/>
  <c r="H709" i="2"/>
  <c r="H710" i="2"/>
  <c r="H711" i="2"/>
  <c r="H712" i="2"/>
  <c r="L712" i="2" s="1"/>
  <c r="H713" i="2"/>
  <c r="H714" i="2"/>
  <c r="H715" i="2"/>
  <c r="H716" i="2"/>
  <c r="H717" i="2"/>
  <c r="H718" i="2"/>
  <c r="H719" i="2"/>
  <c r="J719" i="2" s="1"/>
  <c r="H720" i="2"/>
  <c r="L720" i="2" s="1"/>
  <c r="H721" i="2"/>
  <c r="H722" i="2"/>
  <c r="H723" i="2"/>
  <c r="H724" i="2"/>
  <c r="L724" i="2" s="1"/>
  <c r="H725" i="2"/>
  <c r="H726" i="2"/>
  <c r="H727" i="2"/>
  <c r="H728" i="2"/>
  <c r="L728" i="2" s="1"/>
  <c r="H729" i="2"/>
  <c r="H730" i="2"/>
  <c r="H731" i="2"/>
  <c r="H732" i="2"/>
  <c r="H733" i="2"/>
  <c r="J733" i="2" s="1"/>
  <c r="H734" i="2"/>
  <c r="H735" i="2"/>
  <c r="H736" i="2"/>
  <c r="L736" i="2" s="1"/>
  <c r="H737" i="2"/>
  <c r="H738" i="2"/>
  <c r="H739" i="2"/>
  <c r="H740" i="2"/>
  <c r="H741" i="2"/>
  <c r="H742" i="2"/>
  <c r="H743" i="2"/>
  <c r="H744" i="2"/>
  <c r="L744" i="2" s="1"/>
  <c r="H745" i="2"/>
  <c r="H746" i="2"/>
  <c r="H747" i="2"/>
  <c r="H748" i="2"/>
  <c r="H749" i="2"/>
  <c r="H750" i="2"/>
  <c r="H751" i="2"/>
  <c r="J751" i="2" s="1"/>
  <c r="H752" i="2"/>
  <c r="L752" i="2" s="1"/>
  <c r="H753" i="2"/>
  <c r="H754" i="2"/>
  <c r="H755" i="2"/>
  <c r="H756" i="2"/>
  <c r="H757" i="2"/>
  <c r="H758" i="2"/>
  <c r="H759" i="2"/>
  <c r="H760" i="2"/>
  <c r="L760" i="2" s="1"/>
  <c r="H761" i="2"/>
  <c r="H762" i="2"/>
  <c r="H763" i="2"/>
  <c r="H764" i="2"/>
  <c r="H765" i="2"/>
  <c r="J765" i="2" s="1"/>
  <c r="H766" i="2"/>
  <c r="H767" i="2"/>
  <c r="H768" i="2"/>
  <c r="L768" i="2" s="1"/>
  <c r="H769" i="2"/>
  <c r="H770" i="2"/>
  <c r="H771" i="2"/>
  <c r="H772" i="2"/>
  <c r="H773" i="2"/>
  <c r="H774" i="2"/>
  <c r="H775" i="2"/>
  <c r="H776" i="2"/>
  <c r="L776" i="2" s="1"/>
  <c r="H777" i="2"/>
  <c r="H778" i="2"/>
  <c r="H779" i="2"/>
  <c r="H780" i="2"/>
  <c r="H781" i="2"/>
  <c r="H782" i="2"/>
  <c r="H783" i="2"/>
  <c r="H784" i="2"/>
  <c r="L784" i="2" s="1"/>
  <c r="H785" i="2"/>
  <c r="H786" i="2"/>
  <c r="H787" i="2"/>
  <c r="J787" i="2" s="1"/>
  <c r="H788" i="2"/>
  <c r="L788" i="2" s="1"/>
  <c r="H789" i="2"/>
  <c r="H790" i="2"/>
  <c r="H791" i="2"/>
  <c r="H792" i="2"/>
  <c r="L792" i="2" s="1"/>
  <c r="H793" i="2"/>
  <c r="H794" i="2"/>
  <c r="H795" i="2"/>
  <c r="H796" i="2"/>
  <c r="L796" i="2" s="1"/>
  <c r="H797" i="2"/>
  <c r="H798" i="2"/>
  <c r="H799" i="2"/>
  <c r="H800" i="2"/>
  <c r="L800" i="2" s="1"/>
  <c r="H801" i="2"/>
  <c r="J801" i="2" s="1"/>
  <c r="H802" i="2"/>
  <c r="H803" i="2"/>
  <c r="H804" i="2"/>
  <c r="L804" i="2" s="1"/>
  <c r="H805" i="2"/>
  <c r="H806" i="2"/>
  <c r="H807" i="2"/>
  <c r="H808" i="2"/>
  <c r="L808" i="2" s="1"/>
  <c r="H809" i="2"/>
  <c r="H810" i="2"/>
  <c r="H811" i="2"/>
  <c r="J811" i="2" s="1"/>
  <c r="H812" i="2"/>
  <c r="L812" i="2" s="1"/>
  <c r="H813" i="2"/>
  <c r="H814" i="2"/>
  <c r="H5" i="2"/>
  <c r="L5" i="2" s="1"/>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5" i="2"/>
  <c r="L6" i="2"/>
  <c r="L7" i="2"/>
  <c r="L10" i="2"/>
  <c r="L11" i="2"/>
  <c r="L13" i="2"/>
  <c r="L14" i="2"/>
  <c r="L15" i="2"/>
  <c r="L17" i="2"/>
  <c r="L18" i="2"/>
  <c r="L21" i="2"/>
  <c r="L22" i="2"/>
  <c r="L23" i="2"/>
  <c r="L26" i="2"/>
  <c r="L27" i="2"/>
  <c r="L29" i="2"/>
  <c r="L30" i="2"/>
  <c r="L31" i="2"/>
  <c r="L33" i="2"/>
  <c r="L34" i="2"/>
  <c r="L37" i="2"/>
  <c r="L38" i="2"/>
  <c r="L39" i="2"/>
  <c r="L42" i="2"/>
  <c r="L43" i="2"/>
  <c r="L45" i="2"/>
  <c r="L46" i="2"/>
  <c r="L47" i="2"/>
  <c r="L49" i="2"/>
  <c r="L50" i="2"/>
  <c r="L53" i="2"/>
  <c r="L54" i="2"/>
  <c r="L55" i="2"/>
  <c r="L58" i="2"/>
  <c r="L59" i="2"/>
  <c r="L61" i="2"/>
  <c r="L62" i="2"/>
  <c r="L63" i="2"/>
  <c r="L65" i="2"/>
  <c r="L66" i="2"/>
  <c r="L69" i="2"/>
  <c r="L70" i="2"/>
  <c r="L71" i="2"/>
  <c r="L74" i="2"/>
  <c r="L75" i="2"/>
  <c r="L77" i="2"/>
  <c r="L78" i="2"/>
  <c r="L79" i="2"/>
  <c r="L81" i="2"/>
  <c r="L82" i="2"/>
  <c r="L85" i="2"/>
  <c r="L86" i="2"/>
  <c r="L87" i="2"/>
  <c r="L90" i="2"/>
  <c r="L91" i="2"/>
  <c r="L93" i="2"/>
  <c r="L94" i="2"/>
  <c r="L95" i="2"/>
  <c r="L97" i="2"/>
  <c r="L98" i="2"/>
  <c r="L101" i="2"/>
  <c r="L102" i="2"/>
  <c r="L103" i="2"/>
  <c r="L106" i="2"/>
  <c r="L107" i="2"/>
  <c r="L109" i="2"/>
  <c r="L110" i="2"/>
  <c r="L111" i="2"/>
  <c r="L113" i="2"/>
  <c r="L114" i="2"/>
  <c r="L117" i="2"/>
  <c r="L118" i="2"/>
  <c r="L119" i="2"/>
  <c r="L122" i="2"/>
  <c r="L123" i="2"/>
  <c r="L125" i="2"/>
  <c r="L126" i="2"/>
  <c r="L127" i="2"/>
  <c r="L129" i="2"/>
  <c r="L130" i="2"/>
  <c r="L133" i="2"/>
  <c r="L134" i="2"/>
  <c r="L135" i="2"/>
  <c r="L138" i="2"/>
  <c r="L139" i="2"/>
  <c r="L141" i="2"/>
  <c r="L142" i="2"/>
  <c r="L143" i="2"/>
  <c r="L145" i="2"/>
  <c r="L146" i="2"/>
  <c r="L149" i="2"/>
  <c r="L150" i="2"/>
  <c r="L151" i="2"/>
  <c r="L154" i="2"/>
  <c r="L155" i="2"/>
  <c r="L157" i="2"/>
  <c r="L158" i="2"/>
  <c r="L159" i="2"/>
  <c r="L161" i="2"/>
  <c r="L162" i="2"/>
  <c r="L165" i="2"/>
  <c r="L166" i="2"/>
  <c r="L167" i="2"/>
  <c r="L170" i="2"/>
  <c r="L171" i="2"/>
  <c r="L173" i="2"/>
  <c r="L174" i="2"/>
  <c r="L175" i="2"/>
  <c r="L177" i="2"/>
  <c r="L178" i="2"/>
  <c r="L181" i="2"/>
  <c r="L182" i="2"/>
  <c r="L183" i="2"/>
  <c r="L186" i="2"/>
  <c r="L187" i="2"/>
  <c r="L189" i="2"/>
  <c r="L190" i="2"/>
  <c r="L191" i="2"/>
  <c r="L193" i="2"/>
  <c r="L194" i="2"/>
  <c r="L197" i="2"/>
  <c r="L198" i="2"/>
  <c r="L199" i="2"/>
  <c r="L202" i="2"/>
  <c r="L203" i="2"/>
  <c r="L205" i="2"/>
  <c r="L206" i="2"/>
  <c r="L207" i="2"/>
  <c r="L209" i="2"/>
  <c r="L210" i="2"/>
  <c r="L213" i="2"/>
  <c r="L214" i="2"/>
  <c r="L215" i="2"/>
  <c r="L218" i="2"/>
  <c r="L219" i="2"/>
  <c r="L221" i="2"/>
  <c r="L222" i="2"/>
  <c r="L223" i="2"/>
  <c r="L225" i="2"/>
  <c r="L226" i="2"/>
  <c r="L229" i="2"/>
  <c r="L230" i="2"/>
  <c r="L231" i="2"/>
  <c r="L234" i="2"/>
  <c r="L235" i="2"/>
  <c r="L237" i="2"/>
  <c r="L238" i="2"/>
  <c r="L239" i="2"/>
  <c r="L241" i="2"/>
  <c r="L242" i="2"/>
  <c r="L245" i="2"/>
  <c r="L246" i="2"/>
  <c r="L247" i="2"/>
  <c r="L250" i="2"/>
  <c r="L251" i="2"/>
  <c r="L253" i="2"/>
  <c r="L254" i="2"/>
  <c r="L255" i="2"/>
  <c r="L257" i="2"/>
  <c r="L258" i="2"/>
  <c r="L261" i="2"/>
  <c r="L262" i="2"/>
  <c r="L263" i="2"/>
  <c r="L266" i="2"/>
  <c r="L267" i="2"/>
  <c r="L269" i="2"/>
  <c r="L270" i="2"/>
  <c r="L271" i="2"/>
  <c r="L273" i="2"/>
  <c r="L274" i="2"/>
  <c r="L277" i="2"/>
  <c r="L278" i="2"/>
  <c r="L279" i="2"/>
  <c r="L282" i="2"/>
  <c r="L283" i="2"/>
  <c r="L285" i="2"/>
  <c r="L286" i="2"/>
  <c r="L287" i="2"/>
  <c r="L289" i="2"/>
  <c r="L290" i="2"/>
  <c r="L293" i="2"/>
  <c r="L294" i="2"/>
  <c r="L295" i="2"/>
  <c r="L298" i="2"/>
  <c r="L299" i="2"/>
  <c r="L301" i="2"/>
  <c r="L302" i="2"/>
  <c r="L303" i="2"/>
  <c r="L305" i="2"/>
  <c r="L306" i="2"/>
  <c r="L309" i="2"/>
  <c r="L310" i="2"/>
  <c r="L311" i="2"/>
  <c r="L314" i="2"/>
  <c r="L315" i="2"/>
  <c r="L317" i="2"/>
  <c r="L318" i="2"/>
  <c r="L319" i="2"/>
  <c r="L321" i="2"/>
  <c r="L322" i="2"/>
  <c r="L325" i="2"/>
  <c r="L326" i="2"/>
  <c r="L327" i="2"/>
  <c r="L330" i="2"/>
  <c r="L331" i="2"/>
  <c r="L333" i="2"/>
  <c r="L334" i="2"/>
  <c r="L335" i="2"/>
  <c r="L337" i="2"/>
  <c r="L338" i="2"/>
  <c r="L341" i="2"/>
  <c r="L342" i="2"/>
  <c r="L343" i="2"/>
  <c r="L346" i="2"/>
  <c r="L347" i="2"/>
  <c r="L349" i="2"/>
  <c r="L350" i="2"/>
  <c r="L351" i="2"/>
  <c r="L353" i="2"/>
  <c r="L354" i="2"/>
  <c r="L357" i="2"/>
  <c r="L358" i="2"/>
  <c r="L359" i="2"/>
  <c r="L362" i="2"/>
  <c r="L363" i="2"/>
  <c r="L365" i="2"/>
  <c r="L366" i="2"/>
  <c r="L367" i="2"/>
  <c r="L369" i="2"/>
  <c r="L370" i="2"/>
  <c r="L373" i="2"/>
  <c r="L374" i="2"/>
  <c r="L375" i="2"/>
  <c r="L378" i="2"/>
  <c r="L379" i="2"/>
  <c r="L381" i="2"/>
  <c r="L382" i="2"/>
  <c r="L383" i="2"/>
  <c r="L385" i="2"/>
  <c r="L386" i="2"/>
  <c r="L389" i="2"/>
  <c r="L390" i="2"/>
  <c r="L391" i="2"/>
  <c r="L394" i="2"/>
  <c r="L395" i="2"/>
  <c r="L397" i="2"/>
  <c r="L398" i="2"/>
  <c r="L399" i="2"/>
  <c r="L401" i="2"/>
  <c r="L402" i="2"/>
  <c r="L405" i="2"/>
  <c r="L406" i="2"/>
  <c r="L407" i="2"/>
  <c r="L410" i="2"/>
  <c r="L411" i="2"/>
  <c r="L413" i="2"/>
  <c r="L414" i="2"/>
  <c r="L415" i="2"/>
  <c r="L417" i="2"/>
  <c r="L418" i="2"/>
  <c r="L421" i="2"/>
  <c r="L422" i="2"/>
  <c r="L423" i="2"/>
  <c r="L426" i="2"/>
  <c r="L427" i="2"/>
  <c r="L429" i="2"/>
  <c r="L430" i="2"/>
  <c r="L431" i="2"/>
  <c r="L434" i="2"/>
  <c r="L437" i="2"/>
  <c r="L438" i="2"/>
  <c r="L439" i="2"/>
  <c r="L442" i="2"/>
  <c r="L443" i="2"/>
  <c r="L445" i="2"/>
  <c r="L446" i="2"/>
  <c r="L447" i="2"/>
  <c r="L449" i="2"/>
  <c r="L450" i="2"/>
  <c r="L454" i="2"/>
  <c r="L455" i="2"/>
  <c r="L458" i="2"/>
  <c r="L459" i="2"/>
  <c r="L461" i="2"/>
  <c r="L462" i="2"/>
  <c r="L463" i="2"/>
  <c r="L466" i="2"/>
  <c r="L469" i="2"/>
  <c r="L470" i="2"/>
  <c r="L471" i="2"/>
  <c r="L474" i="2"/>
  <c r="L475" i="2"/>
  <c r="L477" i="2"/>
  <c r="L478" i="2"/>
  <c r="L479" i="2"/>
  <c r="L481" i="2"/>
  <c r="L482" i="2"/>
  <c r="L486" i="2"/>
  <c r="L487" i="2"/>
  <c r="L490" i="2"/>
  <c r="L491" i="2"/>
  <c r="L493" i="2"/>
  <c r="L494" i="2"/>
  <c r="L495" i="2"/>
  <c r="L498" i="2"/>
  <c r="L501" i="2"/>
  <c r="L502" i="2"/>
  <c r="L503" i="2"/>
  <c r="L506" i="2"/>
  <c r="L507" i="2"/>
  <c r="L509" i="2"/>
  <c r="L510" i="2"/>
  <c r="L511" i="2"/>
  <c r="L513" i="2"/>
  <c r="L514" i="2"/>
  <c r="L518" i="2"/>
  <c r="L519" i="2"/>
  <c r="L522" i="2"/>
  <c r="L523" i="2"/>
  <c r="L525" i="2"/>
  <c r="L526" i="2"/>
  <c r="L527" i="2"/>
  <c r="L530" i="2"/>
  <c r="L533" i="2"/>
  <c r="L534" i="2"/>
  <c r="L535" i="2"/>
  <c r="L538" i="2"/>
  <c r="L539" i="2"/>
  <c r="L541" i="2"/>
  <c r="L542" i="2"/>
  <c r="L543" i="2"/>
  <c r="L545" i="2"/>
  <c r="L546" i="2"/>
  <c r="L550" i="2"/>
  <c r="L551" i="2"/>
  <c r="L554" i="2"/>
  <c r="L555" i="2"/>
  <c r="L557" i="2"/>
  <c r="L558" i="2"/>
  <c r="L559" i="2"/>
  <c r="L562" i="2"/>
  <c r="L565" i="2"/>
  <c r="L566" i="2"/>
  <c r="L567" i="2"/>
  <c r="L570" i="2"/>
  <c r="L571" i="2"/>
  <c r="L573" i="2"/>
  <c r="L574" i="2"/>
  <c r="L575" i="2"/>
  <c r="L577" i="2"/>
  <c r="L578" i="2"/>
  <c r="L582" i="2"/>
  <c r="L583" i="2"/>
  <c r="L586" i="2"/>
  <c r="L587" i="2"/>
  <c r="L589" i="2"/>
  <c r="L590" i="2"/>
  <c r="L591" i="2"/>
  <c r="L594" i="2"/>
  <c r="L597" i="2"/>
  <c r="L598" i="2"/>
  <c r="L599" i="2"/>
  <c r="L602" i="2"/>
  <c r="L603" i="2"/>
  <c r="L605" i="2"/>
  <c r="L606" i="2"/>
  <c r="L607" i="2"/>
  <c r="L609" i="2"/>
  <c r="L610" i="2"/>
  <c r="L614" i="2"/>
  <c r="L615" i="2"/>
  <c r="L618" i="2"/>
  <c r="L619" i="2"/>
  <c r="L621" i="2"/>
  <c r="L622" i="2"/>
  <c r="L623" i="2"/>
  <c r="L626" i="2"/>
  <c r="L629" i="2"/>
  <c r="L630" i="2"/>
  <c r="L631" i="2"/>
  <c r="L634" i="2"/>
  <c r="L635" i="2"/>
  <c r="L637" i="2"/>
  <c r="L638" i="2"/>
  <c r="L639" i="2"/>
  <c r="L641" i="2"/>
  <c r="L642" i="2"/>
  <c r="L646" i="2"/>
  <c r="L647" i="2"/>
  <c r="L650" i="2"/>
  <c r="L651" i="2"/>
  <c r="L653" i="2"/>
  <c r="L654" i="2"/>
  <c r="L655" i="2"/>
  <c r="L658" i="2"/>
  <c r="L661" i="2"/>
  <c r="L662" i="2"/>
  <c r="L663" i="2"/>
  <c r="L666" i="2"/>
  <c r="L667" i="2"/>
  <c r="L669" i="2"/>
  <c r="L670" i="2"/>
  <c r="L671" i="2"/>
  <c r="L673" i="2"/>
  <c r="L674" i="2"/>
  <c r="L678" i="2"/>
  <c r="L679" i="2"/>
  <c r="L682" i="2"/>
  <c r="L683" i="2"/>
  <c r="L685" i="2"/>
  <c r="L686" i="2"/>
  <c r="L687" i="2"/>
  <c r="L689" i="2"/>
  <c r="L690" i="2"/>
  <c r="L691" i="2"/>
  <c r="L693" i="2"/>
  <c r="L694" i="2"/>
  <c r="L695" i="2"/>
  <c r="L697" i="2"/>
  <c r="L698" i="2"/>
  <c r="L699" i="2"/>
  <c r="L701" i="2"/>
  <c r="L702" i="2"/>
  <c r="L703" i="2"/>
  <c r="L705" i="2"/>
  <c r="L706" i="2"/>
  <c r="L707" i="2"/>
  <c r="L709" i="2"/>
  <c r="L710" i="2"/>
  <c r="L711" i="2"/>
  <c r="L713" i="2"/>
  <c r="L714" i="2"/>
  <c r="L715" i="2"/>
  <c r="L717" i="2"/>
  <c r="L718" i="2"/>
  <c r="L719" i="2"/>
  <c r="L721" i="2"/>
  <c r="L722" i="2"/>
  <c r="L723" i="2"/>
  <c r="L725" i="2"/>
  <c r="L726" i="2"/>
  <c r="L727" i="2"/>
  <c r="L729" i="2"/>
  <c r="L730" i="2"/>
  <c r="L731" i="2"/>
  <c r="L733" i="2"/>
  <c r="L734" i="2"/>
  <c r="L735" i="2"/>
  <c r="L737" i="2"/>
  <c r="L738" i="2"/>
  <c r="L739" i="2"/>
  <c r="L741" i="2"/>
  <c r="L742" i="2"/>
  <c r="L743" i="2"/>
  <c r="L745" i="2"/>
  <c r="L746" i="2"/>
  <c r="L747" i="2"/>
  <c r="L749" i="2"/>
  <c r="L750" i="2"/>
  <c r="L751" i="2"/>
  <c r="L753" i="2"/>
  <c r="L754" i="2"/>
  <c r="L755" i="2"/>
  <c r="L757" i="2"/>
  <c r="L758" i="2"/>
  <c r="L759" i="2"/>
  <c r="L761" i="2"/>
  <c r="L762" i="2"/>
  <c r="L763" i="2"/>
  <c r="L765" i="2"/>
  <c r="L766" i="2"/>
  <c r="L767" i="2"/>
  <c r="L769" i="2"/>
  <c r="L770" i="2"/>
  <c r="L771" i="2"/>
  <c r="L773" i="2"/>
  <c r="L774" i="2"/>
  <c r="L775" i="2"/>
  <c r="L777" i="2"/>
  <c r="L778" i="2"/>
  <c r="L779" i="2"/>
  <c r="L781" i="2"/>
  <c r="L782" i="2"/>
  <c r="L783" i="2"/>
  <c r="L785" i="2"/>
  <c r="L786" i="2"/>
  <c r="L787" i="2"/>
  <c r="L789" i="2"/>
  <c r="L790" i="2"/>
  <c r="L791" i="2"/>
  <c r="L793" i="2"/>
  <c r="L794" i="2"/>
  <c r="L795" i="2"/>
  <c r="L797" i="2"/>
  <c r="L798" i="2"/>
  <c r="L799" i="2"/>
  <c r="L801" i="2"/>
  <c r="L802" i="2"/>
  <c r="L803" i="2"/>
  <c r="L805" i="2"/>
  <c r="L806" i="2"/>
  <c r="L807" i="2"/>
  <c r="L809" i="2"/>
  <c r="L810" i="2"/>
  <c r="L811" i="2"/>
  <c r="L813" i="2"/>
  <c r="L814" i="2"/>
  <c r="J13" i="2"/>
  <c r="J17" i="2"/>
  <c r="J25" i="2"/>
  <c r="J29" i="2"/>
  <c r="J33" i="2"/>
  <c r="J41" i="2"/>
  <c r="J45" i="2"/>
  <c r="J53" i="2"/>
  <c r="J61" i="2"/>
  <c r="J69" i="2"/>
  <c r="J73" i="2"/>
  <c r="J85" i="2"/>
  <c r="J89" i="2"/>
  <c r="J93" i="2"/>
  <c r="J105" i="2"/>
  <c r="J109" i="2"/>
  <c r="J119" i="2"/>
  <c r="J131" i="2"/>
  <c r="J135" i="2"/>
  <c r="J139" i="2"/>
  <c r="J151" i="2"/>
  <c r="J155" i="2"/>
  <c r="J163" i="2"/>
  <c r="J171" i="2"/>
  <c r="J179" i="2"/>
  <c r="J183" i="2"/>
  <c r="J195" i="2"/>
  <c r="J199" i="2"/>
  <c r="J203" i="2"/>
  <c r="J215" i="2"/>
  <c r="J219" i="2"/>
  <c r="J227" i="2"/>
  <c r="J235" i="2"/>
  <c r="J243" i="2"/>
  <c r="J247" i="2"/>
  <c r="J259" i="2"/>
  <c r="J263" i="2"/>
  <c r="J267" i="2"/>
  <c r="J279" i="2"/>
  <c r="J283" i="2"/>
  <c r="J291" i="2"/>
  <c r="J299" i="2"/>
  <c r="J307" i="2"/>
  <c r="J311" i="2"/>
  <c r="J323" i="2"/>
  <c r="J327" i="2"/>
  <c r="J331" i="2"/>
  <c r="J343" i="2"/>
  <c r="J347" i="2"/>
  <c r="J355" i="2"/>
  <c r="J363" i="2"/>
  <c r="J371" i="2"/>
  <c r="J375" i="2"/>
  <c r="J387" i="2"/>
  <c r="J391" i="2"/>
  <c r="J395" i="2"/>
  <c r="J407" i="2"/>
  <c r="J411" i="2"/>
  <c r="J419" i="2"/>
  <c r="J435" i="2"/>
  <c r="J443" i="2"/>
  <c r="J451" i="2"/>
  <c r="J467" i="2"/>
  <c r="J483" i="2"/>
  <c r="J499" i="2"/>
  <c r="J507" i="2"/>
  <c r="J515" i="2"/>
  <c r="J519" i="2"/>
  <c r="J531" i="2"/>
  <c r="J535" i="2"/>
  <c r="J543" i="2"/>
  <c r="J555" i="2"/>
  <c r="J559" i="2"/>
  <c r="J563" i="2"/>
  <c r="J575" i="2"/>
  <c r="J579" i="2"/>
  <c r="J583" i="2"/>
  <c r="J595" i="2"/>
  <c r="J603" i="2"/>
  <c r="J611" i="2"/>
  <c r="J623" i="2"/>
  <c r="J627" i="2"/>
  <c r="J635" i="2"/>
  <c r="J647" i="2"/>
  <c r="J655" i="2"/>
  <c r="J659" i="2"/>
  <c r="J671" i="2"/>
  <c r="J675" i="2"/>
  <c r="J683" i="2"/>
  <c r="J689" i="2"/>
  <c r="J691" i="2"/>
  <c r="J699" i="2"/>
  <c r="J707" i="2"/>
  <c r="J709" i="2"/>
  <c r="J711" i="2"/>
  <c r="J721" i="2"/>
  <c r="J723" i="2"/>
  <c r="J727" i="2"/>
  <c r="J739" i="2"/>
  <c r="J745" i="2"/>
  <c r="J747" i="2"/>
  <c r="J755" i="2"/>
  <c r="J759" i="2"/>
  <c r="J763" i="2"/>
  <c r="J771" i="2"/>
  <c r="J775" i="2"/>
  <c r="J779" i="2"/>
  <c r="J791" i="2"/>
  <c r="J803" i="2"/>
  <c r="J813" i="2"/>
  <c r="J14" i="2"/>
  <c r="J15" i="2"/>
  <c r="J18" i="2"/>
  <c r="J19" i="2"/>
  <c r="J22" i="2"/>
  <c r="J23" i="2"/>
  <c r="J26" i="2"/>
  <c r="J27" i="2"/>
  <c r="J30" i="2"/>
  <c r="J31" i="2"/>
  <c r="J34" i="2"/>
  <c r="J35" i="2"/>
  <c r="J38" i="2"/>
  <c r="J39" i="2"/>
  <c r="J42" i="2"/>
  <c r="J43" i="2"/>
  <c r="J46" i="2"/>
  <c r="J47" i="2"/>
  <c r="J50" i="2"/>
  <c r="J51" i="2"/>
  <c r="J54" i="2"/>
  <c r="J55" i="2"/>
  <c r="J58" i="2"/>
  <c r="J59" i="2"/>
  <c r="J62" i="2"/>
  <c r="J63" i="2"/>
  <c r="J66" i="2"/>
  <c r="J67" i="2"/>
  <c r="J70" i="2"/>
  <c r="J71" i="2"/>
  <c r="J74" i="2"/>
  <c r="J75" i="2"/>
  <c r="J78" i="2"/>
  <c r="J79" i="2"/>
  <c r="J82" i="2"/>
  <c r="J83" i="2"/>
  <c r="J86" i="2"/>
  <c r="J87" i="2"/>
  <c r="J90" i="2"/>
  <c r="J91" i="2"/>
  <c r="J94" i="2"/>
  <c r="J95" i="2"/>
  <c r="J98" i="2"/>
  <c r="J99" i="2"/>
  <c r="J102" i="2"/>
  <c r="J103" i="2"/>
  <c r="J106" i="2"/>
  <c r="J107" i="2"/>
  <c r="J110" i="2"/>
  <c r="J111" i="2"/>
  <c r="J114" i="2"/>
  <c r="J115" i="2"/>
  <c r="J117" i="2"/>
  <c r="J124" i="2"/>
  <c r="J125" i="2"/>
  <c r="J128" i="2"/>
  <c r="J133" i="2"/>
  <c r="J136" i="2"/>
  <c r="J141" i="2"/>
  <c r="J144" i="2"/>
  <c r="J148" i="2"/>
  <c r="J149" i="2"/>
  <c r="J156" i="2"/>
  <c r="J157" i="2"/>
  <c r="J160" i="2"/>
  <c r="J165" i="2"/>
  <c r="J168" i="2"/>
  <c r="J172" i="2"/>
  <c r="J173" i="2"/>
  <c r="J180" i="2"/>
  <c r="J181" i="2"/>
  <c r="J188" i="2"/>
  <c r="J189" i="2"/>
  <c r="J192" i="2"/>
  <c r="J197" i="2"/>
  <c r="J200" i="2"/>
  <c r="J205" i="2"/>
  <c r="J208" i="2"/>
  <c r="J212" i="2"/>
  <c r="J213" i="2"/>
  <c r="J220" i="2"/>
  <c r="J221" i="2"/>
  <c r="J224" i="2"/>
  <c r="J229" i="2"/>
  <c r="J232" i="2"/>
  <c r="J236" i="2"/>
  <c r="J237" i="2"/>
  <c r="J244" i="2"/>
  <c r="J245" i="2"/>
  <c r="J252" i="2"/>
  <c r="J253" i="2"/>
  <c r="J256" i="2"/>
  <c r="J261" i="2"/>
  <c r="J264" i="2"/>
  <c r="J269" i="2"/>
  <c r="J272" i="2"/>
  <c r="J276" i="2"/>
  <c r="J277" i="2"/>
  <c r="J284" i="2"/>
  <c r="J285" i="2"/>
  <c r="J288" i="2"/>
  <c r="J293" i="2"/>
  <c r="J296" i="2"/>
  <c r="J300" i="2"/>
  <c r="J301" i="2"/>
  <c r="J308" i="2"/>
  <c r="J309" i="2"/>
  <c r="J316" i="2"/>
  <c r="J317" i="2"/>
  <c r="J320" i="2"/>
  <c r="J325" i="2"/>
  <c r="J328" i="2"/>
  <c r="J333" i="2"/>
  <c r="J336" i="2"/>
  <c r="J340" i="2"/>
  <c r="J341" i="2"/>
  <c r="J348" i="2"/>
  <c r="J349" i="2"/>
  <c r="J352" i="2"/>
  <c r="J357" i="2"/>
  <c r="J360" i="2"/>
  <c r="J364" i="2"/>
  <c r="J365" i="2"/>
  <c r="J372" i="2"/>
  <c r="J373" i="2"/>
  <c r="J380" i="2"/>
  <c r="J381" i="2"/>
  <c r="J384" i="2"/>
  <c r="J389" i="2"/>
  <c r="J392" i="2"/>
  <c r="J397" i="2"/>
  <c r="J400" i="2"/>
  <c r="J404" i="2"/>
  <c r="J405" i="2"/>
  <c r="J412" i="2"/>
  <c r="J413" i="2"/>
  <c r="J416" i="2"/>
  <c r="J421" i="2"/>
  <c r="J423" i="2"/>
  <c r="J425" i="2"/>
  <c r="J429" i="2"/>
  <c r="J433" i="2"/>
  <c r="J436" i="2"/>
  <c r="J437" i="2"/>
  <c r="J440" i="2"/>
  <c r="J441" i="2"/>
  <c r="J444" i="2"/>
  <c r="J449" i="2"/>
  <c r="J452" i="2"/>
  <c r="J457" i="2"/>
  <c r="J459" i="2"/>
  <c r="J461" i="2"/>
  <c r="J463" i="2"/>
  <c r="J468" i="2"/>
  <c r="J469" i="2"/>
  <c r="J471" i="2"/>
  <c r="J473" i="2"/>
  <c r="J475" i="2"/>
  <c r="J476" i="2"/>
  <c r="J479" i="2"/>
  <c r="J481" i="2"/>
  <c r="J485" i="2"/>
  <c r="J487" i="2"/>
  <c r="J491" i="2"/>
  <c r="J493" i="2"/>
  <c r="J497" i="2"/>
  <c r="J500" i="2"/>
  <c r="J501" i="2"/>
  <c r="J505" i="2"/>
  <c r="J508" i="2"/>
  <c r="J509" i="2"/>
  <c r="J511" i="2"/>
  <c r="J512" i="2"/>
  <c r="J513" i="2"/>
  <c r="J516" i="2"/>
  <c r="J517" i="2"/>
  <c r="J520" i="2"/>
  <c r="J521" i="2"/>
  <c r="J524" i="2"/>
  <c r="J525" i="2"/>
  <c r="J527" i="2"/>
  <c r="J528" i="2"/>
  <c r="J529" i="2"/>
  <c r="J533" i="2"/>
  <c r="J536" i="2"/>
  <c r="J537" i="2"/>
  <c r="J539" i="2"/>
  <c r="J541" i="2"/>
  <c r="J544" i="2"/>
  <c r="J545" i="2"/>
  <c r="J549" i="2"/>
  <c r="J551" i="2"/>
  <c r="J553" i="2"/>
  <c r="J557" i="2"/>
  <c r="J561" i="2"/>
  <c r="J564" i="2"/>
  <c r="J565" i="2"/>
  <c r="J567" i="2"/>
  <c r="J568" i="2"/>
  <c r="J569" i="2"/>
  <c r="J573" i="2"/>
  <c r="J576" i="2"/>
  <c r="J577" i="2"/>
  <c r="J581" i="2"/>
  <c r="J584" i="2"/>
  <c r="J585" i="2"/>
  <c r="J587" i="2"/>
  <c r="J589" i="2"/>
  <c r="J592" i="2"/>
  <c r="J593" i="2"/>
  <c r="J597" i="2"/>
  <c r="J599" i="2"/>
  <c r="J600" i="2"/>
  <c r="J601" i="2"/>
  <c r="J605" i="2"/>
  <c r="J607" i="2"/>
  <c r="J609" i="2"/>
  <c r="J613" i="2"/>
  <c r="J617" i="2"/>
  <c r="J619" i="2"/>
  <c r="J621" i="2"/>
  <c r="J624" i="2"/>
  <c r="J625" i="2"/>
  <c r="J629" i="2"/>
  <c r="J631" i="2"/>
  <c r="J632" i="2"/>
  <c r="J633" i="2"/>
  <c r="J637" i="2"/>
  <c r="J639" i="2"/>
  <c r="J640" i="2"/>
  <c r="J641" i="2"/>
  <c r="J644" i="2"/>
  <c r="J645" i="2"/>
  <c r="J648" i="2"/>
  <c r="J649" i="2"/>
  <c r="J651" i="2"/>
  <c r="J652" i="2"/>
  <c r="J653" i="2"/>
  <c r="J657" i="2"/>
  <c r="J660" i="2"/>
  <c r="J661" i="2"/>
  <c r="J663" i="2"/>
  <c r="J665" i="2"/>
  <c r="J668" i="2"/>
  <c r="J669" i="2"/>
  <c r="J673" i="2"/>
  <c r="J676" i="2"/>
  <c r="J677" i="2"/>
  <c r="J679" i="2"/>
  <c r="J680" i="2"/>
  <c r="J681" i="2"/>
  <c r="J685" i="2"/>
  <c r="J692" i="2"/>
  <c r="J693" i="2"/>
  <c r="J695" i="2"/>
  <c r="J697" i="2"/>
  <c r="J701" i="2"/>
  <c r="J704" i="2"/>
  <c r="J705" i="2"/>
  <c r="J712" i="2"/>
  <c r="J713" i="2"/>
  <c r="J715" i="2"/>
  <c r="J717" i="2"/>
  <c r="J720" i="2"/>
  <c r="J724" i="2"/>
  <c r="J725" i="2"/>
  <c r="J729" i="2"/>
  <c r="J731" i="2"/>
  <c r="J735" i="2"/>
  <c r="J737" i="2"/>
  <c r="J741" i="2"/>
  <c r="J743" i="2"/>
  <c r="J749" i="2"/>
  <c r="J752" i="2"/>
  <c r="J753" i="2"/>
  <c r="J757" i="2"/>
  <c r="J760" i="2"/>
  <c r="J761" i="2"/>
  <c r="J767" i="2"/>
  <c r="J769" i="2"/>
  <c r="J773" i="2"/>
  <c r="J776" i="2"/>
  <c r="J777" i="2"/>
  <c r="J781" i="2"/>
  <c r="J783" i="2"/>
  <c r="J784" i="2"/>
  <c r="J785" i="2"/>
  <c r="J788" i="2"/>
  <c r="J789" i="2"/>
  <c r="J792" i="2"/>
  <c r="J793" i="2"/>
  <c r="J795" i="2"/>
  <c r="J796" i="2"/>
  <c r="J797" i="2"/>
  <c r="J799" i="2"/>
  <c r="J800" i="2"/>
  <c r="J804" i="2"/>
  <c r="J805" i="2"/>
  <c r="J807" i="2"/>
  <c r="J808" i="2"/>
  <c r="J809" i="2"/>
  <c r="J812" i="2"/>
  <c r="T16" i="13" l="1"/>
  <c r="T35" i="13"/>
  <c r="T38" i="13"/>
  <c r="AN37" i="13"/>
  <c r="AN34" i="13"/>
  <c r="V39" i="13"/>
  <c r="AL38" i="13"/>
  <c r="AL37" i="13"/>
  <c r="V36" i="13"/>
  <c r="V35" i="13"/>
  <c r="V27" i="13"/>
  <c r="V15" i="13"/>
  <c r="V7" i="13"/>
  <c r="AQ10" i="13"/>
  <c r="AR38" i="13"/>
  <c r="AB38" i="13"/>
  <c r="AB36" i="13"/>
  <c r="AR35" i="13"/>
  <c r="AB25" i="13"/>
  <c r="AB19" i="13"/>
  <c r="AB15" i="13"/>
  <c r="AB11" i="13"/>
  <c r="Z37" i="13"/>
  <c r="AB33" i="13"/>
  <c r="AB32" i="13"/>
  <c r="AB28" i="13"/>
  <c r="AB27" i="13"/>
  <c r="AB23" i="13"/>
  <c r="AB22" i="13"/>
  <c r="AB20" i="13"/>
  <c r="AB18" i="13"/>
  <c r="AB16" i="13"/>
  <c r="AR15" i="13"/>
  <c r="AB12" i="13"/>
  <c r="AB10" i="13"/>
  <c r="AB6" i="13"/>
  <c r="AE7" i="13"/>
  <c r="AE8" i="13" s="1"/>
  <c r="AE9" i="13" s="1"/>
  <c r="Z32" i="13"/>
  <c r="Z13" i="13"/>
  <c r="Z10" i="13"/>
  <c r="Z8" i="13"/>
  <c r="AI10" i="13"/>
  <c r="AM10" i="13"/>
  <c r="AN21" i="13"/>
  <c r="AN16" i="13"/>
  <c r="AN13" i="13"/>
  <c r="AN6" i="13"/>
  <c r="V34" i="13"/>
  <c r="AD33" i="13"/>
  <c r="V32" i="13"/>
  <c r="AD31" i="13"/>
  <c r="V29" i="13"/>
  <c r="V26" i="13"/>
  <c r="V24" i="13"/>
  <c r="V22" i="13"/>
  <c r="AD21" i="13"/>
  <c r="V20" i="13"/>
  <c r="AL19" i="13"/>
  <c r="V17" i="13"/>
  <c r="AD14" i="13"/>
  <c r="V14" i="13"/>
  <c r="V13" i="13"/>
  <c r="AD12" i="13"/>
  <c r="V12" i="13"/>
  <c r="V10" i="13"/>
  <c r="AD9" i="13"/>
  <c r="V9" i="13"/>
  <c r="V8" i="13"/>
  <c r="AD7" i="13"/>
  <c r="AE10" i="13"/>
  <c r="AC10" i="13"/>
  <c r="AC7" i="13" s="1"/>
  <c r="AC8" i="13" s="1"/>
  <c r="AC9" i="13" s="1"/>
  <c r="AA10" i="13"/>
  <c r="AA7" i="13" s="1"/>
  <c r="AA8" i="13" s="1"/>
  <c r="AA9" i="13" s="1"/>
  <c r="Y10" i="13"/>
  <c r="Y7" i="13" s="1"/>
  <c r="Y8" i="13" s="1"/>
  <c r="Y9" i="13" s="1"/>
  <c r="V6" i="13"/>
  <c r="W10" i="13"/>
  <c r="W7" i="13" s="1"/>
  <c r="W8" i="13" s="1"/>
  <c r="W9" i="13" s="1"/>
  <c r="AG10" i="13"/>
  <c r="AG7" i="13" s="1"/>
  <c r="AG8" i="13" s="1"/>
  <c r="AK10" i="13"/>
  <c r="AK7" i="13" s="1"/>
  <c r="AK8" i="13" s="1"/>
  <c r="AO10" i="13"/>
  <c r="AS10" i="13"/>
  <c r="AI7" i="13"/>
  <c r="AI8" i="13" s="1"/>
  <c r="AI9" i="13" s="1"/>
  <c r="AM7" i="13"/>
  <c r="AM8" i="13" s="1"/>
  <c r="AM9" i="13" s="1"/>
  <c r="AO7" i="13"/>
  <c r="AO8" i="13" s="1"/>
  <c r="AO9" i="13" s="1"/>
  <c r="AQ7" i="13"/>
  <c r="AQ8" i="13" s="1"/>
  <c r="AQ9" i="13" s="1"/>
  <c r="AS7" i="13"/>
  <c r="AS8" i="13" s="1"/>
  <c r="AS9" i="13" s="1"/>
  <c r="L780" i="2"/>
  <c r="J780" i="2"/>
  <c r="L772" i="2"/>
  <c r="J772" i="2"/>
  <c r="L764" i="2"/>
  <c r="J764" i="2"/>
  <c r="L756" i="2"/>
  <c r="J756" i="2"/>
  <c r="L748" i="2"/>
  <c r="J748" i="2"/>
  <c r="L740" i="2"/>
  <c r="J740" i="2"/>
  <c r="L732" i="2"/>
  <c r="J732" i="2"/>
  <c r="L716" i="2"/>
  <c r="J716" i="2"/>
  <c r="L708" i="2"/>
  <c r="J708" i="2"/>
  <c r="L700" i="2"/>
  <c r="J700" i="2"/>
  <c r="L684" i="2"/>
  <c r="J684" i="2"/>
  <c r="L656" i="2"/>
  <c r="J656" i="2"/>
  <c r="L636" i="2"/>
  <c r="J636" i="2"/>
  <c r="L616" i="2"/>
  <c r="J616" i="2"/>
  <c r="L608" i="2"/>
  <c r="J608" i="2"/>
  <c r="L596" i="2"/>
  <c r="J596" i="2"/>
  <c r="L588" i="2"/>
  <c r="J588" i="2"/>
  <c r="L560" i="2"/>
  <c r="J560" i="2"/>
  <c r="L552" i="2"/>
  <c r="J552" i="2"/>
  <c r="L532" i="2"/>
  <c r="J532" i="2"/>
  <c r="L504" i="2"/>
  <c r="J504" i="2"/>
  <c r="L496" i="2"/>
  <c r="J496" i="2"/>
  <c r="L488" i="2"/>
  <c r="J488" i="2"/>
  <c r="L484" i="2"/>
  <c r="J484" i="2"/>
  <c r="L480" i="2"/>
  <c r="J480" i="2"/>
  <c r="L472" i="2"/>
  <c r="J472" i="2"/>
  <c r="L464" i="2"/>
  <c r="J464" i="2"/>
  <c r="L460" i="2"/>
  <c r="J460" i="2"/>
  <c r="L448" i="2"/>
  <c r="J448" i="2"/>
  <c r="L432" i="2"/>
  <c r="J432" i="2"/>
  <c r="L428" i="2"/>
  <c r="J428" i="2"/>
  <c r="L424" i="2"/>
  <c r="J424" i="2"/>
  <c r="L420" i="2"/>
  <c r="J420" i="2"/>
  <c r="L408" i="2"/>
  <c r="J408" i="2"/>
  <c r="L388" i="2"/>
  <c r="J388" i="2"/>
  <c r="L376" i="2"/>
  <c r="J376" i="2"/>
  <c r="L356" i="2"/>
  <c r="J356" i="2"/>
  <c r="L344" i="2"/>
  <c r="J344" i="2"/>
  <c r="L324" i="2"/>
  <c r="J324" i="2"/>
  <c r="L312" i="2"/>
  <c r="J312" i="2"/>
  <c r="L292" i="2"/>
  <c r="J292" i="2"/>
  <c r="L280" i="2"/>
  <c r="J280" i="2"/>
  <c r="L260" i="2"/>
  <c r="J260" i="2"/>
  <c r="L248" i="2"/>
  <c r="J248" i="2"/>
  <c r="L228" i="2"/>
  <c r="J228" i="2"/>
  <c r="L216" i="2"/>
  <c r="J216" i="2"/>
  <c r="L196" i="2"/>
  <c r="J196" i="2"/>
  <c r="L184" i="2"/>
  <c r="J184" i="2"/>
  <c r="L164" i="2"/>
  <c r="J164" i="2"/>
  <c r="L152" i="2"/>
  <c r="J152" i="2"/>
  <c r="L132" i="2"/>
  <c r="J132" i="2"/>
  <c r="L120" i="2"/>
  <c r="J120" i="2"/>
  <c r="L8" i="2"/>
  <c r="J768" i="2"/>
  <c r="J744" i="2"/>
  <c r="J736" i="2"/>
  <c r="J728" i="2"/>
  <c r="J696" i="2"/>
  <c r="J688" i="2"/>
  <c r="J672" i="2"/>
  <c r="J664" i="2"/>
  <c r="J628" i="2"/>
  <c r="J620" i="2"/>
  <c r="J612" i="2"/>
  <c r="J604" i="2"/>
  <c r="J580" i="2"/>
  <c r="J572" i="2"/>
  <c r="J556" i="2"/>
  <c r="J548" i="2"/>
  <c r="J540" i="2"/>
  <c r="J492" i="2"/>
  <c r="J456" i="2"/>
  <c r="J396" i="2"/>
  <c r="J368" i="2"/>
  <c r="J332" i="2"/>
  <c r="J304" i="2"/>
  <c r="J268" i="2"/>
  <c r="J240" i="2"/>
  <c r="J204" i="2"/>
  <c r="J176" i="2"/>
  <c r="J140" i="2"/>
  <c r="L465" i="2"/>
  <c r="L453" i="2"/>
  <c r="L643" i="2"/>
  <c r="J643" i="2"/>
  <c r="L547" i="2"/>
  <c r="J547" i="2"/>
  <c r="L403" i="2"/>
  <c r="J403" i="2"/>
  <c r="L339" i="2"/>
  <c r="J339" i="2"/>
  <c r="L275" i="2"/>
  <c r="J275" i="2"/>
  <c r="L211" i="2"/>
  <c r="J211" i="2"/>
  <c r="L147" i="2"/>
  <c r="J147" i="2"/>
  <c r="L489" i="2"/>
  <c r="J489" i="2"/>
  <c r="L409" i="2"/>
  <c r="J409" i="2"/>
  <c r="L393" i="2"/>
  <c r="J393" i="2"/>
  <c r="L377" i="2"/>
  <c r="J377" i="2"/>
  <c r="L361" i="2"/>
  <c r="J361" i="2"/>
  <c r="L345" i="2"/>
  <c r="J345" i="2"/>
  <c r="L329" i="2"/>
  <c r="J329" i="2"/>
  <c r="L313" i="2"/>
  <c r="J313" i="2"/>
  <c r="L297" i="2"/>
  <c r="J297" i="2"/>
  <c r="L281" i="2"/>
  <c r="J281" i="2"/>
  <c r="L265" i="2"/>
  <c r="J265" i="2"/>
  <c r="L249" i="2"/>
  <c r="J249" i="2"/>
  <c r="L233" i="2"/>
  <c r="J233" i="2"/>
  <c r="L217" i="2"/>
  <c r="J217" i="2"/>
  <c r="L201" i="2"/>
  <c r="J201" i="2"/>
  <c r="L185" i="2"/>
  <c r="J185" i="2"/>
  <c r="L169" i="2"/>
  <c r="J169" i="2"/>
  <c r="L153" i="2"/>
  <c r="J153" i="2"/>
  <c r="L137" i="2"/>
  <c r="J137" i="2"/>
  <c r="L121" i="2"/>
  <c r="J121" i="2"/>
  <c r="L57" i="2"/>
  <c r="J57" i="2"/>
  <c r="N7" i="2"/>
  <c r="N11" i="2"/>
  <c r="N15" i="2"/>
  <c r="N19" i="2"/>
  <c r="N23" i="2"/>
  <c r="N27" i="2"/>
  <c r="N31" i="2"/>
  <c r="N35" i="2"/>
  <c r="N39" i="2"/>
  <c r="N43" i="2"/>
  <c r="N47" i="2"/>
  <c r="N51" i="2"/>
  <c r="N55" i="2"/>
  <c r="N59" i="2"/>
  <c r="N63" i="2"/>
  <c r="N67" i="2"/>
  <c r="N71" i="2"/>
  <c r="N75" i="2"/>
  <c r="N79" i="2"/>
  <c r="N83" i="2"/>
  <c r="N87" i="2"/>
  <c r="N91" i="2"/>
  <c r="N95" i="2"/>
  <c r="N99" i="2"/>
  <c r="N103" i="2"/>
  <c r="N107" i="2"/>
  <c r="N111" i="2"/>
  <c r="N115" i="2"/>
  <c r="N119" i="2"/>
  <c r="N123" i="2"/>
  <c r="N127" i="2"/>
  <c r="N131" i="2"/>
  <c r="N135" i="2"/>
  <c r="N139" i="2"/>
  <c r="N143" i="2"/>
  <c r="N147" i="2"/>
  <c r="N151" i="2"/>
  <c r="N155" i="2"/>
  <c r="N159" i="2"/>
  <c r="N9" i="2"/>
  <c r="N13" i="2"/>
  <c r="N17" i="2"/>
  <c r="N21" i="2"/>
  <c r="N25" i="2"/>
  <c r="N29" i="2"/>
  <c r="N33" i="2"/>
  <c r="N37" i="2"/>
  <c r="N41" i="2"/>
  <c r="N45" i="2"/>
  <c r="N49" i="2"/>
  <c r="N53" i="2"/>
  <c r="N57" i="2"/>
  <c r="N61" i="2"/>
  <c r="N65" i="2"/>
  <c r="N69" i="2"/>
  <c r="N73" i="2"/>
  <c r="N77" i="2"/>
  <c r="N81" i="2"/>
  <c r="N85" i="2"/>
  <c r="N89" i="2"/>
  <c r="N93" i="2"/>
  <c r="N97" i="2"/>
  <c r="N101" i="2"/>
  <c r="N105" i="2"/>
  <c r="N109" i="2"/>
  <c r="N113" i="2"/>
  <c r="N117" i="2"/>
  <c r="N121" i="2"/>
  <c r="N125" i="2"/>
  <c r="N129" i="2"/>
  <c r="N133" i="2"/>
  <c r="N137" i="2"/>
  <c r="N141" i="2"/>
  <c r="N145" i="2"/>
  <c r="N149" i="2"/>
  <c r="N153" i="2"/>
  <c r="N6" i="2"/>
  <c r="N10" i="2"/>
  <c r="N14" i="2"/>
  <c r="N18" i="2"/>
  <c r="N22" i="2"/>
  <c r="N26" i="2"/>
  <c r="N30" i="2"/>
  <c r="N34" i="2"/>
  <c r="N38" i="2"/>
  <c r="N42" i="2"/>
  <c r="N46" i="2"/>
  <c r="N50" i="2"/>
  <c r="N54" i="2"/>
  <c r="N58" i="2"/>
  <c r="N62" i="2"/>
  <c r="N66" i="2"/>
  <c r="N70" i="2"/>
  <c r="N74" i="2"/>
  <c r="N78" i="2"/>
  <c r="N82" i="2"/>
  <c r="N86" i="2"/>
  <c r="N90" i="2"/>
  <c r="N94" i="2"/>
  <c r="N98" i="2"/>
  <c r="N102" i="2"/>
  <c r="N106" i="2"/>
  <c r="N110" i="2"/>
  <c r="N114" i="2"/>
  <c r="N118" i="2"/>
  <c r="N122" i="2"/>
  <c r="N126" i="2"/>
  <c r="N130" i="2"/>
  <c r="N134" i="2"/>
  <c r="N138" i="2"/>
  <c r="N142" i="2"/>
  <c r="N146" i="2"/>
  <c r="N16" i="2"/>
  <c r="N32" i="2"/>
  <c r="N48" i="2"/>
  <c r="N64" i="2"/>
  <c r="N80" i="2"/>
  <c r="N96" i="2"/>
  <c r="N112" i="2"/>
  <c r="N128" i="2"/>
  <c r="N144" i="2"/>
  <c r="N154" i="2"/>
  <c r="N160" i="2"/>
  <c r="N164" i="2"/>
  <c r="N168" i="2"/>
  <c r="N172" i="2"/>
  <c r="N176" i="2"/>
  <c r="N180" i="2"/>
  <c r="N184" i="2"/>
  <c r="N188" i="2"/>
  <c r="N192" i="2"/>
  <c r="N196" i="2"/>
  <c r="N200" i="2"/>
  <c r="N204" i="2"/>
  <c r="N208" i="2"/>
  <c r="N212" i="2"/>
  <c r="N216" i="2"/>
  <c r="N220" i="2"/>
  <c r="N224" i="2"/>
  <c r="N228" i="2"/>
  <c r="N232" i="2"/>
  <c r="N236" i="2"/>
  <c r="N240" i="2"/>
  <c r="N244" i="2"/>
  <c r="N248" i="2"/>
  <c r="N252" i="2"/>
  <c r="N256" i="2"/>
  <c r="N260" i="2"/>
  <c r="N264" i="2"/>
  <c r="N268" i="2"/>
  <c r="N272" i="2"/>
  <c r="N276" i="2"/>
  <c r="N280" i="2"/>
  <c r="N284" i="2"/>
  <c r="N288" i="2"/>
  <c r="N292" i="2"/>
  <c r="N296" i="2"/>
  <c r="N300" i="2"/>
  <c r="N304" i="2"/>
  <c r="N308" i="2"/>
  <c r="N312" i="2"/>
  <c r="N316" i="2"/>
  <c r="N320" i="2"/>
  <c r="N324" i="2"/>
  <c r="N328" i="2"/>
  <c r="N332" i="2"/>
  <c r="N336" i="2"/>
  <c r="N340" i="2"/>
  <c r="N344" i="2"/>
  <c r="N348" i="2"/>
  <c r="N352" i="2"/>
  <c r="N356" i="2"/>
  <c r="N360" i="2"/>
  <c r="N364" i="2"/>
  <c r="N368" i="2"/>
  <c r="N372" i="2"/>
  <c r="N376" i="2"/>
  <c r="N380" i="2"/>
  <c r="N384" i="2"/>
  <c r="N388" i="2"/>
  <c r="N392" i="2"/>
  <c r="N396" i="2"/>
  <c r="N400" i="2"/>
  <c r="N404" i="2"/>
  <c r="N408" i="2"/>
  <c r="N412" i="2"/>
  <c r="N416" i="2"/>
  <c r="N420" i="2"/>
  <c r="N424" i="2"/>
  <c r="N428" i="2"/>
  <c r="N432" i="2"/>
  <c r="N436" i="2"/>
  <c r="N440" i="2"/>
  <c r="N444" i="2"/>
  <c r="N448" i="2"/>
  <c r="N452" i="2"/>
  <c r="N456" i="2"/>
  <c r="N460" i="2"/>
  <c r="N464" i="2"/>
  <c r="N468" i="2"/>
  <c r="N472" i="2"/>
  <c r="N476" i="2"/>
  <c r="N480" i="2"/>
  <c r="N484" i="2"/>
  <c r="N488" i="2"/>
  <c r="N492" i="2"/>
  <c r="N496" i="2"/>
  <c r="N500" i="2"/>
  <c r="N504" i="2"/>
  <c r="N508" i="2"/>
  <c r="N512" i="2"/>
  <c r="N516" i="2"/>
  <c r="N520" i="2"/>
  <c r="N524" i="2"/>
  <c r="N528" i="2"/>
  <c r="N532" i="2"/>
  <c r="N536" i="2"/>
  <c r="N540" i="2"/>
  <c r="N544" i="2"/>
  <c r="N548" i="2"/>
  <c r="N552" i="2"/>
  <c r="N556" i="2"/>
  <c r="N560" i="2"/>
  <c r="N564" i="2"/>
  <c r="N568" i="2"/>
  <c r="N572" i="2"/>
  <c r="N576" i="2"/>
  <c r="N580" i="2"/>
  <c r="N584" i="2"/>
  <c r="N588" i="2"/>
  <c r="N592" i="2"/>
  <c r="N596" i="2"/>
  <c r="N600" i="2"/>
  <c r="N604" i="2"/>
  <c r="N608" i="2"/>
  <c r="N612" i="2"/>
  <c r="N616" i="2"/>
  <c r="N620" i="2"/>
  <c r="N624" i="2"/>
  <c r="N628" i="2"/>
  <c r="N632" i="2"/>
  <c r="N636" i="2"/>
  <c r="N640" i="2"/>
  <c r="N644" i="2"/>
  <c r="N648" i="2"/>
  <c r="N652" i="2"/>
  <c r="N656" i="2"/>
  <c r="N660" i="2"/>
  <c r="N664" i="2"/>
  <c r="N668" i="2"/>
  <c r="N672" i="2"/>
  <c r="N676" i="2"/>
  <c r="N680" i="2"/>
  <c r="N684" i="2"/>
  <c r="N688" i="2"/>
  <c r="N692" i="2"/>
  <c r="N696" i="2"/>
  <c r="N700" i="2"/>
  <c r="N704" i="2"/>
  <c r="N708" i="2"/>
  <c r="N712" i="2"/>
  <c r="N716" i="2"/>
  <c r="N720" i="2"/>
  <c r="N724" i="2"/>
  <c r="N728" i="2"/>
  <c r="N732" i="2"/>
  <c r="N736" i="2"/>
  <c r="N740" i="2"/>
  <c r="N744" i="2"/>
  <c r="N748" i="2"/>
  <c r="N752" i="2"/>
  <c r="N756" i="2"/>
  <c r="N760" i="2"/>
  <c r="N764" i="2"/>
  <c r="N768" i="2"/>
  <c r="N772" i="2"/>
  <c r="N776" i="2"/>
  <c r="N780" i="2"/>
  <c r="N784" i="2"/>
  <c r="N788" i="2"/>
  <c r="N792" i="2"/>
  <c r="N796" i="2"/>
  <c r="N800" i="2"/>
  <c r="N804" i="2"/>
  <c r="N808" i="2"/>
  <c r="N812" i="2"/>
  <c r="M6" i="2"/>
  <c r="O6" i="2" s="1"/>
  <c r="M10" i="2"/>
  <c r="O10" i="2" s="1"/>
  <c r="M14" i="2"/>
  <c r="O14" i="2" s="1"/>
  <c r="Q14" i="2" s="1"/>
  <c r="M18" i="2"/>
  <c r="O18" i="2" s="1"/>
  <c r="M22" i="2"/>
  <c r="O22" i="2" s="1"/>
  <c r="Q22" i="2" s="1"/>
  <c r="M26" i="2"/>
  <c r="O26" i="2" s="1"/>
  <c r="Q26" i="2" s="1"/>
  <c r="M30" i="2"/>
  <c r="O30" i="2" s="1"/>
  <c r="M34" i="2"/>
  <c r="O34" i="2" s="1"/>
  <c r="Q34" i="2" s="1"/>
  <c r="M38" i="2"/>
  <c r="O38" i="2" s="1"/>
  <c r="M42" i="2"/>
  <c r="O42" i="2" s="1"/>
  <c r="M46" i="2"/>
  <c r="O46" i="2" s="1"/>
  <c r="Q46" i="2" s="1"/>
  <c r="M50" i="2"/>
  <c r="O50" i="2" s="1"/>
  <c r="M54" i="2"/>
  <c r="O54" i="2" s="1"/>
  <c r="Q54" i="2" s="1"/>
  <c r="M58" i="2"/>
  <c r="O58" i="2" s="1"/>
  <c r="Q58" i="2" s="1"/>
  <c r="M62" i="2"/>
  <c r="O62" i="2" s="1"/>
  <c r="M66" i="2"/>
  <c r="O66" i="2" s="1"/>
  <c r="M70" i="2"/>
  <c r="O70" i="2" s="1"/>
  <c r="M74" i="2"/>
  <c r="O74" i="2" s="1"/>
  <c r="Q74" i="2" s="1"/>
  <c r="M78" i="2"/>
  <c r="O78" i="2" s="1"/>
  <c r="M82" i="2"/>
  <c r="O82" i="2" s="1"/>
  <c r="M86" i="2"/>
  <c r="O86" i="2" s="1"/>
  <c r="M90" i="2"/>
  <c r="O90" i="2" s="1"/>
  <c r="M94" i="2"/>
  <c r="O94" i="2" s="1"/>
  <c r="Q94" i="2" s="1"/>
  <c r="M98" i="2"/>
  <c r="O98" i="2" s="1"/>
  <c r="Q98" i="2" s="1"/>
  <c r="M102" i="2"/>
  <c r="O102" i="2" s="1"/>
  <c r="M106" i="2"/>
  <c r="O106" i="2" s="1"/>
  <c r="M110" i="2"/>
  <c r="O110" i="2" s="1"/>
  <c r="M114" i="2"/>
  <c r="O114" i="2" s="1"/>
  <c r="Q114" i="2" s="1"/>
  <c r="M118" i="2"/>
  <c r="O118" i="2" s="1"/>
  <c r="M122" i="2"/>
  <c r="O122" i="2" s="1"/>
  <c r="M126" i="2"/>
  <c r="O126" i="2" s="1"/>
  <c r="M130" i="2"/>
  <c r="O130" i="2" s="1"/>
  <c r="M134" i="2"/>
  <c r="O134" i="2" s="1"/>
  <c r="M138" i="2"/>
  <c r="O138" i="2" s="1"/>
  <c r="M142" i="2"/>
  <c r="O142" i="2" s="1"/>
  <c r="M146" i="2"/>
  <c r="O146" i="2" s="1"/>
  <c r="M150" i="2"/>
  <c r="O150" i="2" s="1"/>
  <c r="Q150" i="2" s="1"/>
  <c r="M154" i="2"/>
  <c r="O154" i="2" s="1"/>
  <c r="Q154" i="2" s="1"/>
  <c r="M158" i="2"/>
  <c r="O158" i="2" s="1"/>
  <c r="M162" i="2"/>
  <c r="O162" i="2" s="1"/>
  <c r="Q162" i="2" s="1"/>
  <c r="M166" i="2"/>
  <c r="O166" i="2" s="1"/>
  <c r="Q166" i="2" s="1"/>
  <c r="M170" i="2"/>
  <c r="O170" i="2" s="1"/>
  <c r="M174" i="2"/>
  <c r="O174" i="2" s="1"/>
  <c r="M178" i="2"/>
  <c r="O178" i="2" s="1"/>
  <c r="M182" i="2"/>
  <c r="O182" i="2" s="1"/>
  <c r="M186" i="2"/>
  <c r="O186" i="2" s="1"/>
  <c r="M190" i="2"/>
  <c r="O190" i="2" s="1"/>
  <c r="M194" i="2"/>
  <c r="O194" i="2" s="1"/>
  <c r="M198" i="2"/>
  <c r="O198" i="2" s="1"/>
  <c r="Q198" i="2" s="1"/>
  <c r="M202" i="2"/>
  <c r="O202" i="2" s="1"/>
  <c r="M206" i="2"/>
  <c r="O206" i="2" s="1"/>
  <c r="M210" i="2"/>
  <c r="O210" i="2" s="1"/>
  <c r="M214" i="2"/>
  <c r="O214" i="2" s="1"/>
  <c r="M218" i="2"/>
  <c r="O218" i="2" s="1"/>
  <c r="Q218" i="2" s="1"/>
  <c r="M222" i="2"/>
  <c r="O222" i="2" s="1"/>
  <c r="Q222" i="2" s="1"/>
  <c r="M226" i="2"/>
  <c r="O226" i="2" s="1"/>
  <c r="M230" i="2"/>
  <c r="O230" i="2" s="1"/>
  <c r="M234" i="2"/>
  <c r="O234" i="2" s="1"/>
  <c r="Q234" i="2" s="1"/>
  <c r="M238" i="2"/>
  <c r="O238" i="2" s="1"/>
  <c r="M242" i="2"/>
  <c r="O242" i="2" s="1"/>
  <c r="Q242" i="2" s="1"/>
  <c r="M246" i="2"/>
  <c r="O246" i="2" s="1"/>
  <c r="Q246" i="2" s="1"/>
  <c r="M250" i="2"/>
  <c r="O250" i="2" s="1"/>
  <c r="M254" i="2"/>
  <c r="O254" i="2" s="1"/>
  <c r="M258" i="2"/>
  <c r="O258" i="2" s="1"/>
  <c r="M262" i="2"/>
  <c r="O262" i="2" s="1"/>
  <c r="M266" i="2"/>
  <c r="O266" i="2" s="1"/>
  <c r="M270" i="2"/>
  <c r="O270" i="2" s="1"/>
  <c r="Q270" i="2" s="1"/>
  <c r="M274" i="2"/>
  <c r="O274" i="2" s="1"/>
  <c r="M278" i="2"/>
  <c r="O278" i="2" s="1"/>
  <c r="Q278" i="2" s="1"/>
  <c r="M282" i="2"/>
  <c r="O282" i="2" s="1"/>
  <c r="M286" i="2"/>
  <c r="O286" i="2" s="1"/>
  <c r="M290" i="2"/>
  <c r="O290" i="2" s="1"/>
  <c r="M294" i="2"/>
  <c r="O294" i="2" s="1"/>
  <c r="Q294" i="2" s="1"/>
  <c r="M298" i="2"/>
  <c r="O298" i="2" s="1"/>
  <c r="Q298" i="2" s="1"/>
  <c r="M302" i="2"/>
  <c r="O302" i="2" s="1"/>
  <c r="M306" i="2"/>
  <c r="O306" i="2" s="1"/>
  <c r="M310" i="2"/>
  <c r="O310" i="2" s="1"/>
  <c r="Q310" i="2" s="1"/>
  <c r="M314" i="2"/>
  <c r="O314" i="2" s="1"/>
  <c r="Q314" i="2" s="1"/>
  <c r="M318" i="2"/>
  <c r="O318" i="2" s="1"/>
  <c r="M322" i="2"/>
  <c r="O322" i="2" s="1"/>
  <c r="M326" i="2"/>
  <c r="O326" i="2" s="1"/>
  <c r="Q326" i="2" s="1"/>
  <c r="M330" i="2"/>
  <c r="O330" i="2" s="1"/>
  <c r="M334" i="2"/>
  <c r="O334" i="2" s="1"/>
  <c r="Q334" i="2" s="1"/>
  <c r="M338" i="2"/>
  <c r="O338" i="2" s="1"/>
  <c r="M342" i="2"/>
  <c r="O342" i="2" s="1"/>
  <c r="M346" i="2"/>
  <c r="O346" i="2" s="1"/>
  <c r="M350" i="2"/>
  <c r="O350" i="2" s="1"/>
  <c r="M354" i="2"/>
  <c r="O354" i="2" s="1"/>
  <c r="M358" i="2"/>
  <c r="O358" i="2" s="1"/>
  <c r="M362" i="2"/>
  <c r="O362" i="2" s="1"/>
  <c r="M366" i="2"/>
  <c r="O366" i="2" s="1"/>
  <c r="M370" i="2"/>
  <c r="O370" i="2" s="1"/>
  <c r="Q370" i="2" s="1"/>
  <c r="M374" i="2"/>
  <c r="O374" i="2" s="1"/>
  <c r="Q374" i="2" s="1"/>
  <c r="M378" i="2"/>
  <c r="O378" i="2" s="1"/>
  <c r="M382" i="2"/>
  <c r="O382" i="2" s="1"/>
  <c r="Q382" i="2" s="1"/>
  <c r="M386" i="2"/>
  <c r="O386" i="2" s="1"/>
  <c r="M390" i="2"/>
  <c r="O390" i="2" s="1"/>
  <c r="M394" i="2"/>
  <c r="O394" i="2" s="1"/>
  <c r="Q394" i="2" s="1"/>
  <c r="M398" i="2"/>
  <c r="O398" i="2" s="1"/>
  <c r="Q398" i="2" s="1"/>
  <c r="M402" i="2"/>
  <c r="O402" i="2" s="1"/>
  <c r="M406" i="2"/>
  <c r="O406" i="2" s="1"/>
  <c r="M410" i="2"/>
  <c r="O410" i="2" s="1"/>
  <c r="M414" i="2"/>
  <c r="O414" i="2" s="1"/>
  <c r="M418" i="2"/>
  <c r="O418" i="2" s="1"/>
  <c r="M422" i="2"/>
  <c r="O422" i="2" s="1"/>
  <c r="M426" i="2"/>
  <c r="O426" i="2" s="1"/>
  <c r="Q426" i="2" s="1"/>
  <c r="M430" i="2"/>
  <c r="O430" i="2" s="1"/>
  <c r="Q430" i="2" s="1"/>
  <c r="M434" i="2"/>
  <c r="O434" i="2" s="1"/>
  <c r="M438" i="2"/>
  <c r="O438" i="2" s="1"/>
  <c r="M442" i="2"/>
  <c r="O442" i="2" s="1"/>
  <c r="M446" i="2"/>
  <c r="O446" i="2" s="1"/>
  <c r="M450" i="2"/>
  <c r="O450" i="2" s="1"/>
  <c r="M454" i="2"/>
  <c r="O454" i="2" s="1"/>
  <c r="Q454" i="2" s="1"/>
  <c r="M458" i="2"/>
  <c r="O458" i="2" s="1"/>
  <c r="Q458" i="2" s="1"/>
  <c r="M462" i="2"/>
  <c r="O462" i="2" s="1"/>
  <c r="M466" i="2"/>
  <c r="O466" i="2" s="1"/>
  <c r="M470" i="2"/>
  <c r="O470" i="2" s="1"/>
  <c r="Q470" i="2" s="1"/>
  <c r="M474" i="2"/>
  <c r="O474" i="2" s="1"/>
  <c r="M478" i="2"/>
  <c r="O478" i="2" s="1"/>
  <c r="M482" i="2"/>
  <c r="O482" i="2" s="1"/>
  <c r="M486" i="2"/>
  <c r="O486" i="2" s="1"/>
  <c r="Q486" i="2" s="1"/>
  <c r="M490" i="2"/>
  <c r="O490" i="2" s="1"/>
  <c r="Q490" i="2" s="1"/>
  <c r="M494" i="2"/>
  <c r="O494" i="2" s="1"/>
  <c r="M498" i="2"/>
  <c r="O498" i="2" s="1"/>
  <c r="M502" i="2"/>
  <c r="O502" i="2" s="1"/>
  <c r="M506" i="2"/>
  <c r="O506" i="2" s="1"/>
  <c r="M510" i="2"/>
  <c r="O510" i="2" s="1"/>
  <c r="M514" i="2"/>
  <c r="O514" i="2" s="1"/>
  <c r="M518" i="2"/>
  <c r="O518" i="2" s="1"/>
  <c r="M522" i="2"/>
  <c r="O522" i="2" s="1"/>
  <c r="M526" i="2"/>
  <c r="O526" i="2" s="1"/>
  <c r="M530" i="2"/>
  <c r="O530" i="2" s="1"/>
  <c r="M534" i="2"/>
  <c r="O534" i="2" s="1"/>
  <c r="M538" i="2"/>
  <c r="O538" i="2" s="1"/>
  <c r="Q538" i="2" s="1"/>
  <c r="M542" i="2"/>
  <c r="O542" i="2" s="1"/>
  <c r="M546" i="2"/>
  <c r="O546" i="2" s="1"/>
  <c r="Q546" i="2" s="1"/>
  <c r="M550" i="2"/>
  <c r="O550" i="2" s="1"/>
  <c r="Q550" i="2" s="1"/>
  <c r="M554" i="2"/>
  <c r="O554" i="2" s="1"/>
  <c r="M558" i="2"/>
  <c r="O558" i="2" s="1"/>
  <c r="M562" i="2"/>
  <c r="O562" i="2" s="1"/>
  <c r="M566" i="2"/>
  <c r="O566" i="2" s="1"/>
  <c r="M570" i="2"/>
  <c r="O570" i="2" s="1"/>
  <c r="M574" i="2"/>
  <c r="O574" i="2" s="1"/>
  <c r="M578" i="2"/>
  <c r="O578" i="2" s="1"/>
  <c r="M582" i="2"/>
  <c r="O582" i="2" s="1"/>
  <c r="M586" i="2"/>
  <c r="O586" i="2" s="1"/>
  <c r="M590" i="2"/>
  <c r="O590" i="2" s="1"/>
  <c r="M594" i="2"/>
  <c r="O594" i="2" s="1"/>
  <c r="M598" i="2"/>
  <c r="O598" i="2" s="1"/>
  <c r="M602" i="2"/>
  <c r="O602" i="2" s="1"/>
  <c r="Q602" i="2" s="1"/>
  <c r="M606" i="2"/>
  <c r="O606" i="2" s="1"/>
  <c r="M610" i="2"/>
  <c r="O610" i="2" s="1"/>
  <c r="Q610" i="2" s="1"/>
  <c r="M614" i="2"/>
  <c r="O614" i="2" s="1"/>
  <c r="M618" i="2"/>
  <c r="O618" i="2" s="1"/>
  <c r="M622" i="2"/>
  <c r="O622" i="2" s="1"/>
  <c r="M626" i="2"/>
  <c r="O626" i="2" s="1"/>
  <c r="M630" i="2"/>
  <c r="O630" i="2" s="1"/>
  <c r="M634" i="2"/>
  <c r="O634" i="2" s="1"/>
  <c r="Q634" i="2" s="1"/>
  <c r="M638" i="2"/>
  <c r="O638" i="2" s="1"/>
  <c r="M642" i="2"/>
  <c r="O642" i="2" s="1"/>
  <c r="Q642" i="2" s="1"/>
  <c r="M646" i="2"/>
  <c r="O646" i="2" s="1"/>
  <c r="Q646" i="2" s="1"/>
  <c r="M650" i="2"/>
  <c r="O650" i="2" s="1"/>
  <c r="M654" i="2"/>
  <c r="O654" i="2" s="1"/>
  <c r="M658" i="2"/>
  <c r="O658" i="2" s="1"/>
  <c r="Q658" i="2" s="1"/>
  <c r="N20" i="2"/>
  <c r="N36" i="2"/>
  <c r="N52" i="2"/>
  <c r="N68" i="2"/>
  <c r="N84" i="2"/>
  <c r="N100" i="2"/>
  <c r="N116" i="2"/>
  <c r="N132" i="2"/>
  <c r="N148" i="2"/>
  <c r="N156" i="2"/>
  <c r="N161" i="2"/>
  <c r="N165" i="2"/>
  <c r="N169" i="2"/>
  <c r="N173" i="2"/>
  <c r="N177" i="2"/>
  <c r="N181" i="2"/>
  <c r="N185" i="2"/>
  <c r="N189" i="2"/>
  <c r="N193" i="2"/>
  <c r="N197" i="2"/>
  <c r="N201" i="2"/>
  <c r="N205" i="2"/>
  <c r="N209" i="2"/>
  <c r="N213" i="2"/>
  <c r="N217" i="2"/>
  <c r="N221" i="2"/>
  <c r="N225" i="2"/>
  <c r="N229" i="2"/>
  <c r="N233" i="2"/>
  <c r="N237" i="2"/>
  <c r="N241" i="2"/>
  <c r="N245" i="2"/>
  <c r="N249" i="2"/>
  <c r="N253" i="2"/>
  <c r="N257" i="2"/>
  <c r="N261" i="2"/>
  <c r="N265" i="2"/>
  <c r="N269" i="2"/>
  <c r="N273" i="2"/>
  <c r="N277" i="2"/>
  <c r="N281" i="2"/>
  <c r="N285" i="2"/>
  <c r="N289" i="2"/>
  <c r="N293" i="2"/>
  <c r="N297" i="2"/>
  <c r="N301" i="2"/>
  <c r="N305" i="2"/>
  <c r="N309" i="2"/>
  <c r="N313" i="2"/>
  <c r="N317" i="2"/>
  <c r="N321" i="2"/>
  <c r="N325" i="2"/>
  <c r="N329" i="2"/>
  <c r="N333" i="2"/>
  <c r="N337" i="2"/>
  <c r="N341" i="2"/>
  <c r="N345" i="2"/>
  <c r="N349" i="2"/>
  <c r="N353" i="2"/>
  <c r="N357" i="2"/>
  <c r="N361" i="2"/>
  <c r="N365" i="2"/>
  <c r="N369" i="2"/>
  <c r="N373" i="2"/>
  <c r="N377" i="2"/>
  <c r="N381" i="2"/>
  <c r="N385" i="2"/>
  <c r="N389" i="2"/>
  <c r="N393" i="2"/>
  <c r="N397" i="2"/>
  <c r="N401" i="2"/>
  <c r="N405" i="2"/>
  <c r="N409" i="2"/>
  <c r="N413" i="2"/>
  <c r="N417" i="2"/>
  <c r="N421" i="2"/>
  <c r="N425" i="2"/>
  <c r="N429" i="2"/>
  <c r="N433" i="2"/>
  <c r="N437" i="2"/>
  <c r="N441" i="2"/>
  <c r="N445" i="2"/>
  <c r="N449" i="2"/>
  <c r="N453" i="2"/>
  <c r="N457" i="2"/>
  <c r="N461" i="2"/>
  <c r="N465" i="2"/>
  <c r="N469" i="2"/>
  <c r="N473" i="2"/>
  <c r="N477" i="2"/>
  <c r="N481" i="2"/>
  <c r="N485" i="2"/>
  <c r="N489" i="2"/>
  <c r="N493" i="2"/>
  <c r="N497" i="2"/>
  <c r="N501" i="2"/>
  <c r="N505" i="2"/>
  <c r="N509" i="2"/>
  <c r="N513" i="2"/>
  <c r="N517" i="2"/>
  <c r="N521" i="2"/>
  <c r="N525" i="2"/>
  <c r="N529" i="2"/>
  <c r="N533" i="2"/>
  <c r="N537" i="2"/>
  <c r="N541" i="2"/>
  <c r="N545" i="2"/>
  <c r="N549" i="2"/>
  <c r="N553" i="2"/>
  <c r="N557" i="2"/>
  <c r="N561" i="2"/>
  <c r="N565" i="2"/>
  <c r="N569" i="2"/>
  <c r="N573" i="2"/>
  <c r="N577" i="2"/>
  <c r="N581" i="2"/>
  <c r="N585" i="2"/>
  <c r="N589" i="2"/>
  <c r="N593" i="2"/>
  <c r="N597" i="2"/>
  <c r="N601" i="2"/>
  <c r="N605" i="2"/>
  <c r="N609" i="2"/>
  <c r="N613" i="2"/>
  <c r="N617" i="2"/>
  <c r="N621" i="2"/>
  <c r="N625" i="2"/>
  <c r="N629" i="2"/>
  <c r="N633" i="2"/>
  <c r="N637" i="2"/>
  <c r="N641" i="2"/>
  <c r="N645" i="2"/>
  <c r="N649" i="2"/>
  <c r="N653" i="2"/>
  <c r="N657" i="2"/>
  <c r="N661" i="2"/>
  <c r="N665" i="2"/>
  <c r="N669" i="2"/>
  <c r="N673" i="2"/>
  <c r="N677" i="2"/>
  <c r="N681" i="2"/>
  <c r="N685" i="2"/>
  <c r="N689" i="2"/>
  <c r="N693" i="2"/>
  <c r="N697" i="2"/>
  <c r="N701" i="2"/>
  <c r="N705" i="2"/>
  <c r="N709" i="2"/>
  <c r="N713" i="2"/>
  <c r="N717" i="2"/>
  <c r="N721" i="2"/>
  <c r="N725" i="2"/>
  <c r="N729" i="2"/>
  <c r="N733" i="2"/>
  <c r="N737" i="2"/>
  <c r="N741" i="2"/>
  <c r="N745" i="2"/>
  <c r="N749" i="2"/>
  <c r="N753" i="2"/>
  <c r="N757" i="2"/>
  <c r="N761" i="2"/>
  <c r="N765" i="2"/>
  <c r="N769" i="2"/>
  <c r="N773" i="2"/>
  <c r="N777" i="2"/>
  <c r="N781" i="2"/>
  <c r="N785" i="2"/>
  <c r="N789" i="2"/>
  <c r="N793" i="2"/>
  <c r="N797" i="2"/>
  <c r="N801" i="2"/>
  <c r="N805" i="2"/>
  <c r="N809" i="2"/>
  <c r="N813" i="2"/>
  <c r="M7" i="2"/>
  <c r="O7" i="2" s="1"/>
  <c r="M11" i="2"/>
  <c r="O11" i="2" s="1"/>
  <c r="M15" i="2"/>
  <c r="O15" i="2" s="1"/>
  <c r="M19" i="2"/>
  <c r="O19" i="2" s="1"/>
  <c r="M23" i="2"/>
  <c r="O23" i="2" s="1"/>
  <c r="Q23" i="2" s="1"/>
  <c r="M27" i="2"/>
  <c r="O27" i="2" s="1"/>
  <c r="Q27" i="2" s="1"/>
  <c r="M31" i="2"/>
  <c r="O31" i="2" s="1"/>
  <c r="M35" i="2"/>
  <c r="O35" i="2" s="1"/>
  <c r="M39" i="2"/>
  <c r="O39" i="2" s="1"/>
  <c r="M43" i="2"/>
  <c r="O43" i="2" s="1"/>
  <c r="M47" i="2"/>
  <c r="O47" i="2" s="1"/>
  <c r="M51" i="2"/>
  <c r="O51" i="2" s="1"/>
  <c r="M55" i="2"/>
  <c r="O55" i="2" s="1"/>
  <c r="M59" i="2"/>
  <c r="O59" i="2" s="1"/>
  <c r="M63" i="2"/>
  <c r="O63" i="2" s="1"/>
  <c r="M67" i="2"/>
  <c r="O67" i="2" s="1"/>
  <c r="Q67" i="2" s="1"/>
  <c r="M71" i="2"/>
  <c r="O71" i="2" s="1"/>
  <c r="M75" i="2"/>
  <c r="O75" i="2" s="1"/>
  <c r="Q75" i="2" s="1"/>
  <c r="M79" i="2"/>
  <c r="O79" i="2" s="1"/>
  <c r="M83" i="2"/>
  <c r="O83" i="2" s="1"/>
  <c r="M87" i="2"/>
  <c r="O87" i="2" s="1"/>
  <c r="M91" i="2"/>
  <c r="O91" i="2" s="1"/>
  <c r="M95" i="2"/>
  <c r="O95" i="2" s="1"/>
  <c r="Q95" i="2" s="1"/>
  <c r="M99" i="2"/>
  <c r="O99" i="2" s="1"/>
  <c r="M103" i="2"/>
  <c r="O103" i="2" s="1"/>
  <c r="M107" i="2"/>
  <c r="O107" i="2" s="1"/>
  <c r="Q107" i="2" s="1"/>
  <c r="M111" i="2"/>
  <c r="O111" i="2" s="1"/>
  <c r="M115" i="2"/>
  <c r="O115" i="2" s="1"/>
  <c r="M119" i="2"/>
  <c r="O119" i="2" s="1"/>
  <c r="M123" i="2"/>
  <c r="O123" i="2" s="1"/>
  <c r="M127" i="2"/>
  <c r="O127" i="2" s="1"/>
  <c r="M131" i="2"/>
  <c r="O131" i="2" s="1"/>
  <c r="Q131" i="2" s="1"/>
  <c r="M135" i="2"/>
  <c r="O135" i="2" s="1"/>
  <c r="M139" i="2"/>
  <c r="O139" i="2" s="1"/>
  <c r="M143" i="2"/>
  <c r="O143" i="2" s="1"/>
  <c r="Q143" i="2" s="1"/>
  <c r="M147" i="2"/>
  <c r="O147" i="2" s="1"/>
  <c r="M151" i="2"/>
  <c r="O151" i="2" s="1"/>
  <c r="M155" i="2"/>
  <c r="O155" i="2" s="1"/>
  <c r="M159" i="2"/>
  <c r="O159" i="2" s="1"/>
  <c r="M163" i="2"/>
  <c r="O163" i="2" s="1"/>
  <c r="M167" i="2"/>
  <c r="O167" i="2" s="1"/>
  <c r="M171" i="2"/>
  <c r="O171" i="2" s="1"/>
  <c r="M175" i="2"/>
  <c r="O175" i="2" s="1"/>
  <c r="M179" i="2"/>
  <c r="O179" i="2" s="1"/>
  <c r="Q179" i="2" s="1"/>
  <c r="M183" i="2"/>
  <c r="O183" i="2" s="1"/>
  <c r="Q183" i="2" s="1"/>
  <c r="M187" i="2"/>
  <c r="O187" i="2" s="1"/>
  <c r="M191" i="2"/>
  <c r="O191" i="2" s="1"/>
  <c r="M195" i="2"/>
  <c r="O195" i="2" s="1"/>
  <c r="M199" i="2"/>
  <c r="O199" i="2" s="1"/>
  <c r="Q199" i="2" s="1"/>
  <c r="M203" i="2"/>
  <c r="O203" i="2" s="1"/>
  <c r="Q203" i="2" s="1"/>
  <c r="M207" i="2"/>
  <c r="O207" i="2" s="1"/>
  <c r="M211" i="2"/>
  <c r="O211" i="2" s="1"/>
  <c r="Q211" i="2" s="1"/>
  <c r="M215" i="2"/>
  <c r="O215" i="2" s="1"/>
  <c r="M219" i="2"/>
  <c r="O219" i="2" s="1"/>
  <c r="Q219" i="2" s="1"/>
  <c r="M223" i="2"/>
  <c r="O223" i="2" s="1"/>
  <c r="Q223" i="2" s="1"/>
  <c r="M227" i="2"/>
  <c r="O227" i="2" s="1"/>
  <c r="M231" i="2"/>
  <c r="O231" i="2" s="1"/>
  <c r="M235" i="2"/>
  <c r="O235" i="2" s="1"/>
  <c r="M239" i="2"/>
  <c r="O239" i="2" s="1"/>
  <c r="M243" i="2"/>
  <c r="O243" i="2" s="1"/>
  <c r="M247" i="2"/>
  <c r="O247" i="2" s="1"/>
  <c r="Q247" i="2" s="1"/>
  <c r="M251" i="2"/>
  <c r="O251" i="2" s="1"/>
  <c r="Q251" i="2" s="1"/>
  <c r="M255" i="2"/>
  <c r="O255" i="2" s="1"/>
  <c r="M259" i="2"/>
  <c r="O259" i="2" s="1"/>
  <c r="M263" i="2"/>
  <c r="O263" i="2" s="1"/>
  <c r="Q263" i="2" s="1"/>
  <c r="M267" i="2"/>
  <c r="O267" i="2" s="1"/>
  <c r="M271" i="2"/>
  <c r="O271" i="2" s="1"/>
  <c r="M275" i="2"/>
  <c r="O275" i="2" s="1"/>
  <c r="M279" i="2"/>
  <c r="O279" i="2" s="1"/>
  <c r="M283" i="2"/>
  <c r="O283" i="2" s="1"/>
  <c r="M287" i="2"/>
  <c r="O287" i="2" s="1"/>
  <c r="Q287" i="2" s="1"/>
  <c r="M291" i="2"/>
  <c r="O291" i="2" s="1"/>
  <c r="M295" i="2"/>
  <c r="O295" i="2" s="1"/>
  <c r="Q295" i="2" s="1"/>
  <c r="M299" i="2"/>
  <c r="O299" i="2" s="1"/>
  <c r="M303" i="2"/>
  <c r="O303" i="2" s="1"/>
  <c r="Q303" i="2" s="1"/>
  <c r="M307" i="2"/>
  <c r="O307" i="2" s="1"/>
  <c r="M311" i="2"/>
  <c r="O311" i="2" s="1"/>
  <c r="Q311" i="2" s="1"/>
  <c r="M315" i="2"/>
  <c r="O315" i="2" s="1"/>
  <c r="M319" i="2"/>
  <c r="O319" i="2" s="1"/>
  <c r="M323" i="2"/>
  <c r="O323" i="2" s="1"/>
  <c r="M327" i="2"/>
  <c r="O327" i="2" s="1"/>
  <c r="Q327" i="2" s="1"/>
  <c r="M331" i="2"/>
  <c r="O331" i="2" s="1"/>
  <c r="M335" i="2"/>
  <c r="O335" i="2" s="1"/>
  <c r="M339" i="2"/>
  <c r="O339" i="2" s="1"/>
  <c r="Q339" i="2" s="1"/>
  <c r="M343" i="2"/>
  <c r="O343" i="2" s="1"/>
  <c r="M347" i="2"/>
  <c r="O347" i="2" s="1"/>
  <c r="Q347" i="2" s="1"/>
  <c r="M351" i="2"/>
  <c r="O351" i="2" s="1"/>
  <c r="M355" i="2"/>
  <c r="O355" i="2" s="1"/>
  <c r="Q355" i="2" s="1"/>
  <c r="M359" i="2"/>
  <c r="O359" i="2" s="1"/>
  <c r="M363" i="2"/>
  <c r="O363" i="2" s="1"/>
  <c r="Q363" i="2" s="1"/>
  <c r="M367" i="2"/>
  <c r="O367" i="2" s="1"/>
  <c r="M371" i="2"/>
  <c r="O371" i="2" s="1"/>
  <c r="M375" i="2"/>
  <c r="O375" i="2" s="1"/>
  <c r="M379" i="2"/>
  <c r="O379" i="2" s="1"/>
  <c r="M383" i="2"/>
  <c r="O383" i="2" s="1"/>
  <c r="M387" i="2"/>
  <c r="O387" i="2" s="1"/>
  <c r="M391" i="2"/>
  <c r="O391" i="2" s="1"/>
  <c r="M395" i="2"/>
  <c r="O395" i="2" s="1"/>
  <c r="Q395" i="2" s="1"/>
  <c r="M399" i="2"/>
  <c r="O399" i="2" s="1"/>
  <c r="M403" i="2"/>
  <c r="O403" i="2" s="1"/>
  <c r="M407" i="2"/>
  <c r="O407" i="2" s="1"/>
  <c r="Q407" i="2" s="1"/>
  <c r="M411" i="2"/>
  <c r="O411" i="2" s="1"/>
  <c r="M415" i="2"/>
  <c r="O415" i="2" s="1"/>
  <c r="M419" i="2"/>
  <c r="O419" i="2" s="1"/>
  <c r="Q419" i="2" s="1"/>
  <c r="M423" i="2"/>
  <c r="O423" i="2" s="1"/>
  <c r="M427" i="2"/>
  <c r="O427" i="2" s="1"/>
  <c r="Q427" i="2" s="1"/>
  <c r="M431" i="2"/>
  <c r="O431" i="2" s="1"/>
  <c r="M435" i="2"/>
  <c r="O435" i="2" s="1"/>
  <c r="M439" i="2"/>
  <c r="O439" i="2" s="1"/>
  <c r="M443" i="2"/>
  <c r="O443" i="2" s="1"/>
  <c r="M447" i="2"/>
  <c r="O447" i="2" s="1"/>
  <c r="Q447" i="2" s="1"/>
  <c r="M451" i="2"/>
  <c r="O451" i="2" s="1"/>
  <c r="M455" i="2"/>
  <c r="O455" i="2" s="1"/>
  <c r="M459" i="2"/>
  <c r="O459" i="2" s="1"/>
  <c r="M463" i="2"/>
  <c r="O463" i="2" s="1"/>
  <c r="Q463" i="2" s="1"/>
  <c r="M467" i="2"/>
  <c r="O467" i="2" s="1"/>
  <c r="M471" i="2"/>
  <c r="O471" i="2" s="1"/>
  <c r="Q471" i="2" s="1"/>
  <c r="M475" i="2"/>
  <c r="O475" i="2" s="1"/>
  <c r="Q475" i="2" s="1"/>
  <c r="M479" i="2"/>
  <c r="O479" i="2" s="1"/>
  <c r="Q479" i="2" s="1"/>
  <c r="M483" i="2"/>
  <c r="O483" i="2" s="1"/>
  <c r="M487" i="2"/>
  <c r="O487" i="2" s="1"/>
  <c r="Q487" i="2" s="1"/>
  <c r="M491" i="2"/>
  <c r="O491" i="2" s="1"/>
  <c r="M495" i="2"/>
  <c r="O495" i="2" s="1"/>
  <c r="Q495" i="2" s="1"/>
  <c r="M499" i="2"/>
  <c r="O499" i="2" s="1"/>
  <c r="M503" i="2"/>
  <c r="O503" i="2" s="1"/>
  <c r="Q503" i="2" s="1"/>
  <c r="M507" i="2"/>
  <c r="O507" i="2" s="1"/>
  <c r="Q507" i="2" s="1"/>
  <c r="M511" i="2"/>
  <c r="O511" i="2" s="1"/>
  <c r="M515" i="2"/>
  <c r="O515" i="2" s="1"/>
  <c r="Q515" i="2" s="1"/>
  <c r="M519" i="2"/>
  <c r="O519" i="2" s="1"/>
  <c r="M523" i="2"/>
  <c r="O523" i="2" s="1"/>
  <c r="M527" i="2"/>
  <c r="O527" i="2" s="1"/>
  <c r="Q527" i="2" s="1"/>
  <c r="M531" i="2"/>
  <c r="O531" i="2" s="1"/>
  <c r="Q531" i="2" s="1"/>
  <c r="M535" i="2"/>
  <c r="O535" i="2" s="1"/>
  <c r="M539" i="2"/>
  <c r="O539" i="2" s="1"/>
  <c r="M543" i="2"/>
  <c r="O543" i="2" s="1"/>
  <c r="M547" i="2"/>
  <c r="O547" i="2" s="1"/>
  <c r="M551" i="2"/>
  <c r="O551" i="2" s="1"/>
  <c r="M555" i="2"/>
  <c r="O555" i="2" s="1"/>
  <c r="M559" i="2"/>
  <c r="O559" i="2" s="1"/>
  <c r="M563" i="2"/>
  <c r="O563" i="2" s="1"/>
  <c r="Q563" i="2" s="1"/>
  <c r="M567" i="2"/>
  <c r="O567" i="2" s="1"/>
  <c r="Q567" i="2" s="1"/>
  <c r="M571" i="2"/>
  <c r="O571" i="2" s="1"/>
  <c r="Q571" i="2" s="1"/>
  <c r="M575" i="2"/>
  <c r="O575" i="2" s="1"/>
  <c r="Q575" i="2" s="1"/>
  <c r="M579" i="2"/>
  <c r="O579" i="2" s="1"/>
  <c r="M583" i="2"/>
  <c r="O583" i="2" s="1"/>
  <c r="M587" i="2"/>
  <c r="O587" i="2" s="1"/>
  <c r="Q587" i="2" s="1"/>
  <c r="M591" i="2"/>
  <c r="O591" i="2" s="1"/>
  <c r="M595" i="2"/>
  <c r="O595" i="2" s="1"/>
  <c r="Q595" i="2" s="1"/>
  <c r="M599" i="2"/>
  <c r="O599" i="2" s="1"/>
  <c r="M603" i="2"/>
  <c r="O603" i="2" s="1"/>
  <c r="M607" i="2"/>
  <c r="O607" i="2" s="1"/>
  <c r="M611" i="2"/>
  <c r="O611" i="2" s="1"/>
  <c r="M615" i="2"/>
  <c r="O615" i="2" s="1"/>
  <c r="M619" i="2"/>
  <c r="O619" i="2" s="1"/>
  <c r="M623" i="2"/>
  <c r="O623" i="2" s="1"/>
  <c r="Q623" i="2" s="1"/>
  <c r="M627" i="2"/>
  <c r="O627" i="2" s="1"/>
  <c r="Q627" i="2" s="1"/>
  <c r="M631" i="2"/>
  <c r="O631" i="2" s="1"/>
  <c r="M635" i="2"/>
  <c r="O635" i="2" s="1"/>
  <c r="M639" i="2"/>
  <c r="O639" i="2" s="1"/>
  <c r="M643" i="2"/>
  <c r="O643" i="2" s="1"/>
  <c r="N8" i="2"/>
  <c r="N24" i="2"/>
  <c r="N40" i="2"/>
  <c r="N56" i="2"/>
  <c r="N72" i="2"/>
  <c r="N88" i="2"/>
  <c r="N104" i="2"/>
  <c r="N120" i="2"/>
  <c r="N136" i="2"/>
  <c r="N150" i="2"/>
  <c r="N157" i="2"/>
  <c r="N162" i="2"/>
  <c r="N166" i="2"/>
  <c r="N170" i="2"/>
  <c r="N174" i="2"/>
  <c r="N178" i="2"/>
  <c r="N182" i="2"/>
  <c r="N186" i="2"/>
  <c r="N190" i="2"/>
  <c r="N194" i="2"/>
  <c r="N198" i="2"/>
  <c r="N202" i="2"/>
  <c r="N206" i="2"/>
  <c r="N210" i="2"/>
  <c r="N214" i="2"/>
  <c r="N218" i="2"/>
  <c r="N222" i="2"/>
  <c r="N226" i="2"/>
  <c r="N230" i="2"/>
  <c r="N234" i="2"/>
  <c r="N238" i="2"/>
  <c r="N242" i="2"/>
  <c r="N246" i="2"/>
  <c r="N250" i="2"/>
  <c r="N254" i="2"/>
  <c r="N258" i="2"/>
  <c r="N262" i="2"/>
  <c r="N266" i="2"/>
  <c r="N270" i="2"/>
  <c r="N274" i="2"/>
  <c r="N278" i="2"/>
  <c r="N282" i="2"/>
  <c r="N286" i="2"/>
  <c r="N290" i="2"/>
  <c r="N294" i="2"/>
  <c r="N298" i="2"/>
  <c r="N302" i="2"/>
  <c r="N306" i="2"/>
  <c r="N310" i="2"/>
  <c r="N314" i="2"/>
  <c r="N318" i="2"/>
  <c r="N322" i="2"/>
  <c r="N326" i="2"/>
  <c r="N330" i="2"/>
  <c r="N334" i="2"/>
  <c r="N338" i="2"/>
  <c r="N342" i="2"/>
  <c r="N346" i="2"/>
  <c r="N350" i="2"/>
  <c r="N354" i="2"/>
  <c r="N358" i="2"/>
  <c r="N362" i="2"/>
  <c r="N366" i="2"/>
  <c r="N370" i="2"/>
  <c r="N374" i="2"/>
  <c r="N378" i="2"/>
  <c r="N382" i="2"/>
  <c r="N386" i="2"/>
  <c r="N390" i="2"/>
  <c r="N394" i="2"/>
  <c r="N398" i="2"/>
  <c r="N402" i="2"/>
  <c r="N406" i="2"/>
  <c r="N410" i="2"/>
  <c r="N414" i="2"/>
  <c r="N418" i="2"/>
  <c r="N422" i="2"/>
  <c r="N426" i="2"/>
  <c r="N430" i="2"/>
  <c r="N434" i="2"/>
  <c r="N438" i="2"/>
  <c r="N442" i="2"/>
  <c r="N446" i="2"/>
  <c r="N450" i="2"/>
  <c r="N454" i="2"/>
  <c r="N458" i="2"/>
  <c r="N462" i="2"/>
  <c r="N466" i="2"/>
  <c r="N470" i="2"/>
  <c r="N474" i="2"/>
  <c r="N478" i="2"/>
  <c r="N482" i="2"/>
  <c r="N486" i="2"/>
  <c r="N490" i="2"/>
  <c r="N494" i="2"/>
  <c r="N498" i="2"/>
  <c r="N502" i="2"/>
  <c r="N506" i="2"/>
  <c r="N510" i="2"/>
  <c r="N514" i="2"/>
  <c r="N518" i="2"/>
  <c r="N522" i="2"/>
  <c r="N526" i="2"/>
  <c r="N530" i="2"/>
  <c r="N534" i="2"/>
  <c r="N538" i="2"/>
  <c r="N542" i="2"/>
  <c r="N546" i="2"/>
  <c r="N550" i="2"/>
  <c r="N554" i="2"/>
  <c r="N558" i="2"/>
  <c r="N562" i="2"/>
  <c r="N566" i="2"/>
  <c r="N570" i="2"/>
  <c r="N574" i="2"/>
  <c r="N578" i="2"/>
  <c r="N582" i="2"/>
  <c r="N586" i="2"/>
  <c r="N590" i="2"/>
  <c r="N594" i="2"/>
  <c r="N598" i="2"/>
  <c r="N602" i="2"/>
  <c r="N606" i="2"/>
  <c r="N610" i="2"/>
  <c r="N614" i="2"/>
  <c r="N618" i="2"/>
  <c r="N622" i="2"/>
  <c r="N626" i="2"/>
  <c r="N630" i="2"/>
  <c r="N634" i="2"/>
  <c r="N638" i="2"/>
  <c r="N642" i="2"/>
  <c r="N646" i="2"/>
  <c r="N650" i="2"/>
  <c r="N654" i="2"/>
  <c r="N658" i="2"/>
  <c r="N662" i="2"/>
  <c r="N666" i="2"/>
  <c r="N670" i="2"/>
  <c r="N674" i="2"/>
  <c r="N678" i="2"/>
  <c r="N682" i="2"/>
  <c r="N686" i="2"/>
  <c r="N690" i="2"/>
  <c r="N694" i="2"/>
  <c r="N698" i="2"/>
  <c r="N702" i="2"/>
  <c r="N706" i="2"/>
  <c r="N710" i="2"/>
  <c r="N714" i="2"/>
  <c r="N718" i="2"/>
  <c r="N722" i="2"/>
  <c r="N726" i="2"/>
  <c r="N730" i="2"/>
  <c r="N734" i="2"/>
  <c r="N738" i="2"/>
  <c r="N742" i="2"/>
  <c r="N746" i="2"/>
  <c r="N750" i="2"/>
  <c r="N754" i="2"/>
  <c r="N758" i="2"/>
  <c r="N762" i="2"/>
  <c r="N766" i="2"/>
  <c r="N770" i="2"/>
  <c r="N774" i="2"/>
  <c r="N778" i="2"/>
  <c r="N782" i="2"/>
  <c r="N786" i="2"/>
  <c r="N790" i="2"/>
  <c r="N794" i="2"/>
  <c r="N798" i="2"/>
  <c r="N802" i="2"/>
  <c r="N806" i="2"/>
  <c r="N810" i="2"/>
  <c r="N814" i="2"/>
  <c r="M8" i="2"/>
  <c r="O8" i="2" s="1"/>
  <c r="M12" i="2"/>
  <c r="O12" i="2" s="1"/>
  <c r="M16" i="2"/>
  <c r="O16" i="2" s="1"/>
  <c r="M20" i="2"/>
  <c r="O20" i="2" s="1"/>
  <c r="M24" i="2"/>
  <c r="O24" i="2" s="1"/>
  <c r="Q24" i="2" s="1"/>
  <c r="M28" i="2"/>
  <c r="O28" i="2" s="1"/>
  <c r="M32" i="2"/>
  <c r="O32" i="2" s="1"/>
  <c r="Q32" i="2" s="1"/>
  <c r="M36" i="2"/>
  <c r="O36" i="2" s="1"/>
  <c r="M40" i="2"/>
  <c r="O40" i="2" s="1"/>
  <c r="M44" i="2"/>
  <c r="O44" i="2" s="1"/>
  <c r="M48" i="2"/>
  <c r="O48" i="2" s="1"/>
  <c r="M52" i="2"/>
  <c r="O52" i="2" s="1"/>
  <c r="Q52" i="2" s="1"/>
  <c r="M56" i="2"/>
  <c r="O56" i="2" s="1"/>
  <c r="Q56" i="2" s="1"/>
  <c r="M60" i="2"/>
  <c r="O60" i="2" s="1"/>
  <c r="Q60" i="2" s="1"/>
  <c r="M64" i="2"/>
  <c r="O64" i="2" s="1"/>
  <c r="M68" i="2"/>
  <c r="O68" i="2" s="1"/>
  <c r="M72" i="2"/>
  <c r="O72" i="2" s="1"/>
  <c r="M76" i="2"/>
  <c r="O76" i="2" s="1"/>
  <c r="M80" i="2"/>
  <c r="O80" i="2" s="1"/>
  <c r="M84" i="2"/>
  <c r="O84" i="2" s="1"/>
  <c r="M88" i="2"/>
  <c r="O88" i="2" s="1"/>
  <c r="Q88" i="2" s="1"/>
  <c r="M92" i="2"/>
  <c r="O92" i="2" s="1"/>
  <c r="M96" i="2"/>
  <c r="O96" i="2" s="1"/>
  <c r="Q96" i="2" s="1"/>
  <c r="M100" i="2"/>
  <c r="O100" i="2" s="1"/>
  <c r="Q100" i="2" s="1"/>
  <c r="M104" i="2"/>
  <c r="O104" i="2" s="1"/>
  <c r="M108" i="2"/>
  <c r="O108" i="2" s="1"/>
  <c r="M112" i="2"/>
  <c r="O112" i="2" s="1"/>
  <c r="M116" i="2"/>
  <c r="O116" i="2" s="1"/>
  <c r="M120" i="2"/>
  <c r="O120" i="2" s="1"/>
  <c r="M124" i="2"/>
  <c r="O124" i="2" s="1"/>
  <c r="M128" i="2"/>
  <c r="O128" i="2" s="1"/>
  <c r="M132" i="2"/>
  <c r="O132" i="2" s="1"/>
  <c r="Q132" i="2" s="1"/>
  <c r="M136" i="2"/>
  <c r="O136" i="2" s="1"/>
  <c r="Q136" i="2" s="1"/>
  <c r="M140" i="2"/>
  <c r="O140" i="2" s="1"/>
  <c r="M144" i="2"/>
  <c r="O144" i="2" s="1"/>
  <c r="M148" i="2"/>
  <c r="O148" i="2" s="1"/>
  <c r="M152" i="2"/>
  <c r="O152" i="2" s="1"/>
  <c r="M156" i="2"/>
  <c r="O156" i="2" s="1"/>
  <c r="M160" i="2"/>
  <c r="O160" i="2" s="1"/>
  <c r="Q160" i="2" s="1"/>
  <c r="M164" i="2"/>
  <c r="O164" i="2" s="1"/>
  <c r="M168" i="2"/>
  <c r="O168" i="2" s="1"/>
  <c r="Q168" i="2" s="1"/>
  <c r="M172" i="2"/>
  <c r="O172" i="2" s="1"/>
  <c r="M176" i="2"/>
  <c r="O176" i="2" s="1"/>
  <c r="M180" i="2"/>
  <c r="O180" i="2" s="1"/>
  <c r="Q180" i="2" s="1"/>
  <c r="M184" i="2"/>
  <c r="O184" i="2" s="1"/>
  <c r="M188" i="2"/>
  <c r="O188" i="2" s="1"/>
  <c r="Q188" i="2" s="1"/>
  <c r="M192" i="2"/>
  <c r="O192" i="2" s="1"/>
  <c r="Q192" i="2" s="1"/>
  <c r="M196" i="2"/>
  <c r="O196" i="2" s="1"/>
  <c r="M200" i="2"/>
  <c r="O200" i="2" s="1"/>
  <c r="Q200" i="2" s="1"/>
  <c r="M204" i="2"/>
  <c r="O204" i="2" s="1"/>
  <c r="M208" i="2"/>
  <c r="O208" i="2" s="1"/>
  <c r="M212" i="2"/>
  <c r="O212" i="2" s="1"/>
  <c r="M216" i="2"/>
  <c r="O216" i="2" s="1"/>
  <c r="M220" i="2"/>
  <c r="O220" i="2" s="1"/>
  <c r="M224" i="2"/>
  <c r="O224" i="2" s="1"/>
  <c r="M228" i="2"/>
  <c r="O228" i="2" s="1"/>
  <c r="M232" i="2"/>
  <c r="O232" i="2" s="1"/>
  <c r="M236" i="2"/>
  <c r="O236" i="2" s="1"/>
  <c r="M240" i="2"/>
  <c r="O240" i="2" s="1"/>
  <c r="Q240" i="2" s="1"/>
  <c r="M244" i="2"/>
  <c r="O244" i="2" s="1"/>
  <c r="M248" i="2"/>
  <c r="O248" i="2" s="1"/>
  <c r="M252" i="2"/>
  <c r="O252" i="2" s="1"/>
  <c r="M256" i="2"/>
  <c r="O256" i="2" s="1"/>
  <c r="M260" i="2"/>
  <c r="O260" i="2" s="1"/>
  <c r="M264" i="2"/>
  <c r="O264" i="2" s="1"/>
  <c r="Q264" i="2" s="1"/>
  <c r="M268" i="2"/>
  <c r="O268" i="2" s="1"/>
  <c r="M272" i="2"/>
  <c r="O272" i="2" s="1"/>
  <c r="M276" i="2"/>
  <c r="O276" i="2" s="1"/>
  <c r="Q276" i="2" s="1"/>
  <c r="M280" i="2"/>
  <c r="O280" i="2" s="1"/>
  <c r="M284" i="2"/>
  <c r="O284" i="2" s="1"/>
  <c r="M288" i="2"/>
  <c r="O288" i="2" s="1"/>
  <c r="M292" i="2"/>
  <c r="O292" i="2" s="1"/>
  <c r="M296" i="2"/>
  <c r="O296" i="2" s="1"/>
  <c r="M300" i="2"/>
  <c r="O300" i="2" s="1"/>
  <c r="M304" i="2"/>
  <c r="O304" i="2" s="1"/>
  <c r="M308" i="2"/>
  <c r="O308" i="2" s="1"/>
  <c r="M312" i="2"/>
  <c r="O312" i="2" s="1"/>
  <c r="M316" i="2"/>
  <c r="O316" i="2" s="1"/>
  <c r="M320" i="2"/>
  <c r="O320" i="2" s="1"/>
  <c r="Q320" i="2" s="1"/>
  <c r="M324" i="2"/>
  <c r="O324" i="2" s="1"/>
  <c r="M328" i="2"/>
  <c r="O328" i="2" s="1"/>
  <c r="Q328" i="2" s="1"/>
  <c r="M332" i="2"/>
  <c r="O332" i="2" s="1"/>
  <c r="Q332" i="2" s="1"/>
  <c r="M336" i="2"/>
  <c r="O336" i="2" s="1"/>
  <c r="M340" i="2"/>
  <c r="O340" i="2" s="1"/>
  <c r="M344" i="2"/>
  <c r="O344" i="2" s="1"/>
  <c r="M348" i="2"/>
  <c r="O348" i="2" s="1"/>
  <c r="M352" i="2"/>
  <c r="O352" i="2" s="1"/>
  <c r="M356" i="2"/>
  <c r="O356" i="2" s="1"/>
  <c r="M360" i="2"/>
  <c r="O360" i="2" s="1"/>
  <c r="M364" i="2"/>
  <c r="O364" i="2" s="1"/>
  <c r="Q364" i="2" s="1"/>
  <c r="M368" i="2"/>
  <c r="O368" i="2" s="1"/>
  <c r="Q368" i="2" s="1"/>
  <c r="M372" i="2"/>
  <c r="O372" i="2" s="1"/>
  <c r="Q372" i="2" s="1"/>
  <c r="M376" i="2"/>
  <c r="O376" i="2" s="1"/>
  <c r="M380" i="2"/>
  <c r="O380" i="2" s="1"/>
  <c r="Q380" i="2" s="1"/>
  <c r="M384" i="2"/>
  <c r="O384" i="2" s="1"/>
  <c r="M388" i="2"/>
  <c r="O388" i="2" s="1"/>
  <c r="Q388" i="2" s="1"/>
  <c r="M392" i="2"/>
  <c r="O392" i="2" s="1"/>
  <c r="M396" i="2"/>
  <c r="O396" i="2" s="1"/>
  <c r="Q396" i="2" s="1"/>
  <c r="M400" i="2"/>
  <c r="O400" i="2" s="1"/>
  <c r="Q400" i="2" s="1"/>
  <c r="M404" i="2"/>
  <c r="O404" i="2" s="1"/>
  <c r="M408" i="2"/>
  <c r="O408" i="2" s="1"/>
  <c r="M412" i="2"/>
  <c r="O412" i="2" s="1"/>
  <c r="Q412" i="2" s="1"/>
  <c r="M416" i="2"/>
  <c r="O416" i="2" s="1"/>
  <c r="M420" i="2"/>
  <c r="O420" i="2" s="1"/>
  <c r="M424" i="2"/>
  <c r="O424" i="2" s="1"/>
  <c r="M428" i="2"/>
  <c r="O428" i="2" s="1"/>
  <c r="M432" i="2"/>
  <c r="O432" i="2" s="1"/>
  <c r="Q432" i="2" s="1"/>
  <c r="M436" i="2"/>
  <c r="O436" i="2" s="1"/>
  <c r="Q436" i="2" s="1"/>
  <c r="M440" i="2"/>
  <c r="O440" i="2" s="1"/>
  <c r="M444" i="2"/>
  <c r="O444" i="2" s="1"/>
  <c r="M448" i="2"/>
  <c r="O448" i="2" s="1"/>
  <c r="Q448" i="2" s="1"/>
  <c r="M452" i="2"/>
  <c r="O452" i="2" s="1"/>
  <c r="Q452" i="2" s="1"/>
  <c r="M456" i="2"/>
  <c r="O456" i="2" s="1"/>
  <c r="Q456" i="2" s="1"/>
  <c r="M460" i="2"/>
  <c r="O460" i="2" s="1"/>
  <c r="M464" i="2"/>
  <c r="O464" i="2" s="1"/>
  <c r="M468" i="2"/>
  <c r="O468" i="2" s="1"/>
  <c r="M472" i="2"/>
  <c r="O472" i="2" s="1"/>
  <c r="M476" i="2"/>
  <c r="O476" i="2" s="1"/>
  <c r="M480" i="2"/>
  <c r="O480" i="2" s="1"/>
  <c r="M484" i="2"/>
  <c r="O484" i="2" s="1"/>
  <c r="M488" i="2"/>
  <c r="O488" i="2" s="1"/>
  <c r="M492" i="2"/>
  <c r="O492" i="2" s="1"/>
  <c r="M496" i="2"/>
  <c r="O496" i="2" s="1"/>
  <c r="M500" i="2"/>
  <c r="O500" i="2" s="1"/>
  <c r="M504" i="2"/>
  <c r="O504" i="2" s="1"/>
  <c r="Q504" i="2" s="1"/>
  <c r="M508" i="2"/>
  <c r="O508" i="2" s="1"/>
  <c r="Q508" i="2" s="1"/>
  <c r="N12" i="2"/>
  <c r="N28" i="2"/>
  <c r="N44" i="2"/>
  <c r="N60" i="2"/>
  <c r="N76" i="2"/>
  <c r="N92" i="2"/>
  <c r="N108" i="2"/>
  <c r="N124" i="2"/>
  <c r="N140" i="2"/>
  <c r="N152" i="2"/>
  <c r="N158" i="2"/>
  <c r="N163" i="2"/>
  <c r="N167" i="2"/>
  <c r="N171" i="2"/>
  <c r="N175" i="2"/>
  <c r="N179" i="2"/>
  <c r="N183" i="2"/>
  <c r="N187" i="2"/>
  <c r="N191" i="2"/>
  <c r="N195" i="2"/>
  <c r="N199" i="2"/>
  <c r="N203" i="2"/>
  <c r="N207" i="2"/>
  <c r="N211" i="2"/>
  <c r="N215" i="2"/>
  <c r="N219" i="2"/>
  <c r="N223" i="2"/>
  <c r="N227" i="2"/>
  <c r="N231" i="2"/>
  <c r="N235" i="2"/>
  <c r="N239" i="2"/>
  <c r="N243" i="2"/>
  <c r="N247" i="2"/>
  <c r="N251" i="2"/>
  <c r="N255" i="2"/>
  <c r="N259" i="2"/>
  <c r="N263" i="2"/>
  <c r="N267" i="2"/>
  <c r="N271" i="2"/>
  <c r="N275" i="2"/>
  <c r="N279" i="2"/>
  <c r="N283" i="2"/>
  <c r="N287" i="2"/>
  <c r="N291" i="2"/>
  <c r="N295" i="2"/>
  <c r="N299" i="2"/>
  <c r="N303" i="2"/>
  <c r="N307" i="2"/>
  <c r="N311" i="2"/>
  <c r="N315" i="2"/>
  <c r="N319" i="2"/>
  <c r="N323" i="2"/>
  <c r="N327" i="2"/>
  <c r="N331" i="2"/>
  <c r="N335" i="2"/>
  <c r="N339" i="2"/>
  <c r="N343" i="2"/>
  <c r="N347" i="2"/>
  <c r="N351" i="2"/>
  <c r="N355" i="2"/>
  <c r="N359" i="2"/>
  <c r="N363" i="2"/>
  <c r="N367" i="2"/>
  <c r="N371" i="2"/>
  <c r="N375" i="2"/>
  <c r="N379" i="2"/>
  <c r="N383" i="2"/>
  <c r="N387" i="2"/>
  <c r="N391" i="2"/>
  <c r="N395" i="2"/>
  <c r="N399" i="2"/>
  <c r="N403" i="2"/>
  <c r="N407" i="2"/>
  <c r="N411" i="2"/>
  <c r="N415" i="2"/>
  <c r="N419" i="2"/>
  <c r="N423" i="2"/>
  <c r="N427" i="2"/>
  <c r="N431" i="2"/>
  <c r="N435" i="2"/>
  <c r="N439" i="2"/>
  <c r="N443" i="2"/>
  <c r="N447" i="2"/>
  <c r="N451" i="2"/>
  <c r="N455" i="2"/>
  <c r="N459" i="2"/>
  <c r="N463" i="2"/>
  <c r="N467" i="2"/>
  <c r="N471" i="2"/>
  <c r="N475" i="2"/>
  <c r="N479" i="2"/>
  <c r="N483" i="2"/>
  <c r="N487" i="2"/>
  <c r="N491" i="2"/>
  <c r="N495" i="2"/>
  <c r="N499" i="2"/>
  <c r="N503" i="2"/>
  <c r="N507" i="2"/>
  <c r="N511" i="2"/>
  <c r="N515" i="2"/>
  <c r="N519" i="2"/>
  <c r="N523" i="2"/>
  <c r="N527" i="2"/>
  <c r="N531" i="2"/>
  <c r="N535" i="2"/>
  <c r="N539" i="2"/>
  <c r="N543" i="2"/>
  <c r="N547" i="2"/>
  <c r="N551" i="2"/>
  <c r="N555" i="2"/>
  <c r="N559" i="2"/>
  <c r="N563" i="2"/>
  <c r="N567" i="2"/>
  <c r="N571" i="2"/>
  <c r="N575" i="2"/>
  <c r="N579" i="2"/>
  <c r="N583" i="2"/>
  <c r="N587" i="2"/>
  <c r="N591" i="2"/>
  <c r="N595" i="2"/>
  <c r="N599" i="2"/>
  <c r="N603" i="2"/>
  <c r="N607" i="2"/>
  <c r="N611" i="2"/>
  <c r="N615" i="2"/>
  <c r="N619" i="2"/>
  <c r="N623" i="2"/>
  <c r="N627" i="2"/>
  <c r="N631" i="2"/>
  <c r="N635" i="2"/>
  <c r="N639" i="2"/>
  <c r="N643" i="2"/>
  <c r="N647" i="2"/>
  <c r="N651" i="2"/>
  <c r="N655" i="2"/>
  <c r="N659" i="2"/>
  <c r="N663" i="2"/>
  <c r="N667" i="2"/>
  <c r="N671" i="2"/>
  <c r="N675" i="2"/>
  <c r="N679" i="2"/>
  <c r="N683" i="2"/>
  <c r="N687" i="2"/>
  <c r="N691" i="2"/>
  <c r="N695" i="2"/>
  <c r="N699" i="2"/>
  <c r="N703" i="2"/>
  <c r="N707" i="2"/>
  <c r="N711" i="2"/>
  <c r="N715" i="2"/>
  <c r="N719" i="2"/>
  <c r="N723" i="2"/>
  <c r="N727" i="2"/>
  <c r="N731" i="2"/>
  <c r="N735" i="2"/>
  <c r="N739" i="2"/>
  <c r="N743" i="2"/>
  <c r="N747" i="2"/>
  <c r="N751" i="2"/>
  <c r="N755" i="2"/>
  <c r="N759" i="2"/>
  <c r="N763" i="2"/>
  <c r="N767" i="2"/>
  <c r="N771" i="2"/>
  <c r="N775" i="2"/>
  <c r="N779" i="2"/>
  <c r="N783" i="2"/>
  <c r="N787" i="2"/>
  <c r="N791" i="2"/>
  <c r="N795" i="2"/>
  <c r="N799" i="2"/>
  <c r="N803" i="2"/>
  <c r="N807" i="2"/>
  <c r="N811" i="2"/>
  <c r="N5" i="2"/>
  <c r="M9" i="2"/>
  <c r="O9" i="2" s="1"/>
  <c r="M13" i="2"/>
  <c r="O13" i="2" s="1"/>
  <c r="M17" i="2"/>
  <c r="O17" i="2" s="1"/>
  <c r="M21" i="2"/>
  <c r="O21" i="2" s="1"/>
  <c r="M25" i="2"/>
  <c r="O25" i="2" s="1"/>
  <c r="M29" i="2"/>
  <c r="O29" i="2" s="1"/>
  <c r="M33" i="2"/>
  <c r="O33" i="2" s="1"/>
  <c r="M37" i="2"/>
  <c r="O37" i="2" s="1"/>
  <c r="M41" i="2"/>
  <c r="O41" i="2" s="1"/>
  <c r="Q41" i="2" s="1"/>
  <c r="M45" i="2"/>
  <c r="O45" i="2" s="1"/>
  <c r="M49" i="2"/>
  <c r="O49" i="2" s="1"/>
  <c r="M53" i="2"/>
  <c r="O53" i="2" s="1"/>
  <c r="Q53" i="2" s="1"/>
  <c r="M57" i="2"/>
  <c r="O57" i="2" s="1"/>
  <c r="M61" i="2"/>
  <c r="O61" i="2" s="1"/>
  <c r="M65" i="2"/>
  <c r="O65" i="2" s="1"/>
  <c r="M69" i="2"/>
  <c r="O69" i="2" s="1"/>
  <c r="M73" i="2"/>
  <c r="O73" i="2" s="1"/>
  <c r="Q73" i="2" s="1"/>
  <c r="M77" i="2"/>
  <c r="O77" i="2" s="1"/>
  <c r="Q77" i="2" s="1"/>
  <c r="M81" i="2"/>
  <c r="O81" i="2" s="1"/>
  <c r="Q81" i="2" s="1"/>
  <c r="M85" i="2"/>
  <c r="O85" i="2" s="1"/>
  <c r="M89" i="2"/>
  <c r="O89" i="2" s="1"/>
  <c r="M93" i="2"/>
  <c r="O93" i="2" s="1"/>
  <c r="M97" i="2"/>
  <c r="O97" i="2" s="1"/>
  <c r="M101" i="2"/>
  <c r="O101" i="2" s="1"/>
  <c r="M105" i="2"/>
  <c r="O105" i="2" s="1"/>
  <c r="Q105" i="2" s="1"/>
  <c r="M109" i="2"/>
  <c r="O109" i="2" s="1"/>
  <c r="M113" i="2"/>
  <c r="O113" i="2" s="1"/>
  <c r="M117" i="2"/>
  <c r="O117" i="2" s="1"/>
  <c r="Q117" i="2" s="1"/>
  <c r="M121" i="2"/>
  <c r="O121" i="2" s="1"/>
  <c r="M125" i="2"/>
  <c r="O125" i="2" s="1"/>
  <c r="Q125" i="2" s="1"/>
  <c r="M129" i="2"/>
  <c r="O129" i="2" s="1"/>
  <c r="M133" i="2"/>
  <c r="O133" i="2" s="1"/>
  <c r="Q133" i="2" s="1"/>
  <c r="M137" i="2"/>
  <c r="O137" i="2" s="1"/>
  <c r="Q137" i="2" s="1"/>
  <c r="M141" i="2"/>
  <c r="O141" i="2" s="1"/>
  <c r="Q141" i="2" s="1"/>
  <c r="M145" i="2"/>
  <c r="O145" i="2" s="1"/>
  <c r="M149" i="2"/>
  <c r="O149" i="2" s="1"/>
  <c r="Q149" i="2" s="1"/>
  <c r="M153" i="2"/>
  <c r="O153" i="2" s="1"/>
  <c r="M157" i="2"/>
  <c r="O157" i="2" s="1"/>
  <c r="M161" i="2"/>
  <c r="O161" i="2" s="1"/>
  <c r="Q161" i="2" s="1"/>
  <c r="M165" i="2"/>
  <c r="O165" i="2" s="1"/>
  <c r="Q165" i="2" s="1"/>
  <c r="M169" i="2"/>
  <c r="O169" i="2" s="1"/>
  <c r="M173" i="2"/>
  <c r="O173" i="2" s="1"/>
  <c r="Q173" i="2" s="1"/>
  <c r="M177" i="2"/>
  <c r="O177" i="2" s="1"/>
  <c r="M181" i="2"/>
  <c r="O181" i="2" s="1"/>
  <c r="Q181" i="2" s="1"/>
  <c r="M185" i="2"/>
  <c r="O185" i="2" s="1"/>
  <c r="M189" i="2"/>
  <c r="O189" i="2" s="1"/>
  <c r="M193" i="2"/>
  <c r="O193" i="2" s="1"/>
  <c r="M197" i="2"/>
  <c r="O197" i="2" s="1"/>
  <c r="M201" i="2"/>
  <c r="O201" i="2" s="1"/>
  <c r="M205" i="2"/>
  <c r="O205" i="2" s="1"/>
  <c r="Q205" i="2" s="1"/>
  <c r="M209" i="2"/>
  <c r="O209" i="2" s="1"/>
  <c r="M213" i="2"/>
  <c r="O213" i="2" s="1"/>
  <c r="M217" i="2"/>
  <c r="O217" i="2" s="1"/>
  <c r="Q217" i="2" s="1"/>
  <c r="M221" i="2"/>
  <c r="O221" i="2" s="1"/>
  <c r="M225" i="2"/>
  <c r="O225" i="2" s="1"/>
  <c r="Q225" i="2" s="1"/>
  <c r="M229" i="2"/>
  <c r="O229" i="2" s="1"/>
  <c r="Q229" i="2" s="1"/>
  <c r="M233" i="2"/>
  <c r="O233" i="2" s="1"/>
  <c r="M237" i="2"/>
  <c r="O237" i="2" s="1"/>
  <c r="M241" i="2"/>
  <c r="O241" i="2" s="1"/>
  <c r="Q241" i="2" s="1"/>
  <c r="M245" i="2"/>
  <c r="O245" i="2" s="1"/>
  <c r="Q245" i="2" s="1"/>
  <c r="M249" i="2"/>
  <c r="O249" i="2" s="1"/>
  <c r="M253" i="2"/>
  <c r="O253" i="2" s="1"/>
  <c r="M257" i="2"/>
  <c r="O257" i="2" s="1"/>
  <c r="Q257" i="2" s="1"/>
  <c r="M261" i="2"/>
  <c r="O261" i="2" s="1"/>
  <c r="M265" i="2"/>
  <c r="O265" i="2" s="1"/>
  <c r="Q265" i="2" s="1"/>
  <c r="M269" i="2"/>
  <c r="O269" i="2" s="1"/>
  <c r="Q269" i="2" s="1"/>
  <c r="M273" i="2"/>
  <c r="O273" i="2" s="1"/>
  <c r="M277" i="2"/>
  <c r="O277" i="2" s="1"/>
  <c r="M281" i="2"/>
  <c r="O281" i="2" s="1"/>
  <c r="M285" i="2"/>
  <c r="O285" i="2" s="1"/>
  <c r="Q285" i="2" s="1"/>
  <c r="M289" i="2"/>
  <c r="O289" i="2" s="1"/>
  <c r="M293" i="2"/>
  <c r="O293" i="2" s="1"/>
  <c r="Q293" i="2" s="1"/>
  <c r="M297" i="2"/>
  <c r="O297" i="2" s="1"/>
  <c r="Q297" i="2" s="1"/>
  <c r="M301" i="2"/>
  <c r="O301" i="2" s="1"/>
  <c r="M305" i="2"/>
  <c r="O305" i="2" s="1"/>
  <c r="M309" i="2"/>
  <c r="O309" i="2" s="1"/>
  <c r="Q309" i="2" s="1"/>
  <c r="M313" i="2"/>
  <c r="O313" i="2" s="1"/>
  <c r="Q313" i="2" s="1"/>
  <c r="M317" i="2"/>
  <c r="O317" i="2" s="1"/>
  <c r="M321" i="2"/>
  <c r="O321" i="2" s="1"/>
  <c r="M325" i="2"/>
  <c r="O325" i="2" s="1"/>
  <c r="M329" i="2"/>
  <c r="O329" i="2" s="1"/>
  <c r="M333" i="2"/>
  <c r="O333" i="2" s="1"/>
  <c r="M337" i="2"/>
  <c r="O337" i="2" s="1"/>
  <c r="Q337" i="2" s="1"/>
  <c r="M341" i="2"/>
  <c r="O341" i="2" s="1"/>
  <c r="M345" i="2"/>
  <c r="O345" i="2" s="1"/>
  <c r="Q345" i="2" s="1"/>
  <c r="M349" i="2"/>
  <c r="O349" i="2" s="1"/>
  <c r="M353" i="2"/>
  <c r="O353" i="2" s="1"/>
  <c r="M357" i="2"/>
  <c r="O357" i="2" s="1"/>
  <c r="M361" i="2"/>
  <c r="O361" i="2" s="1"/>
  <c r="M365" i="2"/>
  <c r="O365" i="2" s="1"/>
  <c r="Q365" i="2" s="1"/>
  <c r="M369" i="2"/>
  <c r="O369" i="2" s="1"/>
  <c r="M373" i="2"/>
  <c r="O373" i="2" s="1"/>
  <c r="M377" i="2"/>
  <c r="O377" i="2" s="1"/>
  <c r="M381" i="2"/>
  <c r="O381" i="2" s="1"/>
  <c r="M385" i="2"/>
  <c r="O385" i="2" s="1"/>
  <c r="M389" i="2"/>
  <c r="O389" i="2" s="1"/>
  <c r="M393" i="2"/>
  <c r="O393" i="2" s="1"/>
  <c r="M397" i="2"/>
  <c r="O397" i="2" s="1"/>
  <c r="M401" i="2"/>
  <c r="O401" i="2" s="1"/>
  <c r="M405" i="2"/>
  <c r="O405" i="2" s="1"/>
  <c r="Q405" i="2" s="1"/>
  <c r="M409" i="2"/>
  <c r="O409" i="2" s="1"/>
  <c r="M413" i="2"/>
  <c r="O413" i="2" s="1"/>
  <c r="Q413" i="2" s="1"/>
  <c r="M417" i="2"/>
  <c r="O417" i="2" s="1"/>
  <c r="M421" i="2"/>
  <c r="O421" i="2" s="1"/>
  <c r="M425" i="2"/>
  <c r="O425" i="2" s="1"/>
  <c r="Q425" i="2" s="1"/>
  <c r="M429" i="2"/>
  <c r="O429" i="2" s="1"/>
  <c r="Q429" i="2" s="1"/>
  <c r="M433" i="2"/>
  <c r="O433" i="2" s="1"/>
  <c r="M437" i="2"/>
  <c r="O437" i="2" s="1"/>
  <c r="M441" i="2"/>
  <c r="O441" i="2" s="1"/>
  <c r="Q441" i="2" s="1"/>
  <c r="M445" i="2"/>
  <c r="O445" i="2" s="1"/>
  <c r="M449" i="2"/>
  <c r="O449" i="2" s="1"/>
  <c r="Q449" i="2" s="1"/>
  <c r="M453" i="2"/>
  <c r="O453" i="2" s="1"/>
  <c r="M457" i="2"/>
  <c r="O457" i="2" s="1"/>
  <c r="M461" i="2"/>
  <c r="O461" i="2" s="1"/>
  <c r="M465" i="2"/>
  <c r="O465" i="2" s="1"/>
  <c r="M469" i="2"/>
  <c r="O469" i="2" s="1"/>
  <c r="Q469" i="2" s="1"/>
  <c r="M473" i="2"/>
  <c r="O473" i="2" s="1"/>
  <c r="Q473" i="2" s="1"/>
  <c r="M477" i="2"/>
  <c r="O477" i="2" s="1"/>
  <c r="M481" i="2"/>
  <c r="O481" i="2" s="1"/>
  <c r="M485" i="2"/>
  <c r="O485" i="2" s="1"/>
  <c r="Q485" i="2" s="1"/>
  <c r="M489" i="2"/>
  <c r="O489" i="2" s="1"/>
  <c r="Q489" i="2" s="1"/>
  <c r="M493" i="2"/>
  <c r="O493" i="2" s="1"/>
  <c r="M497" i="2"/>
  <c r="O497" i="2" s="1"/>
  <c r="M501" i="2"/>
  <c r="O501" i="2" s="1"/>
  <c r="M505" i="2"/>
  <c r="O505" i="2" s="1"/>
  <c r="Q505" i="2" s="1"/>
  <c r="M509" i="2"/>
  <c r="O509" i="2" s="1"/>
  <c r="Q509" i="2" s="1"/>
  <c r="M513" i="2"/>
  <c r="O513" i="2" s="1"/>
  <c r="M517" i="2"/>
  <c r="O517" i="2" s="1"/>
  <c r="M521" i="2"/>
  <c r="O521" i="2" s="1"/>
  <c r="Q521" i="2" s="1"/>
  <c r="M525" i="2"/>
  <c r="O525" i="2" s="1"/>
  <c r="M529" i="2"/>
  <c r="O529" i="2" s="1"/>
  <c r="Q529" i="2" s="1"/>
  <c r="M813" i="2"/>
  <c r="O813" i="2" s="1"/>
  <c r="M809" i="2"/>
  <c r="O809" i="2" s="1"/>
  <c r="M805" i="2"/>
  <c r="O805" i="2" s="1"/>
  <c r="Q805" i="2" s="1"/>
  <c r="M801" i="2"/>
  <c r="O801" i="2" s="1"/>
  <c r="M797" i="2"/>
  <c r="O797" i="2" s="1"/>
  <c r="Q797" i="2" s="1"/>
  <c r="M793" i="2"/>
  <c r="O793" i="2" s="1"/>
  <c r="M789" i="2"/>
  <c r="O789" i="2" s="1"/>
  <c r="Q789" i="2" s="1"/>
  <c r="M785" i="2"/>
  <c r="O785" i="2" s="1"/>
  <c r="M781" i="2"/>
  <c r="O781" i="2" s="1"/>
  <c r="Q781" i="2" s="1"/>
  <c r="M777" i="2"/>
  <c r="O777" i="2" s="1"/>
  <c r="Q777" i="2" s="1"/>
  <c r="M773" i="2"/>
  <c r="O773" i="2" s="1"/>
  <c r="M769" i="2"/>
  <c r="O769" i="2" s="1"/>
  <c r="M765" i="2"/>
  <c r="O765" i="2" s="1"/>
  <c r="M761" i="2"/>
  <c r="O761" i="2" s="1"/>
  <c r="M757" i="2"/>
  <c r="O757" i="2" s="1"/>
  <c r="Q757" i="2" s="1"/>
  <c r="M753" i="2"/>
  <c r="O753" i="2" s="1"/>
  <c r="M749" i="2"/>
  <c r="O749" i="2" s="1"/>
  <c r="Q749" i="2" s="1"/>
  <c r="M745" i="2"/>
  <c r="O745" i="2" s="1"/>
  <c r="Q745" i="2" s="1"/>
  <c r="M741" i="2"/>
  <c r="O741" i="2" s="1"/>
  <c r="M737" i="2"/>
  <c r="O737" i="2" s="1"/>
  <c r="Q737" i="2" s="1"/>
  <c r="M733" i="2"/>
  <c r="O733" i="2" s="1"/>
  <c r="M729" i="2"/>
  <c r="O729" i="2" s="1"/>
  <c r="M725" i="2"/>
  <c r="O725" i="2" s="1"/>
  <c r="M721" i="2"/>
  <c r="O721" i="2" s="1"/>
  <c r="M717" i="2"/>
  <c r="O717" i="2" s="1"/>
  <c r="M713" i="2"/>
  <c r="O713" i="2" s="1"/>
  <c r="M709" i="2"/>
  <c r="O709" i="2" s="1"/>
  <c r="M705" i="2"/>
  <c r="O705" i="2" s="1"/>
  <c r="M701" i="2"/>
  <c r="O701" i="2" s="1"/>
  <c r="M697" i="2"/>
  <c r="O697" i="2" s="1"/>
  <c r="M693" i="2"/>
  <c r="O693" i="2" s="1"/>
  <c r="Q693" i="2" s="1"/>
  <c r="M689" i="2"/>
  <c r="O689" i="2" s="1"/>
  <c r="M685" i="2"/>
  <c r="O685" i="2" s="1"/>
  <c r="Q685" i="2" s="1"/>
  <c r="M681" i="2"/>
  <c r="O681" i="2" s="1"/>
  <c r="M677" i="2"/>
  <c r="O677" i="2" s="1"/>
  <c r="M673" i="2"/>
  <c r="O673" i="2" s="1"/>
  <c r="M669" i="2"/>
  <c r="O669" i="2" s="1"/>
  <c r="Q669" i="2" s="1"/>
  <c r="M665" i="2"/>
  <c r="O665" i="2" s="1"/>
  <c r="Q665" i="2" s="1"/>
  <c r="M661" i="2"/>
  <c r="O661" i="2" s="1"/>
  <c r="M656" i="2"/>
  <c r="O656" i="2" s="1"/>
  <c r="M651" i="2"/>
  <c r="O651" i="2" s="1"/>
  <c r="Q651" i="2" s="1"/>
  <c r="M645" i="2"/>
  <c r="O645" i="2" s="1"/>
  <c r="M637" i="2"/>
  <c r="O637" i="2" s="1"/>
  <c r="M629" i="2"/>
  <c r="O629" i="2" s="1"/>
  <c r="Q629" i="2" s="1"/>
  <c r="M621" i="2"/>
  <c r="O621" i="2" s="1"/>
  <c r="M613" i="2"/>
  <c r="O613" i="2" s="1"/>
  <c r="M605" i="2"/>
  <c r="O605" i="2" s="1"/>
  <c r="Q605" i="2" s="1"/>
  <c r="M597" i="2"/>
  <c r="O597" i="2" s="1"/>
  <c r="M589" i="2"/>
  <c r="O589" i="2" s="1"/>
  <c r="Q589" i="2" s="1"/>
  <c r="M581" i="2"/>
  <c r="O581" i="2" s="1"/>
  <c r="Q581" i="2" s="1"/>
  <c r="M573" i="2"/>
  <c r="O573" i="2" s="1"/>
  <c r="M565" i="2"/>
  <c r="O565" i="2" s="1"/>
  <c r="Q565" i="2" s="1"/>
  <c r="M557" i="2"/>
  <c r="O557" i="2" s="1"/>
  <c r="Q557" i="2" s="1"/>
  <c r="M549" i="2"/>
  <c r="O549" i="2" s="1"/>
  <c r="M541" i="2"/>
  <c r="O541" i="2" s="1"/>
  <c r="M533" i="2"/>
  <c r="O533" i="2" s="1"/>
  <c r="M520" i="2"/>
  <c r="O520" i="2" s="1"/>
  <c r="M812" i="2"/>
  <c r="O812" i="2" s="1"/>
  <c r="Q812" i="2" s="1"/>
  <c r="M808" i="2"/>
  <c r="O808" i="2" s="1"/>
  <c r="Q808" i="2" s="1"/>
  <c r="M804" i="2"/>
  <c r="O804" i="2" s="1"/>
  <c r="Q804" i="2" s="1"/>
  <c r="M800" i="2"/>
  <c r="O800" i="2" s="1"/>
  <c r="M796" i="2"/>
  <c r="O796" i="2" s="1"/>
  <c r="M792" i="2"/>
  <c r="O792" i="2" s="1"/>
  <c r="Q792" i="2" s="1"/>
  <c r="M788" i="2"/>
  <c r="O788" i="2" s="1"/>
  <c r="Q788" i="2" s="1"/>
  <c r="M784" i="2"/>
  <c r="O784" i="2" s="1"/>
  <c r="M780" i="2"/>
  <c r="O780" i="2" s="1"/>
  <c r="M776" i="2"/>
  <c r="O776" i="2" s="1"/>
  <c r="M772" i="2"/>
  <c r="O772" i="2" s="1"/>
  <c r="Q772" i="2" s="1"/>
  <c r="M768" i="2"/>
  <c r="O768" i="2" s="1"/>
  <c r="M764" i="2"/>
  <c r="O764" i="2" s="1"/>
  <c r="Q764" i="2" s="1"/>
  <c r="M760" i="2"/>
  <c r="O760" i="2" s="1"/>
  <c r="M756" i="2"/>
  <c r="O756" i="2" s="1"/>
  <c r="M752" i="2"/>
  <c r="O752" i="2" s="1"/>
  <c r="Q752" i="2" s="1"/>
  <c r="M748" i="2"/>
  <c r="O748" i="2" s="1"/>
  <c r="M744" i="2"/>
  <c r="O744" i="2" s="1"/>
  <c r="Q744" i="2" s="1"/>
  <c r="M740" i="2"/>
  <c r="O740" i="2" s="1"/>
  <c r="M736" i="2"/>
  <c r="O736" i="2" s="1"/>
  <c r="M732" i="2"/>
  <c r="O732" i="2" s="1"/>
  <c r="M728" i="2"/>
  <c r="O728" i="2" s="1"/>
  <c r="M724" i="2"/>
  <c r="O724" i="2" s="1"/>
  <c r="Q724" i="2" s="1"/>
  <c r="M720" i="2"/>
  <c r="O720" i="2" s="1"/>
  <c r="M716" i="2"/>
  <c r="O716" i="2" s="1"/>
  <c r="Q716" i="2" s="1"/>
  <c r="M712" i="2"/>
  <c r="O712" i="2" s="1"/>
  <c r="M708" i="2"/>
  <c r="O708" i="2" s="1"/>
  <c r="Q708" i="2" s="1"/>
  <c r="M704" i="2"/>
  <c r="O704" i="2" s="1"/>
  <c r="M700" i="2"/>
  <c r="O700" i="2" s="1"/>
  <c r="Q700" i="2" s="1"/>
  <c r="M696" i="2"/>
  <c r="O696" i="2" s="1"/>
  <c r="M692" i="2"/>
  <c r="O692" i="2" s="1"/>
  <c r="M688" i="2"/>
  <c r="O688" i="2" s="1"/>
  <c r="M684" i="2"/>
  <c r="O684" i="2" s="1"/>
  <c r="M680" i="2"/>
  <c r="O680" i="2" s="1"/>
  <c r="M676" i="2"/>
  <c r="O676" i="2" s="1"/>
  <c r="M672" i="2"/>
  <c r="O672" i="2" s="1"/>
  <c r="Q672" i="2" s="1"/>
  <c r="M668" i="2"/>
  <c r="O668" i="2" s="1"/>
  <c r="M664" i="2"/>
  <c r="O664" i="2" s="1"/>
  <c r="Q664" i="2" s="1"/>
  <c r="M660" i="2"/>
  <c r="O660" i="2" s="1"/>
  <c r="M655" i="2"/>
  <c r="O655" i="2" s="1"/>
  <c r="M649" i="2"/>
  <c r="O649" i="2" s="1"/>
  <c r="M644" i="2"/>
  <c r="O644" i="2" s="1"/>
  <c r="Q644" i="2" s="1"/>
  <c r="M636" i="2"/>
  <c r="O636" i="2" s="1"/>
  <c r="M628" i="2"/>
  <c r="O628" i="2" s="1"/>
  <c r="M620" i="2"/>
  <c r="O620" i="2" s="1"/>
  <c r="M612" i="2"/>
  <c r="O612" i="2" s="1"/>
  <c r="Q612" i="2" s="1"/>
  <c r="M604" i="2"/>
  <c r="O604" i="2" s="1"/>
  <c r="M596" i="2"/>
  <c r="O596" i="2" s="1"/>
  <c r="M588" i="2"/>
  <c r="O588" i="2" s="1"/>
  <c r="Q588" i="2" s="1"/>
  <c r="M580" i="2"/>
  <c r="O580" i="2" s="1"/>
  <c r="M572" i="2"/>
  <c r="O572" i="2" s="1"/>
  <c r="M564" i="2"/>
  <c r="O564" i="2" s="1"/>
  <c r="Q564" i="2" s="1"/>
  <c r="M556" i="2"/>
  <c r="O556" i="2" s="1"/>
  <c r="M548" i="2"/>
  <c r="O548" i="2" s="1"/>
  <c r="Q548" i="2" s="1"/>
  <c r="M540" i="2"/>
  <c r="O540" i="2" s="1"/>
  <c r="M532" i="2"/>
  <c r="O532" i="2" s="1"/>
  <c r="M516" i="2"/>
  <c r="O516" i="2" s="1"/>
  <c r="M5" i="2"/>
  <c r="O5" i="2" s="1"/>
  <c r="Q5" i="2" s="1"/>
  <c r="M811" i="2"/>
  <c r="O811" i="2" s="1"/>
  <c r="M807" i="2"/>
  <c r="O807" i="2" s="1"/>
  <c r="M803" i="2"/>
  <c r="O803" i="2" s="1"/>
  <c r="Q803" i="2" s="1"/>
  <c r="M799" i="2"/>
  <c r="O799" i="2" s="1"/>
  <c r="M795" i="2"/>
  <c r="O795" i="2" s="1"/>
  <c r="M791" i="2"/>
  <c r="O791" i="2" s="1"/>
  <c r="Q791" i="2" s="1"/>
  <c r="M787" i="2"/>
  <c r="O787" i="2" s="1"/>
  <c r="Q787" i="2" s="1"/>
  <c r="M783" i="2"/>
  <c r="O783" i="2" s="1"/>
  <c r="M779" i="2"/>
  <c r="O779" i="2" s="1"/>
  <c r="M775" i="2"/>
  <c r="O775" i="2" s="1"/>
  <c r="Q775" i="2" s="1"/>
  <c r="M771" i="2"/>
  <c r="O771" i="2" s="1"/>
  <c r="Q771" i="2" s="1"/>
  <c r="M767" i="2"/>
  <c r="O767" i="2" s="1"/>
  <c r="M763" i="2"/>
  <c r="O763" i="2" s="1"/>
  <c r="M759" i="2"/>
  <c r="O759" i="2" s="1"/>
  <c r="M755" i="2"/>
  <c r="O755" i="2" s="1"/>
  <c r="M751" i="2"/>
  <c r="O751" i="2" s="1"/>
  <c r="Q751" i="2" s="1"/>
  <c r="M747" i="2"/>
  <c r="O747" i="2" s="1"/>
  <c r="Q747" i="2" s="1"/>
  <c r="M743" i="2"/>
  <c r="O743" i="2" s="1"/>
  <c r="Q743" i="2" s="1"/>
  <c r="M739" i="2"/>
  <c r="O739" i="2" s="1"/>
  <c r="M735" i="2"/>
  <c r="O735" i="2" s="1"/>
  <c r="M731" i="2"/>
  <c r="O731" i="2" s="1"/>
  <c r="Q731" i="2" s="1"/>
  <c r="M727" i="2"/>
  <c r="O727" i="2" s="1"/>
  <c r="M723" i="2"/>
  <c r="O723" i="2" s="1"/>
  <c r="Q723" i="2" s="1"/>
  <c r="M719" i="2"/>
  <c r="O719" i="2" s="1"/>
  <c r="M715" i="2"/>
  <c r="O715" i="2" s="1"/>
  <c r="M711" i="2"/>
  <c r="O711" i="2" s="1"/>
  <c r="M707" i="2"/>
  <c r="O707" i="2" s="1"/>
  <c r="M703" i="2"/>
  <c r="O703" i="2" s="1"/>
  <c r="M699" i="2"/>
  <c r="O699" i="2" s="1"/>
  <c r="Q699" i="2" s="1"/>
  <c r="M695" i="2"/>
  <c r="O695" i="2" s="1"/>
  <c r="M691" i="2"/>
  <c r="O691" i="2" s="1"/>
  <c r="Q691" i="2" s="1"/>
  <c r="M687" i="2"/>
  <c r="O687" i="2" s="1"/>
  <c r="Q687" i="2" s="1"/>
  <c r="M683" i="2"/>
  <c r="O683" i="2" s="1"/>
  <c r="M679" i="2"/>
  <c r="O679" i="2" s="1"/>
  <c r="Q679" i="2" s="1"/>
  <c r="M675" i="2"/>
  <c r="O675" i="2" s="1"/>
  <c r="M671" i="2"/>
  <c r="O671" i="2" s="1"/>
  <c r="Q671" i="2" s="1"/>
  <c r="M667" i="2"/>
  <c r="O667" i="2" s="1"/>
  <c r="M663" i="2"/>
  <c r="O663" i="2" s="1"/>
  <c r="M659" i="2"/>
  <c r="O659" i="2" s="1"/>
  <c r="Q659" i="2" s="1"/>
  <c r="M653" i="2"/>
  <c r="O653" i="2" s="1"/>
  <c r="M648" i="2"/>
  <c r="O648" i="2" s="1"/>
  <c r="M641" i="2"/>
  <c r="O641" i="2" s="1"/>
  <c r="Q641" i="2" s="1"/>
  <c r="M633" i="2"/>
  <c r="O633" i="2" s="1"/>
  <c r="M625" i="2"/>
  <c r="O625" i="2" s="1"/>
  <c r="Q625" i="2" s="1"/>
  <c r="M617" i="2"/>
  <c r="O617" i="2" s="1"/>
  <c r="Q617" i="2" s="1"/>
  <c r="M609" i="2"/>
  <c r="O609" i="2" s="1"/>
  <c r="M601" i="2"/>
  <c r="O601" i="2" s="1"/>
  <c r="Q601" i="2" s="1"/>
  <c r="M593" i="2"/>
  <c r="O593" i="2" s="1"/>
  <c r="Q593" i="2" s="1"/>
  <c r="M585" i="2"/>
  <c r="O585" i="2" s="1"/>
  <c r="M577" i="2"/>
  <c r="O577" i="2" s="1"/>
  <c r="M569" i="2"/>
  <c r="O569" i="2" s="1"/>
  <c r="M561" i="2"/>
  <c r="O561" i="2" s="1"/>
  <c r="M553" i="2"/>
  <c r="O553" i="2" s="1"/>
  <c r="M545" i="2"/>
  <c r="O545" i="2" s="1"/>
  <c r="Q545" i="2" s="1"/>
  <c r="M537" i="2"/>
  <c r="O537" i="2" s="1"/>
  <c r="M528" i="2"/>
  <c r="O528" i="2" s="1"/>
  <c r="Q528" i="2" s="1"/>
  <c r="M512" i="2"/>
  <c r="O512" i="2" s="1"/>
  <c r="M814" i="2"/>
  <c r="O814" i="2" s="1"/>
  <c r="M810" i="2"/>
  <c r="O810" i="2" s="1"/>
  <c r="Q810" i="2" s="1"/>
  <c r="M806" i="2"/>
  <c r="O806" i="2" s="1"/>
  <c r="M802" i="2"/>
  <c r="O802" i="2" s="1"/>
  <c r="M798" i="2"/>
  <c r="O798" i="2" s="1"/>
  <c r="M794" i="2"/>
  <c r="O794" i="2" s="1"/>
  <c r="M790" i="2"/>
  <c r="O790" i="2" s="1"/>
  <c r="M786" i="2"/>
  <c r="O786" i="2" s="1"/>
  <c r="M782" i="2"/>
  <c r="O782" i="2" s="1"/>
  <c r="M778" i="2"/>
  <c r="O778" i="2" s="1"/>
  <c r="M774" i="2"/>
  <c r="O774" i="2" s="1"/>
  <c r="M770" i="2"/>
  <c r="O770" i="2" s="1"/>
  <c r="Q770" i="2" s="1"/>
  <c r="M766" i="2"/>
  <c r="O766" i="2" s="1"/>
  <c r="M762" i="2"/>
  <c r="O762" i="2" s="1"/>
  <c r="M758" i="2"/>
  <c r="O758" i="2" s="1"/>
  <c r="M754" i="2"/>
  <c r="O754" i="2" s="1"/>
  <c r="M750" i="2"/>
  <c r="O750" i="2" s="1"/>
  <c r="Q750" i="2" s="1"/>
  <c r="M746" i="2"/>
  <c r="O746" i="2" s="1"/>
  <c r="M742" i="2"/>
  <c r="O742" i="2" s="1"/>
  <c r="M738" i="2"/>
  <c r="O738" i="2" s="1"/>
  <c r="M734" i="2"/>
  <c r="O734" i="2" s="1"/>
  <c r="M730" i="2"/>
  <c r="O730" i="2" s="1"/>
  <c r="M726" i="2"/>
  <c r="O726" i="2" s="1"/>
  <c r="Q726" i="2" s="1"/>
  <c r="M722" i="2"/>
  <c r="O722" i="2" s="1"/>
  <c r="Q722" i="2" s="1"/>
  <c r="M718" i="2"/>
  <c r="O718" i="2" s="1"/>
  <c r="M714" i="2"/>
  <c r="O714" i="2" s="1"/>
  <c r="M710" i="2"/>
  <c r="O710" i="2" s="1"/>
  <c r="Q710" i="2" s="1"/>
  <c r="M706" i="2"/>
  <c r="O706" i="2" s="1"/>
  <c r="M702" i="2"/>
  <c r="O702" i="2" s="1"/>
  <c r="Q702" i="2" s="1"/>
  <c r="M698" i="2"/>
  <c r="O698" i="2" s="1"/>
  <c r="M694" i="2"/>
  <c r="O694" i="2" s="1"/>
  <c r="M690" i="2"/>
  <c r="O690" i="2" s="1"/>
  <c r="M686" i="2"/>
  <c r="O686" i="2" s="1"/>
  <c r="Q686" i="2" s="1"/>
  <c r="M682" i="2"/>
  <c r="O682" i="2" s="1"/>
  <c r="M678" i="2"/>
  <c r="O678" i="2" s="1"/>
  <c r="M674" i="2"/>
  <c r="O674" i="2" s="1"/>
  <c r="M670" i="2"/>
  <c r="O670" i="2" s="1"/>
  <c r="M666" i="2"/>
  <c r="O666" i="2" s="1"/>
  <c r="M662" i="2"/>
  <c r="O662" i="2" s="1"/>
  <c r="Q662" i="2" s="1"/>
  <c r="M657" i="2"/>
  <c r="O657" i="2" s="1"/>
  <c r="Q657" i="2" s="1"/>
  <c r="M652" i="2"/>
  <c r="O652" i="2" s="1"/>
  <c r="M647" i="2"/>
  <c r="O647" i="2" s="1"/>
  <c r="M640" i="2"/>
  <c r="O640" i="2" s="1"/>
  <c r="Q640" i="2" s="1"/>
  <c r="M632" i="2"/>
  <c r="O632" i="2" s="1"/>
  <c r="M624" i="2"/>
  <c r="O624" i="2" s="1"/>
  <c r="Q624" i="2" s="1"/>
  <c r="M616" i="2"/>
  <c r="O616" i="2" s="1"/>
  <c r="M608" i="2"/>
  <c r="O608" i="2" s="1"/>
  <c r="M600" i="2"/>
  <c r="O600" i="2" s="1"/>
  <c r="M592" i="2"/>
  <c r="O592" i="2" s="1"/>
  <c r="M584" i="2"/>
  <c r="O584" i="2" s="1"/>
  <c r="M576" i="2"/>
  <c r="O576" i="2" s="1"/>
  <c r="M568" i="2"/>
  <c r="O568" i="2" s="1"/>
  <c r="Q568" i="2" s="1"/>
  <c r="M560" i="2"/>
  <c r="O560" i="2" s="1"/>
  <c r="M552" i="2"/>
  <c r="O552" i="2" s="1"/>
  <c r="M544" i="2"/>
  <c r="O544" i="2" s="1"/>
  <c r="Q544" i="2" s="1"/>
  <c r="M536" i="2"/>
  <c r="O536" i="2" s="1"/>
  <c r="Q536" i="2" s="1"/>
  <c r="M524" i="2"/>
  <c r="O524" i="2" s="1"/>
  <c r="J495" i="2"/>
  <c r="J447" i="2"/>
  <c r="J431" i="2"/>
  <c r="J415" i="2"/>
  <c r="J399" i="2"/>
  <c r="J383" i="2"/>
  <c r="J367" i="2"/>
  <c r="J351" i="2"/>
  <c r="J335" i="2"/>
  <c r="J319" i="2"/>
  <c r="J303" i="2"/>
  <c r="J287" i="2"/>
  <c r="J271" i="2"/>
  <c r="J255" i="2"/>
  <c r="J239" i="2"/>
  <c r="J223" i="2"/>
  <c r="J207" i="2"/>
  <c r="J191" i="2"/>
  <c r="J175" i="2"/>
  <c r="J159" i="2"/>
  <c r="J143" i="2"/>
  <c r="J127" i="2"/>
  <c r="J113" i="2"/>
  <c r="J97" i="2"/>
  <c r="J81" i="2"/>
  <c r="J65" i="2"/>
  <c r="J49" i="2"/>
  <c r="J814" i="2"/>
  <c r="J810" i="2"/>
  <c r="J806" i="2"/>
  <c r="J802" i="2"/>
  <c r="J798" i="2"/>
  <c r="J794" i="2"/>
  <c r="J790" i="2"/>
  <c r="J786" i="2"/>
  <c r="J782" i="2"/>
  <c r="J778" i="2"/>
  <c r="J774" i="2"/>
  <c r="J770" i="2"/>
  <c r="J766" i="2"/>
  <c r="J762" i="2"/>
  <c r="J758" i="2"/>
  <c r="J754" i="2"/>
  <c r="J750" i="2"/>
  <c r="J746" i="2"/>
  <c r="J742" i="2"/>
  <c r="J738" i="2"/>
  <c r="J734" i="2"/>
  <c r="J730" i="2"/>
  <c r="J726" i="2"/>
  <c r="J722" i="2"/>
  <c r="J718" i="2"/>
  <c r="J714" i="2"/>
  <c r="J710" i="2"/>
  <c r="J706" i="2"/>
  <c r="J702" i="2"/>
  <c r="J698" i="2"/>
  <c r="J694" i="2"/>
  <c r="J690" i="2"/>
  <c r="J686" i="2"/>
  <c r="J682" i="2"/>
  <c r="J678" i="2"/>
  <c r="J674" i="2"/>
  <c r="J670" i="2"/>
  <c r="J666" i="2"/>
  <c r="J662" i="2"/>
  <c r="J658" i="2"/>
  <c r="J654" i="2"/>
  <c r="J650" i="2"/>
  <c r="J646" i="2"/>
  <c r="J642" i="2"/>
  <c r="J638" i="2"/>
  <c r="J634" i="2"/>
  <c r="J630" i="2"/>
  <c r="J626" i="2"/>
  <c r="J622" i="2"/>
  <c r="J618" i="2"/>
  <c r="J614" i="2"/>
  <c r="J610" i="2"/>
  <c r="J606" i="2"/>
  <c r="J602" i="2"/>
  <c r="J598" i="2"/>
  <c r="J594" i="2"/>
  <c r="J590" i="2"/>
  <c r="J586" i="2"/>
  <c r="J582" i="2"/>
  <c r="J578" i="2"/>
  <c r="J574" i="2"/>
  <c r="J570" i="2"/>
  <c r="J566" i="2"/>
  <c r="J562" i="2"/>
  <c r="J558" i="2"/>
  <c r="J554" i="2"/>
  <c r="J550" i="2"/>
  <c r="J546" i="2"/>
  <c r="J542" i="2"/>
  <c r="J538" i="2"/>
  <c r="J534" i="2"/>
  <c r="J530" i="2"/>
  <c r="J526" i="2"/>
  <c r="J522" i="2"/>
  <c r="J518" i="2"/>
  <c r="J514" i="2"/>
  <c r="J510" i="2"/>
  <c r="J506" i="2"/>
  <c r="J502" i="2"/>
  <c r="J498" i="2"/>
  <c r="J494" i="2"/>
  <c r="J490" i="2"/>
  <c r="J486" i="2"/>
  <c r="J482" i="2"/>
  <c r="J478" i="2"/>
  <c r="J474" i="2"/>
  <c r="J470" i="2"/>
  <c r="J466" i="2"/>
  <c r="J462" i="2"/>
  <c r="J458" i="2"/>
  <c r="J454" i="2"/>
  <c r="J450" i="2"/>
  <c r="J446" i="2"/>
  <c r="J442" i="2"/>
  <c r="J438" i="2"/>
  <c r="J434" i="2"/>
  <c r="J430" i="2"/>
  <c r="J426" i="2"/>
  <c r="J422" i="2"/>
  <c r="J418" i="2"/>
  <c r="J414" i="2"/>
  <c r="J410" i="2"/>
  <c r="J406" i="2"/>
  <c r="J402" i="2"/>
  <c r="J398" i="2"/>
  <c r="J394" i="2"/>
  <c r="J390" i="2"/>
  <c r="J386" i="2"/>
  <c r="J382" i="2"/>
  <c r="J378" i="2"/>
  <c r="J374" i="2"/>
  <c r="J370" i="2"/>
  <c r="J366" i="2"/>
  <c r="J362" i="2"/>
  <c r="J358" i="2"/>
  <c r="J354" i="2"/>
  <c r="J350" i="2"/>
  <c r="J346" i="2"/>
  <c r="J342" i="2"/>
  <c r="J338" i="2"/>
  <c r="J334" i="2"/>
  <c r="J330" i="2"/>
  <c r="J326" i="2"/>
  <c r="J322" i="2"/>
  <c r="J318" i="2"/>
  <c r="J314" i="2"/>
  <c r="J310" i="2"/>
  <c r="J306" i="2"/>
  <c r="J302" i="2"/>
  <c r="J298" i="2"/>
  <c r="J294" i="2"/>
  <c r="J290" i="2"/>
  <c r="J286" i="2"/>
  <c r="J282" i="2"/>
  <c r="J278" i="2"/>
  <c r="J274" i="2"/>
  <c r="J270" i="2"/>
  <c r="J266" i="2"/>
  <c r="J262" i="2"/>
  <c r="J258" i="2"/>
  <c r="J254" i="2"/>
  <c r="J250" i="2"/>
  <c r="J246" i="2"/>
  <c r="J242" i="2"/>
  <c r="J238" i="2"/>
  <c r="J234" i="2"/>
  <c r="J230" i="2"/>
  <c r="J226" i="2"/>
  <c r="J222" i="2"/>
  <c r="J218" i="2"/>
  <c r="J214" i="2"/>
  <c r="J210" i="2"/>
  <c r="J206" i="2"/>
  <c r="J202" i="2"/>
  <c r="J198" i="2"/>
  <c r="J194" i="2"/>
  <c r="J190" i="2"/>
  <c r="J186" i="2"/>
  <c r="J182" i="2"/>
  <c r="J178" i="2"/>
  <c r="J174" i="2"/>
  <c r="J170" i="2"/>
  <c r="J166" i="2"/>
  <c r="J162" i="2"/>
  <c r="J158" i="2"/>
  <c r="J154" i="2"/>
  <c r="J150" i="2"/>
  <c r="J146" i="2"/>
  <c r="J142" i="2"/>
  <c r="J138" i="2"/>
  <c r="J134" i="2"/>
  <c r="J130" i="2"/>
  <c r="J126" i="2"/>
  <c r="J122" i="2"/>
  <c r="J118" i="2"/>
  <c r="J116" i="2"/>
  <c r="J112" i="2"/>
  <c r="J108" i="2"/>
  <c r="J104" i="2"/>
  <c r="J100" i="2"/>
  <c r="J96" i="2"/>
  <c r="J92" i="2"/>
  <c r="J88" i="2"/>
  <c r="J84" i="2"/>
  <c r="J80" i="2"/>
  <c r="J76" i="2"/>
  <c r="J72" i="2"/>
  <c r="J68" i="2"/>
  <c r="J64" i="2"/>
  <c r="J60" i="2"/>
  <c r="J56" i="2"/>
  <c r="J52" i="2"/>
  <c r="J48" i="2"/>
  <c r="J44" i="2"/>
  <c r="J40" i="2"/>
  <c r="J36" i="2"/>
  <c r="J32" i="2"/>
  <c r="J28" i="2"/>
  <c r="J24" i="2"/>
  <c r="J20" i="2"/>
  <c r="J16" i="2"/>
  <c r="J12" i="2"/>
  <c r="AK9" i="13" l="1"/>
  <c r="AJ18" i="13"/>
  <c r="AG9" i="13"/>
  <c r="AF38" i="13"/>
  <c r="AF35" i="13"/>
  <c r="AF18" i="13"/>
  <c r="AF10" i="13"/>
  <c r="AF22" i="13"/>
  <c r="AF17" i="13"/>
  <c r="AF14" i="13"/>
  <c r="AF19" i="13"/>
  <c r="AF20" i="13"/>
  <c r="AF37" i="13"/>
  <c r="AF34" i="13"/>
  <c r="AF21" i="13"/>
  <c r="AF16" i="13"/>
  <c r="AF13" i="13"/>
  <c r="AF24" i="13"/>
  <c r="AF15" i="13"/>
  <c r="AF11" i="13"/>
  <c r="X18" i="13"/>
  <c r="X26" i="13"/>
  <c r="AH15" i="13"/>
  <c r="AP20" i="13"/>
  <c r="AP27" i="13"/>
  <c r="AP26" i="13"/>
  <c r="AD6" i="13"/>
  <c r="X36" i="13"/>
  <c r="AD17" i="13"/>
  <c r="AD24" i="13"/>
  <c r="X14" i="13"/>
  <c r="X17" i="13"/>
  <c r="Z6" i="13"/>
  <c r="AP13" i="13"/>
  <c r="Z17" i="13"/>
  <c r="Z21" i="13"/>
  <c r="Z28" i="13"/>
  <c r="Z27" i="13"/>
  <c r="AH37" i="13"/>
  <c r="AD18" i="13"/>
  <c r="X7" i="13"/>
  <c r="X35" i="13"/>
  <c r="AN36" i="13"/>
  <c r="AP38" i="13"/>
  <c r="AD16" i="13"/>
  <c r="AD19" i="13"/>
  <c r="V21" i="13"/>
  <c r="AD23" i="13"/>
  <c r="AD25" i="13"/>
  <c r="AD28" i="13"/>
  <c r="AD30" i="13"/>
  <c r="V33" i="13"/>
  <c r="X6" i="13"/>
  <c r="X10" i="13"/>
  <c r="AN14" i="13"/>
  <c r="AN17" i="13"/>
  <c r="X20" i="13"/>
  <c r="AN22" i="13"/>
  <c r="X25" i="13"/>
  <c r="X30" i="13"/>
  <c r="AP7" i="13"/>
  <c r="AP9" i="13"/>
  <c r="AP12" i="13"/>
  <c r="AP14" i="13"/>
  <c r="AH16" i="13"/>
  <c r="Z18" i="13"/>
  <c r="AH20" i="13"/>
  <c r="Z22" i="13"/>
  <c r="Z24" i="13"/>
  <c r="Z26" i="13"/>
  <c r="Z29" i="13"/>
  <c r="AP31" i="13"/>
  <c r="AP33" i="13"/>
  <c r="AB9" i="13"/>
  <c r="AB14" i="13"/>
  <c r="AB17" i="13"/>
  <c r="AB21" i="13"/>
  <c r="AB26" i="13"/>
  <c r="AB31" i="13"/>
  <c r="Z7" i="13"/>
  <c r="Z15" i="13"/>
  <c r="Z23" i="13"/>
  <c r="Z34" i="13"/>
  <c r="AH35" i="13"/>
  <c r="AP36" i="13"/>
  <c r="Z38" i="13"/>
  <c r="AR10" i="13"/>
  <c r="AR18" i="13"/>
  <c r="AB35" i="13"/>
  <c r="AR37" i="13"/>
  <c r="AD11" i="13"/>
  <c r="V23" i="13"/>
  <c r="AD34" i="13"/>
  <c r="V37" i="13"/>
  <c r="AD38" i="13"/>
  <c r="AN39" i="13"/>
  <c r="AN10" i="13"/>
  <c r="X19" i="13"/>
  <c r="AN35" i="13"/>
  <c r="AN38" i="13"/>
  <c r="X24" i="13"/>
  <c r="X32" i="13"/>
  <c r="AP16" i="13"/>
  <c r="AH22" i="13"/>
  <c r="AP29" i="13"/>
  <c r="AH18" i="13"/>
  <c r="AP35" i="13"/>
  <c r="AD26" i="13"/>
  <c r="AD37" i="13"/>
  <c r="X11" i="13"/>
  <c r="X23" i="13"/>
  <c r="AD27" i="13"/>
  <c r="X12" i="13"/>
  <c r="X22" i="13"/>
  <c r="X33" i="13"/>
  <c r="AP11" i="13"/>
  <c r="AP19" i="13"/>
  <c r="Z25" i="13"/>
  <c r="Z30" i="13"/>
  <c r="AP18" i="13"/>
  <c r="Z36" i="13"/>
  <c r="Z39" i="13"/>
  <c r="X27" i="13"/>
  <c r="AH19" i="13"/>
  <c r="AP24" i="13"/>
  <c r="AH10" i="13"/>
  <c r="AH34" i="13"/>
  <c r="AH38" i="13"/>
  <c r="AH39" i="13"/>
  <c r="X39" i="13"/>
  <c r="AD15" i="13"/>
  <c r="AD29" i="13"/>
  <c r="X8" i="13"/>
  <c r="AN15" i="13"/>
  <c r="AN20" i="13"/>
  <c r="X28" i="13"/>
  <c r="AP8" i="13"/>
  <c r="AP15" i="13"/>
  <c r="AP22" i="13"/>
  <c r="AP32" i="13"/>
  <c r="AP10" i="13"/>
  <c r="AP34" i="13"/>
  <c r="X15" i="13"/>
  <c r="X38" i="13"/>
  <c r="AD8" i="13"/>
  <c r="AD10" i="13"/>
  <c r="AD13" i="13"/>
  <c r="V16" i="13"/>
  <c r="V18" i="13"/>
  <c r="AD20" i="13"/>
  <c r="AD22" i="13"/>
  <c r="V25" i="13"/>
  <c r="V28" i="13"/>
  <c r="V30" i="13"/>
  <c r="AD32" i="13"/>
  <c r="AD35" i="13"/>
  <c r="X9" i="13"/>
  <c r="X13" i="13"/>
  <c r="X16" i="13"/>
  <c r="AN19" i="13"/>
  <c r="X21" i="13"/>
  <c r="AN24" i="13"/>
  <c r="X29" i="13"/>
  <c r="X34" i="13"/>
  <c r="AP6" i="13"/>
  <c r="Z9" i="13"/>
  <c r="Z12" i="13"/>
  <c r="Z14" i="13"/>
  <c r="Z16" i="13"/>
  <c r="AP17" i="13"/>
  <c r="Z20" i="13"/>
  <c r="AP21" i="13"/>
  <c r="AP23" i="13"/>
  <c r="AP25" i="13"/>
  <c r="AP28" i="13"/>
  <c r="AP30" i="13"/>
  <c r="Z33" i="13"/>
  <c r="AB8" i="13"/>
  <c r="AB13" i="13"/>
  <c r="AR16" i="13"/>
  <c r="AR20" i="13"/>
  <c r="AB24" i="13"/>
  <c r="AB29" i="13"/>
  <c r="AB34" i="13"/>
  <c r="Z11" i="13"/>
  <c r="Z19" i="13"/>
  <c r="Z31" i="13"/>
  <c r="Z35" i="13"/>
  <c r="AH36" i="13"/>
  <c r="AP37" i="13"/>
  <c r="AB7" i="13"/>
  <c r="AB30" i="13"/>
  <c r="AB37" i="13"/>
  <c r="AB39" i="13"/>
  <c r="V11" i="13"/>
  <c r="V19" i="13"/>
  <c r="V31" i="13"/>
  <c r="AD36" i="13"/>
  <c r="V38" i="13"/>
  <c r="AD39" i="13"/>
  <c r="X31" i="13"/>
  <c r="X37" i="13"/>
  <c r="AP39" i="13"/>
  <c r="P811" i="2" a="1"/>
  <c r="P811" i="2" s="1"/>
  <c r="P795" i="2" a="1"/>
  <c r="P795" i="2" s="1"/>
  <c r="P779" i="2" a="1"/>
  <c r="P779" i="2" s="1"/>
  <c r="P763" i="2" a="1"/>
  <c r="P763" i="2" s="1"/>
  <c r="P747" i="2" a="1"/>
  <c r="P747" i="2" s="1"/>
  <c r="P731" i="2" a="1"/>
  <c r="P731" i="2" s="1"/>
  <c r="P715" i="2" a="1"/>
  <c r="P715" i="2" s="1"/>
  <c r="P699" i="2" a="1"/>
  <c r="P699" i="2" s="1"/>
  <c r="P683" i="2" a="1"/>
  <c r="P683" i="2" s="1"/>
  <c r="P667" i="2" a="1"/>
  <c r="P667" i="2" s="1"/>
  <c r="P651" i="2" a="1"/>
  <c r="P651" i="2" s="1"/>
  <c r="P635" i="2" a="1"/>
  <c r="P635" i="2" s="1"/>
  <c r="P619" i="2" a="1"/>
  <c r="P619" i="2" s="1"/>
  <c r="P603" i="2" a="1"/>
  <c r="P603" i="2" s="1"/>
  <c r="P587" i="2" a="1"/>
  <c r="P587" i="2" s="1"/>
  <c r="P571" i="2" a="1"/>
  <c r="P571" i="2" s="1"/>
  <c r="P555" i="2" a="1"/>
  <c r="P555" i="2" s="1"/>
  <c r="P539" i="2" a="1"/>
  <c r="P539" i="2" s="1"/>
  <c r="P523" i="2" a="1"/>
  <c r="P523" i="2" s="1"/>
  <c r="P507" i="2" a="1"/>
  <c r="P507" i="2" s="1"/>
  <c r="P491" i="2" a="1"/>
  <c r="P491" i="2" s="1"/>
  <c r="P475" i="2" a="1"/>
  <c r="P475" i="2" s="1"/>
  <c r="P5" i="2" a="1"/>
  <c r="P5" i="2" s="1"/>
  <c r="P799" i="2" a="1"/>
  <c r="P799" i="2" s="1"/>
  <c r="P783" i="2" a="1"/>
  <c r="P783" i="2" s="1"/>
  <c r="P767" i="2" a="1"/>
  <c r="P767" i="2" s="1"/>
  <c r="P751" i="2" a="1"/>
  <c r="P751" i="2" s="1"/>
  <c r="P735" i="2" a="1"/>
  <c r="P735" i="2" s="1"/>
  <c r="P719" i="2" a="1"/>
  <c r="P719" i="2" s="1"/>
  <c r="P703" i="2" a="1"/>
  <c r="P703" i="2" s="1"/>
  <c r="Q703" i="2" s="1"/>
  <c r="P687" i="2" a="1"/>
  <c r="P687" i="2" s="1"/>
  <c r="P671" i="2" a="1"/>
  <c r="P671" i="2" s="1"/>
  <c r="P655" i="2" a="1"/>
  <c r="P655" i="2" s="1"/>
  <c r="P639" i="2" a="1"/>
  <c r="P639" i="2" s="1"/>
  <c r="P623" i="2" a="1"/>
  <c r="P623" i="2" s="1"/>
  <c r="P607" i="2" a="1"/>
  <c r="P607" i="2" s="1"/>
  <c r="P591" i="2" a="1"/>
  <c r="P591" i="2" s="1"/>
  <c r="P575" i="2" a="1"/>
  <c r="P575" i="2" s="1"/>
  <c r="P559" i="2" a="1"/>
  <c r="P559" i="2" s="1"/>
  <c r="P543" i="2" a="1"/>
  <c r="P543" i="2" s="1"/>
  <c r="P527" i="2" a="1"/>
  <c r="P527" i="2" s="1"/>
  <c r="P511" i="2" a="1"/>
  <c r="P511" i="2" s="1"/>
  <c r="P495" i="2" a="1"/>
  <c r="P495" i="2" s="1"/>
  <c r="P479" i="2" a="1"/>
  <c r="P479" i="2" s="1"/>
  <c r="P463" i="2" a="1"/>
  <c r="P463" i="2" s="1"/>
  <c r="P447" i="2" a="1"/>
  <c r="P447" i="2" s="1"/>
  <c r="P431" i="2" a="1"/>
  <c r="P431" i="2" s="1"/>
  <c r="P415" i="2" a="1"/>
  <c r="P415" i="2" s="1"/>
  <c r="P399" i="2" a="1"/>
  <c r="P399" i="2" s="1"/>
  <c r="P383" i="2" a="1"/>
  <c r="P383" i="2" s="1"/>
  <c r="P367" i="2" a="1"/>
  <c r="P367" i="2" s="1"/>
  <c r="P351" i="2" a="1"/>
  <c r="P351" i="2" s="1"/>
  <c r="P335" i="2" a="1"/>
  <c r="P335" i="2" s="1"/>
  <c r="P319" i="2" a="1"/>
  <c r="P319" i="2" s="1"/>
  <c r="P303" i="2" a="1"/>
  <c r="P303" i="2" s="1"/>
  <c r="P287" i="2" a="1"/>
  <c r="P287" i="2" s="1"/>
  <c r="P271" i="2" a="1"/>
  <c r="P271" i="2" s="1"/>
  <c r="P255" i="2" a="1"/>
  <c r="P255" i="2" s="1"/>
  <c r="P239" i="2" a="1"/>
  <c r="P239" i="2" s="1"/>
  <c r="P223" i="2" a="1"/>
  <c r="P223" i="2" s="1"/>
  <c r="P207" i="2" a="1"/>
  <c r="P207" i="2" s="1"/>
  <c r="P191" i="2" a="1"/>
  <c r="P191" i="2" s="1"/>
  <c r="P175" i="2" a="1"/>
  <c r="P175" i="2" s="1"/>
  <c r="P158" i="2" a="1"/>
  <c r="P158" i="2" s="1"/>
  <c r="P108" i="2" a="1"/>
  <c r="P108" i="2" s="1"/>
  <c r="P44" i="2" a="1"/>
  <c r="P44" i="2" s="1"/>
  <c r="P802" i="2" a="1"/>
  <c r="P802" i="2" s="1"/>
  <c r="P786" i="2" a="1"/>
  <c r="P786" i="2" s="1"/>
  <c r="P770" i="2" a="1"/>
  <c r="P770" i="2" s="1"/>
  <c r="P754" i="2" a="1"/>
  <c r="P754" i="2" s="1"/>
  <c r="P738" i="2" a="1"/>
  <c r="P738" i="2" s="1"/>
  <c r="P722" i="2" a="1"/>
  <c r="P722" i="2" s="1"/>
  <c r="P706" i="2" a="1"/>
  <c r="P706" i="2" s="1"/>
  <c r="P690" i="2" a="1"/>
  <c r="P690" i="2" s="1"/>
  <c r="P674" i="2" a="1"/>
  <c r="P674" i="2" s="1"/>
  <c r="P658" i="2" a="1"/>
  <c r="P658" i="2" s="1"/>
  <c r="P642" i="2" a="1"/>
  <c r="P642" i="2" s="1"/>
  <c r="P626" i="2" a="1"/>
  <c r="P626" i="2" s="1"/>
  <c r="P610" i="2" a="1"/>
  <c r="P610" i="2" s="1"/>
  <c r="P594" i="2" a="1"/>
  <c r="P594" i="2" s="1"/>
  <c r="P578" i="2" a="1"/>
  <c r="P578" i="2" s="1"/>
  <c r="P562" i="2" a="1"/>
  <c r="P562" i="2" s="1"/>
  <c r="P546" i="2" a="1"/>
  <c r="P546" i="2" s="1"/>
  <c r="P530" i="2" a="1"/>
  <c r="P530" i="2" s="1"/>
  <c r="P514" i="2" a="1"/>
  <c r="P514" i="2" s="1"/>
  <c r="P498" i="2" a="1"/>
  <c r="P498" i="2" s="1"/>
  <c r="P482" i="2" a="1"/>
  <c r="P482" i="2" s="1"/>
  <c r="P466" i="2" a="1"/>
  <c r="P466" i="2" s="1"/>
  <c r="P450" i="2" a="1"/>
  <c r="P450" i="2" s="1"/>
  <c r="Q450" i="2" s="1"/>
  <c r="P434" i="2" a="1"/>
  <c r="P434" i="2" s="1"/>
  <c r="P418" i="2" a="1"/>
  <c r="P418" i="2" s="1"/>
  <c r="P402" i="2" a="1"/>
  <c r="P402" i="2" s="1"/>
  <c r="P386" i="2" a="1"/>
  <c r="P386" i="2" s="1"/>
  <c r="P370" i="2" a="1"/>
  <c r="P370" i="2" s="1"/>
  <c r="P354" i="2" a="1"/>
  <c r="P354" i="2" s="1"/>
  <c r="P338" i="2" a="1"/>
  <c r="P338" i="2" s="1"/>
  <c r="P322" i="2" a="1"/>
  <c r="P322" i="2" s="1"/>
  <c r="P306" i="2" a="1"/>
  <c r="P306" i="2" s="1"/>
  <c r="P290" i="2" a="1"/>
  <c r="P290" i="2" s="1"/>
  <c r="P274" i="2" a="1"/>
  <c r="P274" i="2" s="1"/>
  <c r="P258" i="2" a="1"/>
  <c r="P258" i="2" s="1"/>
  <c r="Q258" i="2" s="1"/>
  <c r="P242" i="2" a="1"/>
  <c r="P242" i="2" s="1"/>
  <c r="P226" i="2" a="1"/>
  <c r="P226" i="2" s="1"/>
  <c r="P210" i="2" a="1"/>
  <c r="P210" i="2" s="1"/>
  <c r="P194" i="2" a="1"/>
  <c r="P194" i="2" s="1"/>
  <c r="P178" i="2" a="1"/>
  <c r="P178" i="2" s="1"/>
  <c r="P162" i="2" a="1"/>
  <c r="P162" i="2" s="1"/>
  <c r="P120" i="2" a="1"/>
  <c r="P120" i="2" s="1"/>
  <c r="P56" i="2" a="1"/>
  <c r="P56" i="2" s="1"/>
  <c r="P813" i="2" a="1"/>
  <c r="P813" i="2" s="1"/>
  <c r="Q813" i="2" s="1"/>
  <c r="P797" i="2" a="1"/>
  <c r="P797" i="2" s="1"/>
  <c r="P781" i="2" a="1"/>
  <c r="P781" i="2" s="1"/>
  <c r="P765" i="2" a="1"/>
  <c r="P765" i="2" s="1"/>
  <c r="Q765" i="2" s="1"/>
  <c r="P749" i="2" a="1"/>
  <c r="P749" i="2" s="1"/>
  <c r="P733" i="2" a="1"/>
  <c r="P733" i="2" s="1"/>
  <c r="P717" i="2" a="1"/>
  <c r="P717" i="2" s="1"/>
  <c r="Q717" i="2" s="1"/>
  <c r="P701" i="2" a="1"/>
  <c r="P701" i="2" s="1"/>
  <c r="Q701" i="2" s="1"/>
  <c r="P685" i="2" a="1"/>
  <c r="P685" i="2" s="1"/>
  <c r="P669" i="2" a="1"/>
  <c r="P669" i="2" s="1"/>
  <c r="P653" i="2" a="1"/>
  <c r="P653" i="2" s="1"/>
  <c r="P637" i="2" a="1"/>
  <c r="P637" i="2" s="1"/>
  <c r="P621" i="2" a="1"/>
  <c r="P621" i="2" s="1"/>
  <c r="P605" i="2" a="1"/>
  <c r="P605" i="2" s="1"/>
  <c r="P589" i="2" a="1"/>
  <c r="P589" i="2" s="1"/>
  <c r="P573" i="2" a="1"/>
  <c r="P573" i="2" s="1"/>
  <c r="P557" i="2" a="1"/>
  <c r="P557" i="2" s="1"/>
  <c r="P541" i="2" a="1"/>
  <c r="P541" i="2" s="1"/>
  <c r="P525" i="2" a="1"/>
  <c r="P525" i="2" s="1"/>
  <c r="P509" i="2" a="1"/>
  <c r="P509" i="2" s="1"/>
  <c r="P493" i="2" a="1"/>
  <c r="P493" i="2" s="1"/>
  <c r="P477" i="2" a="1"/>
  <c r="P477" i="2" s="1"/>
  <c r="P461" i="2" a="1"/>
  <c r="P461" i="2" s="1"/>
  <c r="P445" i="2" a="1"/>
  <c r="P445" i="2" s="1"/>
  <c r="P429" i="2" a="1"/>
  <c r="P429" i="2" s="1"/>
  <c r="P413" i="2" a="1"/>
  <c r="P413" i="2" s="1"/>
  <c r="P397" i="2" a="1"/>
  <c r="P397" i="2" s="1"/>
  <c r="P381" i="2" a="1"/>
  <c r="P381" i="2" s="1"/>
  <c r="P365" i="2" a="1"/>
  <c r="P365" i="2" s="1"/>
  <c r="P349" i="2" a="1"/>
  <c r="P349" i="2" s="1"/>
  <c r="P333" i="2" a="1"/>
  <c r="P333" i="2" s="1"/>
  <c r="P317" i="2" a="1"/>
  <c r="P317" i="2" s="1"/>
  <c r="P301" i="2" a="1"/>
  <c r="P301" i="2" s="1"/>
  <c r="P285" i="2" a="1"/>
  <c r="P285" i="2" s="1"/>
  <c r="P269" i="2" a="1"/>
  <c r="P269" i="2" s="1"/>
  <c r="P253" i="2" a="1"/>
  <c r="P253" i="2" s="1"/>
  <c r="P237" i="2" a="1"/>
  <c r="P237" i="2" s="1"/>
  <c r="P221" i="2" a="1"/>
  <c r="P221" i="2" s="1"/>
  <c r="P205" i="2" a="1"/>
  <c r="P205" i="2" s="1"/>
  <c r="P189" i="2" a="1"/>
  <c r="P189" i="2" s="1"/>
  <c r="Q189" i="2" s="1"/>
  <c r="P173" i="2" a="1"/>
  <c r="P173" i="2" s="1"/>
  <c r="P156" i="2" a="1"/>
  <c r="P156" i="2" s="1"/>
  <c r="P100" i="2" a="1"/>
  <c r="P100" i="2" s="1"/>
  <c r="P36" i="2" a="1"/>
  <c r="P36" i="2" s="1"/>
  <c r="Q635" i="2"/>
  <c r="Q603" i="2"/>
  <c r="Q539" i="2"/>
  <c r="Q491" i="2"/>
  <c r="P804" i="2" a="1"/>
  <c r="P804" i="2" s="1"/>
  <c r="P788" i="2" a="1"/>
  <c r="P788" i="2" s="1"/>
  <c r="P772" i="2" a="1"/>
  <c r="P772" i="2" s="1"/>
  <c r="P756" i="2" a="1"/>
  <c r="P756" i="2" s="1"/>
  <c r="P740" i="2" a="1"/>
  <c r="P740" i="2" s="1"/>
  <c r="P724" i="2" a="1"/>
  <c r="P724" i="2" s="1"/>
  <c r="P708" i="2" a="1"/>
  <c r="P708" i="2" s="1"/>
  <c r="P692" i="2" a="1"/>
  <c r="P692" i="2" s="1"/>
  <c r="P676" i="2" a="1"/>
  <c r="P676" i="2" s="1"/>
  <c r="P660" i="2" a="1"/>
  <c r="P660" i="2" s="1"/>
  <c r="Q660" i="2" s="1"/>
  <c r="P644" i="2" a="1"/>
  <c r="P644" i="2" s="1"/>
  <c r="P628" i="2" a="1"/>
  <c r="P628" i="2" s="1"/>
  <c r="Q628" i="2" s="1"/>
  <c r="P612" i="2" a="1"/>
  <c r="P612" i="2" s="1"/>
  <c r="P596" i="2" a="1"/>
  <c r="P596" i="2" s="1"/>
  <c r="Q596" i="2" s="1"/>
  <c r="P580" i="2" a="1"/>
  <c r="P580" i="2" s="1"/>
  <c r="P564" i="2" a="1"/>
  <c r="P564" i="2" s="1"/>
  <c r="P548" i="2" a="1"/>
  <c r="P548" i="2" s="1"/>
  <c r="P532" i="2" a="1"/>
  <c r="P532" i="2" s="1"/>
  <c r="Q532" i="2" s="1"/>
  <c r="P516" i="2" a="1"/>
  <c r="P516" i="2" s="1"/>
  <c r="P500" i="2" a="1"/>
  <c r="P500" i="2" s="1"/>
  <c r="P484" i="2" a="1"/>
  <c r="P484" i="2" s="1"/>
  <c r="P468" i="2" a="1"/>
  <c r="P468" i="2" s="1"/>
  <c r="P452" i="2" a="1"/>
  <c r="P452" i="2" s="1"/>
  <c r="P436" i="2" a="1"/>
  <c r="P436" i="2" s="1"/>
  <c r="P420" i="2" a="1"/>
  <c r="P420" i="2" s="1"/>
  <c r="Q420" i="2" s="1"/>
  <c r="P404" i="2" a="1"/>
  <c r="P404" i="2" s="1"/>
  <c r="P388" i="2" a="1"/>
  <c r="P388" i="2" s="1"/>
  <c r="P372" i="2" a="1"/>
  <c r="P372" i="2" s="1"/>
  <c r="P356" i="2" a="1"/>
  <c r="P356" i="2" s="1"/>
  <c r="P340" i="2" a="1"/>
  <c r="P340" i="2" s="1"/>
  <c r="P324" i="2" a="1"/>
  <c r="P324" i="2" s="1"/>
  <c r="P308" i="2" a="1"/>
  <c r="P308" i="2" s="1"/>
  <c r="P292" i="2" a="1"/>
  <c r="P292" i="2" s="1"/>
  <c r="P276" i="2" a="1"/>
  <c r="P276" i="2" s="1"/>
  <c r="P260" i="2" a="1"/>
  <c r="P260" i="2" s="1"/>
  <c r="P244" i="2" a="1"/>
  <c r="P244" i="2" s="1"/>
  <c r="P228" i="2" a="1"/>
  <c r="P228" i="2" s="1"/>
  <c r="P212" i="2" a="1"/>
  <c r="P212" i="2" s="1"/>
  <c r="Q212" i="2" s="1"/>
  <c r="P196" i="2" a="1"/>
  <c r="P196" i="2" s="1"/>
  <c r="P180" i="2" a="1"/>
  <c r="P180" i="2" s="1"/>
  <c r="P164" i="2" a="1"/>
  <c r="P164" i="2" s="1"/>
  <c r="P128" i="2" a="1"/>
  <c r="P128" i="2" s="1"/>
  <c r="P64" i="2" a="1"/>
  <c r="P64" i="2" s="1"/>
  <c r="P146" i="2" a="1"/>
  <c r="P146" i="2" s="1"/>
  <c r="P130" i="2" a="1"/>
  <c r="P130" i="2" s="1"/>
  <c r="P114" i="2" a="1"/>
  <c r="P114" i="2" s="1"/>
  <c r="P98" i="2" a="1"/>
  <c r="P98" i="2" s="1"/>
  <c r="P82" i="2" a="1"/>
  <c r="P82" i="2" s="1"/>
  <c r="P66" i="2" a="1"/>
  <c r="P66" i="2" s="1"/>
  <c r="P50" i="2" a="1"/>
  <c r="P50" i="2" s="1"/>
  <c r="P34" i="2" a="1"/>
  <c r="P34" i="2" s="1"/>
  <c r="P18" i="2" a="1"/>
  <c r="P18" i="2" s="1"/>
  <c r="P153" i="2" a="1"/>
  <c r="P153" i="2" s="1"/>
  <c r="P137" i="2" a="1"/>
  <c r="P137" i="2" s="1"/>
  <c r="P121" i="2" a="1"/>
  <c r="P121" i="2" s="1"/>
  <c r="P105" i="2" a="1"/>
  <c r="P105" i="2" s="1"/>
  <c r="P89" i="2" a="1"/>
  <c r="P89" i="2" s="1"/>
  <c r="Q89" i="2" s="1"/>
  <c r="P73" i="2" a="1"/>
  <c r="P73" i="2" s="1"/>
  <c r="P57" i="2" a="1"/>
  <c r="P57" i="2" s="1"/>
  <c r="Q57" i="2" s="1"/>
  <c r="P41" i="2" a="1"/>
  <c r="P41" i="2" s="1"/>
  <c r="P25" i="2" a="1"/>
  <c r="P25" i="2" s="1"/>
  <c r="Q25" i="2" s="1"/>
  <c r="P9" i="2" a="1"/>
  <c r="P9" i="2" s="1"/>
  <c r="P147" i="2" a="1"/>
  <c r="P147" i="2" s="1"/>
  <c r="P131" i="2" a="1"/>
  <c r="P131" i="2" s="1"/>
  <c r="P115" i="2" a="1"/>
  <c r="P115" i="2" s="1"/>
  <c r="P99" i="2" a="1"/>
  <c r="P99" i="2" s="1"/>
  <c r="P83" i="2" a="1"/>
  <c r="P83" i="2" s="1"/>
  <c r="P67" i="2" a="1"/>
  <c r="P67" i="2" s="1"/>
  <c r="P51" i="2" a="1"/>
  <c r="P51" i="2" s="1"/>
  <c r="P35" i="2" a="1"/>
  <c r="P35" i="2" s="1"/>
  <c r="P19" i="2" a="1"/>
  <c r="P19" i="2" s="1"/>
  <c r="Q692" i="2"/>
  <c r="Q738" i="2"/>
  <c r="Q530" i="2"/>
  <c r="P459" i="2" a="1"/>
  <c r="P459" i="2" s="1"/>
  <c r="Q459" i="2" s="1"/>
  <c r="P443" i="2" a="1"/>
  <c r="P443" i="2" s="1"/>
  <c r="P427" i="2" a="1"/>
  <c r="P427" i="2" s="1"/>
  <c r="P411" i="2" a="1"/>
  <c r="P411" i="2" s="1"/>
  <c r="P395" i="2" a="1"/>
  <c r="P395" i="2" s="1"/>
  <c r="P379" i="2" a="1"/>
  <c r="P379" i="2" s="1"/>
  <c r="P363" i="2" a="1"/>
  <c r="P363" i="2" s="1"/>
  <c r="P347" i="2" a="1"/>
  <c r="P347" i="2" s="1"/>
  <c r="P331" i="2" a="1"/>
  <c r="P331" i="2" s="1"/>
  <c r="P315" i="2" a="1"/>
  <c r="P315" i="2" s="1"/>
  <c r="Q315" i="2" s="1"/>
  <c r="P299" i="2" a="1"/>
  <c r="P299" i="2" s="1"/>
  <c r="Q299" i="2" s="1"/>
  <c r="P283" i="2" a="1"/>
  <c r="P283" i="2" s="1"/>
  <c r="P267" i="2" a="1"/>
  <c r="P267" i="2" s="1"/>
  <c r="P251" i="2" a="1"/>
  <c r="P251" i="2" s="1"/>
  <c r="P235" i="2" a="1"/>
  <c r="P235" i="2" s="1"/>
  <c r="Q235" i="2" s="1"/>
  <c r="P219" i="2" a="1"/>
  <c r="P219" i="2" s="1"/>
  <c r="P203" i="2" a="1"/>
  <c r="P203" i="2" s="1"/>
  <c r="P187" i="2" a="1"/>
  <c r="P187" i="2" s="1"/>
  <c r="P171" i="2" a="1"/>
  <c r="P171" i="2" s="1"/>
  <c r="P152" i="2" a="1"/>
  <c r="P152" i="2" s="1"/>
  <c r="P92" i="2" a="1"/>
  <c r="P92" i="2" s="1"/>
  <c r="P28" i="2" a="1"/>
  <c r="P28" i="2" s="1"/>
  <c r="Q356" i="2"/>
  <c r="Q340" i="2"/>
  <c r="P814" i="2" a="1"/>
  <c r="P814" i="2" s="1"/>
  <c r="P798" i="2" a="1"/>
  <c r="P798" i="2" s="1"/>
  <c r="Q798" i="2" s="1"/>
  <c r="Q799" i="2" s="1"/>
  <c r="P782" i="2" a="1"/>
  <c r="P782" i="2" s="1"/>
  <c r="Q782" i="2" s="1"/>
  <c r="Q783" i="2" s="1"/>
  <c r="P766" i="2" a="1"/>
  <c r="P766" i="2" s="1"/>
  <c r="P750" i="2" a="1"/>
  <c r="P750" i="2" s="1"/>
  <c r="P734" i="2" a="1"/>
  <c r="P734" i="2" s="1"/>
  <c r="P718" i="2" a="1"/>
  <c r="P718" i="2" s="1"/>
  <c r="P702" i="2" a="1"/>
  <c r="P702" i="2" s="1"/>
  <c r="P686" i="2" a="1"/>
  <c r="P686" i="2" s="1"/>
  <c r="P670" i="2" a="1"/>
  <c r="P670" i="2" s="1"/>
  <c r="Q670" i="2" s="1"/>
  <c r="P654" i="2" a="1"/>
  <c r="P654" i="2" s="1"/>
  <c r="P638" i="2" a="1"/>
  <c r="P638" i="2" s="1"/>
  <c r="P622" i="2" a="1"/>
  <c r="P622" i="2" s="1"/>
  <c r="P606" i="2" a="1"/>
  <c r="P606" i="2" s="1"/>
  <c r="Q606" i="2" s="1"/>
  <c r="Q607" i="2" s="1"/>
  <c r="P590" i="2" a="1"/>
  <c r="P590" i="2" s="1"/>
  <c r="Q590" i="2" s="1"/>
  <c r="Q591" i="2" s="1"/>
  <c r="P574" i="2" a="1"/>
  <c r="P574" i="2" s="1"/>
  <c r="P558" i="2" a="1"/>
  <c r="P558" i="2" s="1"/>
  <c r="Q558" i="2" s="1"/>
  <c r="Q559" i="2" s="1"/>
  <c r="P542" i="2" a="1"/>
  <c r="P542" i="2" s="1"/>
  <c r="P526" i="2" a="1"/>
  <c r="P526" i="2" s="1"/>
  <c r="P510" i="2" a="1"/>
  <c r="P510" i="2" s="1"/>
  <c r="P494" i="2" a="1"/>
  <c r="P494" i="2" s="1"/>
  <c r="P478" i="2" a="1"/>
  <c r="P478" i="2" s="1"/>
  <c r="P462" i="2" a="1"/>
  <c r="P462" i="2" s="1"/>
  <c r="P446" i="2" a="1"/>
  <c r="P446" i="2" s="1"/>
  <c r="P430" i="2" a="1"/>
  <c r="P430" i="2" s="1"/>
  <c r="P414" i="2" a="1"/>
  <c r="P414" i="2" s="1"/>
  <c r="Q414" i="2" s="1"/>
  <c r="Q415" i="2" s="1"/>
  <c r="P398" i="2" a="1"/>
  <c r="P398" i="2" s="1"/>
  <c r="P382" i="2" a="1"/>
  <c r="P382" i="2" s="1"/>
  <c r="P366" i="2" a="1"/>
  <c r="P366" i="2" s="1"/>
  <c r="P350" i="2" a="1"/>
  <c r="P350" i="2" s="1"/>
  <c r="P334" i="2" a="1"/>
  <c r="P334" i="2" s="1"/>
  <c r="P318" i="2" a="1"/>
  <c r="P318" i="2" s="1"/>
  <c r="P302" i="2" a="1"/>
  <c r="P302" i="2" s="1"/>
  <c r="P286" i="2" a="1"/>
  <c r="P286" i="2" s="1"/>
  <c r="Q286" i="2" s="1"/>
  <c r="P270" i="2" a="1"/>
  <c r="P270" i="2" s="1"/>
  <c r="P254" i="2" a="1"/>
  <c r="P254" i="2" s="1"/>
  <c r="P238" i="2" a="1"/>
  <c r="P238" i="2" s="1"/>
  <c r="P222" i="2" a="1"/>
  <c r="P222" i="2" s="1"/>
  <c r="P206" i="2" a="1"/>
  <c r="P206" i="2" s="1"/>
  <c r="P190" i="2" a="1"/>
  <c r="P190" i="2" s="1"/>
  <c r="P174" i="2" a="1"/>
  <c r="P174" i="2" s="1"/>
  <c r="P157" i="2" a="1"/>
  <c r="P157" i="2" s="1"/>
  <c r="P104" i="2" a="1"/>
  <c r="P104" i="2" s="1"/>
  <c r="P40" i="2" a="1"/>
  <c r="P40" i="2" s="1"/>
  <c r="P809" i="2" a="1"/>
  <c r="P809" i="2" s="1"/>
  <c r="P793" i="2" a="1"/>
  <c r="P793" i="2" s="1"/>
  <c r="P777" i="2" a="1"/>
  <c r="P777" i="2" s="1"/>
  <c r="P761" i="2" a="1"/>
  <c r="P761" i="2" s="1"/>
  <c r="P745" i="2" a="1"/>
  <c r="P745" i="2" s="1"/>
  <c r="P729" i="2" a="1"/>
  <c r="P729" i="2" s="1"/>
  <c r="P713" i="2" a="1"/>
  <c r="P713" i="2" s="1"/>
  <c r="P697" i="2" a="1"/>
  <c r="P697" i="2" s="1"/>
  <c r="P681" i="2" a="1"/>
  <c r="P681" i="2" s="1"/>
  <c r="P665" i="2" a="1"/>
  <c r="P665" i="2" s="1"/>
  <c r="P649" i="2" a="1"/>
  <c r="P649" i="2" s="1"/>
  <c r="P633" i="2" a="1"/>
  <c r="P633" i="2" s="1"/>
  <c r="P617" i="2" a="1"/>
  <c r="P617" i="2" s="1"/>
  <c r="P601" i="2" a="1"/>
  <c r="P601" i="2" s="1"/>
  <c r="P585" i="2" a="1"/>
  <c r="P585" i="2" s="1"/>
  <c r="P569" i="2" a="1"/>
  <c r="P569" i="2" s="1"/>
  <c r="P553" i="2" a="1"/>
  <c r="P553" i="2" s="1"/>
  <c r="P537" i="2" a="1"/>
  <c r="P537" i="2" s="1"/>
  <c r="Q537" i="2" s="1"/>
  <c r="P521" i="2" a="1"/>
  <c r="P521" i="2" s="1"/>
  <c r="P505" i="2" a="1"/>
  <c r="P505" i="2" s="1"/>
  <c r="P489" i="2" a="1"/>
  <c r="P489" i="2" s="1"/>
  <c r="P473" i="2" a="1"/>
  <c r="P473" i="2" s="1"/>
  <c r="P457" i="2" a="1"/>
  <c r="P457" i="2" s="1"/>
  <c r="Q457" i="2" s="1"/>
  <c r="P441" i="2" a="1"/>
  <c r="P441" i="2" s="1"/>
  <c r="P425" i="2" a="1"/>
  <c r="P425" i="2" s="1"/>
  <c r="P409" i="2" a="1"/>
  <c r="P409" i="2" s="1"/>
  <c r="P393" i="2" a="1"/>
  <c r="P393" i="2" s="1"/>
  <c r="P377" i="2" a="1"/>
  <c r="P377" i="2" s="1"/>
  <c r="P361" i="2" a="1"/>
  <c r="P361" i="2" s="1"/>
  <c r="P345" i="2" a="1"/>
  <c r="P345" i="2" s="1"/>
  <c r="P329" i="2" a="1"/>
  <c r="P329" i="2" s="1"/>
  <c r="Q329" i="2" s="1"/>
  <c r="P313" i="2" a="1"/>
  <c r="P313" i="2" s="1"/>
  <c r="P297" i="2" a="1"/>
  <c r="P297" i="2" s="1"/>
  <c r="P281" i="2" a="1"/>
  <c r="P281" i="2" s="1"/>
  <c r="P265" i="2" a="1"/>
  <c r="P265" i="2" s="1"/>
  <c r="P249" i="2" a="1"/>
  <c r="P249" i="2" s="1"/>
  <c r="P233" i="2" a="1"/>
  <c r="P233" i="2" s="1"/>
  <c r="P217" i="2" a="1"/>
  <c r="P217" i="2" s="1"/>
  <c r="P201" i="2" a="1"/>
  <c r="P201" i="2" s="1"/>
  <c r="Q201" i="2" s="1"/>
  <c r="P185" i="2" a="1"/>
  <c r="P185" i="2" s="1"/>
  <c r="P169" i="2" a="1"/>
  <c r="P169" i="2" s="1"/>
  <c r="Q169" i="2" s="1"/>
  <c r="P148" i="2" a="1"/>
  <c r="P148" i="2" s="1"/>
  <c r="P84" i="2" a="1"/>
  <c r="P84" i="2" s="1"/>
  <c r="P20" i="2" a="1"/>
  <c r="P20" i="2" s="1"/>
  <c r="P800" i="2" a="1"/>
  <c r="P800" i="2" s="1"/>
  <c r="P784" i="2" a="1"/>
  <c r="P784" i="2" s="1"/>
  <c r="P768" i="2" a="1"/>
  <c r="P768" i="2" s="1"/>
  <c r="P752" i="2" a="1"/>
  <c r="P752" i="2" s="1"/>
  <c r="P736" i="2" a="1"/>
  <c r="P736" i="2" s="1"/>
  <c r="P720" i="2" a="1"/>
  <c r="P720" i="2" s="1"/>
  <c r="P704" i="2" a="1"/>
  <c r="P704" i="2" s="1"/>
  <c r="P688" i="2" a="1"/>
  <c r="P688" i="2" s="1"/>
  <c r="Q688" i="2" s="1"/>
  <c r="P672" i="2" a="1"/>
  <c r="P672" i="2" s="1"/>
  <c r="P656" i="2" a="1"/>
  <c r="P656" i="2" s="1"/>
  <c r="P640" i="2" a="1"/>
  <c r="P640" i="2" s="1"/>
  <c r="P624" i="2" a="1"/>
  <c r="P624" i="2" s="1"/>
  <c r="P608" i="2" a="1"/>
  <c r="P608" i="2" s="1"/>
  <c r="P592" i="2" a="1"/>
  <c r="P592" i="2" s="1"/>
  <c r="P576" i="2" a="1"/>
  <c r="P576" i="2" s="1"/>
  <c r="Q576" i="2" s="1"/>
  <c r="P560" i="2" a="1"/>
  <c r="P560" i="2" s="1"/>
  <c r="P544" i="2" a="1"/>
  <c r="P544" i="2" s="1"/>
  <c r="P528" i="2" a="1"/>
  <c r="P528" i="2" s="1"/>
  <c r="P512" i="2" a="1"/>
  <c r="P512" i="2" s="1"/>
  <c r="P496" i="2" a="1"/>
  <c r="P496" i="2" s="1"/>
  <c r="Q496" i="2" s="1"/>
  <c r="P480" i="2" a="1"/>
  <c r="P480" i="2" s="1"/>
  <c r="Q480" i="2" s="1"/>
  <c r="P464" i="2" a="1"/>
  <c r="P464" i="2" s="1"/>
  <c r="Q464" i="2" s="1"/>
  <c r="P448" i="2" a="1"/>
  <c r="P448" i="2" s="1"/>
  <c r="P432" i="2" a="1"/>
  <c r="P432" i="2" s="1"/>
  <c r="P416" i="2" a="1"/>
  <c r="P416" i="2" s="1"/>
  <c r="P400" i="2" a="1"/>
  <c r="P400" i="2" s="1"/>
  <c r="P384" i="2" a="1"/>
  <c r="P384" i="2" s="1"/>
  <c r="P368" i="2" a="1"/>
  <c r="P368" i="2" s="1"/>
  <c r="P352" i="2" a="1"/>
  <c r="P352" i="2" s="1"/>
  <c r="P336" i="2" a="1"/>
  <c r="P336" i="2" s="1"/>
  <c r="P320" i="2" a="1"/>
  <c r="P320" i="2" s="1"/>
  <c r="P304" i="2" a="1"/>
  <c r="P304" i="2" s="1"/>
  <c r="Q304" i="2" s="1"/>
  <c r="P288" i="2" a="1"/>
  <c r="P288" i="2" s="1"/>
  <c r="Q288" i="2" s="1"/>
  <c r="P272" i="2" a="1"/>
  <c r="P272" i="2" s="1"/>
  <c r="P256" i="2" a="1"/>
  <c r="P256" i="2" s="1"/>
  <c r="P240" i="2" a="1"/>
  <c r="P240" i="2" s="1"/>
  <c r="P224" i="2" a="1"/>
  <c r="P224" i="2" s="1"/>
  <c r="P208" i="2" a="1"/>
  <c r="P208" i="2" s="1"/>
  <c r="P192" i="2" a="1"/>
  <c r="P192" i="2" s="1"/>
  <c r="P176" i="2" a="1"/>
  <c r="P176" i="2" s="1"/>
  <c r="P160" i="2" a="1"/>
  <c r="P160" i="2" s="1"/>
  <c r="P112" i="2" a="1"/>
  <c r="P112" i="2" s="1"/>
  <c r="P48" i="2" a="1"/>
  <c r="P48" i="2" s="1"/>
  <c r="P142" i="2" a="1"/>
  <c r="P142" i="2" s="1"/>
  <c r="Q142" i="2" s="1"/>
  <c r="P126" i="2" a="1"/>
  <c r="P126" i="2" s="1"/>
  <c r="P110" i="2" a="1"/>
  <c r="P110" i="2" s="1"/>
  <c r="P94" i="2" a="1"/>
  <c r="P94" i="2" s="1"/>
  <c r="P78" i="2" a="1"/>
  <c r="P78" i="2" s="1"/>
  <c r="P62" i="2" a="1"/>
  <c r="P62" i="2" s="1"/>
  <c r="P46" i="2" a="1"/>
  <c r="P46" i="2" s="1"/>
  <c r="P30" i="2" a="1"/>
  <c r="P30" i="2" s="1"/>
  <c r="P14" i="2" a="1"/>
  <c r="P14" i="2" s="1"/>
  <c r="P149" i="2" a="1"/>
  <c r="P149" i="2" s="1"/>
  <c r="P133" i="2" a="1"/>
  <c r="P133" i="2" s="1"/>
  <c r="P117" i="2" a="1"/>
  <c r="P117" i="2" s="1"/>
  <c r="P101" i="2" a="1"/>
  <c r="P101" i="2" s="1"/>
  <c r="Q101" i="2" s="1"/>
  <c r="P85" i="2" a="1"/>
  <c r="P85" i="2" s="1"/>
  <c r="P69" i="2" a="1"/>
  <c r="P69" i="2" s="1"/>
  <c r="P53" i="2" a="1"/>
  <c r="P53" i="2" s="1"/>
  <c r="P37" i="2" a="1"/>
  <c r="P37" i="2" s="1"/>
  <c r="P21" i="2" a="1"/>
  <c r="P21" i="2" s="1"/>
  <c r="P159" i="2" a="1"/>
  <c r="P159" i="2" s="1"/>
  <c r="P143" i="2" a="1"/>
  <c r="P143" i="2" s="1"/>
  <c r="P127" i="2" a="1"/>
  <c r="P127" i="2" s="1"/>
  <c r="P111" i="2" a="1"/>
  <c r="P111" i="2" s="1"/>
  <c r="P95" i="2" a="1"/>
  <c r="P95" i="2" s="1"/>
  <c r="P79" i="2" a="1"/>
  <c r="P79" i="2" s="1"/>
  <c r="P63" i="2" a="1"/>
  <c r="P63" i="2" s="1"/>
  <c r="P47" i="2" a="1"/>
  <c r="P47" i="2" s="1"/>
  <c r="P31" i="2" a="1"/>
  <c r="P31" i="2" s="1"/>
  <c r="P15" i="2" a="1"/>
  <c r="P15" i="2" s="1"/>
  <c r="Q594" i="2"/>
  <c r="Q626" i="2"/>
  <c r="Q510" i="2"/>
  <c r="Q511" i="2" s="1"/>
  <c r="Q512" i="2" s="1"/>
  <c r="P807" i="2" a="1"/>
  <c r="P807" i="2" s="1"/>
  <c r="P791" i="2" a="1"/>
  <c r="P791" i="2" s="1"/>
  <c r="P775" i="2" a="1"/>
  <c r="P775" i="2" s="1"/>
  <c r="P759" i="2" a="1"/>
  <c r="P759" i="2" s="1"/>
  <c r="P743" i="2" a="1"/>
  <c r="P743" i="2" s="1"/>
  <c r="P727" i="2" a="1"/>
  <c r="P727" i="2" s="1"/>
  <c r="Q727" i="2" s="1"/>
  <c r="P711" i="2" a="1"/>
  <c r="P711" i="2" s="1"/>
  <c r="Q711" i="2" s="1"/>
  <c r="P695" i="2" a="1"/>
  <c r="P695" i="2" s="1"/>
  <c r="P679" i="2" a="1"/>
  <c r="P679" i="2" s="1"/>
  <c r="P663" i="2" a="1"/>
  <c r="P663" i="2" s="1"/>
  <c r="Q663" i="2" s="1"/>
  <c r="P647" i="2" a="1"/>
  <c r="P647" i="2" s="1"/>
  <c r="Q647" i="2" s="1"/>
  <c r="P631" i="2" a="1"/>
  <c r="P631" i="2" s="1"/>
  <c r="P615" i="2" a="1"/>
  <c r="P615" i="2" s="1"/>
  <c r="P599" i="2" a="1"/>
  <c r="P599" i="2" s="1"/>
  <c r="P583" i="2" a="1"/>
  <c r="P583" i="2" s="1"/>
  <c r="P567" i="2" a="1"/>
  <c r="P567" i="2" s="1"/>
  <c r="P551" i="2" a="1"/>
  <c r="P551" i="2" s="1"/>
  <c r="Q551" i="2" s="1"/>
  <c r="P535" i="2" a="1"/>
  <c r="P535" i="2" s="1"/>
  <c r="P519" i="2" a="1"/>
  <c r="P519" i="2" s="1"/>
  <c r="P503" i="2" a="1"/>
  <c r="P503" i="2" s="1"/>
  <c r="P487" i="2" a="1"/>
  <c r="P487" i="2" s="1"/>
  <c r="P471" i="2" a="1"/>
  <c r="P471" i="2" s="1"/>
  <c r="P455" i="2" a="1"/>
  <c r="P455" i="2" s="1"/>
  <c r="Q455" i="2" s="1"/>
  <c r="P439" i="2" a="1"/>
  <c r="P439" i="2" s="1"/>
  <c r="P423" i="2" a="1"/>
  <c r="P423" i="2" s="1"/>
  <c r="P407" i="2" a="1"/>
  <c r="P407" i="2" s="1"/>
  <c r="P391" i="2" a="1"/>
  <c r="P391" i="2" s="1"/>
  <c r="P375" i="2" a="1"/>
  <c r="P375" i="2" s="1"/>
  <c r="Q375" i="2" s="1"/>
  <c r="P359" i="2" a="1"/>
  <c r="P359" i="2" s="1"/>
  <c r="P343" i="2" a="1"/>
  <c r="P343" i="2" s="1"/>
  <c r="P327" i="2" a="1"/>
  <c r="P327" i="2" s="1"/>
  <c r="P311" i="2" a="1"/>
  <c r="P311" i="2" s="1"/>
  <c r="P295" i="2" a="1"/>
  <c r="P295" i="2" s="1"/>
  <c r="P279" i="2" a="1"/>
  <c r="P279" i="2" s="1"/>
  <c r="Q279" i="2" s="1"/>
  <c r="P263" i="2" a="1"/>
  <c r="P263" i="2" s="1"/>
  <c r="P247" i="2" a="1"/>
  <c r="P247" i="2" s="1"/>
  <c r="P231" i="2" a="1"/>
  <c r="P231" i="2" s="1"/>
  <c r="P215" i="2" a="1"/>
  <c r="P215" i="2" s="1"/>
  <c r="P199" i="2" a="1"/>
  <c r="P199" i="2" s="1"/>
  <c r="P183" i="2" a="1"/>
  <c r="P183" i="2" s="1"/>
  <c r="P167" i="2" a="1"/>
  <c r="P167" i="2" s="1"/>
  <c r="Q167" i="2" s="1"/>
  <c r="P140" i="2" a="1"/>
  <c r="P140" i="2" s="1"/>
  <c r="P76" i="2" a="1"/>
  <c r="P76" i="2" s="1"/>
  <c r="P12" i="2" a="1"/>
  <c r="P12" i="2" s="1"/>
  <c r="Q224" i="2"/>
  <c r="P810" i="2" a="1"/>
  <c r="P810" i="2" s="1"/>
  <c r="P794" i="2" a="1"/>
  <c r="P794" i="2" s="1"/>
  <c r="P778" i="2" a="1"/>
  <c r="P778" i="2" s="1"/>
  <c r="P762" i="2" a="1"/>
  <c r="P762" i="2" s="1"/>
  <c r="P746" i="2" a="1"/>
  <c r="P746" i="2" s="1"/>
  <c r="Q746" i="2" s="1"/>
  <c r="P730" i="2" a="1"/>
  <c r="P730" i="2" s="1"/>
  <c r="P714" i="2" a="1"/>
  <c r="P714" i="2" s="1"/>
  <c r="P698" i="2" a="1"/>
  <c r="P698" i="2" s="1"/>
  <c r="P682" i="2" a="1"/>
  <c r="P682" i="2" s="1"/>
  <c r="P666" i="2" a="1"/>
  <c r="P666" i="2" s="1"/>
  <c r="P650" i="2" a="1"/>
  <c r="P650" i="2" s="1"/>
  <c r="P634" i="2" a="1"/>
  <c r="P634" i="2" s="1"/>
  <c r="P618" i="2" a="1"/>
  <c r="P618" i="2" s="1"/>
  <c r="Q618" i="2" s="1"/>
  <c r="Q619" i="2" s="1"/>
  <c r="P602" i="2" a="1"/>
  <c r="P602" i="2" s="1"/>
  <c r="P586" i="2" a="1"/>
  <c r="P586" i="2" s="1"/>
  <c r="P570" i="2" a="1"/>
  <c r="P570" i="2" s="1"/>
  <c r="P554" i="2" a="1"/>
  <c r="P554" i="2" s="1"/>
  <c r="P538" i="2" a="1"/>
  <c r="P538" i="2" s="1"/>
  <c r="P522" i="2" a="1"/>
  <c r="P522" i="2" s="1"/>
  <c r="P506" i="2" a="1"/>
  <c r="P506" i="2" s="1"/>
  <c r="Q506" i="2" s="1"/>
  <c r="P490" i="2" a="1"/>
  <c r="P490" i="2" s="1"/>
  <c r="P474" i="2" a="1"/>
  <c r="P474" i="2" s="1"/>
  <c r="Q474" i="2" s="1"/>
  <c r="P458" i="2" a="1"/>
  <c r="P458" i="2" s="1"/>
  <c r="P442" i="2" a="1"/>
  <c r="P442" i="2" s="1"/>
  <c r="Q442" i="2" s="1"/>
  <c r="Q443" i="2" s="1"/>
  <c r="P426" i="2" a="1"/>
  <c r="P426" i="2" s="1"/>
  <c r="P410" i="2" a="1"/>
  <c r="P410" i="2" s="1"/>
  <c r="P394" i="2" a="1"/>
  <c r="P394" i="2" s="1"/>
  <c r="P378" i="2" a="1"/>
  <c r="P378" i="2" s="1"/>
  <c r="P362" i="2" a="1"/>
  <c r="P362" i="2" s="1"/>
  <c r="P346" i="2" a="1"/>
  <c r="P346" i="2" s="1"/>
  <c r="Q346" i="2" s="1"/>
  <c r="P330" i="2" a="1"/>
  <c r="P330" i="2" s="1"/>
  <c r="P314" i="2" a="1"/>
  <c r="P314" i="2" s="1"/>
  <c r="P298" i="2" a="1"/>
  <c r="P298" i="2" s="1"/>
  <c r="P282" i="2" a="1"/>
  <c r="P282" i="2" s="1"/>
  <c r="P266" i="2" a="1"/>
  <c r="P266" i="2" s="1"/>
  <c r="Q266" i="2" s="1"/>
  <c r="Q267" i="2" s="1"/>
  <c r="P250" i="2" a="1"/>
  <c r="P250" i="2" s="1"/>
  <c r="P234" i="2" a="1"/>
  <c r="P234" i="2" s="1"/>
  <c r="P218" i="2" a="1"/>
  <c r="P218" i="2" s="1"/>
  <c r="P202" i="2" a="1"/>
  <c r="P202" i="2" s="1"/>
  <c r="P186" i="2" a="1"/>
  <c r="P186" i="2" s="1"/>
  <c r="P170" i="2" a="1"/>
  <c r="P170" i="2" s="1"/>
  <c r="P150" i="2" a="1"/>
  <c r="P150" i="2" s="1"/>
  <c r="P88" i="2" a="1"/>
  <c r="P88" i="2" s="1"/>
  <c r="P24" i="2" a="1"/>
  <c r="P24" i="2" s="1"/>
  <c r="P805" i="2" a="1"/>
  <c r="P805" i="2" s="1"/>
  <c r="P789" i="2" a="1"/>
  <c r="P789" i="2" s="1"/>
  <c r="P773" i="2" a="1"/>
  <c r="P773" i="2" s="1"/>
  <c r="Q773" i="2" s="1"/>
  <c r="P757" i="2" a="1"/>
  <c r="P757" i="2" s="1"/>
  <c r="P741" i="2" a="1"/>
  <c r="P741" i="2" s="1"/>
  <c r="P725" i="2" a="1"/>
  <c r="P725" i="2" s="1"/>
  <c r="Q725" i="2" s="1"/>
  <c r="P709" i="2" a="1"/>
  <c r="P709" i="2" s="1"/>
  <c r="Q709" i="2" s="1"/>
  <c r="P693" i="2" a="1"/>
  <c r="P693" i="2" s="1"/>
  <c r="P677" i="2" a="1"/>
  <c r="P677" i="2" s="1"/>
  <c r="P661" i="2" a="1"/>
  <c r="P661" i="2" s="1"/>
  <c r="P645" i="2" a="1"/>
  <c r="P645" i="2" s="1"/>
  <c r="P629" i="2" a="1"/>
  <c r="P629" i="2" s="1"/>
  <c r="P613" i="2" a="1"/>
  <c r="P613" i="2" s="1"/>
  <c r="Q613" i="2" s="1"/>
  <c r="P597" i="2" a="1"/>
  <c r="P597" i="2" s="1"/>
  <c r="P581" i="2" a="1"/>
  <c r="P581" i="2" s="1"/>
  <c r="P565" i="2" a="1"/>
  <c r="P565" i="2" s="1"/>
  <c r="P549" i="2" a="1"/>
  <c r="P549" i="2" s="1"/>
  <c r="P533" i="2" a="1"/>
  <c r="P533" i="2" s="1"/>
  <c r="P517" i="2" a="1"/>
  <c r="P517" i="2" s="1"/>
  <c r="P501" i="2" a="1"/>
  <c r="P501" i="2" s="1"/>
  <c r="P485" i="2" a="1"/>
  <c r="P485" i="2" s="1"/>
  <c r="P469" i="2" a="1"/>
  <c r="P469" i="2" s="1"/>
  <c r="P453" i="2" a="1"/>
  <c r="P453" i="2" s="1"/>
  <c r="Q453" i="2" s="1"/>
  <c r="P437" i="2" a="1"/>
  <c r="P437" i="2" s="1"/>
  <c r="Q437" i="2" s="1"/>
  <c r="P421" i="2" a="1"/>
  <c r="P421" i="2" s="1"/>
  <c r="P405" i="2" a="1"/>
  <c r="P405" i="2" s="1"/>
  <c r="P389" i="2" a="1"/>
  <c r="P389" i="2" s="1"/>
  <c r="Q389" i="2" s="1"/>
  <c r="P373" i="2" a="1"/>
  <c r="P373" i="2" s="1"/>
  <c r="Q373" i="2" s="1"/>
  <c r="P357" i="2" a="1"/>
  <c r="P357" i="2" s="1"/>
  <c r="P341" i="2" a="1"/>
  <c r="P341" i="2" s="1"/>
  <c r="P325" i="2" a="1"/>
  <c r="P325" i="2" s="1"/>
  <c r="P309" i="2" a="1"/>
  <c r="P309" i="2" s="1"/>
  <c r="P293" i="2" a="1"/>
  <c r="P293" i="2" s="1"/>
  <c r="P277" i="2" a="1"/>
  <c r="P277" i="2" s="1"/>
  <c r="Q277" i="2" s="1"/>
  <c r="P261" i="2" a="1"/>
  <c r="P261" i="2" s="1"/>
  <c r="P245" i="2" a="1"/>
  <c r="P245" i="2" s="1"/>
  <c r="P229" i="2" a="1"/>
  <c r="P229" i="2" s="1"/>
  <c r="P213" i="2" a="1"/>
  <c r="P213" i="2" s="1"/>
  <c r="P197" i="2" a="1"/>
  <c r="P197" i="2" s="1"/>
  <c r="P181" i="2" a="1"/>
  <c r="P181" i="2" s="1"/>
  <c r="P165" i="2" a="1"/>
  <c r="P165" i="2" s="1"/>
  <c r="P132" i="2" a="1"/>
  <c r="P132" i="2" s="1"/>
  <c r="P68" i="2" a="1"/>
  <c r="P68" i="2" s="1"/>
  <c r="Q68" i="2" s="1"/>
  <c r="Q338" i="2"/>
  <c r="Q226" i="2"/>
  <c r="Q115" i="2"/>
  <c r="Q99" i="2"/>
  <c r="Q82" i="2"/>
  <c r="Q83" i="2" s="1"/>
  <c r="Q84" i="2" s="1"/>
  <c r="Q85" i="2" s="1"/>
  <c r="Q35" i="2"/>
  <c r="P812" i="2" a="1"/>
  <c r="P812" i="2" s="1"/>
  <c r="P796" i="2" a="1"/>
  <c r="P796" i="2" s="1"/>
  <c r="P780" i="2" a="1"/>
  <c r="P780" i="2" s="1"/>
  <c r="P764" i="2" a="1"/>
  <c r="P764" i="2" s="1"/>
  <c r="P748" i="2" a="1"/>
  <c r="P748" i="2" s="1"/>
  <c r="P732" i="2" a="1"/>
  <c r="P732" i="2" s="1"/>
  <c r="Q732" i="2" s="1"/>
  <c r="P716" i="2" a="1"/>
  <c r="P716" i="2" s="1"/>
  <c r="P700" i="2" a="1"/>
  <c r="P700" i="2" s="1"/>
  <c r="P684" i="2" a="1"/>
  <c r="P684" i="2" s="1"/>
  <c r="P668" i="2" a="1"/>
  <c r="P668" i="2" s="1"/>
  <c r="P652" i="2" a="1"/>
  <c r="P652" i="2" s="1"/>
  <c r="Q652" i="2" s="1"/>
  <c r="Q653" i="2" s="1"/>
  <c r="Q654" i="2" s="1"/>
  <c r="Q655" i="2" s="1"/>
  <c r="Q656" i="2" s="1"/>
  <c r="P636" i="2" a="1"/>
  <c r="P636" i="2" s="1"/>
  <c r="P620" i="2" a="1"/>
  <c r="P620" i="2" s="1"/>
  <c r="P604" i="2" a="1"/>
  <c r="P604" i="2" s="1"/>
  <c r="P588" i="2" a="1"/>
  <c r="P588" i="2" s="1"/>
  <c r="P572" i="2" a="1"/>
  <c r="P572" i="2" s="1"/>
  <c r="Q572" i="2" s="1"/>
  <c r="P556" i="2" a="1"/>
  <c r="P556" i="2" s="1"/>
  <c r="P540" i="2" a="1"/>
  <c r="P540" i="2" s="1"/>
  <c r="P524" i="2" a="1"/>
  <c r="P524" i="2" s="1"/>
  <c r="P508" i="2" a="1"/>
  <c r="P508" i="2" s="1"/>
  <c r="P492" i="2" a="1"/>
  <c r="P492" i="2" s="1"/>
  <c r="P476" i="2" a="1"/>
  <c r="P476" i="2" s="1"/>
  <c r="P460" i="2" a="1"/>
  <c r="P460" i="2" s="1"/>
  <c r="P444" i="2" a="1"/>
  <c r="P444" i="2" s="1"/>
  <c r="P428" i="2" a="1"/>
  <c r="P428" i="2" s="1"/>
  <c r="P412" i="2" a="1"/>
  <c r="P412" i="2" s="1"/>
  <c r="P396" i="2" a="1"/>
  <c r="P396" i="2" s="1"/>
  <c r="P380" i="2" a="1"/>
  <c r="P380" i="2" s="1"/>
  <c r="P364" i="2" a="1"/>
  <c r="P364" i="2" s="1"/>
  <c r="P348" i="2" a="1"/>
  <c r="P348" i="2" s="1"/>
  <c r="P332" i="2" a="1"/>
  <c r="P332" i="2" s="1"/>
  <c r="P316" i="2" a="1"/>
  <c r="P316" i="2" s="1"/>
  <c r="P300" i="2" a="1"/>
  <c r="P300" i="2" s="1"/>
  <c r="P284" i="2" a="1"/>
  <c r="P284" i="2" s="1"/>
  <c r="P268" i="2" a="1"/>
  <c r="P268" i="2" s="1"/>
  <c r="P252" i="2" a="1"/>
  <c r="P252" i="2" s="1"/>
  <c r="Q252" i="2" s="1"/>
  <c r="Q253" i="2" s="1"/>
  <c r="Q254" i="2" s="1"/>
  <c r="Q255" i="2" s="1"/>
  <c r="P236" i="2" a="1"/>
  <c r="P236" i="2" s="1"/>
  <c r="P220" i="2" a="1"/>
  <c r="P220" i="2" s="1"/>
  <c r="Q220" i="2" s="1"/>
  <c r="Q221" i="2" s="1"/>
  <c r="P204" i="2" a="1"/>
  <c r="P204" i="2" s="1"/>
  <c r="Q204" i="2" s="1"/>
  <c r="P188" i="2" a="1"/>
  <c r="P188" i="2" s="1"/>
  <c r="P172" i="2" a="1"/>
  <c r="P172" i="2" s="1"/>
  <c r="P154" i="2" a="1"/>
  <c r="P154" i="2" s="1"/>
  <c r="P96" i="2" a="1"/>
  <c r="P96" i="2" s="1"/>
  <c r="P32" i="2" a="1"/>
  <c r="P32" i="2" s="1"/>
  <c r="P138" i="2" a="1"/>
  <c r="P138" i="2" s="1"/>
  <c r="Q138" i="2" s="1"/>
  <c r="P122" i="2" a="1"/>
  <c r="P122" i="2" s="1"/>
  <c r="P106" i="2" a="1"/>
  <c r="P106" i="2" s="1"/>
  <c r="Q106" i="2" s="1"/>
  <c r="P90" i="2" a="1"/>
  <c r="P90" i="2" s="1"/>
  <c r="P74" i="2" a="1"/>
  <c r="P74" i="2" s="1"/>
  <c r="P58" i="2" a="1"/>
  <c r="P58" i="2" s="1"/>
  <c r="P42" i="2" a="1"/>
  <c r="P42" i="2" s="1"/>
  <c r="Q42" i="2" s="1"/>
  <c r="P26" i="2" a="1"/>
  <c r="P26" i="2" s="1"/>
  <c r="P10" i="2" a="1"/>
  <c r="P10" i="2" s="1"/>
  <c r="P145" i="2" a="1"/>
  <c r="P145" i="2" s="1"/>
  <c r="P129" i="2" a="1"/>
  <c r="P129" i="2" s="1"/>
  <c r="P113" i="2" a="1"/>
  <c r="P113" i="2" s="1"/>
  <c r="P97" i="2" a="1"/>
  <c r="P97" i="2" s="1"/>
  <c r="Q97" i="2" s="1"/>
  <c r="P81" i="2" a="1"/>
  <c r="P81" i="2" s="1"/>
  <c r="P65" i="2" a="1"/>
  <c r="P65" i="2" s="1"/>
  <c r="P49" i="2" a="1"/>
  <c r="P49" i="2" s="1"/>
  <c r="P33" i="2" a="1"/>
  <c r="P33" i="2" s="1"/>
  <c r="Q33" i="2" s="1"/>
  <c r="P17" i="2" a="1"/>
  <c r="P17" i="2" s="1"/>
  <c r="P155" i="2" a="1"/>
  <c r="P155" i="2" s="1"/>
  <c r="Q155" i="2" s="1"/>
  <c r="Q156" i="2" s="1"/>
  <c r="Q157" i="2" s="1"/>
  <c r="Q158" i="2" s="1"/>
  <c r="Q159" i="2" s="1"/>
  <c r="P139" i="2" a="1"/>
  <c r="P139" i="2" s="1"/>
  <c r="P123" i="2" a="1"/>
  <c r="P123" i="2" s="1"/>
  <c r="P107" i="2" a="1"/>
  <c r="P107" i="2" s="1"/>
  <c r="P91" i="2" a="1"/>
  <c r="P91" i="2" s="1"/>
  <c r="P75" i="2" a="1"/>
  <c r="P75" i="2" s="1"/>
  <c r="P59" i="2" a="1"/>
  <c r="P59" i="2" s="1"/>
  <c r="Q59" i="2" s="1"/>
  <c r="P43" i="2" a="1"/>
  <c r="P43" i="2" s="1"/>
  <c r="P27" i="2" a="1"/>
  <c r="P27" i="2" s="1"/>
  <c r="P11" i="2" a="1"/>
  <c r="P11" i="2" s="1"/>
  <c r="Q811" i="2"/>
  <c r="Q569" i="2"/>
  <c r="Q570" i="2" s="1"/>
  <c r="Q516" i="2"/>
  <c r="Q748" i="2"/>
  <c r="Q549" i="2"/>
  <c r="Q645" i="2"/>
  <c r="Q666" i="2"/>
  <c r="Q667" i="2" s="1"/>
  <c r="Q778" i="2"/>
  <c r="Q779" i="2" s="1"/>
  <c r="Q793" i="2"/>
  <c r="Q794" i="2" s="1"/>
  <c r="Q795" i="2" s="1"/>
  <c r="Q796" i="2" s="1"/>
  <c r="Q809" i="2"/>
  <c r="Q522" i="2"/>
  <c r="Q523" i="2" s="1"/>
  <c r="P803" i="2" a="1"/>
  <c r="P803" i="2" s="1"/>
  <c r="P787" i="2" a="1"/>
  <c r="P787" i="2" s="1"/>
  <c r="P771" i="2" a="1"/>
  <c r="P771" i="2" s="1"/>
  <c r="P755" i="2" a="1"/>
  <c r="P755" i="2" s="1"/>
  <c r="P739" i="2" a="1"/>
  <c r="P739" i="2" s="1"/>
  <c r="P723" i="2" a="1"/>
  <c r="P723" i="2" s="1"/>
  <c r="P707" i="2" a="1"/>
  <c r="P707" i="2" s="1"/>
  <c r="P691" i="2" a="1"/>
  <c r="P691" i="2" s="1"/>
  <c r="P675" i="2" a="1"/>
  <c r="P675" i="2" s="1"/>
  <c r="P659" i="2" a="1"/>
  <c r="P659" i="2" s="1"/>
  <c r="P643" i="2" a="1"/>
  <c r="P643" i="2" s="1"/>
  <c r="Q643" i="2" s="1"/>
  <c r="P627" i="2" a="1"/>
  <c r="P627" i="2" s="1"/>
  <c r="P611" i="2" a="1"/>
  <c r="P611" i="2" s="1"/>
  <c r="Q611" i="2" s="1"/>
  <c r="P595" i="2" a="1"/>
  <c r="P595" i="2" s="1"/>
  <c r="P579" i="2" a="1"/>
  <c r="P579" i="2" s="1"/>
  <c r="P563" i="2" a="1"/>
  <c r="P563" i="2" s="1"/>
  <c r="P547" i="2" a="1"/>
  <c r="P547" i="2" s="1"/>
  <c r="Q547" i="2" s="1"/>
  <c r="P531" i="2" a="1"/>
  <c r="P531" i="2" s="1"/>
  <c r="P515" i="2" a="1"/>
  <c r="P515" i="2" s="1"/>
  <c r="P499" i="2" a="1"/>
  <c r="P499" i="2" s="1"/>
  <c r="P483" i="2" a="1"/>
  <c r="P483" i="2" s="1"/>
  <c r="P467" i="2" a="1"/>
  <c r="P467" i="2" s="1"/>
  <c r="P451" i="2" a="1"/>
  <c r="P451" i="2" s="1"/>
  <c r="P435" i="2" a="1"/>
  <c r="P435" i="2" s="1"/>
  <c r="P419" i="2" a="1"/>
  <c r="P419" i="2" s="1"/>
  <c r="P403" i="2" a="1"/>
  <c r="P403" i="2" s="1"/>
  <c r="P387" i="2" a="1"/>
  <c r="P387" i="2" s="1"/>
  <c r="P371" i="2" a="1"/>
  <c r="P371" i="2" s="1"/>
  <c r="Q371" i="2" s="1"/>
  <c r="P355" i="2" a="1"/>
  <c r="P355" i="2" s="1"/>
  <c r="P339" i="2" a="1"/>
  <c r="P339" i="2" s="1"/>
  <c r="P323" i="2" a="1"/>
  <c r="P323" i="2" s="1"/>
  <c r="P307" i="2" a="1"/>
  <c r="P307" i="2" s="1"/>
  <c r="P291" i="2" a="1"/>
  <c r="P291" i="2" s="1"/>
  <c r="P275" i="2" a="1"/>
  <c r="P275" i="2" s="1"/>
  <c r="P259" i="2" a="1"/>
  <c r="P259" i="2" s="1"/>
  <c r="P243" i="2" a="1"/>
  <c r="P243" i="2" s="1"/>
  <c r="Q243" i="2" s="1"/>
  <c r="Q244" i="2" s="1"/>
  <c r="P227" i="2" a="1"/>
  <c r="P227" i="2" s="1"/>
  <c r="P211" i="2" a="1"/>
  <c r="P211" i="2" s="1"/>
  <c r="P195" i="2" a="1"/>
  <c r="P195" i="2" s="1"/>
  <c r="P179" i="2" a="1"/>
  <c r="P179" i="2" s="1"/>
  <c r="P163" i="2" a="1"/>
  <c r="P163" i="2" s="1"/>
  <c r="Q163" i="2" s="1"/>
  <c r="Q164" i="2" s="1"/>
  <c r="P124" i="2" a="1"/>
  <c r="P124" i="2" s="1"/>
  <c r="P60" i="2" a="1"/>
  <c r="P60" i="2" s="1"/>
  <c r="Q492" i="2"/>
  <c r="Q493" i="2" s="1"/>
  <c r="Q494" i="2" s="1"/>
  <c r="Q476" i="2"/>
  <c r="Q477" i="2" s="1"/>
  <c r="Q478" i="2" s="1"/>
  <c r="Q428" i="2"/>
  <c r="Q397" i="2"/>
  <c r="Q381" i="2"/>
  <c r="Q348" i="2"/>
  <c r="Q349" i="2" s="1"/>
  <c r="Q333" i="2"/>
  <c r="Q108" i="2"/>
  <c r="Q76" i="2"/>
  <c r="Q28" i="2"/>
  <c r="P806" i="2" a="1"/>
  <c r="P806" i="2" s="1"/>
  <c r="Q806" i="2" s="1"/>
  <c r="Q807" i="2" s="1"/>
  <c r="P790" i="2" a="1"/>
  <c r="P790" i="2" s="1"/>
  <c r="Q790" i="2" s="1"/>
  <c r="P774" i="2" a="1"/>
  <c r="P774" i="2" s="1"/>
  <c r="P758" i="2" a="1"/>
  <c r="P758" i="2" s="1"/>
  <c r="Q758" i="2" s="1"/>
  <c r="Q759" i="2" s="1"/>
  <c r="P742" i="2" a="1"/>
  <c r="P742" i="2" s="1"/>
  <c r="P726" i="2" a="1"/>
  <c r="P726" i="2" s="1"/>
  <c r="P710" i="2" a="1"/>
  <c r="P710" i="2" s="1"/>
  <c r="P694" i="2" a="1"/>
  <c r="P694" i="2" s="1"/>
  <c r="Q694" i="2" s="1"/>
  <c r="Q695" i="2" s="1"/>
  <c r="P678" i="2" a="1"/>
  <c r="P678" i="2" s="1"/>
  <c r="P662" i="2" a="1"/>
  <c r="P662" i="2" s="1"/>
  <c r="P646" i="2" a="1"/>
  <c r="P646" i="2" s="1"/>
  <c r="P630" i="2" a="1"/>
  <c r="P630" i="2" s="1"/>
  <c r="Q630" i="2" s="1"/>
  <c r="Q631" i="2" s="1"/>
  <c r="P614" i="2" a="1"/>
  <c r="P614" i="2" s="1"/>
  <c r="P598" i="2" a="1"/>
  <c r="P598" i="2" s="1"/>
  <c r="P582" i="2" a="1"/>
  <c r="P582" i="2" s="1"/>
  <c r="Q582" i="2" s="1"/>
  <c r="Q583" i="2" s="1"/>
  <c r="P566" i="2" a="1"/>
  <c r="P566" i="2" s="1"/>
  <c r="Q566" i="2" s="1"/>
  <c r="P550" i="2" a="1"/>
  <c r="P550" i="2" s="1"/>
  <c r="P534" i="2" a="1"/>
  <c r="P534" i="2" s="1"/>
  <c r="P518" i="2" a="1"/>
  <c r="P518" i="2" s="1"/>
  <c r="P502" i="2" a="1"/>
  <c r="P502" i="2" s="1"/>
  <c r="P486" i="2" a="1"/>
  <c r="P486" i="2" s="1"/>
  <c r="P470" i="2" a="1"/>
  <c r="P470" i="2" s="1"/>
  <c r="P454" i="2" a="1"/>
  <c r="P454" i="2" s="1"/>
  <c r="P438" i="2" a="1"/>
  <c r="P438" i="2" s="1"/>
  <c r="P422" i="2" a="1"/>
  <c r="P422" i="2" s="1"/>
  <c r="P406" i="2" a="1"/>
  <c r="P406" i="2" s="1"/>
  <c r="Q406" i="2" s="1"/>
  <c r="P390" i="2" a="1"/>
  <c r="P390" i="2" s="1"/>
  <c r="P374" i="2" a="1"/>
  <c r="P374" i="2" s="1"/>
  <c r="P358" i="2" a="1"/>
  <c r="P358" i="2" s="1"/>
  <c r="P342" i="2" a="1"/>
  <c r="P342" i="2" s="1"/>
  <c r="P326" i="2" a="1"/>
  <c r="P326" i="2" s="1"/>
  <c r="P310" i="2" a="1"/>
  <c r="P310" i="2" s="1"/>
  <c r="P294" i="2" a="1"/>
  <c r="P294" i="2" s="1"/>
  <c r="P278" i="2" a="1"/>
  <c r="P278" i="2" s="1"/>
  <c r="P262" i="2" a="1"/>
  <c r="P262" i="2" s="1"/>
  <c r="P246" i="2" a="1"/>
  <c r="P246" i="2" s="1"/>
  <c r="P230" i="2" a="1"/>
  <c r="P230" i="2" s="1"/>
  <c r="Q230" i="2" s="1"/>
  <c r="Q231" i="2" s="1"/>
  <c r="P214" i="2" a="1"/>
  <c r="P214" i="2" s="1"/>
  <c r="P198" i="2" a="1"/>
  <c r="P198" i="2" s="1"/>
  <c r="P182" i="2" a="1"/>
  <c r="P182" i="2" s="1"/>
  <c r="Q182" i="2" s="1"/>
  <c r="P166" i="2" a="1"/>
  <c r="P166" i="2" s="1"/>
  <c r="P136" i="2" a="1"/>
  <c r="P136" i="2" s="1"/>
  <c r="P72" i="2" a="1"/>
  <c r="P72" i="2" s="1"/>
  <c r="P8" i="2" a="1"/>
  <c r="P8" i="2" s="1"/>
  <c r="P801" i="2" a="1"/>
  <c r="P801" i="2" s="1"/>
  <c r="P785" i="2" a="1"/>
  <c r="P785" i="2" s="1"/>
  <c r="P769" i="2" a="1"/>
  <c r="P769" i="2" s="1"/>
  <c r="P753" i="2" a="1"/>
  <c r="P753" i="2" s="1"/>
  <c r="Q753" i="2" s="1"/>
  <c r="Q754" i="2" s="1"/>
  <c r="Q755" i="2" s="1"/>
  <c r="Q756" i="2" s="1"/>
  <c r="P737" i="2" a="1"/>
  <c r="P737" i="2" s="1"/>
  <c r="P721" i="2" a="1"/>
  <c r="P721" i="2" s="1"/>
  <c r="P705" i="2" a="1"/>
  <c r="P705" i="2" s="1"/>
  <c r="P689" i="2" a="1"/>
  <c r="P689" i="2" s="1"/>
  <c r="Q689" i="2" s="1"/>
  <c r="Q690" i="2" s="1"/>
  <c r="P673" i="2" a="1"/>
  <c r="P673" i="2" s="1"/>
  <c r="Q673" i="2" s="1"/>
  <c r="Q674" i="2" s="1"/>
  <c r="P657" i="2" a="1"/>
  <c r="P657" i="2" s="1"/>
  <c r="P641" i="2" a="1"/>
  <c r="P641" i="2" s="1"/>
  <c r="P625" i="2" a="1"/>
  <c r="P625" i="2" s="1"/>
  <c r="P609" i="2" a="1"/>
  <c r="P609" i="2" s="1"/>
  <c r="P593" i="2" a="1"/>
  <c r="P593" i="2" s="1"/>
  <c r="P577" i="2" a="1"/>
  <c r="P577" i="2" s="1"/>
  <c r="P561" i="2" a="1"/>
  <c r="P561" i="2" s="1"/>
  <c r="P545" i="2" a="1"/>
  <c r="P545" i="2" s="1"/>
  <c r="P529" i="2" a="1"/>
  <c r="P529" i="2" s="1"/>
  <c r="P513" i="2" a="1"/>
  <c r="P513" i="2" s="1"/>
  <c r="P497" i="2" a="1"/>
  <c r="P497" i="2" s="1"/>
  <c r="Q497" i="2" s="1"/>
  <c r="Q498" i="2" s="1"/>
  <c r="Q499" i="2" s="1"/>
  <c r="Q500" i="2" s="1"/>
  <c r="Q501" i="2" s="1"/>
  <c r="Q502" i="2" s="1"/>
  <c r="P481" i="2" a="1"/>
  <c r="P481" i="2" s="1"/>
  <c r="P465" i="2" a="1"/>
  <c r="P465" i="2" s="1"/>
  <c r="P449" i="2" a="1"/>
  <c r="P449" i="2" s="1"/>
  <c r="P433" i="2" a="1"/>
  <c r="P433" i="2" s="1"/>
  <c r="Q433" i="2" s="1"/>
  <c r="Q434" i="2" s="1"/>
  <c r="Q435" i="2" s="1"/>
  <c r="P417" i="2" a="1"/>
  <c r="P417" i="2" s="1"/>
  <c r="P401" i="2" a="1"/>
  <c r="P401" i="2" s="1"/>
  <c r="Q401" i="2" s="1"/>
  <c r="Q402" i="2" s="1"/>
  <c r="P385" i="2" a="1"/>
  <c r="P385" i="2" s="1"/>
  <c r="P369" i="2" a="1"/>
  <c r="P369" i="2" s="1"/>
  <c r="Q369" i="2" s="1"/>
  <c r="P353" i="2" a="1"/>
  <c r="P353" i="2" s="1"/>
  <c r="P337" i="2" a="1"/>
  <c r="P337" i="2" s="1"/>
  <c r="P321" i="2" a="1"/>
  <c r="P321" i="2" s="1"/>
  <c r="Q321" i="2" s="1"/>
  <c r="Q322" i="2" s="1"/>
  <c r="Q323" i="2" s="1"/>
  <c r="Q324" i="2" s="1"/>
  <c r="Q325" i="2" s="1"/>
  <c r="P305" i="2" a="1"/>
  <c r="P305" i="2" s="1"/>
  <c r="P289" i="2" a="1"/>
  <c r="P289" i="2" s="1"/>
  <c r="P273" i="2" a="1"/>
  <c r="P273" i="2" s="1"/>
  <c r="P257" i="2" a="1"/>
  <c r="P257" i="2" s="1"/>
  <c r="P241" i="2" a="1"/>
  <c r="P241" i="2" s="1"/>
  <c r="P225" i="2" a="1"/>
  <c r="P225" i="2" s="1"/>
  <c r="P209" i="2" a="1"/>
  <c r="P209" i="2" s="1"/>
  <c r="P193" i="2" a="1"/>
  <c r="P193" i="2" s="1"/>
  <c r="Q193" i="2" s="1"/>
  <c r="Q194" i="2" s="1"/>
  <c r="Q195" i="2" s="1"/>
  <c r="Q196" i="2" s="1"/>
  <c r="Q197" i="2" s="1"/>
  <c r="P177" i="2" a="1"/>
  <c r="P177" i="2" s="1"/>
  <c r="P161" i="2" a="1"/>
  <c r="P161" i="2" s="1"/>
  <c r="P116" i="2" a="1"/>
  <c r="P116" i="2" s="1"/>
  <c r="P52" i="2" a="1"/>
  <c r="P52" i="2" s="1"/>
  <c r="Q431" i="2"/>
  <c r="Q399" i="2"/>
  <c r="Q383" i="2"/>
  <c r="Q384" i="2" s="1"/>
  <c r="Q366" i="2"/>
  <c r="Q367" i="2" s="1"/>
  <c r="Q335" i="2"/>
  <c r="Q336" i="2" s="1"/>
  <c r="Q271" i="2"/>
  <c r="Q272" i="2" s="1"/>
  <c r="Q206" i="2"/>
  <c r="Q207" i="2" s="1"/>
  <c r="Q208" i="2" s="1"/>
  <c r="Q209" i="2" s="1"/>
  <c r="Q210" i="2" s="1"/>
  <c r="Q174" i="2"/>
  <c r="Q175" i="2" s="1"/>
  <c r="Q126" i="2"/>
  <c r="Q127" i="2" s="1"/>
  <c r="Q128" i="2" s="1"/>
  <c r="Q129" i="2" s="1"/>
  <c r="Q130" i="2" s="1"/>
  <c r="Q78" i="2"/>
  <c r="Q79" i="2" s="1"/>
  <c r="Q47" i="2"/>
  <c r="Q48" i="2" s="1"/>
  <c r="Q15" i="2"/>
  <c r="P808" i="2" a="1"/>
  <c r="P808" i="2" s="1"/>
  <c r="P792" i="2" a="1"/>
  <c r="P792" i="2" s="1"/>
  <c r="P776" i="2" a="1"/>
  <c r="P776" i="2" s="1"/>
  <c r="Q776" i="2" s="1"/>
  <c r="P760" i="2" a="1"/>
  <c r="P760" i="2" s="1"/>
  <c r="P744" i="2" a="1"/>
  <c r="P744" i="2" s="1"/>
  <c r="P728" i="2" a="1"/>
  <c r="P728" i="2" s="1"/>
  <c r="P712" i="2" a="1"/>
  <c r="P712" i="2" s="1"/>
  <c r="P696" i="2" a="1"/>
  <c r="P696" i="2" s="1"/>
  <c r="P680" i="2" a="1"/>
  <c r="P680" i="2" s="1"/>
  <c r="Q680" i="2" s="1"/>
  <c r="Q681" i="2" s="1"/>
  <c r="Q682" i="2" s="1"/>
  <c r="Q683" i="2" s="1"/>
  <c r="Q684" i="2" s="1"/>
  <c r="P664" i="2" a="1"/>
  <c r="P664" i="2" s="1"/>
  <c r="P648" i="2" a="1"/>
  <c r="P648" i="2" s="1"/>
  <c r="P632" i="2" a="1"/>
  <c r="P632" i="2" s="1"/>
  <c r="P616" i="2" a="1"/>
  <c r="P616" i="2" s="1"/>
  <c r="P600" i="2" a="1"/>
  <c r="P600" i="2" s="1"/>
  <c r="P584" i="2" a="1"/>
  <c r="P584" i="2" s="1"/>
  <c r="P568" i="2" a="1"/>
  <c r="P568" i="2" s="1"/>
  <c r="P552" i="2" a="1"/>
  <c r="P552" i="2" s="1"/>
  <c r="P536" i="2" a="1"/>
  <c r="P536" i="2" s="1"/>
  <c r="P520" i="2" a="1"/>
  <c r="P520" i="2" s="1"/>
  <c r="P504" i="2" a="1"/>
  <c r="P504" i="2" s="1"/>
  <c r="P488" i="2" a="1"/>
  <c r="P488" i="2" s="1"/>
  <c r="Q488" i="2" s="1"/>
  <c r="P472" i="2" a="1"/>
  <c r="P472" i="2" s="1"/>
  <c r="Q472" i="2" s="1"/>
  <c r="P456" i="2" a="1"/>
  <c r="P456" i="2" s="1"/>
  <c r="P440" i="2" a="1"/>
  <c r="P440" i="2" s="1"/>
  <c r="P424" i="2" a="1"/>
  <c r="P424" i="2" s="1"/>
  <c r="P408" i="2" a="1"/>
  <c r="P408" i="2" s="1"/>
  <c r="Q408" i="2" s="1"/>
  <c r="Q409" i="2" s="1"/>
  <c r="Q410" i="2" s="1"/>
  <c r="Q411" i="2" s="1"/>
  <c r="P392" i="2" a="1"/>
  <c r="P392" i="2" s="1"/>
  <c r="P376" i="2" a="1"/>
  <c r="P376" i="2" s="1"/>
  <c r="P360" i="2" a="1"/>
  <c r="P360" i="2" s="1"/>
  <c r="P344" i="2" a="1"/>
  <c r="P344" i="2" s="1"/>
  <c r="P328" i="2" a="1"/>
  <c r="P328" i="2" s="1"/>
  <c r="P312" i="2" a="1"/>
  <c r="P312" i="2" s="1"/>
  <c r="Q312" i="2" s="1"/>
  <c r="P296" i="2" a="1"/>
  <c r="P296" i="2" s="1"/>
  <c r="Q296" i="2" s="1"/>
  <c r="P280" i="2" a="1"/>
  <c r="P280" i="2" s="1"/>
  <c r="P264" i="2" a="1"/>
  <c r="P264" i="2" s="1"/>
  <c r="P248" i="2" a="1"/>
  <c r="P248" i="2" s="1"/>
  <c r="Q248" i="2" s="1"/>
  <c r="Q249" i="2" s="1"/>
  <c r="Q250" i="2" s="1"/>
  <c r="P232" i="2" a="1"/>
  <c r="P232" i="2" s="1"/>
  <c r="P216" i="2" a="1"/>
  <c r="P216" i="2" s="1"/>
  <c r="P200" i="2" a="1"/>
  <c r="P200" i="2" s="1"/>
  <c r="P184" i="2" a="1"/>
  <c r="P184" i="2" s="1"/>
  <c r="Q184" i="2" s="1"/>
  <c r="Q185" i="2" s="1"/>
  <c r="Q186" i="2" s="1"/>
  <c r="Q187" i="2" s="1"/>
  <c r="P168" i="2" a="1"/>
  <c r="P168" i="2" s="1"/>
  <c r="P144" i="2" a="1"/>
  <c r="P144" i="2" s="1"/>
  <c r="Q144" i="2" s="1"/>
  <c r="P80" i="2" a="1"/>
  <c r="P80" i="2" s="1"/>
  <c r="Q80" i="2" s="1"/>
  <c r="P16" i="2" a="1"/>
  <c r="P16" i="2" s="1"/>
  <c r="P134" i="2" a="1"/>
  <c r="P134" i="2" s="1"/>
  <c r="Q134" i="2" s="1"/>
  <c r="Q135" i="2" s="1"/>
  <c r="P118" i="2" a="1"/>
  <c r="P118" i="2" s="1"/>
  <c r="Q118" i="2" s="1"/>
  <c r="P102" i="2" a="1"/>
  <c r="P102" i="2" s="1"/>
  <c r="P86" i="2" a="1"/>
  <c r="P86" i="2" s="1"/>
  <c r="P70" i="2" a="1"/>
  <c r="P70" i="2" s="1"/>
  <c r="P54" i="2" a="1"/>
  <c r="P54" i="2" s="1"/>
  <c r="P38" i="2" a="1"/>
  <c r="P38" i="2" s="1"/>
  <c r="P22" i="2" a="1"/>
  <c r="P22" i="2" s="1"/>
  <c r="P6" i="2" a="1"/>
  <c r="P6" i="2" s="1"/>
  <c r="Q6" i="2" s="1"/>
  <c r="Q7" i="2" s="1"/>
  <c r="Q8" i="2" s="1"/>
  <c r="Q9" i="2" s="1"/>
  <c r="Q10" i="2" s="1"/>
  <c r="Q11" i="2" s="1"/>
  <c r="Q12" i="2" s="1"/>
  <c r="P141" i="2" a="1"/>
  <c r="P141" i="2" s="1"/>
  <c r="P125" i="2" a="1"/>
  <c r="P125" i="2" s="1"/>
  <c r="P109" i="2" a="1"/>
  <c r="P109" i="2" s="1"/>
  <c r="P93" i="2" a="1"/>
  <c r="P93" i="2" s="1"/>
  <c r="P77" i="2" a="1"/>
  <c r="P77" i="2" s="1"/>
  <c r="P61" i="2" a="1"/>
  <c r="P61" i="2" s="1"/>
  <c r="Q61" i="2" s="1"/>
  <c r="Q62" i="2" s="1"/>
  <c r="Q63" i="2" s="1"/>
  <c r="Q64" i="2" s="1"/>
  <c r="P45" i="2" a="1"/>
  <c r="P45" i="2" s="1"/>
  <c r="P29" i="2" a="1"/>
  <c r="P29" i="2" s="1"/>
  <c r="P13" i="2" a="1"/>
  <c r="P13" i="2" s="1"/>
  <c r="P151" i="2" a="1"/>
  <c r="P151" i="2" s="1"/>
  <c r="Q151" i="2" s="1"/>
  <c r="Q152" i="2" s="1"/>
  <c r="Q153" i="2" s="1"/>
  <c r="P135" i="2" a="1"/>
  <c r="P135" i="2" s="1"/>
  <c r="P119" i="2" a="1"/>
  <c r="P119" i="2" s="1"/>
  <c r="P103" i="2" a="1"/>
  <c r="P103" i="2" s="1"/>
  <c r="P87" i="2" a="1"/>
  <c r="P87" i="2" s="1"/>
  <c r="P71" i="2" a="1"/>
  <c r="P71" i="2" s="1"/>
  <c r="P55" i="2" a="1"/>
  <c r="P55" i="2" s="1"/>
  <c r="Q55" i="2" s="1"/>
  <c r="P39" i="2" a="1"/>
  <c r="P39" i="2" s="1"/>
  <c r="P23" i="2" a="1"/>
  <c r="P23" i="2" s="1"/>
  <c r="P7" i="2" a="1"/>
  <c r="P7" i="2" s="1"/>
  <c r="Q139" i="2" l="1"/>
  <c r="Q140" i="2" s="1"/>
  <c r="Q13" i="2"/>
  <c r="Q632" i="2"/>
  <c r="Q633" i="2" s="1"/>
  <c r="Q696" i="2"/>
  <c r="Q697" i="2" s="1"/>
  <c r="Q698" i="2" s="1"/>
  <c r="Q760" i="2"/>
  <c r="Q761" i="2" s="1"/>
  <c r="Q762" i="2" s="1"/>
  <c r="Q763" i="2" s="1"/>
  <c r="Q614" i="2"/>
  <c r="Q615" i="2" s="1"/>
  <c r="Q620" i="2"/>
  <c r="Q621" i="2" s="1"/>
  <c r="Q622" i="2" s="1"/>
  <c r="Q236" i="2"/>
  <c r="Q237" i="2" s="1"/>
  <c r="Q238" i="2" s="1"/>
  <c r="Q239" i="2" s="1"/>
  <c r="Q584" i="2"/>
  <c r="Q585" i="2" s="1"/>
  <c r="Q586" i="2" s="1"/>
  <c r="Q43" i="2"/>
  <c r="Q44" i="2" s="1"/>
  <c r="Q416" i="2"/>
  <c r="Q608" i="2"/>
  <c r="Q800" i="2"/>
  <c r="Q560" i="2"/>
  <c r="Q561" i="2" s="1"/>
  <c r="Q562" i="2" s="1"/>
  <c r="Q65" i="2"/>
  <c r="Q66" i="2" s="1"/>
  <c r="Q119" i="2"/>
  <c r="Q120" i="2" s="1"/>
  <c r="Q121" i="2" s="1"/>
  <c r="Q122" i="2" s="1"/>
  <c r="Q123" i="2" s="1"/>
  <c r="Q124" i="2" s="1"/>
  <c r="Q145" i="2"/>
  <c r="Q146" i="2" s="1"/>
  <c r="Q147" i="2" s="1"/>
  <c r="Q148" i="2" s="1"/>
  <c r="Q273" i="2"/>
  <c r="Q274" i="2" s="1"/>
  <c r="Q275" i="2" s="1"/>
  <c r="Q675" i="2"/>
  <c r="Q676" i="2" s="1"/>
  <c r="Q677" i="2" s="1"/>
  <c r="Q678" i="2" s="1"/>
  <c r="Q232" i="2"/>
  <c r="Q233" i="2" s="1"/>
  <c r="Q668" i="2"/>
  <c r="Q256" i="2"/>
  <c r="Q444" i="2"/>
  <c r="Q445" i="2" s="1"/>
  <c r="Q446" i="2" s="1"/>
  <c r="Q227" i="2"/>
  <c r="Q228" i="2" s="1"/>
  <c r="Q661" i="2"/>
  <c r="Q102" i="2"/>
  <c r="Q103" i="2" s="1"/>
  <c r="Q104" i="2" s="1"/>
  <c r="Q305" i="2"/>
  <c r="Q306" i="2" s="1"/>
  <c r="Q307" i="2" s="1"/>
  <c r="Q308" i="2" s="1"/>
  <c r="Q202" i="2"/>
  <c r="Q330" i="2"/>
  <c r="Q331" i="2" s="1"/>
  <c r="Q592" i="2"/>
  <c r="Q784" i="2"/>
  <c r="Q785" i="2" s="1"/>
  <c r="Q786" i="2" s="1"/>
  <c r="Q733" i="2"/>
  <c r="Q734" i="2" s="1"/>
  <c r="Q735" i="2" s="1"/>
  <c r="Q736" i="2" s="1"/>
  <c r="Q45" i="2"/>
  <c r="Q86" i="2"/>
  <c r="Q87" i="2" s="1"/>
  <c r="Q616" i="2"/>
  <c r="Q376" i="2"/>
  <c r="Q377" i="2" s="1"/>
  <c r="Q378" i="2" s="1"/>
  <c r="Q379" i="2" s="1"/>
  <c r="Q417" i="2"/>
  <c r="Q418" i="2" s="1"/>
  <c r="Q609" i="2"/>
  <c r="Q801" i="2"/>
  <c r="Q802" i="2" s="1"/>
  <c r="Q300" i="2"/>
  <c r="Q301" i="2" s="1"/>
  <c r="Q302" i="2" s="1"/>
  <c r="Q814" i="2"/>
  <c r="R17" i="2" a="1"/>
  <c r="R17" i="2" s="1"/>
  <c r="Q577" i="2"/>
  <c r="Q578" i="2" s="1"/>
  <c r="Q579" i="2" s="1"/>
  <c r="Q580" i="2" s="1"/>
  <c r="Q438" i="2"/>
  <c r="Q439" i="2" s="1"/>
  <c r="Q440" i="2" s="1"/>
  <c r="Q648" i="2"/>
  <c r="Q649" i="2" s="1"/>
  <c r="Q650" i="2" s="1"/>
  <c r="Q712" i="2"/>
  <c r="Q713" i="2" s="1"/>
  <c r="Q714" i="2" s="1"/>
  <c r="Q715" i="2" s="1"/>
  <c r="Q170" i="2"/>
  <c r="Q171" i="2" s="1"/>
  <c r="Q172" i="2" s="1"/>
  <c r="Q316" i="2"/>
  <c r="Q317" i="2" s="1"/>
  <c r="Q318" i="2" s="1"/>
  <c r="Q319" i="2" s="1"/>
  <c r="Q90" i="2"/>
  <c r="Q91" i="2" s="1"/>
  <c r="Q92" i="2" s="1"/>
  <c r="Q93" i="2" s="1"/>
  <c r="Q36" i="2"/>
  <c r="Q37" i="2" s="1"/>
  <c r="Q38" i="2" s="1"/>
  <c r="Q39" i="2" s="1"/>
  <c r="Q40" i="2" s="1"/>
  <c r="Q190" i="2"/>
  <c r="Q191" i="2" s="1"/>
  <c r="Q766" i="2"/>
  <c r="Q767" i="2" s="1"/>
  <c r="Q768" i="2" s="1"/>
  <c r="Q769" i="2" s="1"/>
  <c r="Q259" i="2"/>
  <c r="Q260" i="2" s="1"/>
  <c r="Q261" i="2" s="1"/>
  <c r="Q262" i="2" s="1"/>
  <c r="Q451" i="2"/>
  <c r="Q704" i="2"/>
  <c r="Q705" i="2" s="1"/>
  <c r="Q706" i="2" s="1"/>
  <c r="Q707" i="2" s="1"/>
  <c r="Q385" i="2"/>
  <c r="Q386" i="2" s="1"/>
  <c r="Q387" i="2" s="1"/>
  <c r="Q403" i="2"/>
  <c r="Q404" i="2" s="1"/>
  <c r="Q109" i="2"/>
  <c r="Q110" i="2" s="1"/>
  <c r="Q111" i="2" s="1"/>
  <c r="Q112" i="2" s="1"/>
  <c r="Q113" i="2" s="1"/>
  <c r="Q780" i="2"/>
  <c r="Q69" i="2"/>
  <c r="Q70" i="2" s="1"/>
  <c r="Q71" i="2" s="1"/>
  <c r="Q72" i="2" s="1"/>
  <c r="Q390" i="2"/>
  <c r="Q391" i="2" s="1"/>
  <c r="Q392" i="2" s="1"/>
  <c r="Q393" i="2" s="1"/>
  <c r="Q517" i="2"/>
  <c r="Q518" i="2" s="1"/>
  <c r="Q519" i="2" s="1"/>
  <c r="Q520" i="2" s="1"/>
  <c r="Q728" i="2"/>
  <c r="Q729" i="2" s="1"/>
  <c r="Q730" i="2" s="1"/>
  <c r="Q289" i="2"/>
  <c r="Q290" i="2" s="1"/>
  <c r="Q291" i="2" s="1"/>
  <c r="Q292" i="2" s="1"/>
  <c r="Q481" i="2"/>
  <c r="Q482" i="2" s="1"/>
  <c r="Q483" i="2" s="1"/>
  <c r="Q484" i="2" s="1"/>
  <c r="Q460" i="2"/>
  <c r="Q461" i="2" s="1"/>
  <c r="Q462" i="2" s="1"/>
  <c r="Q718" i="2"/>
  <c r="Q719" i="2" s="1"/>
  <c r="Q720" i="2" s="1"/>
  <c r="Q721" i="2" s="1"/>
  <c r="Q268" i="2"/>
  <c r="Q573" i="2"/>
  <c r="Q574" i="2" s="1"/>
  <c r="Q533" i="2"/>
  <c r="Q534" i="2" s="1"/>
  <c r="Q535" i="2" s="1"/>
  <c r="Q597" i="2"/>
  <c r="Q598" i="2" s="1"/>
  <c r="Q599" i="2" s="1"/>
  <c r="Q600" i="2" s="1"/>
  <c r="Q49" i="2"/>
  <c r="Q50" i="2" s="1"/>
  <c r="Q51" i="2" s="1"/>
  <c r="Q176" i="2"/>
  <c r="Q177" i="2" s="1"/>
  <c r="Q178" i="2" s="1"/>
  <c r="Q350" i="2"/>
  <c r="Q351" i="2" s="1"/>
  <c r="Q352" i="2" s="1"/>
  <c r="Q353" i="2" s="1"/>
  <c r="Q354" i="2" s="1"/>
  <c r="Q116" i="2"/>
  <c r="Q341" i="2"/>
  <c r="Q342" i="2" s="1"/>
  <c r="Q343" i="2" s="1"/>
  <c r="Q344" i="2" s="1"/>
  <c r="Q421" i="2"/>
  <c r="Q422" i="2" s="1"/>
  <c r="Q423" i="2" s="1"/>
  <c r="Q424" i="2" s="1"/>
  <c r="Q604" i="2"/>
  <c r="R813" i="2" a="1"/>
  <c r="R813" i="2" s="1"/>
  <c r="R809" i="2" a="1"/>
  <c r="R809" i="2" s="1"/>
  <c r="R803" i="2" a="1"/>
  <c r="R803" i="2" s="1"/>
  <c r="R787" i="2" a="1"/>
  <c r="R787" i="2" s="1"/>
  <c r="R771" i="2" a="1"/>
  <c r="R771" i="2" s="1"/>
  <c r="R755" i="2" a="1"/>
  <c r="R755" i="2" s="1"/>
  <c r="R739" i="2" a="1"/>
  <c r="R739" i="2" s="1"/>
  <c r="R723" i="2" a="1"/>
  <c r="R723" i="2" s="1"/>
  <c r="R707" i="2" a="1"/>
  <c r="R707" i="2" s="1"/>
  <c r="R691" i="2" a="1"/>
  <c r="R691" i="2" s="1"/>
  <c r="R675" i="2" a="1"/>
  <c r="R675" i="2" s="1"/>
  <c r="R659" i="2" a="1"/>
  <c r="R659" i="2" s="1"/>
  <c r="R643" i="2" a="1"/>
  <c r="R643" i="2" s="1"/>
  <c r="R627" i="2" a="1"/>
  <c r="R627" i="2" s="1"/>
  <c r="R611" i="2" a="1"/>
  <c r="R611" i="2" s="1"/>
  <c r="R595" i="2" a="1"/>
  <c r="R595" i="2" s="1"/>
  <c r="R579" i="2" a="1"/>
  <c r="R579" i="2" s="1"/>
  <c r="R564" i="2" a="1"/>
  <c r="R564" i="2" s="1"/>
  <c r="R806" i="2" a="1"/>
  <c r="R806" i="2" s="1"/>
  <c r="R790" i="2" a="1"/>
  <c r="R790" i="2" s="1"/>
  <c r="R774" i="2" a="1"/>
  <c r="R774" i="2" s="1"/>
  <c r="R758" i="2" a="1"/>
  <c r="R758" i="2" s="1"/>
  <c r="R742" i="2" a="1"/>
  <c r="R742" i="2" s="1"/>
  <c r="R726" i="2" a="1"/>
  <c r="R726" i="2" s="1"/>
  <c r="R710" i="2" a="1"/>
  <c r="R710" i="2" s="1"/>
  <c r="R694" i="2" a="1"/>
  <c r="R694" i="2" s="1"/>
  <c r="R678" i="2" a="1"/>
  <c r="R678" i="2" s="1"/>
  <c r="R662" i="2" a="1"/>
  <c r="R662" i="2" s="1"/>
  <c r="R646" i="2" a="1"/>
  <c r="R646" i="2" s="1"/>
  <c r="R630" i="2" a="1"/>
  <c r="R630" i="2" s="1"/>
  <c r="R614" i="2" a="1"/>
  <c r="R614" i="2" s="1"/>
  <c r="R598" i="2" a="1"/>
  <c r="R598" i="2" s="1"/>
  <c r="R582" i="2" a="1"/>
  <c r="R582" i="2" s="1"/>
  <c r="R566" i="2" a="1"/>
  <c r="R566" i="2" s="1"/>
  <c r="R550" i="2" a="1"/>
  <c r="R550" i="2" s="1"/>
  <c r="R789" i="2" a="1"/>
  <c r="R789" i="2" s="1"/>
  <c r="R773" i="2" a="1"/>
  <c r="R773" i="2" s="1"/>
  <c r="R757" i="2" a="1"/>
  <c r="R757" i="2" s="1"/>
  <c r="R741" i="2" a="1"/>
  <c r="R741" i="2" s="1"/>
  <c r="R725" i="2" a="1"/>
  <c r="R725" i="2" s="1"/>
  <c r="R709" i="2" a="1"/>
  <c r="R709" i="2" s="1"/>
  <c r="R693" i="2" a="1"/>
  <c r="R693" i="2" s="1"/>
  <c r="R677" i="2" a="1"/>
  <c r="R677" i="2" s="1"/>
  <c r="R661" i="2" a="1"/>
  <c r="R661" i="2" s="1"/>
  <c r="R645" i="2" a="1"/>
  <c r="R645" i="2" s="1"/>
  <c r="R629" i="2" a="1"/>
  <c r="R629" i="2" s="1"/>
  <c r="R613" i="2" a="1"/>
  <c r="R613" i="2" s="1"/>
  <c r="R597" i="2" a="1"/>
  <c r="R597" i="2" s="1"/>
  <c r="R581" i="2" a="1"/>
  <c r="R581" i="2" s="1"/>
  <c r="R565" i="2" a="1"/>
  <c r="R565" i="2" s="1"/>
  <c r="R542" i="2" a="1"/>
  <c r="R542" i="2" s="1"/>
  <c r="R800" i="2" a="1"/>
  <c r="R800" i="2" s="1"/>
  <c r="R784" i="2" a="1"/>
  <c r="R784" i="2" s="1"/>
  <c r="R768" i="2" a="1"/>
  <c r="R768" i="2" s="1"/>
  <c r="R752" i="2" a="1"/>
  <c r="R752" i="2" s="1"/>
  <c r="R736" i="2" a="1"/>
  <c r="R736" i="2" s="1"/>
  <c r="R720" i="2" a="1"/>
  <c r="R720" i="2" s="1"/>
  <c r="R704" i="2" a="1"/>
  <c r="R704" i="2" s="1"/>
  <c r="R688" i="2" a="1"/>
  <c r="R688" i="2" s="1"/>
  <c r="R672" i="2" a="1"/>
  <c r="R672" i="2" s="1"/>
  <c r="R656" i="2" a="1"/>
  <c r="R656" i="2" s="1"/>
  <c r="R640" i="2" a="1"/>
  <c r="R640" i="2" s="1"/>
  <c r="R624" i="2" a="1"/>
  <c r="R624" i="2" s="1"/>
  <c r="R608" i="2" a="1"/>
  <c r="R608" i="2" s="1"/>
  <c r="R592" i="2" a="1"/>
  <c r="R592" i="2" s="1"/>
  <c r="R576" i="2" a="1"/>
  <c r="R576" i="2" s="1"/>
  <c r="R559" i="2" a="1"/>
  <c r="R559" i="2" s="1"/>
  <c r="R545" i="2" a="1"/>
  <c r="R545" i="2" s="1"/>
  <c r="R529" i="2" a="1"/>
  <c r="R529" i="2" s="1"/>
  <c r="R513" i="2" a="1"/>
  <c r="R513" i="2" s="1"/>
  <c r="R497" i="2" a="1"/>
  <c r="R497" i="2" s="1"/>
  <c r="R481" i="2" a="1"/>
  <c r="R481" i="2" s="1"/>
  <c r="R465" i="2" a="1"/>
  <c r="R465" i="2" s="1"/>
  <c r="R449" i="2" a="1"/>
  <c r="R449" i="2" s="1"/>
  <c r="R433" i="2" a="1"/>
  <c r="R433" i="2" s="1"/>
  <c r="R417" i="2" a="1"/>
  <c r="R417" i="2" s="1"/>
  <c r="R401" i="2" a="1"/>
  <c r="R401" i="2" s="1"/>
  <c r="R385" i="2" a="1"/>
  <c r="R385" i="2" s="1"/>
  <c r="R369" i="2" a="1"/>
  <c r="R369" i="2" s="1"/>
  <c r="R353" i="2" a="1"/>
  <c r="R353" i="2" s="1"/>
  <c r="R337" i="2" a="1"/>
  <c r="R337" i="2" s="1"/>
  <c r="R321" i="2" a="1"/>
  <c r="R321" i="2" s="1"/>
  <c r="R291" i="2" a="1"/>
  <c r="R291" i="2" s="1"/>
  <c r="R531" i="2" a="1"/>
  <c r="R531" i="2" s="1"/>
  <c r="R515" i="2" a="1"/>
  <c r="R515" i="2" s="1"/>
  <c r="R499" i="2" a="1"/>
  <c r="R499" i="2" s="1"/>
  <c r="R483" i="2" a="1"/>
  <c r="R483" i="2" s="1"/>
  <c r="R467" i="2" a="1"/>
  <c r="R467" i="2" s="1"/>
  <c r="R451" i="2" a="1"/>
  <c r="R451" i="2" s="1"/>
  <c r="R435" i="2" a="1"/>
  <c r="R435" i="2" s="1"/>
  <c r="R419" i="2" a="1"/>
  <c r="R419" i="2" s="1"/>
  <c r="R403" i="2" a="1"/>
  <c r="R403" i="2" s="1"/>
  <c r="R387" i="2" a="1"/>
  <c r="R387" i="2" s="1"/>
  <c r="R371" i="2" a="1"/>
  <c r="R371" i="2" s="1"/>
  <c r="R355" i="2" a="1"/>
  <c r="R355" i="2" s="1"/>
  <c r="R339" i="2" a="1"/>
  <c r="R339" i="2" s="1"/>
  <c r="R323" i="2" a="1"/>
  <c r="R323" i="2" s="1"/>
  <c r="R306" i="2" a="1"/>
  <c r="R306" i="2" s="1"/>
  <c r="R281" i="2" a="1"/>
  <c r="R281" i="2" s="1"/>
  <c r="R536" i="2" a="1"/>
  <c r="R536" i="2" s="1"/>
  <c r="R520" i="2" a="1"/>
  <c r="R520" i="2" s="1"/>
  <c r="R505" i="2" a="1"/>
  <c r="R505" i="2" s="1"/>
  <c r="R489" i="2" a="1"/>
  <c r="R489" i="2" s="1"/>
  <c r="R473" i="2" a="1"/>
  <c r="R473" i="2" s="1"/>
  <c r="R457" i="2" a="1"/>
  <c r="R457" i="2" s="1"/>
  <c r="R441" i="2" a="1"/>
  <c r="R441" i="2" s="1"/>
  <c r="R425" i="2" a="1"/>
  <c r="R425" i="2" s="1"/>
  <c r="R409" i="2" a="1"/>
  <c r="R409" i="2" s="1"/>
  <c r="R393" i="2" a="1"/>
  <c r="R393" i="2" s="1"/>
  <c r="R377" i="2" a="1"/>
  <c r="R377" i="2" s="1"/>
  <c r="R361" i="2" a="1"/>
  <c r="R361" i="2" s="1"/>
  <c r="R345" i="2" a="1"/>
  <c r="R345" i="2" s="1"/>
  <c r="R329" i="2" a="1"/>
  <c r="R329" i="2" s="1"/>
  <c r="R313" i="2" a="1"/>
  <c r="R313" i="2" s="1"/>
  <c r="R295" i="2" a="1"/>
  <c r="R295" i="2" s="1"/>
  <c r="R554" i="2" a="1"/>
  <c r="R554" i="2" s="1"/>
  <c r="R538" i="2" a="1"/>
  <c r="R538" i="2" s="1"/>
  <c r="R522" i="2" a="1"/>
  <c r="R522" i="2" s="1"/>
  <c r="R504" i="2" a="1"/>
  <c r="R504" i="2" s="1"/>
  <c r="R488" i="2" a="1"/>
  <c r="R488" i="2" s="1"/>
  <c r="R472" i="2" a="1"/>
  <c r="R472" i="2" s="1"/>
  <c r="R456" i="2" a="1"/>
  <c r="R456" i="2" s="1"/>
  <c r="R440" i="2" a="1"/>
  <c r="R440" i="2" s="1"/>
  <c r="R424" i="2" a="1"/>
  <c r="R424" i="2" s="1"/>
  <c r="R408" i="2" a="1"/>
  <c r="R408" i="2" s="1"/>
  <c r="R392" i="2" a="1"/>
  <c r="R392" i="2" s="1"/>
  <c r="R376" i="2" a="1"/>
  <c r="R376" i="2" s="1"/>
  <c r="R360" i="2" a="1"/>
  <c r="R360" i="2" s="1"/>
  <c r="R344" i="2" a="1"/>
  <c r="R344" i="2" s="1"/>
  <c r="R328" i="2" a="1"/>
  <c r="R328" i="2" s="1"/>
  <c r="R312" i="2" a="1"/>
  <c r="R312" i="2" s="1"/>
  <c r="R294" i="2" a="1"/>
  <c r="R294" i="2" s="1"/>
  <c r="R275" i="2" a="1"/>
  <c r="R275" i="2" s="1"/>
  <c r="R259" i="2" a="1"/>
  <c r="R259" i="2" s="1"/>
  <c r="R243" i="2" a="1"/>
  <c r="R243" i="2" s="1"/>
  <c r="R227" i="2" a="1"/>
  <c r="R227" i="2" s="1"/>
  <c r="R211" i="2" a="1"/>
  <c r="R211" i="2" s="1"/>
  <c r="R195" i="2" a="1"/>
  <c r="R195" i="2" s="1"/>
  <c r="R179" i="2" a="1"/>
  <c r="R179" i="2" s="1"/>
  <c r="R164" i="2" a="1"/>
  <c r="R164" i="2" s="1"/>
  <c r="R148" i="2" a="1"/>
  <c r="R148" i="2" s="1"/>
  <c r="R132" i="2" a="1"/>
  <c r="R132" i="2" s="1"/>
  <c r="R116" i="2" a="1"/>
  <c r="R116" i="2" s="1"/>
  <c r="R100" i="2" a="1"/>
  <c r="R100" i="2" s="1"/>
  <c r="R84" i="2" a="1"/>
  <c r="R84" i="2" s="1"/>
  <c r="R68" i="2" a="1"/>
  <c r="R68" i="2" s="1"/>
  <c r="R52" i="2" a="1"/>
  <c r="R52" i="2" s="1"/>
  <c r="R36" i="2" a="1"/>
  <c r="R36" i="2" s="1"/>
  <c r="R20" i="2" a="1"/>
  <c r="R20" i="2" s="1"/>
  <c r="R262" i="2" a="1"/>
  <c r="R262" i="2" s="1"/>
  <c r="R246" i="2" a="1"/>
  <c r="R246" i="2" s="1"/>
  <c r="R230" i="2" a="1"/>
  <c r="R230" i="2" s="1"/>
  <c r="R214" i="2" a="1"/>
  <c r="R214" i="2" s="1"/>
  <c r="R198" i="2" a="1"/>
  <c r="R198" i="2" s="1"/>
  <c r="R182" i="2" a="1"/>
  <c r="R182" i="2" s="1"/>
  <c r="R167" i="2" a="1"/>
  <c r="R167" i="2" s="1"/>
  <c r="R151" i="2" a="1"/>
  <c r="R151" i="2" s="1"/>
  <c r="R135" i="2" a="1"/>
  <c r="R135" i="2" s="1"/>
  <c r="R119" i="2" a="1"/>
  <c r="R119" i="2" s="1"/>
  <c r="R103" i="2" a="1"/>
  <c r="R103" i="2" s="1"/>
  <c r="R87" i="2" a="1"/>
  <c r="R87" i="2" s="1"/>
  <c r="R71" i="2" a="1"/>
  <c r="R71" i="2" s="1"/>
  <c r="R55" i="2" a="1"/>
  <c r="R55" i="2" s="1"/>
  <c r="R39" i="2" a="1"/>
  <c r="R39" i="2" s="1"/>
  <c r="R23" i="2" a="1"/>
  <c r="R23" i="2" s="1"/>
  <c r="R7" i="2" a="1"/>
  <c r="R7" i="2" s="1"/>
  <c r="R296" i="2" a="1"/>
  <c r="R296" i="2" s="1"/>
  <c r="R280" i="2" a="1"/>
  <c r="R280" i="2" s="1"/>
  <c r="R264" i="2" a="1"/>
  <c r="R264" i="2" s="1"/>
  <c r="R248" i="2" a="1"/>
  <c r="R248" i="2" s="1"/>
  <c r="R232" i="2" a="1"/>
  <c r="R232" i="2" s="1"/>
  <c r="R216" i="2" a="1"/>
  <c r="R216" i="2" s="1"/>
  <c r="R200" i="2" a="1"/>
  <c r="R200" i="2" s="1"/>
  <c r="R184" i="2" a="1"/>
  <c r="R184" i="2" s="1"/>
  <c r="R166" i="2" a="1"/>
  <c r="R166" i="2" s="1"/>
  <c r="R150" i="2" a="1"/>
  <c r="R150" i="2" s="1"/>
  <c r="R134" i="2" a="1"/>
  <c r="R134" i="2" s="1"/>
  <c r="R118" i="2" a="1"/>
  <c r="R118" i="2" s="1"/>
  <c r="R102" i="2" a="1"/>
  <c r="R102" i="2" s="1"/>
  <c r="R86" i="2" a="1"/>
  <c r="R86" i="2" s="1"/>
  <c r="R70" i="2" a="1"/>
  <c r="R70" i="2" s="1"/>
  <c r="R54" i="2" a="1"/>
  <c r="R54" i="2" s="1"/>
  <c r="R38" i="2" a="1"/>
  <c r="R38" i="2" s="1"/>
  <c r="R22" i="2" a="1"/>
  <c r="R22" i="2" s="1"/>
  <c r="R6" i="2" a="1"/>
  <c r="R6" i="2" s="1"/>
  <c r="R286" i="2" a="1"/>
  <c r="R286" i="2" s="1"/>
  <c r="R270" i="2" a="1"/>
  <c r="R270" i="2" s="1"/>
  <c r="R254" i="2" a="1"/>
  <c r="R254" i="2" s="1"/>
  <c r="R238" i="2" a="1"/>
  <c r="R238" i="2" s="1"/>
  <c r="R222" i="2" a="1"/>
  <c r="R222" i="2" s="1"/>
  <c r="R206" i="2" a="1"/>
  <c r="R206" i="2" s="1"/>
  <c r="R190" i="2" a="1"/>
  <c r="R190" i="2" s="1"/>
  <c r="R173" i="2" a="1"/>
  <c r="R173" i="2" s="1"/>
  <c r="R157" i="2" a="1"/>
  <c r="R157" i="2" s="1"/>
  <c r="R141" i="2" a="1"/>
  <c r="R141" i="2" s="1"/>
  <c r="R125" i="2" a="1"/>
  <c r="R125" i="2" s="1"/>
  <c r="R109" i="2" a="1"/>
  <c r="R109" i="2" s="1"/>
  <c r="R93" i="2" a="1"/>
  <c r="R93" i="2" s="1"/>
  <c r="R77" i="2" a="1"/>
  <c r="R77" i="2" s="1"/>
  <c r="R61" i="2" a="1"/>
  <c r="R61" i="2" s="1"/>
  <c r="R45" i="2" a="1"/>
  <c r="R45" i="2" s="1"/>
  <c r="R29" i="2" a="1"/>
  <c r="R29" i="2" s="1"/>
  <c r="R13" i="2" a="1"/>
  <c r="R13" i="2" s="1"/>
  <c r="Q29" i="2"/>
  <c r="Q30" i="2" s="1"/>
  <c r="Q31" i="2" s="1"/>
  <c r="Q357" i="2"/>
  <c r="Q358" i="2" s="1"/>
  <c r="Q359" i="2" s="1"/>
  <c r="Q360" i="2" s="1"/>
  <c r="Q361" i="2" s="1"/>
  <c r="Q362" i="2" s="1"/>
  <c r="Q636" i="2"/>
  <c r="Q637" i="2" s="1"/>
  <c r="Q638" i="2" s="1"/>
  <c r="Q639" i="2" s="1"/>
  <c r="R5" i="2" a="1"/>
  <c r="R5" i="2" s="1"/>
  <c r="R805" i="2" a="1"/>
  <c r="R805" i="2" s="1"/>
  <c r="R799" i="2" a="1"/>
  <c r="R799" i="2" s="1"/>
  <c r="R783" i="2" a="1"/>
  <c r="R783" i="2" s="1"/>
  <c r="R767" i="2" a="1"/>
  <c r="R767" i="2" s="1"/>
  <c r="R751" i="2" a="1"/>
  <c r="R751" i="2" s="1"/>
  <c r="R735" i="2" a="1"/>
  <c r="R735" i="2" s="1"/>
  <c r="R719" i="2" a="1"/>
  <c r="R719" i="2" s="1"/>
  <c r="R703" i="2" a="1"/>
  <c r="R703" i="2" s="1"/>
  <c r="R687" i="2" a="1"/>
  <c r="R687" i="2" s="1"/>
  <c r="R671" i="2" a="1"/>
  <c r="R671" i="2" s="1"/>
  <c r="R655" i="2" a="1"/>
  <c r="R655" i="2" s="1"/>
  <c r="R639" i="2" a="1"/>
  <c r="R639" i="2" s="1"/>
  <c r="R623" i="2" a="1"/>
  <c r="R623" i="2" s="1"/>
  <c r="R607" i="2" a="1"/>
  <c r="R607" i="2" s="1"/>
  <c r="R591" i="2" a="1"/>
  <c r="R591" i="2" s="1"/>
  <c r="R575" i="2" a="1"/>
  <c r="R575" i="2" s="1"/>
  <c r="R561" i="2" a="1"/>
  <c r="R561" i="2" s="1"/>
  <c r="R802" i="2" a="1"/>
  <c r="R802" i="2" s="1"/>
  <c r="R786" i="2" a="1"/>
  <c r="R786" i="2" s="1"/>
  <c r="R770" i="2" a="1"/>
  <c r="R770" i="2" s="1"/>
  <c r="R754" i="2" a="1"/>
  <c r="R754" i="2" s="1"/>
  <c r="R738" i="2" a="1"/>
  <c r="R738" i="2" s="1"/>
  <c r="R722" i="2" a="1"/>
  <c r="R722" i="2" s="1"/>
  <c r="R706" i="2" a="1"/>
  <c r="R706" i="2" s="1"/>
  <c r="R690" i="2" a="1"/>
  <c r="R690" i="2" s="1"/>
  <c r="R674" i="2" a="1"/>
  <c r="R674" i="2" s="1"/>
  <c r="R658" i="2" a="1"/>
  <c r="R658" i="2" s="1"/>
  <c r="R642" i="2" a="1"/>
  <c r="R642" i="2" s="1"/>
  <c r="R626" i="2" a="1"/>
  <c r="R626" i="2" s="1"/>
  <c r="R610" i="2" a="1"/>
  <c r="R610" i="2" s="1"/>
  <c r="R594" i="2" a="1"/>
  <c r="R594" i="2" s="1"/>
  <c r="R578" i="2" a="1"/>
  <c r="R578" i="2" s="1"/>
  <c r="R563" i="2" a="1"/>
  <c r="R563" i="2" s="1"/>
  <c r="R801" i="2" a="1"/>
  <c r="R801" i="2" s="1"/>
  <c r="R785" i="2" a="1"/>
  <c r="R785" i="2" s="1"/>
  <c r="R769" i="2" a="1"/>
  <c r="R769" i="2" s="1"/>
  <c r="R753" i="2" a="1"/>
  <c r="R753" i="2" s="1"/>
  <c r="R737" i="2" a="1"/>
  <c r="R737" i="2" s="1"/>
  <c r="R721" i="2" a="1"/>
  <c r="R721" i="2" s="1"/>
  <c r="R705" i="2" a="1"/>
  <c r="R705" i="2" s="1"/>
  <c r="R689" i="2" a="1"/>
  <c r="R689" i="2" s="1"/>
  <c r="R673" i="2" a="1"/>
  <c r="R673" i="2" s="1"/>
  <c r="R657" i="2" a="1"/>
  <c r="R657" i="2" s="1"/>
  <c r="R641" i="2" a="1"/>
  <c r="R641" i="2" s="1"/>
  <c r="R625" i="2" a="1"/>
  <c r="R625" i="2" s="1"/>
  <c r="R609" i="2" a="1"/>
  <c r="R609" i="2" s="1"/>
  <c r="R593" i="2" a="1"/>
  <c r="R593" i="2" s="1"/>
  <c r="R577" i="2" a="1"/>
  <c r="R577" i="2" s="1"/>
  <c r="R560" i="2" a="1"/>
  <c r="R560" i="2" s="1"/>
  <c r="R812" i="2" a="1"/>
  <c r="R812" i="2" s="1"/>
  <c r="R796" i="2" a="1"/>
  <c r="R796" i="2" s="1"/>
  <c r="R780" i="2" a="1"/>
  <c r="R780" i="2" s="1"/>
  <c r="R764" i="2" a="1"/>
  <c r="R764" i="2" s="1"/>
  <c r="R748" i="2" a="1"/>
  <c r="R748" i="2" s="1"/>
  <c r="R732" i="2" a="1"/>
  <c r="R732" i="2" s="1"/>
  <c r="R716" i="2" a="1"/>
  <c r="R716" i="2" s="1"/>
  <c r="R700" i="2" a="1"/>
  <c r="R700" i="2" s="1"/>
  <c r="R684" i="2" a="1"/>
  <c r="R684" i="2" s="1"/>
  <c r="R668" i="2" a="1"/>
  <c r="R668" i="2" s="1"/>
  <c r="R652" i="2" a="1"/>
  <c r="R652" i="2" s="1"/>
  <c r="R636" i="2" a="1"/>
  <c r="R636" i="2" s="1"/>
  <c r="R620" i="2" a="1"/>
  <c r="R620" i="2" s="1"/>
  <c r="R604" i="2" a="1"/>
  <c r="R604" i="2" s="1"/>
  <c r="R588" i="2" a="1"/>
  <c r="R588" i="2" s="1"/>
  <c r="R570" i="2" a="1"/>
  <c r="R570" i="2" s="1"/>
  <c r="R547" i="2" a="1"/>
  <c r="R547" i="2" s="1"/>
  <c r="R540" i="2" a="1"/>
  <c r="R540" i="2" s="1"/>
  <c r="R524" i="2" a="1"/>
  <c r="R524" i="2" s="1"/>
  <c r="R510" i="2" a="1"/>
  <c r="R510" i="2" s="1"/>
  <c r="R494" i="2" a="1"/>
  <c r="R494" i="2" s="1"/>
  <c r="R478" i="2" a="1"/>
  <c r="R478" i="2" s="1"/>
  <c r="R462" i="2" a="1"/>
  <c r="R462" i="2" s="1"/>
  <c r="R446" i="2" a="1"/>
  <c r="R446" i="2" s="1"/>
  <c r="R430" i="2" a="1"/>
  <c r="R430" i="2" s="1"/>
  <c r="R414" i="2" a="1"/>
  <c r="R414" i="2" s="1"/>
  <c r="R398" i="2" a="1"/>
  <c r="R398" i="2" s="1"/>
  <c r="R382" i="2" a="1"/>
  <c r="R382" i="2" s="1"/>
  <c r="R366" i="2" a="1"/>
  <c r="R366" i="2" s="1"/>
  <c r="R350" i="2" a="1"/>
  <c r="R350" i="2" s="1"/>
  <c r="R334" i="2" a="1"/>
  <c r="R334" i="2" s="1"/>
  <c r="R318" i="2" a="1"/>
  <c r="R318" i="2" s="1"/>
  <c r="R284" i="2" a="1"/>
  <c r="R284" i="2" s="1"/>
  <c r="R526" i="2" a="1"/>
  <c r="R526" i="2" s="1"/>
  <c r="R512" i="2" a="1"/>
  <c r="R512" i="2" s="1"/>
  <c r="R496" i="2" a="1"/>
  <c r="R496" i="2" s="1"/>
  <c r="R480" i="2" a="1"/>
  <c r="R480" i="2" s="1"/>
  <c r="R464" i="2" a="1"/>
  <c r="R464" i="2" s="1"/>
  <c r="R448" i="2" a="1"/>
  <c r="R448" i="2" s="1"/>
  <c r="R432" i="2" a="1"/>
  <c r="R432" i="2" s="1"/>
  <c r="R416" i="2" a="1"/>
  <c r="R416" i="2" s="1"/>
  <c r="R400" i="2" a="1"/>
  <c r="R400" i="2" s="1"/>
  <c r="R384" i="2" a="1"/>
  <c r="R384" i="2" s="1"/>
  <c r="R368" i="2" a="1"/>
  <c r="R368" i="2" s="1"/>
  <c r="R352" i="2" a="1"/>
  <c r="R352" i="2" s="1"/>
  <c r="R336" i="2" a="1"/>
  <c r="R336" i="2" s="1"/>
  <c r="R320" i="2" a="1"/>
  <c r="R320" i="2" s="1"/>
  <c r="R302" i="2" a="1"/>
  <c r="R302" i="2" s="1"/>
  <c r="R268" i="2" a="1"/>
  <c r="R268" i="2" s="1"/>
  <c r="R533" i="2" a="1"/>
  <c r="R533" i="2" s="1"/>
  <c r="R517" i="2" a="1"/>
  <c r="R517" i="2" s="1"/>
  <c r="R502" i="2" a="1"/>
  <c r="R502" i="2" s="1"/>
  <c r="R486" i="2" a="1"/>
  <c r="R486" i="2" s="1"/>
  <c r="R470" i="2" a="1"/>
  <c r="R470" i="2" s="1"/>
  <c r="R454" i="2" a="1"/>
  <c r="R454" i="2" s="1"/>
  <c r="R438" i="2" a="1"/>
  <c r="R438" i="2" s="1"/>
  <c r="R422" i="2" a="1"/>
  <c r="R422" i="2" s="1"/>
  <c r="R406" i="2" a="1"/>
  <c r="R406" i="2" s="1"/>
  <c r="R390" i="2" a="1"/>
  <c r="R390" i="2" s="1"/>
  <c r="R374" i="2" a="1"/>
  <c r="R374" i="2" s="1"/>
  <c r="R358" i="2" a="1"/>
  <c r="R358" i="2" s="1"/>
  <c r="R342" i="2" a="1"/>
  <c r="R342" i="2" s="1"/>
  <c r="R326" i="2" a="1"/>
  <c r="R326" i="2" s="1"/>
  <c r="R310" i="2" a="1"/>
  <c r="R310" i="2" s="1"/>
  <c r="R288" i="2" a="1"/>
  <c r="R288" i="2" s="1"/>
  <c r="R551" i="2" a="1"/>
  <c r="R551" i="2" s="1"/>
  <c r="R535" i="2" a="1"/>
  <c r="R535" i="2" s="1"/>
  <c r="R519" i="2" a="1"/>
  <c r="R519" i="2" s="1"/>
  <c r="R501" i="2" a="1"/>
  <c r="R501" i="2" s="1"/>
  <c r="R485" i="2" a="1"/>
  <c r="R485" i="2" s="1"/>
  <c r="R469" i="2" a="1"/>
  <c r="R469" i="2" s="1"/>
  <c r="R453" i="2" a="1"/>
  <c r="R453" i="2" s="1"/>
  <c r="R437" i="2" a="1"/>
  <c r="R437" i="2" s="1"/>
  <c r="R421" i="2" a="1"/>
  <c r="R421" i="2" s="1"/>
  <c r="R405" i="2" a="1"/>
  <c r="R405" i="2" s="1"/>
  <c r="R389" i="2" a="1"/>
  <c r="R389" i="2" s="1"/>
  <c r="R373" i="2" a="1"/>
  <c r="R373" i="2" s="1"/>
  <c r="R357" i="2" a="1"/>
  <c r="R357" i="2" s="1"/>
  <c r="R341" i="2" a="1"/>
  <c r="R341" i="2" s="1"/>
  <c r="R325" i="2" a="1"/>
  <c r="R325" i="2" s="1"/>
  <c r="R308" i="2" a="1"/>
  <c r="R308" i="2" s="1"/>
  <c r="R274" i="2" a="1"/>
  <c r="R274" i="2" s="1"/>
  <c r="R272" i="2" a="1"/>
  <c r="R272" i="2" s="1"/>
  <c r="R256" i="2" a="1"/>
  <c r="R256" i="2" s="1"/>
  <c r="R240" i="2" a="1"/>
  <c r="R240" i="2" s="1"/>
  <c r="R224" i="2" a="1"/>
  <c r="R224" i="2" s="1"/>
  <c r="R208" i="2" a="1"/>
  <c r="R208" i="2" s="1"/>
  <c r="R192" i="2" a="1"/>
  <c r="R192" i="2" s="1"/>
  <c r="R176" i="2" a="1"/>
  <c r="R176" i="2" s="1"/>
  <c r="R160" i="2" a="1"/>
  <c r="R160" i="2" s="1"/>
  <c r="R144" i="2" a="1"/>
  <c r="R144" i="2" s="1"/>
  <c r="R128" i="2" a="1"/>
  <c r="R128" i="2" s="1"/>
  <c r="R112" i="2" a="1"/>
  <c r="R112" i="2" s="1"/>
  <c r="R96" i="2" a="1"/>
  <c r="R96" i="2" s="1"/>
  <c r="R80" i="2" a="1"/>
  <c r="R80" i="2" s="1"/>
  <c r="R64" i="2" a="1"/>
  <c r="R64" i="2" s="1"/>
  <c r="R48" i="2" a="1"/>
  <c r="R48" i="2" s="1"/>
  <c r="R32" i="2" a="1"/>
  <c r="R32" i="2" s="1"/>
  <c r="R16" i="2" a="1"/>
  <c r="R16" i="2" s="1"/>
  <c r="R258" i="2" a="1"/>
  <c r="R258" i="2" s="1"/>
  <c r="R242" i="2" a="1"/>
  <c r="R242" i="2" s="1"/>
  <c r="R226" i="2" a="1"/>
  <c r="R226" i="2" s="1"/>
  <c r="R210" i="2" a="1"/>
  <c r="R210" i="2" s="1"/>
  <c r="R194" i="2" a="1"/>
  <c r="R194" i="2" s="1"/>
  <c r="R178" i="2" a="1"/>
  <c r="R178" i="2" s="1"/>
  <c r="R163" i="2" a="1"/>
  <c r="R163" i="2" s="1"/>
  <c r="R147" i="2" a="1"/>
  <c r="R147" i="2" s="1"/>
  <c r="R131" i="2" a="1"/>
  <c r="R131" i="2" s="1"/>
  <c r="R115" i="2" a="1"/>
  <c r="R115" i="2" s="1"/>
  <c r="R99" i="2" a="1"/>
  <c r="R99" i="2" s="1"/>
  <c r="R83" i="2" a="1"/>
  <c r="R83" i="2" s="1"/>
  <c r="R67" i="2" a="1"/>
  <c r="R67" i="2" s="1"/>
  <c r="R51" i="2" a="1"/>
  <c r="R51" i="2" s="1"/>
  <c r="R35" i="2" a="1"/>
  <c r="R35" i="2" s="1"/>
  <c r="R19" i="2" a="1"/>
  <c r="R19" i="2" s="1"/>
  <c r="R309" i="2" a="1"/>
  <c r="R309" i="2" s="1"/>
  <c r="R293" i="2" a="1"/>
  <c r="R293" i="2" s="1"/>
  <c r="R277" i="2" a="1"/>
  <c r="R277" i="2" s="1"/>
  <c r="R261" i="2" a="1"/>
  <c r="R261" i="2" s="1"/>
  <c r="R245" i="2" a="1"/>
  <c r="R245" i="2" s="1"/>
  <c r="R229" i="2" a="1"/>
  <c r="R229" i="2" s="1"/>
  <c r="R213" i="2" a="1"/>
  <c r="R213" i="2" s="1"/>
  <c r="R197" i="2" a="1"/>
  <c r="R197" i="2" s="1"/>
  <c r="R181" i="2" a="1"/>
  <c r="R181" i="2" s="1"/>
  <c r="R162" i="2" a="1"/>
  <c r="R162" i="2" s="1"/>
  <c r="R146" i="2" a="1"/>
  <c r="R146" i="2" s="1"/>
  <c r="R130" i="2" a="1"/>
  <c r="R130" i="2" s="1"/>
  <c r="R114" i="2" a="1"/>
  <c r="R114" i="2" s="1"/>
  <c r="R98" i="2" a="1"/>
  <c r="R98" i="2" s="1"/>
  <c r="R82" i="2" a="1"/>
  <c r="R82" i="2" s="1"/>
  <c r="R66" i="2" a="1"/>
  <c r="R66" i="2" s="1"/>
  <c r="R50" i="2" a="1"/>
  <c r="R50" i="2" s="1"/>
  <c r="R34" i="2" a="1"/>
  <c r="R34" i="2" s="1"/>
  <c r="R18" i="2" a="1"/>
  <c r="R18" i="2" s="1"/>
  <c r="R298" i="2" a="1"/>
  <c r="R298" i="2" s="1"/>
  <c r="R282" i="2" a="1"/>
  <c r="R282" i="2" s="1"/>
  <c r="R266" i="2" a="1"/>
  <c r="R266" i="2" s="1"/>
  <c r="R250" i="2" a="1"/>
  <c r="R250" i="2" s="1"/>
  <c r="R234" i="2" a="1"/>
  <c r="R234" i="2" s="1"/>
  <c r="R218" i="2" a="1"/>
  <c r="R218" i="2" s="1"/>
  <c r="R202" i="2" a="1"/>
  <c r="R202" i="2" s="1"/>
  <c r="R186" i="2" a="1"/>
  <c r="R186" i="2" s="1"/>
  <c r="R169" i="2" a="1"/>
  <c r="R169" i="2" s="1"/>
  <c r="R153" i="2" a="1"/>
  <c r="R153" i="2" s="1"/>
  <c r="R137" i="2" a="1"/>
  <c r="R137" i="2" s="1"/>
  <c r="R121" i="2" a="1"/>
  <c r="R121" i="2" s="1"/>
  <c r="R105" i="2" a="1"/>
  <c r="R105" i="2" s="1"/>
  <c r="R89" i="2" a="1"/>
  <c r="R89" i="2" s="1"/>
  <c r="R73" i="2" a="1"/>
  <c r="R73" i="2" s="1"/>
  <c r="R57" i="2" a="1"/>
  <c r="R57" i="2" s="1"/>
  <c r="R41" i="2" a="1"/>
  <c r="R41" i="2" s="1"/>
  <c r="R25" i="2" a="1"/>
  <c r="R25" i="2" s="1"/>
  <c r="R9" i="2" a="1"/>
  <c r="R9" i="2" s="1"/>
  <c r="Q774" i="2"/>
  <c r="Q280" i="2"/>
  <c r="Q281" i="2" s="1"/>
  <c r="Q282" i="2" s="1"/>
  <c r="Q283" i="2" s="1"/>
  <c r="Q284" i="2" s="1"/>
  <c r="Q552" i="2"/>
  <c r="Q553" i="2" s="1"/>
  <c r="Q554" i="2" s="1"/>
  <c r="Q555" i="2" s="1"/>
  <c r="Q556" i="2" s="1"/>
  <c r="R810" i="2" a="1"/>
  <c r="R810" i="2" s="1"/>
  <c r="R811" i="2" a="1"/>
  <c r="R811" i="2" s="1"/>
  <c r="R795" i="2" a="1"/>
  <c r="R795" i="2" s="1"/>
  <c r="R779" i="2" a="1"/>
  <c r="R779" i="2" s="1"/>
  <c r="R763" i="2" a="1"/>
  <c r="R763" i="2" s="1"/>
  <c r="R747" i="2" a="1"/>
  <c r="R747" i="2" s="1"/>
  <c r="R731" i="2" a="1"/>
  <c r="R731" i="2" s="1"/>
  <c r="R715" i="2" a="1"/>
  <c r="R715" i="2" s="1"/>
  <c r="R699" i="2" a="1"/>
  <c r="R699" i="2" s="1"/>
  <c r="R683" i="2" a="1"/>
  <c r="R683" i="2" s="1"/>
  <c r="R667" i="2" a="1"/>
  <c r="R667" i="2" s="1"/>
  <c r="R651" i="2" a="1"/>
  <c r="R651" i="2" s="1"/>
  <c r="R635" i="2" a="1"/>
  <c r="R635" i="2" s="1"/>
  <c r="R619" i="2" a="1"/>
  <c r="R619" i="2" s="1"/>
  <c r="R603" i="2" a="1"/>
  <c r="R603" i="2" s="1"/>
  <c r="R587" i="2" a="1"/>
  <c r="R587" i="2" s="1"/>
  <c r="R572" i="2" a="1"/>
  <c r="R572" i="2" s="1"/>
  <c r="R556" i="2" a="1"/>
  <c r="R556" i="2" s="1"/>
  <c r="R798" i="2" a="1"/>
  <c r="R798" i="2" s="1"/>
  <c r="R782" i="2" a="1"/>
  <c r="R782" i="2" s="1"/>
  <c r="R766" i="2" a="1"/>
  <c r="R766" i="2" s="1"/>
  <c r="R750" i="2" a="1"/>
  <c r="R750" i="2" s="1"/>
  <c r="R734" i="2" a="1"/>
  <c r="R734" i="2" s="1"/>
  <c r="R718" i="2" a="1"/>
  <c r="R718" i="2" s="1"/>
  <c r="R702" i="2" a="1"/>
  <c r="R702" i="2" s="1"/>
  <c r="R686" i="2" a="1"/>
  <c r="R686" i="2" s="1"/>
  <c r="R670" i="2" a="1"/>
  <c r="R670" i="2" s="1"/>
  <c r="R654" i="2" a="1"/>
  <c r="R654" i="2" s="1"/>
  <c r="R638" i="2" a="1"/>
  <c r="R638" i="2" s="1"/>
  <c r="R622" i="2" a="1"/>
  <c r="R622" i="2" s="1"/>
  <c r="R606" i="2" a="1"/>
  <c r="R606" i="2" s="1"/>
  <c r="R590" i="2" a="1"/>
  <c r="R590" i="2" s="1"/>
  <c r="R574" i="2" a="1"/>
  <c r="R574" i="2" s="1"/>
  <c r="R558" i="2" a="1"/>
  <c r="R558" i="2" s="1"/>
  <c r="R797" i="2" a="1"/>
  <c r="R797" i="2" s="1"/>
  <c r="R781" i="2" a="1"/>
  <c r="R781" i="2" s="1"/>
  <c r="R765" i="2" a="1"/>
  <c r="R765" i="2" s="1"/>
  <c r="R749" i="2" a="1"/>
  <c r="R749" i="2" s="1"/>
  <c r="R733" i="2" a="1"/>
  <c r="R733" i="2" s="1"/>
  <c r="R717" i="2" a="1"/>
  <c r="R717" i="2" s="1"/>
  <c r="R701" i="2" a="1"/>
  <c r="R701" i="2" s="1"/>
  <c r="R685" i="2" a="1"/>
  <c r="R685" i="2" s="1"/>
  <c r="R669" i="2" a="1"/>
  <c r="R669" i="2" s="1"/>
  <c r="R653" i="2" a="1"/>
  <c r="R653" i="2" s="1"/>
  <c r="R637" i="2" a="1"/>
  <c r="R637" i="2" s="1"/>
  <c r="R621" i="2" a="1"/>
  <c r="R621" i="2" s="1"/>
  <c r="R605" i="2" a="1"/>
  <c r="R605" i="2" s="1"/>
  <c r="R589" i="2" a="1"/>
  <c r="R589" i="2" s="1"/>
  <c r="R573" i="2" a="1"/>
  <c r="R573" i="2" s="1"/>
  <c r="R557" i="2" a="1"/>
  <c r="R557" i="2" s="1"/>
  <c r="R808" i="2" a="1"/>
  <c r="R808" i="2" s="1"/>
  <c r="R792" i="2" a="1"/>
  <c r="R792" i="2" s="1"/>
  <c r="R776" i="2" a="1"/>
  <c r="R776" i="2" s="1"/>
  <c r="R760" i="2" a="1"/>
  <c r="R760" i="2" s="1"/>
  <c r="R744" i="2" a="1"/>
  <c r="R744" i="2" s="1"/>
  <c r="R728" i="2" a="1"/>
  <c r="R728" i="2" s="1"/>
  <c r="R712" i="2" a="1"/>
  <c r="R712" i="2" s="1"/>
  <c r="R696" i="2" a="1"/>
  <c r="R696" i="2" s="1"/>
  <c r="R680" i="2" a="1"/>
  <c r="R680" i="2" s="1"/>
  <c r="R664" i="2" a="1"/>
  <c r="R664" i="2" s="1"/>
  <c r="R648" i="2" a="1"/>
  <c r="R648" i="2" s="1"/>
  <c r="R632" i="2" a="1"/>
  <c r="R632" i="2" s="1"/>
  <c r="R616" i="2" a="1"/>
  <c r="R616" i="2" s="1"/>
  <c r="R600" i="2" a="1"/>
  <c r="R600" i="2" s="1"/>
  <c r="R584" i="2" a="1"/>
  <c r="R584" i="2" s="1"/>
  <c r="R567" i="2" a="1"/>
  <c r="R567" i="2" s="1"/>
  <c r="R553" i="2" a="1"/>
  <c r="R553" i="2" s="1"/>
  <c r="R537" i="2" a="1"/>
  <c r="R537" i="2" s="1"/>
  <c r="R521" i="2" a="1"/>
  <c r="R521" i="2" s="1"/>
  <c r="R506" i="2" a="1"/>
  <c r="R506" i="2" s="1"/>
  <c r="R490" i="2" a="1"/>
  <c r="R490" i="2" s="1"/>
  <c r="R474" i="2" a="1"/>
  <c r="R474" i="2" s="1"/>
  <c r="R458" i="2" a="1"/>
  <c r="R458" i="2" s="1"/>
  <c r="R442" i="2" a="1"/>
  <c r="R442" i="2" s="1"/>
  <c r="R426" i="2" a="1"/>
  <c r="R426" i="2" s="1"/>
  <c r="R410" i="2" a="1"/>
  <c r="R410" i="2" s="1"/>
  <c r="R394" i="2" a="1"/>
  <c r="R394" i="2" s="1"/>
  <c r="R378" i="2" a="1"/>
  <c r="R378" i="2" s="1"/>
  <c r="R362" i="2" a="1"/>
  <c r="R362" i="2" s="1"/>
  <c r="R346" i="2" a="1"/>
  <c r="R346" i="2" s="1"/>
  <c r="R330" i="2" a="1"/>
  <c r="R330" i="2" s="1"/>
  <c r="R314" i="2" a="1"/>
  <c r="R314" i="2" s="1"/>
  <c r="R539" i="2" a="1"/>
  <c r="R539" i="2" s="1"/>
  <c r="R523" i="2" a="1"/>
  <c r="R523" i="2" s="1"/>
  <c r="R509" i="2" a="1"/>
  <c r="R509" i="2" s="1"/>
  <c r="R493" i="2" a="1"/>
  <c r="R493" i="2" s="1"/>
  <c r="R477" i="2" a="1"/>
  <c r="R477" i="2" s="1"/>
  <c r="R461" i="2" a="1"/>
  <c r="R461" i="2" s="1"/>
  <c r="R445" i="2" a="1"/>
  <c r="R445" i="2" s="1"/>
  <c r="R429" i="2" a="1"/>
  <c r="R429" i="2" s="1"/>
  <c r="R413" i="2" a="1"/>
  <c r="R413" i="2" s="1"/>
  <c r="R397" i="2" a="1"/>
  <c r="R397" i="2" s="1"/>
  <c r="R381" i="2" a="1"/>
  <c r="R381" i="2" s="1"/>
  <c r="R365" i="2" a="1"/>
  <c r="R365" i="2" s="1"/>
  <c r="R349" i="2" a="1"/>
  <c r="R349" i="2" s="1"/>
  <c r="R333" i="2" a="1"/>
  <c r="R333" i="2" s="1"/>
  <c r="R317" i="2" a="1"/>
  <c r="R317" i="2" s="1"/>
  <c r="R297" i="2" a="1"/>
  <c r="R297" i="2" s="1"/>
  <c r="R544" i="2" a="1"/>
  <c r="R544" i="2" s="1"/>
  <c r="R528" i="2" a="1"/>
  <c r="R528" i="2" s="1"/>
  <c r="R514" i="2" a="1"/>
  <c r="R514" i="2" s="1"/>
  <c r="R498" i="2" a="1"/>
  <c r="R498" i="2" s="1"/>
  <c r="R482" i="2" a="1"/>
  <c r="R482" i="2" s="1"/>
  <c r="R466" i="2" a="1"/>
  <c r="R466" i="2" s="1"/>
  <c r="R450" i="2" a="1"/>
  <c r="R450" i="2" s="1"/>
  <c r="R434" i="2" a="1"/>
  <c r="R434" i="2" s="1"/>
  <c r="R418" i="2" a="1"/>
  <c r="R418" i="2" s="1"/>
  <c r="R402" i="2" a="1"/>
  <c r="R402" i="2" s="1"/>
  <c r="R386" i="2" a="1"/>
  <c r="R386" i="2" s="1"/>
  <c r="R370" i="2" a="1"/>
  <c r="R370" i="2" s="1"/>
  <c r="R354" i="2" a="1"/>
  <c r="R354" i="2" s="1"/>
  <c r="R338" i="2" a="1"/>
  <c r="R338" i="2" s="1"/>
  <c r="R322" i="2" a="1"/>
  <c r="R322" i="2" s="1"/>
  <c r="R305" i="2" a="1"/>
  <c r="R305" i="2" s="1"/>
  <c r="R278" i="2" a="1"/>
  <c r="R278" i="2" s="1"/>
  <c r="R546" i="2" a="1"/>
  <c r="R546" i="2" s="1"/>
  <c r="R530" i="2" a="1"/>
  <c r="R530" i="2" s="1"/>
  <c r="R511" i="2" a="1"/>
  <c r="R511" i="2" s="1"/>
  <c r="R495" i="2" a="1"/>
  <c r="R495" i="2" s="1"/>
  <c r="R479" i="2" a="1"/>
  <c r="R479" i="2" s="1"/>
  <c r="R463" i="2" a="1"/>
  <c r="R463" i="2" s="1"/>
  <c r="R447" i="2" a="1"/>
  <c r="R447" i="2" s="1"/>
  <c r="R431" i="2" a="1"/>
  <c r="R431" i="2" s="1"/>
  <c r="R415" i="2" a="1"/>
  <c r="R415" i="2" s="1"/>
  <c r="R399" i="2" a="1"/>
  <c r="R399" i="2" s="1"/>
  <c r="R383" i="2" a="1"/>
  <c r="R383" i="2" s="1"/>
  <c r="R367" i="2" a="1"/>
  <c r="R367" i="2" s="1"/>
  <c r="R351" i="2" a="1"/>
  <c r="R351" i="2" s="1"/>
  <c r="R335" i="2" a="1"/>
  <c r="R335" i="2" s="1"/>
  <c r="R319" i="2" a="1"/>
  <c r="R319" i="2" s="1"/>
  <c r="R304" i="2" a="1"/>
  <c r="R304" i="2" s="1"/>
  <c r="R285" i="2" a="1"/>
  <c r="R285" i="2" s="1"/>
  <c r="R269" i="2" a="1"/>
  <c r="R269" i="2" s="1"/>
  <c r="R253" i="2" a="1"/>
  <c r="R253" i="2" s="1"/>
  <c r="R237" i="2" a="1"/>
  <c r="R237" i="2" s="1"/>
  <c r="R221" i="2" a="1"/>
  <c r="R221" i="2" s="1"/>
  <c r="R205" i="2" a="1"/>
  <c r="R205" i="2" s="1"/>
  <c r="R189" i="2" a="1"/>
  <c r="R189" i="2" s="1"/>
  <c r="R172" i="2" a="1"/>
  <c r="R172" i="2" s="1"/>
  <c r="R156" i="2" a="1"/>
  <c r="R156" i="2" s="1"/>
  <c r="R140" i="2" a="1"/>
  <c r="R140" i="2" s="1"/>
  <c r="R124" i="2" a="1"/>
  <c r="R124" i="2" s="1"/>
  <c r="R108" i="2" a="1"/>
  <c r="R108" i="2" s="1"/>
  <c r="R92" i="2" a="1"/>
  <c r="R92" i="2" s="1"/>
  <c r="R76" i="2" a="1"/>
  <c r="R76" i="2" s="1"/>
  <c r="R60" i="2" a="1"/>
  <c r="R60" i="2" s="1"/>
  <c r="R44" i="2" a="1"/>
  <c r="R44" i="2" s="1"/>
  <c r="R28" i="2" a="1"/>
  <c r="R28" i="2" s="1"/>
  <c r="R12" i="2" a="1"/>
  <c r="R12" i="2" s="1"/>
  <c r="R252" i="2" a="1"/>
  <c r="R252" i="2" s="1"/>
  <c r="R236" i="2" a="1"/>
  <c r="R236" i="2" s="1"/>
  <c r="R220" i="2" a="1"/>
  <c r="R220" i="2" s="1"/>
  <c r="R204" i="2" a="1"/>
  <c r="R204" i="2" s="1"/>
  <c r="R188" i="2" a="1"/>
  <c r="R188" i="2" s="1"/>
  <c r="R175" i="2" a="1"/>
  <c r="R175" i="2" s="1"/>
  <c r="R159" i="2" a="1"/>
  <c r="R159" i="2" s="1"/>
  <c r="R143" i="2" a="1"/>
  <c r="R143" i="2" s="1"/>
  <c r="R127" i="2" a="1"/>
  <c r="R127" i="2" s="1"/>
  <c r="R111" i="2" a="1"/>
  <c r="R111" i="2" s="1"/>
  <c r="R95" i="2" a="1"/>
  <c r="R95" i="2" s="1"/>
  <c r="R79" i="2" a="1"/>
  <c r="R79" i="2" s="1"/>
  <c r="R63" i="2" a="1"/>
  <c r="R63" i="2" s="1"/>
  <c r="R47" i="2" a="1"/>
  <c r="R47" i="2" s="1"/>
  <c r="R31" i="2" a="1"/>
  <c r="R31" i="2" s="1"/>
  <c r="R15" i="2" a="1"/>
  <c r="R15" i="2" s="1"/>
  <c r="R303" i="2" a="1"/>
  <c r="R303" i="2" s="1"/>
  <c r="R287" i="2" a="1"/>
  <c r="R287" i="2" s="1"/>
  <c r="R271" i="2" a="1"/>
  <c r="R271" i="2" s="1"/>
  <c r="R255" i="2" a="1"/>
  <c r="R255" i="2" s="1"/>
  <c r="R239" i="2" a="1"/>
  <c r="R239" i="2" s="1"/>
  <c r="R223" i="2" a="1"/>
  <c r="R223" i="2" s="1"/>
  <c r="R207" i="2" a="1"/>
  <c r="R207" i="2" s="1"/>
  <c r="R191" i="2" a="1"/>
  <c r="R191" i="2" s="1"/>
  <c r="R174" i="2" a="1"/>
  <c r="R174" i="2" s="1"/>
  <c r="R158" i="2" a="1"/>
  <c r="R158" i="2" s="1"/>
  <c r="R142" i="2" a="1"/>
  <c r="R142" i="2" s="1"/>
  <c r="R126" i="2" a="1"/>
  <c r="R126" i="2" s="1"/>
  <c r="R110" i="2" a="1"/>
  <c r="R110" i="2" s="1"/>
  <c r="R94" i="2" a="1"/>
  <c r="R94" i="2" s="1"/>
  <c r="R78" i="2" a="1"/>
  <c r="R78" i="2" s="1"/>
  <c r="R62" i="2" a="1"/>
  <c r="R62" i="2" s="1"/>
  <c r="R46" i="2" a="1"/>
  <c r="R46" i="2" s="1"/>
  <c r="R30" i="2" a="1"/>
  <c r="R30" i="2" s="1"/>
  <c r="R14" i="2" a="1"/>
  <c r="R14" i="2" s="1"/>
  <c r="R292" i="2" a="1"/>
  <c r="R292" i="2" s="1"/>
  <c r="R276" i="2" a="1"/>
  <c r="R276" i="2" s="1"/>
  <c r="R260" i="2" a="1"/>
  <c r="R260" i="2" s="1"/>
  <c r="R244" i="2" a="1"/>
  <c r="R244" i="2" s="1"/>
  <c r="R228" i="2" a="1"/>
  <c r="R228" i="2" s="1"/>
  <c r="R212" i="2" a="1"/>
  <c r="R212" i="2" s="1"/>
  <c r="R196" i="2" a="1"/>
  <c r="R196" i="2" s="1"/>
  <c r="R180" i="2" a="1"/>
  <c r="R180" i="2" s="1"/>
  <c r="R165" i="2" a="1"/>
  <c r="R165" i="2" s="1"/>
  <c r="R149" i="2" a="1"/>
  <c r="R149" i="2" s="1"/>
  <c r="R133" i="2" a="1"/>
  <c r="R133" i="2" s="1"/>
  <c r="R117" i="2" a="1"/>
  <c r="R117" i="2" s="1"/>
  <c r="R101" i="2" a="1"/>
  <c r="R101" i="2" s="1"/>
  <c r="R85" i="2" a="1"/>
  <c r="R85" i="2" s="1"/>
  <c r="R69" i="2" a="1"/>
  <c r="R69" i="2" s="1"/>
  <c r="R53" i="2" a="1"/>
  <c r="R53" i="2" s="1"/>
  <c r="R37" i="2" a="1"/>
  <c r="R37" i="2" s="1"/>
  <c r="R21" i="2" a="1"/>
  <c r="R21" i="2" s="1"/>
  <c r="Q16" i="2"/>
  <c r="Q17" i="2" s="1"/>
  <c r="Q18" i="2" s="1"/>
  <c r="Q19" i="2" s="1"/>
  <c r="Q20" i="2" s="1"/>
  <c r="Q21" i="2" s="1"/>
  <c r="Q524" i="2"/>
  <c r="Q525" i="2" s="1"/>
  <c r="Q526" i="2" s="1"/>
  <c r="Q465" i="2"/>
  <c r="Q466" i="2" s="1"/>
  <c r="Q467" i="2" s="1"/>
  <c r="Q468" i="2" s="1"/>
  <c r="Q513" i="2"/>
  <c r="Q514" i="2" s="1"/>
  <c r="Q213" i="2"/>
  <c r="Q214" i="2" s="1"/>
  <c r="Q215" i="2" s="1"/>
  <c r="Q216" i="2" s="1"/>
  <c r="Q739" i="2"/>
  <c r="Q740" i="2" s="1"/>
  <c r="Q741" i="2" s="1"/>
  <c r="Q742" i="2" s="1"/>
  <c r="Q540" i="2"/>
  <c r="Q541" i="2" s="1"/>
  <c r="Q542" i="2" s="1"/>
  <c r="Q543" i="2" s="1"/>
  <c r="R814" i="2" a="1"/>
  <c r="R814" i="2" s="1"/>
  <c r="R807" i="2" a="1"/>
  <c r="R807" i="2" s="1"/>
  <c r="R791" i="2" a="1"/>
  <c r="R791" i="2" s="1"/>
  <c r="R775" i="2" a="1"/>
  <c r="R775" i="2" s="1"/>
  <c r="R759" i="2" a="1"/>
  <c r="R759" i="2" s="1"/>
  <c r="R743" i="2" a="1"/>
  <c r="R743" i="2" s="1"/>
  <c r="R727" i="2" a="1"/>
  <c r="R727" i="2" s="1"/>
  <c r="R711" i="2" a="1"/>
  <c r="R711" i="2" s="1"/>
  <c r="R695" i="2" a="1"/>
  <c r="R695" i="2" s="1"/>
  <c r="R679" i="2" a="1"/>
  <c r="R679" i="2" s="1"/>
  <c r="R663" i="2" a="1"/>
  <c r="R663" i="2" s="1"/>
  <c r="R647" i="2" a="1"/>
  <c r="R647" i="2" s="1"/>
  <c r="R631" i="2" a="1"/>
  <c r="R631" i="2" s="1"/>
  <c r="R615" i="2" a="1"/>
  <c r="R615" i="2" s="1"/>
  <c r="R599" i="2" a="1"/>
  <c r="R599" i="2" s="1"/>
  <c r="R583" i="2" a="1"/>
  <c r="R583" i="2" s="1"/>
  <c r="R569" i="2" a="1"/>
  <c r="R569" i="2" s="1"/>
  <c r="R552" i="2" a="1"/>
  <c r="R552" i="2" s="1"/>
  <c r="R794" i="2" a="1"/>
  <c r="R794" i="2" s="1"/>
  <c r="R778" i="2" a="1"/>
  <c r="R778" i="2" s="1"/>
  <c r="R762" i="2" a="1"/>
  <c r="R762" i="2" s="1"/>
  <c r="R746" i="2" a="1"/>
  <c r="R746" i="2" s="1"/>
  <c r="R730" i="2" a="1"/>
  <c r="R730" i="2" s="1"/>
  <c r="R714" i="2" a="1"/>
  <c r="R714" i="2" s="1"/>
  <c r="R698" i="2" a="1"/>
  <c r="R698" i="2" s="1"/>
  <c r="R682" i="2" a="1"/>
  <c r="R682" i="2" s="1"/>
  <c r="R666" i="2" a="1"/>
  <c r="R666" i="2" s="1"/>
  <c r="R650" i="2" a="1"/>
  <c r="R650" i="2" s="1"/>
  <c r="R634" i="2" a="1"/>
  <c r="R634" i="2" s="1"/>
  <c r="R618" i="2" a="1"/>
  <c r="R618" i="2" s="1"/>
  <c r="R602" i="2" a="1"/>
  <c r="R602" i="2" s="1"/>
  <c r="R586" i="2" a="1"/>
  <c r="R586" i="2" s="1"/>
  <c r="R571" i="2" a="1"/>
  <c r="R571" i="2" s="1"/>
  <c r="R555" i="2" a="1"/>
  <c r="R555" i="2" s="1"/>
  <c r="R793" i="2" a="1"/>
  <c r="R793" i="2" s="1"/>
  <c r="R777" i="2" a="1"/>
  <c r="R777" i="2" s="1"/>
  <c r="R761" i="2" a="1"/>
  <c r="R761" i="2" s="1"/>
  <c r="R745" i="2" a="1"/>
  <c r="R745" i="2" s="1"/>
  <c r="R729" i="2" a="1"/>
  <c r="R729" i="2" s="1"/>
  <c r="R713" i="2" a="1"/>
  <c r="R713" i="2" s="1"/>
  <c r="R697" i="2" a="1"/>
  <c r="R697" i="2" s="1"/>
  <c r="R681" i="2" a="1"/>
  <c r="R681" i="2" s="1"/>
  <c r="R665" i="2" a="1"/>
  <c r="R665" i="2" s="1"/>
  <c r="R649" i="2" a="1"/>
  <c r="R649" i="2" s="1"/>
  <c r="R633" i="2" a="1"/>
  <c r="R633" i="2" s="1"/>
  <c r="R617" i="2" a="1"/>
  <c r="R617" i="2" s="1"/>
  <c r="R601" i="2" a="1"/>
  <c r="R601" i="2" s="1"/>
  <c r="R585" i="2" a="1"/>
  <c r="R585" i="2" s="1"/>
  <c r="R568" i="2" a="1"/>
  <c r="R568" i="2" s="1"/>
  <c r="R549" i="2" a="1"/>
  <c r="R549" i="2" s="1"/>
  <c r="R804" i="2" a="1"/>
  <c r="R804" i="2" s="1"/>
  <c r="R788" i="2" a="1"/>
  <c r="R788" i="2" s="1"/>
  <c r="R772" i="2" a="1"/>
  <c r="R772" i="2" s="1"/>
  <c r="R756" i="2" a="1"/>
  <c r="R756" i="2" s="1"/>
  <c r="R740" i="2" a="1"/>
  <c r="R740" i="2" s="1"/>
  <c r="R724" i="2" a="1"/>
  <c r="R724" i="2" s="1"/>
  <c r="R708" i="2" a="1"/>
  <c r="R708" i="2" s="1"/>
  <c r="R692" i="2" a="1"/>
  <c r="R692" i="2" s="1"/>
  <c r="R676" i="2" a="1"/>
  <c r="R676" i="2" s="1"/>
  <c r="R660" i="2" a="1"/>
  <c r="R660" i="2" s="1"/>
  <c r="R644" i="2" a="1"/>
  <c r="R644" i="2" s="1"/>
  <c r="R628" i="2" a="1"/>
  <c r="R628" i="2" s="1"/>
  <c r="R612" i="2" a="1"/>
  <c r="R612" i="2" s="1"/>
  <c r="R596" i="2" a="1"/>
  <c r="R596" i="2" s="1"/>
  <c r="R580" i="2" a="1"/>
  <c r="R580" i="2" s="1"/>
  <c r="R562" i="2" a="1"/>
  <c r="R562" i="2" s="1"/>
  <c r="R548" i="2" a="1"/>
  <c r="R548" i="2" s="1"/>
  <c r="R532" i="2" a="1"/>
  <c r="R532" i="2" s="1"/>
  <c r="R516" i="2" a="1"/>
  <c r="R516" i="2" s="1"/>
  <c r="R500" i="2" a="1"/>
  <c r="R500" i="2" s="1"/>
  <c r="R484" i="2" a="1"/>
  <c r="R484" i="2" s="1"/>
  <c r="R468" i="2" a="1"/>
  <c r="R468" i="2" s="1"/>
  <c r="R452" i="2" a="1"/>
  <c r="R452" i="2" s="1"/>
  <c r="R436" i="2" a="1"/>
  <c r="R436" i="2" s="1"/>
  <c r="R420" i="2" a="1"/>
  <c r="R420" i="2" s="1"/>
  <c r="R404" i="2" a="1"/>
  <c r="R404" i="2" s="1"/>
  <c r="R388" i="2" a="1"/>
  <c r="R388" i="2" s="1"/>
  <c r="R372" i="2" a="1"/>
  <c r="R372" i="2" s="1"/>
  <c r="R356" i="2" a="1"/>
  <c r="R356" i="2" s="1"/>
  <c r="R340" i="2" a="1"/>
  <c r="R340" i="2" s="1"/>
  <c r="R324" i="2" a="1"/>
  <c r="R324" i="2" s="1"/>
  <c r="R307" i="2" a="1"/>
  <c r="R307" i="2" s="1"/>
  <c r="R534" i="2" a="1"/>
  <c r="R534" i="2" s="1"/>
  <c r="R518" i="2" a="1"/>
  <c r="R518" i="2" s="1"/>
  <c r="R503" i="2" a="1"/>
  <c r="R503" i="2" s="1"/>
  <c r="R487" i="2" a="1"/>
  <c r="R487" i="2" s="1"/>
  <c r="R471" i="2" a="1"/>
  <c r="R471" i="2" s="1"/>
  <c r="R455" i="2" a="1"/>
  <c r="R455" i="2" s="1"/>
  <c r="R439" i="2" a="1"/>
  <c r="R439" i="2" s="1"/>
  <c r="R423" i="2" a="1"/>
  <c r="R423" i="2" s="1"/>
  <c r="R407" i="2" a="1"/>
  <c r="R407" i="2" s="1"/>
  <c r="R391" i="2" a="1"/>
  <c r="R391" i="2" s="1"/>
  <c r="R375" i="2" a="1"/>
  <c r="R375" i="2" s="1"/>
  <c r="R359" i="2" a="1"/>
  <c r="R359" i="2" s="1"/>
  <c r="R343" i="2" a="1"/>
  <c r="R343" i="2" s="1"/>
  <c r="R327" i="2" a="1"/>
  <c r="R327" i="2" s="1"/>
  <c r="R311" i="2" a="1"/>
  <c r="R311" i="2" s="1"/>
  <c r="R290" i="2" a="1"/>
  <c r="R290" i="2" s="1"/>
  <c r="R541" i="2" a="1"/>
  <c r="R541" i="2" s="1"/>
  <c r="R525" i="2" a="1"/>
  <c r="R525" i="2" s="1"/>
  <c r="R508" i="2" a="1"/>
  <c r="R508" i="2" s="1"/>
  <c r="R492" i="2" a="1"/>
  <c r="R492" i="2" s="1"/>
  <c r="R476" i="2" a="1"/>
  <c r="R476" i="2" s="1"/>
  <c r="R460" i="2" a="1"/>
  <c r="R460" i="2" s="1"/>
  <c r="R444" i="2" a="1"/>
  <c r="R444" i="2" s="1"/>
  <c r="R428" i="2" a="1"/>
  <c r="R428" i="2" s="1"/>
  <c r="R412" i="2" a="1"/>
  <c r="R412" i="2" s="1"/>
  <c r="R396" i="2" a="1"/>
  <c r="R396" i="2" s="1"/>
  <c r="R380" i="2" a="1"/>
  <c r="R380" i="2" s="1"/>
  <c r="R364" i="2" a="1"/>
  <c r="R364" i="2" s="1"/>
  <c r="R348" i="2" a="1"/>
  <c r="R348" i="2" s="1"/>
  <c r="R332" i="2" a="1"/>
  <c r="R332" i="2" s="1"/>
  <c r="R316" i="2" a="1"/>
  <c r="R316" i="2" s="1"/>
  <c r="R301" i="2" a="1"/>
  <c r="R301" i="2" s="1"/>
  <c r="R265" i="2" a="1"/>
  <c r="R265" i="2" s="1"/>
  <c r="R543" i="2" a="1"/>
  <c r="R543" i="2" s="1"/>
  <c r="R527" i="2" a="1"/>
  <c r="R527" i="2" s="1"/>
  <c r="R507" i="2" a="1"/>
  <c r="R507" i="2" s="1"/>
  <c r="R491" i="2" a="1"/>
  <c r="R491" i="2" s="1"/>
  <c r="R475" i="2" a="1"/>
  <c r="R475" i="2" s="1"/>
  <c r="R459" i="2" a="1"/>
  <c r="R459" i="2" s="1"/>
  <c r="R443" i="2" a="1"/>
  <c r="R443" i="2" s="1"/>
  <c r="R427" i="2" a="1"/>
  <c r="R427" i="2" s="1"/>
  <c r="R411" i="2" a="1"/>
  <c r="R411" i="2" s="1"/>
  <c r="R395" i="2" a="1"/>
  <c r="R395" i="2" s="1"/>
  <c r="R379" i="2" a="1"/>
  <c r="R379" i="2" s="1"/>
  <c r="R363" i="2" a="1"/>
  <c r="R363" i="2" s="1"/>
  <c r="R347" i="2" a="1"/>
  <c r="R347" i="2" s="1"/>
  <c r="R331" i="2" a="1"/>
  <c r="R331" i="2" s="1"/>
  <c r="R315" i="2" a="1"/>
  <c r="R315" i="2" s="1"/>
  <c r="R300" i="2" a="1"/>
  <c r="R300" i="2" s="1"/>
  <c r="R279" i="2" a="1"/>
  <c r="R279" i="2" s="1"/>
  <c r="R263" i="2" a="1"/>
  <c r="R263" i="2" s="1"/>
  <c r="R247" i="2" a="1"/>
  <c r="R247" i="2" s="1"/>
  <c r="R231" i="2" a="1"/>
  <c r="R231" i="2" s="1"/>
  <c r="R215" i="2" a="1"/>
  <c r="R215" i="2" s="1"/>
  <c r="R199" i="2" a="1"/>
  <c r="R199" i="2" s="1"/>
  <c r="R183" i="2" a="1"/>
  <c r="R183" i="2" s="1"/>
  <c r="R168" i="2" a="1"/>
  <c r="R168" i="2" s="1"/>
  <c r="R152" i="2" a="1"/>
  <c r="R152" i="2" s="1"/>
  <c r="R136" i="2" a="1"/>
  <c r="R136" i="2" s="1"/>
  <c r="R120" i="2" a="1"/>
  <c r="R120" i="2" s="1"/>
  <c r="R104" i="2" a="1"/>
  <c r="R104" i="2" s="1"/>
  <c r="R88" i="2" a="1"/>
  <c r="R88" i="2" s="1"/>
  <c r="R72" i="2" a="1"/>
  <c r="R72" i="2" s="1"/>
  <c r="R56" i="2" a="1"/>
  <c r="R56" i="2" s="1"/>
  <c r="R40" i="2" a="1"/>
  <c r="R40" i="2" s="1"/>
  <c r="R24" i="2" a="1"/>
  <c r="R24" i="2" s="1"/>
  <c r="R8" i="2" a="1"/>
  <c r="R8" i="2" s="1"/>
  <c r="R249" i="2" a="1"/>
  <c r="R249" i="2" s="1"/>
  <c r="R233" i="2" a="1"/>
  <c r="R233" i="2" s="1"/>
  <c r="R217" i="2" a="1"/>
  <c r="R217" i="2" s="1"/>
  <c r="R201" i="2" a="1"/>
  <c r="R201" i="2" s="1"/>
  <c r="R185" i="2" a="1"/>
  <c r="R185" i="2" s="1"/>
  <c r="R171" i="2" a="1"/>
  <c r="R171" i="2" s="1"/>
  <c r="R155" i="2" a="1"/>
  <c r="R155" i="2" s="1"/>
  <c r="R139" i="2" a="1"/>
  <c r="R139" i="2" s="1"/>
  <c r="R123" i="2" a="1"/>
  <c r="R123" i="2" s="1"/>
  <c r="R107" i="2" a="1"/>
  <c r="R107" i="2" s="1"/>
  <c r="R91" i="2" a="1"/>
  <c r="R91" i="2" s="1"/>
  <c r="R75" i="2" a="1"/>
  <c r="R75" i="2" s="1"/>
  <c r="R59" i="2" a="1"/>
  <c r="R59" i="2" s="1"/>
  <c r="R43" i="2" a="1"/>
  <c r="R43" i="2" s="1"/>
  <c r="R27" i="2" a="1"/>
  <c r="R27" i="2" s="1"/>
  <c r="R11" i="2" a="1"/>
  <c r="R11" i="2" s="1"/>
  <c r="R299" i="2" a="1"/>
  <c r="R299" i="2" s="1"/>
  <c r="R283" i="2" a="1"/>
  <c r="R283" i="2" s="1"/>
  <c r="R267" i="2" a="1"/>
  <c r="R267" i="2" s="1"/>
  <c r="R251" i="2" a="1"/>
  <c r="R251" i="2" s="1"/>
  <c r="R235" i="2" a="1"/>
  <c r="R235" i="2" s="1"/>
  <c r="R219" i="2" a="1"/>
  <c r="R219" i="2" s="1"/>
  <c r="R203" i="2" a="1"/>
  <c r="R203" i="2" s="1"/>
  <c r="R187" i="2" a="1"/>
  <c r="R187" i="2" s="1"/>
  <c r="R170" i="2" a="1"/>
  <c r="R170" i="2" s="1"/>
  <c r="R154" i="2" a="1"/>
  <c r="R154" i="2" s="1"/>
  <c r="R138" i="2" a="1"/>
  <c r="R138" i="2" s="1"/>
  <c r="R122" i="2" a="1"/>
  <c r="R122" i="2" s="1"/>
  <c r="R106" i="2" a="1"/>
  <c r="R106" i="2" s="1"/>
  <c r="R90" i="2" a="1"/>
  <c r="R90" i="2" s="1"/>
  <c r="R74" i="2" a="1"/>
  <c r="R74" i="2" s="1"/>
  <c r="R58" i="2" a="1"/>
  <c r="R58" i="2" s="1"/>
  <c r="R42" i="2" a="1"/>
  <c r="R42" i="2" s="1"/>
  <c r="R26" i="2" a="1"/>
  <c r="R26" i="2" s="1"/>
  <c r="R10" i="2" a="1"/>
  <c r="R10" i="2" s="1"/>
  <c r="R289" i="2" a="1"/>
  <c r="R289" i="2" s="1"/>
  <c r="R273" i="2" a="1"/>
  <c r="R273" i="2" s="1"/>
  <c r="R257" i="2" a="1"/>
  <c r="R257" i="2" s="1"/>
  <c r="R241" i="2" a="1"/>
  <c r="R241" i="2" s="1"/>
  <c r="R225" i="2" a="1"/>
  <c r="R225" i="2" s="1"/>
  <c r="R209" i="2" a="1"/>
  <c r="R209" i="2" s="1"/>
  <c r="R193" i="2" a="1"/>
  <c r="R193" i="2" s="1"/>
  <c r="R177" i="2" a="1"/>
  <c r="R177" i="2" s="1"/>
  <c r="R161" i="2" a="1"/>
  <c r="R161" i="2" s="1"/>
  <c r="R145" i="2" a="1"/>
  <c r="R145" i="2" s="1"/>
  <c r="R129" i="2" a="1"/>
  <c r="R129" i="2" s="1"/>
  <c r="R113" i="2" a="1"/>
  <c r="R113" i="2" s="1"/>
  <c r="R97" i="2" a="1"/>
  <c r="R97" i="2" s="1"/>
  <c r="R81" i="2" a="1"/>
  <c r="R81" i="2" s="1"/>
  <c r="R65" i="2" a="1"/>
  <c r="R65" i="2" s="1"/>
  <c r="R49" i="2" a="1"/>
  <c r="R49" i="2" s="1"/>
  <c r="R33" i="2" a="1"/>
  <c r="R33" i="2" s="1"/>
  <c r="J6" i="2" l="1"/>
  <c r="J7" i="2"/>
  <c r="J9" i="2"/>
  <c r="J11" i="2"/>
  <c r="C17" i="23" a="1"/>
  <c r="C17" i="23" s="1"/>
  <c r="D17" i="23" s="1"/>
  <c r="E17" i="23" s="1"/>
  <c r="C16" i="23" a="1"/>
  <c r="C16" i="23" s="1"/>
  <c r="D16" i="23" s="1"/>
  <c r="E16" i="23" s="1"/>
  <c r="C5" i="23"/>
  <c r="D5" i="23" s="1"/>
  <c r="E5" i="23" s="1"/>
  <c r="C9" i="23"/>
  <c r="C15" i="23" s="1" a="1"/>
  <c r="C15" i="23" s="1"/>
  <c r="E3" i="2"/>
  <c r="F3" i="2"/>
  <c r="G3" i="2"/>
  <c r="I3" i="2"/>
  <c r="B3" i="2"/>
  <c r="I14" i="23"/>
  <c r="J14" i="23" s="1"/>
  <c r="K14" i="23" s="1"/>
  <c r="I15" i="23"/>
  <c r="J15" i="23" s="1"/>
  <c r="K15" i="23" s="1"/>
  <c r="I16" i="23"/>
  <c r="J16" i="23" s="1"/>
  <c r="K16" i="23" s="1"/>
  <c r="C11" i="23"/>
  <c r="D11" i="23" s="1"/>
  <c r="E11" i="23" s="1"/>
  <c r="C10" i="23"/>
  <c r="D10" i="23"/>
  <c r="E10" i="23" s="1"/>
  <c r="B3" i="15"/>
  <c r="S2" i="5"/>
  <c r="B7" i="21"/>
  <c r="B14" i="21"/>
  <c r="B11" i="21"/>
  <c r="B9" i="21"/>
  <c r="B12" i="21"/>
  <c r="B4" i="21"/>
  <c r="B8" i="21"/>
  <c r="B15" i="21"/>
  <c r="B6" i="21"/>
  <c r="B5" i="21"/>
  <c r="B13" i="21"/>
  <c r="B10" i="21"/>
  <c r="D9" i="23" l="1"/>
  <c r="E9" i="23" s="1"/>
  <c r="J10" i="2"/>
  <c r="K10" i="2" s="1"/>
  <c r="J5" i="2"/>
  <c r="J8" i="2"/>
  <c r="D15" i="23"/>
  <c r="E15" i="23" s="1"/>
  <c r="K9" i="2" l="1"/>
  <c r="K427" i="2"/>
  <c r="K455" i="2"/>
  <c r="K687" i="2"/>
  <c r="K703" i="2"/>
  <c r="K719" i="2"/>
  <c r="K751" i="2"/>
  <c r="K5" i="2"/>
  <c r="K47" i="2"/>
  <c r="K141" i="2"/>
  <c r="K179" i="2"/>
  <c r="K235" i="2"/>
  <c r="K379" i="2"/>
  <c r="K407" i="2"/>
  <c r="K443" i="2"/>
  <c r="K499" i="2"/>
  <c r="K571" i="2"/>
  <c r="K21" i="2"/>
  <c r="K61" i="2"/>
  <c r="K503" i="2"/>
  <c r="K531" i="2"/>
  <c r="K723" i="2"/>
  <c r="K787" i="2"/>
  <c r="K539" i="2"/>
  <c r="K567" i="2"/>
  <c r="K683" i="2"/>
  <c r="K705" i="2"/>
  <c r="K747" i="2"/>
  <c r="K811" i="2"/>
  <c r="K79" i="2"/>
  <c r="K269" i="2"/>
  <c r="K375" i="2"/>
  <c r="K675" i="2"/>
  <c r="K707" i="2"/>
  <c r="K771" i="2"/>
  <c r="K793" i="2"/>
  <c r="K803" i="2"/>
  <c r="K13" i="2"/>
  <c r="K89" i="2"/>
  <c r="K203" i="2"/>
  <c r="K439" i="2"/>
  <c r="K667" i="2"/>
  <c r="K785" i="2"/>
  <c r="K808" i="2"/>
  <c r="K712" i="2"/>
  <c r="K607" i="2"/>
  <c r="K400" i="2"/>
  <c r="K99" i="2"/>
  <c r="K595" i="2"/>
  <c r="K41" i="2"/>
  <c r="K729" i="2"/>
  <c r="K617" i="2"/>
  <c r="K549" i="2"/>
  <c r="K469" i="2"/>
  <c r="K212" i="2"/>
  <c r="K668" i="2"/>
  <c r="K551" i="2"/>
  <c r="K272" i="2"/>
  <c r="K761" i="2"/>
  <c r="K693" i="2"/>
  <c r="K624" i="2"/>
  <c r="K537" i="2"/>
  <c r="K508" i="2"/>
  <c r="K349" i="2"/>
  <c r="K221" i="2"/>
  <c r="K763" i="2"/>
  <c r="K795" i="2"/>
  <c r="K804" i="2"/>
  <c r="K773" i="2"/>
  <c r="K713" i="2"/>
  <c r="K652" i="2"/>
  <c r="K600" i="2"/>
  <c r="K389" i="2"/>
  <c r="K288" i="2"/>
  <c r="K133" i="2"/>
  <c r="K94" i="2"/>
  <c r="K62" i="2"/>
  <c r="K691" i="2"/>
  <c r="K801" i="2"/>
  <c r="K384" i="2"/>
  <c r="K205" i="2"/>
  <c r="K27" i="2"/>
  <c r="K387" i="2"/>
  <c r="K812" i="2"/>
  <c r="K784" i="2"/>
  <c r="K735" i="2"/>
  <c r="K685" i="2"/>
  <c r="K653" i="2"/>
  <c r="K619" i="2"/>
  <c r="K577" i="2"/>
  <c r="K529" i="2"/>
  <c r="K491" i="2"/>
  <c r="K452" i="2"/>
  <c r="K404" i="2"/>
  <c r="K340" i="2"/>
  <c r="K264" i="2"/>
  <c r="K188" i="2"/>
  <c r="K111" i="2"/>
  <c r="K647" i="2"/>
  <c r="K519" i="2"/>
  <c r="K371" i="2"/>
  <c r="K259" i="2"/>
  <c r="K139" i="2"/>
  <c r="K29" i="2"/>
  <c r="K788" i="2"/>
  <c r="K697" i="2"/>
  <c r="K589" i="2"/>
  <c r="K285" i="2"/>
  <c r="K755" i="2"/>
  <c r="K411" i="2"/>
  <c r="K777" i="2"/>
  <c r="K681" i="2"/>
  <c r="K605" i="2"/>
  <c r="K524" i="2"/>
  <c r="K459" i="2"/>
  <c r="K197" i="2"/>
  <c r="K651" i="2"/>
  <c r="K449" i="2"/>
  <c r="K157" i="2"/>
  <c r="K752" i="2"/>
  <c r="K680" i="2"/>
  <c r="K613" i="2"/>
  <c r="K528" i="2"/>
  <c r="K497" i="2"/>
  <c r="K336" i="2"/>
  <c r="K208" i="2"/>
  <c r="K745" i="2"/>
  <c r="K781" i="2"/>
  <c r="K796" i="2"/>
  <c r="K760" i="2"/>
  <c r="K701" i="2"/>
  <c r="K645" i="2"/>
  <c r="K592" i="2"/>
  <c r="K373" i="2"/>
  <c r="K261" i="2"/>
  <c r="K117" i="2"/>
  <c r="K86" i="2"/>
  <c r="K54" i="2"/>
  <c r="K603" i="2"/>
  <c r="K520" i="2"/>
  <c r="K333" i="2"/>
  <c r="K128" i="2"/>
  <c r="K775" i="2"/>
  <c r="K327" i="2"/>
  <c r="K805" i="2"/>
  <c r="K776" i="2"/>
  <c r="K725" i="2"/>
  <c r="K677" i="2"/>
  <c r="K640" i="2"/>
  <c r="K609" i="2"/>
  <c r="K569" i="2"/>
  <c r="K516" i="2"/>
  <c r="K479" i="2"/>
  <c r="K440" i="2"/>
  <c r="K392" i="2"/>
  <c r="K328" i="2"/>
  <c r="K252" i="2"/>
  <c r="K160" i="2"/>
  <c r="K63" i="2"/>
  <c r="K611" i="2"/>
  <c r="K483" i="2"/>
  <c r="K343" i="2"/>
  <c r="K227" i="2"/>
  <c r="K109" i="2"/>
  <c r="K769" i="2"/>
  <c r="K660" i="2"/>
  <c r="K541" i="2"/>
  <c r="K172" i="2"/>
  <c r="K689" i="2"/>
  <c r="K155" i="2"/>
  <c r="K753" i="2"/>
  <c r="K676" i="2"/>
  <c r="K568" i="2"/>
  <c r="K487" i="2"/>
  <c r="K325" i="2"/>
  <c r="K181" i="2"/>
  <c r="K637" i="2"/>
  <c r="K413" i="2"/>
  <c r="K107" i="2"/>
  <c r="K737" i="2"/>
  <c r="K673" i="2"/>
  <c r="K576" i="2"/>
  <c r="K521" i="2"/>
  <c r="K475" i="2"/>
  <c r="K277" i="2"/>
  <c r="K192" i="2"/>
  <c r="K721" i="2"/>
  <c r="K720" i="2"/>
  <c r="K789" i="2"/>
  <c r="K749" i="2"/>
  <c r="K692" i="2"/>
  <c r="K639" i="2"/>
  <c r="K584" i="2"/>
  <c r="K360" i="2"/>
  <c r="K245" i="2"/>
  <c r="K110" i="2"/>
  <c r="K78" i="2"/>
  <c r="K779" i="2"/>
  <c r="K467" i="2"/>
  <c r="K493" i="2"/>
  <c r="K296" i="2"/>
  <c r="K91" i="2"/>
  <c r="K627" i="2"/>
  <c r="K243" i="2"/>
  <c r="K797" i="2"/>
  <c r="K767" i="2"/>
  <c r="K704" i="2"/>
  <c r="K669" i="2"/>
  <c r="K632" i="2"/>
  <c r="K593" i="2"/>
  <c r="K564" i="2"/>
  <c r="K509" i="2"/>
  <c r="K471" i="2"/>
  <c r="K429" i="2"/>
  <c r="K380" i="2"/>
  <c r="K316" i="2"/>
  <c r="K224" i="2"/>
  <c r="K148" i="2"/>
  <c r="K15" i="2"/>
  <c r="K579" i="2"/>
  <c r="K435" i="2"/>
  <c r="K311" i="2"/>
  <c r="K199" i="2"/>
  <c r="K85" i="2"/>
  <c r="K731" i="2"/>
  <c r="K644" i="2"/>
  <c r="K425" i="2"/>
  <c r="K144" i="2"/>
  <c r="K659" i="2"/>
  <c r="K69" i="2"/>
  <c r="K741" i="2"/>
  <c r="K665" i="2"/>
  <c r="K561" i="2"/>
  <c r="K476" i="2"/>
  <c r="K309" i="2"/>
  <c r="K800" i="2"/>
  <c r="K599" i="2"/>
  <c r="K300" i="2"/>
  <c r="K51" i="2"/>
  <c r="K715" i="2"/>
  <c r="K648" i="2"/>
  <c r="K557" i="2"/>
  <c r="K513" i="2"/>
  <c r="K364" i="2"/>
  <c r="K236" i="2"/>
  <c r="K136" i="2"/>
  <c r="K699" i="2"/>
  <c r="K809" i="2"/>
  <c r="K783" i="2"/>
  <c r="K724" i="2"/>
  <c r="K661" i="2"/>
  <c r="K631" i="2"/>
  <c r="K544" i="2"/>
  <c r="K317" i="2"/>
  <c r="K232" i="2"/>
  <c r="K102" i="2"/>
  <c r="K70" i="2"/>
  <c r="K739" i="2"/>
  <c r="K307" i="2"/>
  <c r="K436" i="2"/>
  <c r="K244" i="2"/>
  <c r="K67" i="2"/>
  <c r="K535" i="2"/>
  <c r="K131" i="2"/>
  <c r="K792" i="2"/>
  <c r="K743" i="2"/>
  <c r="K695" i="2"/>
  <c r="K663" i="2"/>
  <c r="K625" i="2"/>
  <c r="K585" i="2"/>
  <c r="K553" i="2"/>
  <c r="K500" i="2"/>
  <c r="K461" i="2"/>
  <c r="K416" i="2"/>
  <c r="K352" i="2"/>
  <c r="K276" i="2"/>
  <c r="K200" i="2"/>
  <c r="K124" i="2"/>
  <c r="K791" i="2"/>
  <c r="K555" i="2"/>
  <c r="K395" i="2"/>
  <c r="K283" i="2"/>
  <c r="K171" i="2"/>
  <c r="K53" i="2"/>
  <c r="K46" i="2"/>
  <c r="K14" i="2"/>
  <c r="K635" i="2"/>
  <c r="K419" i="2"/>
  <c r="K279" i="2"/>
  <c r="K163" i="2"/>
  <c r="K45" i="2"/>
  <c r="K77" i="2"/>
  <c r="K485" i="2"/>
  <c r="K308" i="2"/>
  <c r="K75" i="2"/>
  <c r="K563" i="2"/>
  <c r="K93" i="2"/>
  <c r="K423" i="2"/>
  <c r="K220" i="2"/>
  <c r="K59" i="2"/>
  <c r="K507" i="2"/>
  <c r="K17" i="2"/>
  <c r="K679" i="2"/>
  <c r="K633" i="2"/>
  <c r="K481" i="2"/>
  <c r="K433" i="2"/>
  <c r="K381" i="2"/>
  <c r="K253" i="2"/>
  <c r="K149" i="2"/>
  <c r="K347" i="2"/>
  <c r="K359" i="2"/>
  <c r="K621" i="2"/>
  <c r="K545" i="2"/>
  <c r="K473" i="2"/>
  <c r="K365" i="2"/>
  <c r="K103" i="2"/>
  <c r="K55" i="2"/>
  <c r="K655" i="2"/>
  <c r="K263" i="2"/>
  <c r="K315" i="2"/>
  <c r="K251" i="2"/>
  <c r="K187" i="2"/>
  <c r="K123" i="2"/>
  <c r="K477" i="2"/>
  <c r="K417" i="2"/>
  <c r="K353" i="2"/>
  <c r="K289" i="2"/>
  <c r="K225" i="2"/>
  <c r="K161" i="2"/>
  <c r="K37" i="2"/>
  <c r="K114" i="2"/>
  <c r="K82" i="2"/>
  <c r="K50" i="2"/>
  <c r="K18" i="2"/>
  <c r="K38" i="2"/>
  <c r="K759" i="2"/>
  <c r="K575" i="2"/>
  <c r="K391" i="2"/>
  <c r="K247" i="2"/>
  <c r="K135" i="2"/>
  <c r="K25" i="2"/>
  <c r="K444" i="2"/>
  <c r="K256" i="2"/>
  <c r="K43" i="2"/>
  <c r="K451" i="2"/>
  <c r="K527" i="2"/>
  <c r="K372" i="2"/>
  <c r="K180" i="2"/>
  <c r="K35" i="2"/>
  <c r="K355" i="2"/>
  <c r="K757" i="2"/>
  <c r="K717" i="2"/>
  <c r="K597" i="2"/>
  <c r="K565" i="2"/>
  <c r="K533" i="2"/>
  <c r="K463" i="2"/>
  <c r="K421" i="2"/>
  <c r="K189" i="2"/>
  <c r="K291" i="2"/>
  <c r="K649" i="2"/>
  <c r="K601" i="2"/>
  <c r="K525" i="2"/>
  <c r="K457" i="2"/>
  <c r="K301" i="2"/>
  <c r="K95" i="2"/>
  <c r="K39" i="2"/>
  <c r="K623" i="2"/>
  <c r="K151" i="2"/>
  <c r="K591" i="2"/>
  <c r="K295" i="2"/>
  <c r="K231" i="2"/>
  <c r="K167" i="2"/>
  <c r="K465" i="2"/>
  <c r="K369" i="2"/>
  <c r="K305" i="2"/>
  <c r="K241" i="2"/>
  <c r="K177" i="2"/>
  <c r="K101" i="2"/>
  <c r="K106" i="2"/>
  <c r="K74" i="2"/>
  <c r="K42" i="2"/>
  <c r="K30" i="2"/>
  <c r="K711" i="2"/>
  <c r="K543" i="2"/>
  <c r="K363" i="2"/>
  <c r="K219" i="2"/>
  <c r="K105" i="2"/>
  <c r="K765" i="2"/>
  <c r="K536" i="2"/>
  <c r="K412" i="2"/>
  <c r="K168" i="2"/>
  <c r="K19" i="2"/>
  <c r="K299" i="2"/>
  <c r="K505" i="2"/>
  <c r="K320" i="2"/>
  <c r="K115" i="2"/>
  <c r="K813" i="2"/>
  <c r="K267" i="2"/>
  <c r="K807" i="2"/>
  <c r="K587" i="2"/>
  <c r="K501" i="2"/>
  <c r="K405" i="2"/>
  <c r="K357" i="2"/>
  <c r="K293" i="2"/>
  <c r="K229" i="2"/>
  <c r="K125" i="2"/>
  <c r="K615" i="2"/>
  <c r="K641" i="2"/>
  <c r="K581" i="2"/>
  <c r="K517" i="2"/>
  <c r="K437" i="2"/>
  <c r="K237" i="2"/>
  <c r="K87" i="2"/>
  <c r="K31" i="2"/>
  <c r="K559" i="2"/>
  <c r="K119" i="2"/>
  <c r="K453" i="2"/>
  <c r="K385" i="2"/>
  <c r="K321" i="2"/>
  <c r="K257" i="2"/>
  <c r="K193" i="2"/>
  <c r="K129" i="2"/>
  <c r="K98" i="2"/>
  <c r="K66" i="2"/>
  <c r="K34" i="2"/>
  <c r="K22" i="2"/>
  <c r="K671" i="2"/>
  <c r="K515" i="2"/>
  <c r="K331" i="2"/>
  <c r="K195" i="2"/>
  <c r="K73" i="2"/>
  <c r="K733" i="2"/>
  <c r="K512" i="2"/>
  <c r="K348" i="2"/>
  <c r="K156" i="2"/>
  <c r="K727" i="2"/>
  <c r="K215" i="2"/>
  <c r="K468" i="2"/>
  <c r="K284" i="2"/>
  <c r="K83" i="2"/>
  <c r="K709" i="2"/>
  <c r="K183" i="2"/>
  <c r="K799" i="2"/>
  <c r="K657" i="2"/>
  <c r="K441" i="2"/>
  <c r="K341" i="2"/>
  <c r="K213" i="2"/>
  <c r="K165" i="2"/>
  <c r="K583" i="2"/>
  <c r="K523" i="2"/>
  <c r="K629" i="2"/>
  <c r="K573" i="2"/>
  <c r="K511" i="2"/>
  <c r="K397" i="2"/>
  <c r="K173" i="2"/>
  <c r="K71" i="2"/>
  <c r="K23" i="2"/>
  <c r="K323" i="2"/>
  <c r="K33" i="2"/>
  <c r="K445" i="2"/>
  <c r="K401" i="2"/>
  <c r="K337" i="2"/>
  <c r="K273" i="2"/>
  <c r="K209" i="2"/>
  <c r="K145" i="2"/>
  <c r="K90" i="2"/>
  <c r="K58" i="2"/>
  <c r="K26" i="2"/>
  <c r="K76" i="2"/>
  <c r="K330" i="2"/>
  <c r="K570" i="2"/>
  <c r="K794" i="2"/>
  <c r="K48" i="2"/>
  <c r="K238" i="2"/>
  <c r="K446" i="2"/>
  <c r="K638" i="2"/>
  <c r="K24" i="2"/>
  <c r="K88" i="2"/>
  <c r="K150" i="2"/>
  <c r="K214" i="2"/>
  <c r="K278" i="2"/>
  <c r="K342" i="2"/>
  <c r="K406" i="2"/>
  <c r="K470" i="2"/>
  <c r="K534" i="2"/>
  <c r="K598" i="2"/>
  <c r="K662" i="2"/>
  <c r="K726" i="2"/>
  <c r="K790" i="2"/>
  <c r="K191" i="2"/>
  <c r="K447" i="2"/>
  <c r="K297" i="2"/>
  <c r="K211" i="2"/>
  <c r="K396" i="2"/>
  <c r="K612" i="2"/>
  <c r="K170" i="2"/>
  <c r="K426" i="2"/>
  <c r="K682" i="2"/>
  <c r="K345" i="2"/>
  <c r="K556" i="2"/>
  <c r="K744" i="2"/>
  <c r="K196" i="2"/>
  <c r="K324" i="2"/>
  <c r="K428" i="2"/>
  <c r="K488" i="2"/>
  <c r="K608" i="2"/>
  <c r="K732" i="2"/>
  <c r="K12" i="2"/>
  <c r="K266" i="2"/>
  <c r="K522" i="2"/>
  <c r="K746" i="2"/>
  <c r="K399" i="2"/>
  <c r="K142" i="2"/>
  <c r="K334" i="2"/>
  <c r="K526" i="2"/>
  <c r="K718" i="2"/>
  <c r="K223" i="2"/>
  <c r="K137" i="2"/>
  <c r="K393" i="2"/>
  <c r="K368" i="2"/>
  <c r="K44" i="2"/>
  <c r="K298" i="2"/>
  <c r="K554" i="2"/>
  <c r="K778" i="2"/>
  <c r="K126" i="2"/>
  <c r="K318" i="2"/>
  <c r="K510" i="2"/>
  <c r="K702" i="2"/>
  <c r="K20" i="2"/>
  <c r="K84" i="2"/>
  <c r="K146" i="2"/>
  <c r="K210" i="2"/>
  <c r="K274" i="2"/>
  <c r="K338" i="2"/>
  <c r="K402" i="2"/>
  <c r="K466" i="2"/>
  <c r="K530" i="2"/>
  <c r="K594" i="2"/>
  <c r="K658" i="2"/>
  <c r="K722" i="2"/>
  <c r="K786" i="2"/>
  <c r="K175" i="2"/>
  <c r="K431" i="2"/>
  <c r="K249" i="2"/>
  <c r="K204" i="2"/>
  <c r="K604" i="2"/>
  <c r="K152" i="2"/>
  <c r="K280" i="2"/>
  <c r="K408" i="2"/>
  <c r="K472" i="2"/>
  <c r="K560" i="2"/>
  <c r="K700" i="2"/>
  <c r="K772" i="2"/>
  <c r="K138" i="2"/>
  <c r="K378" i="2"/>
  <c r="K634" i="2"/>
  <c r="K81" i="2"/>
  <c r="K112" i="2"/>
  <c r="K286" i="2"/>
  <c r="K494" i="2"/>
  <c r="K686" i="2"/>
  <c r="K40" i="2"/>
  <c r="K104" i="2"/>
  <c r="K166" i="2"/>
  <c r="K230" i="2"/>
  <c r="K294" i="2"/>
  <c r="K358" i="2"/>
  <c r="K422" i="2"/>
  <c r="K486" i="2"/>
  <c r="K550" i="2"/>
  <c r="K614" i="2"/>
  <c r="K678" i="2"/>
  <c r="K742" i="2"/>
  <c r="K806" i="2"/>
  <c r="K255" i="2"/>
  <c r="K57" i="2"/>
  <c r="K361" i="2"/>
  <c r="K275" i="2"/>
  <c r="K492" i="2"/>
  <c r="K688" i="2"/>
  <c r="K218" i="2"/>
  <c r="K474" i="2"/>
  <c r="K153" i="2"/>
  <c r="K409" i="2"/>
  <c r="K620" i="2"/>
  <c r="K228" i="2"/>
  <c r="K356" i="2"/>
  <c r="K448" i="2"/>
  <c r="K504" i="2"/>
  <c r="K636" i="2"/>
  <c r="K748" i="2"/>
  <c r="K60" i="2"/>
  <c r="K314" i="2"/>
  <c r="K586" i="2"/>
  <c r="K810" i="2"/>
  <c r="K16" i="2"/>
  <c r="K206" i="2"/>
  <c r="K382" i="2"/>
  <c r="K574" i="2"/>
  <c r="K766" i="2"/>
  <c r="K287" i="2"/>
  <c r="K201" i="2"/>
  <c r="K140" i="2"/>
  <c r="K628" i="2"/>
  <c r="K108" i="2"/>
  <c r="K362" i="2"/>
  <c r="K618" i="2"/>
  <c r="K207" i="2"/>
  <c r="K174" i="2"/>
  <c r="K366" i="2"/>
  <c r="K558" i="2"/>
  <c r="K734" i="2"/>
  <c r="K36" i="2"/>
  <c r="K100" i="2"/>
  <c r="K162" i="2"/>
  <c r="K226" i="2"/>
  <c r="K290" i="2"/>
  <c r="K354" i="2"/>
  <c r="K418" i="2"/>
  <c r="K482" i="2"/>
  <c r="K546" i="2"/>
  <c r="K610" i="2"/>
  <c r="K674" i="2"/>
  <c r="K738" i="2"/>
  <c r="K802" i="2"/>
  <c r="K239" i="2"/>
  <c r="K313" i="2"/>
  <c r="K643" i="2"/>
  <c r="K332" i="2"/>
  <c r="K728" i="2"/>
  <c r="K184" i="2"/>
  <c r="K312" i="2"/>
  <c r="K424" i="2"/>
  <c r="K484" i="2"/>
  <c r="K596" i="2"/>
  <c r="K716" i="2"/>
  <c r="K186" i="2"/>
  <c r="K458" i="2"/>
  <c r="K714" i="2"/>
  <c r="K271" i="2"/>
  <c r="K158" i="2"/>
  <c r="K350" i="2"/>
  <c r="K542" i="2"/>
  <c r="K750" i="2"/>
  <c r="K56" i="2"/>
  <c r="K118" i="2"/>
  <c r="K182" i="2"/>
  <c r="K246" i="2"/>
  <c r="K310" i="2"/>
  <c r="K374" i="2"/>
  <c r="K438" i="2"/>
  <c r="K502" i="2"/>
  <c r="K566" i="2"/>
  <c r="K630" i="2"/>
  <c r="K694" i="2"/>
  <c r="K758" i="2"/>
  <c r="K65" i="2"/>
  <c r="K319" i="2"/>
  <c r="K169" i="2"/>
  <c r="K489" i="2"/>
  <c r="K339" i="2"/>
  <c r="K548" i="2"/>
  <c r="K736" i="2"/>
  <c r="K28" i="2"/>
  <c r="K282" i="2"/>
  <c r="K538" i="2"/>
  <c r="K217" i="2"/>
  <c r="K176" i="2"/>
  <c r="K664" i="2"/>
  <c r="K132" i="2"/>
  <c r="K260" i="2"/>
  <c r="K388" i="2"/>
  <c r="K464" i="2"/>
  <c r="K552" i="2"/>
  <c r="K684" i="2"/>
  <c r="K764" i="2"/>
  <c r="K122" i="2"/>
  <c r="K394" i="2"/>
  <c r="K650" i="2"/>
  <c r="K143" i="2"/>
  <c r="K64" i="2"/>
  <c r="K254" i="2"/>
  <c r="K430" i="2"/>
  <c r="K622" i="2"/>
  <c r="K814" i="2"/>
  <c r="K351" i="2"/>
  <c r="K265" i="2"/>
  <c r="K403" i="2"/>
  <c r="K240" i="2"/>
  <c r="K672" i="2"/>
  <c r="K154" i="2"/>
  <c r="K410" i="2"/>
  <c r="K666" i="2"/>
  <c r="K32" i="2"/>
  <c r="K222" i="2"/>
  <c r="K414" i="2"/>
  <c r="K606" i="2"/>
  <c r="K782" i="2"/>
  <c r="K52" i="2"/>
  <c r="K116" i="2"/>
  <c r="K178" i="2"/>
  <c r="K242" i="2"/>
  <c r="K306" i="2"/>
  <c r="K370" i="2"/>
  <c r="K434" i="2"/>
  <c r="K498" i="2"/>
  <c r="K562" i="2"/>
  <c r="K626" i="2"/>
  <c r="K690" i="2"/>
  <c r="K754" i="2"/>
  <c r="K49" i="2"/>
  <c r="K303" i="2"/>
  <c r="K121" i="2"/>
  <c r="K377" i="2"/>
  <c r="K540" i="2"/>
  <c r="K768" i="2"/>
  <c r="K216" i="2"/>
  <c r="K344" i="2"/>
  <c r="K432" i="2"/>
  <c r="K496" i="2"/>
  <c r="K616" i="2"/>
  <c r="K740" i="2"/>
  <c r="K250" i="2"/>
  <c r="K506" i="2"/>
  <c r="K762" i="2"/>
  <c r="K495" i="2"/>
  <c r="K190" i="2"/>
  <c r="K398" i="2"/>
  <c r="K590" i="2"/>
  <c r="K798" i="2"/>
  <c r="K72" i="2"/>
  <c r="K134" i="2"/>
  <c r="K198" i="2"/>
  <c r="K262" i="2"/>
  <c r="K326" i="2"/>
  <c r="K390" i="2"/>
  <c r="K454" i="2"/>
  <c r="K518" i="2"/>
  <c r="K582" i="2"/>
  <c r="K646" i="2"/>
  <c r="K710" i="2"/>
  <c r="K774" i="2"/>
  <c r="K127" i="2"/>
  <c r="K383" i="2"/>
  <c r="K233" i="2"/>
  <c r="K147" i="2"/>
  <c r="K547" i="2"/>
  <c r="K268" i="2"/>
  <c r="K580" i="2"/>
  <c r="K92" i="2"/>
  <c r="K346" i="2"/>
  <c r="K602" i="2"/>
  <c r="K281" i="2"/>
  <c r="K456" i="2"/>
  <c r="K696" i="2"/>
  <c r="K164" i="2"/>
  <c r="K292" i="2"/>
  <c r="K420" i="2"/>
  <c r="K480" i="2"/>
  <c r="K588" i="2"/>
  <c r="K708" i="2"/>
  <c r="K780" i="2"/>
  <c r="K202" i="2"/>
  <c r="K442" i="2"/>
  <c r="K698" i="2"/>
  <c r="K335" i="2"/>
  <c r="K96" i="2"/>
  <c r="K302" i="2"/>
  <c r="K478" i="2"/>
  <c r="K670" i="2"/>
  <c r="K159" i="2"/>
  <c r="K415" i="2"/>
  <c r="K329" i="2"/>
  <c r="K304" i="2"/>
  <c r="K234" i="2"/>
  <c r="K490" i="2"/>
  <c r="K730" i="2"/>
  <c r="K80" i="2"/>
  <c r="K270" i="2"/>
  <c r="K462" i="2"/>
  <c r="K654" i="2"/>
  <c r="K97" i="2"/>
  <c r="K68" i="2"/>
  <c r="K130" i="2"/>
  <c r="K194" i="2"/>
  <c r="K258" i="2"/>
  <c r="K322" i="2"/>
  <c r="K386" i="2"/>
  <c r="K450" i="2"/>
  <c r="K514" i="2"/>
  <c r="K578" i="2"/>
  <c r="K642" i="2"/>
  <c r="K706" i="2"/>
  <c r="K770" i="2"/>
  <c r="K113" i="2"/>
  <c r="K367" i="2"/>
  <c r="K185" i="2"/>
  <c r="K572" i="2"/>
  <c r="K120" i="2"/>
  <c r="K248" i="2"/>
  <c r="K376" i="2"/>
  <c r="K460" i="2"/>
  <c r="K532" i="2"/>
  <c r="K656" i="2"/>
  <c r="K756" i="2"/>
  <c r="K6" i="2"/>
  <c r="K7" i="2"/>
  <c r="K8" i="2"/>
  <c r="K11" i="2"/>
  <c r="I8" i="23" l="1" a="1"/>
  <c r="I11" i="23" l="1"/>
  <c r="J11" i="23" s="1"/>
  <c r="K11" i="23" s="1"/>
  <c r="I9" i="23"/>
  <c r="J9" i="23" s="1"/>
  <c r="K9" i="23" s="1"/>
  <c r="I10" i="23"/>
  <c r="J10" i="23" s="1"/>
  <c r="K10" i="23" s="1"/>
  <c r="I8" i="23"/>
  <c r="J8" i="23" s="1"/>
  <c r="K8" i="23" s="1"/>
  <c r="I6" i="23" l="1"/>
  <c r="J6" i="23" s="1"/>
  <c r="K6" i="23" s="1"/>
  <c r="I5" i="23"/>
  <c r="J5" i="23" l="1"/>
  <c r="K5" i="23" s="1"/>
  <c r="C18" i="23"/>
  <c r="D18" i="23" s="1"/>
  <c r="E18" i="23" s="1"/>
  <c r="K1" i="23" l="1"/>
</calcChain>
</file>

<file path=xl/comments1.xml><?xml version="1.0" encoding="utf-8"?>
<comments xmlns="http://schemas.openxmlformats.org/spreadsheetml/2006/main">
  <authors>
    <author>CC</author>
  </authors>
  <commentList>
    <comment ref="B5" authorId="0" shapeId="0">
      <text>
        <r>
          <rPr>
            <sz val="9"/>
            <color indexed="81"/>
            <rFont val="Tahoma"/>
            <family val="2"/>
          </rPr>
          <t>Value should be
TRUE</t>
        </r>
      </text>
    </comment>
    <comment ref="H5" authorId="0" shapeId="0">
      <text>
        <r>
          <rPr>
            <sz val="9"/>
            <color indexed="81"/>
            <rFont val="Tahoma"/>
            <family val="2"/>
          </rPr>
          <t>Value should be
FALSE</t>
        </r>
      </text>
    </comment>
    <comment ref="H6" authorId="0" shapeId="0">
      <text>
        <r>
          <rPr>
            <sz val="9"/>
            <color indexed="81"/>
            <rFont val="Tahoma"/>
            <family val="2"/>
          </rPr>
          <t>Value should be
FALSE</t>
        </r>
      </text>
    </comment>
    <comment ref="H8" authorId="0" shapeId="0">
      <text>
        <r>
          <rPr>
            <sz val="9"/>
            <color indexed="81"/>
            <rFont val="Tahoma"/>
            <family val="2"/>
          </rPr>
          <t>Value should be
greater then 0</t>
        </r>
      </text>
    </comment>
    <comment ref="B9" authorId="0" shapeId="0">
      <text>
        <r>
          <rPr>
            <sz val="9"/>
            <color indexed="81"/>
            <rFont val="Tahoma"/>
            <family val="2"/>
          </rPr>
          <t xml:space="preserve">Value should be
greater then 0
</t>
        </r>
      </text>
    </comment>
    <comment ref="H9" authorId="0" shapeId="0">
      <text>
        <r>
          <rPr>
            <sz val="9"/>
            <color indexed="81"/>
            <rFont val="Tahoma"/>
            <family val="2"/>
          </rPr>
          <t>Value should be
equal to 0</t>
        </r>
      </text>
    </comment>
    <comment ref="B10" authorId="0" shapeId="0">
      <text>
        <r>
          <rPr>
            <sz val="9"/>
            <color indexed="81"/>
            <rFont val="Tahoma"/>
            <family val="2"/>
          </rPr>
          <t>Value should be
greater then 0</t>
        </r>
      </text>
    </comment>
    <comment ref="H10" authorId="0" shapeId="0">
      <text>
        <r>
          <rPr>
            <sz val="9"/>
            <color indexed="81"/>
            <rFont val="Tahoma"/>
            <family val="2"/>
          </rPr>
          <t>Value should be
equal to 0</t>
        </r>
      </text>
    </comment>
    <comment ref="B11" authorId="0" shapeId="0">
      <text>
        <r>
          <rPr>
            <sz val="9"/>
            <color indexed="81"/>
            <rFont val="Tahoma"/>
            <family val="2"/>
          </rPr>
          <t>Value should be
greater then 0</t>
        </r>
      </text>
    </comment>
    <comment ref="H11" authorId="0" shapeId="0">
      <text>
        <r>
          <rPr>
            <sz val="9"/>
            <color indexed="81"/>
            <rFont val="Tahoma"/>
            <family val="2"/>
          </rPr>
          <t>Value should be
equal to 0</t>
        </r>
      </text>
    </comment>
    <comment ref="H14" authorId="0" shapeId="0">
      <text>
        <r>
          <rPr>
            <sz val="9"/>
            <color indexed="81"/>
            <rFont val="Tahoma"/>
            <family val="2"/>
          </rPr>
          <t>Value should be
greater then 0</t>
        </r>
      </text>
    </comment>
    <comment ref="B15" authorId="0" shapeId="0">
      <text>
        <r>
          <rPr>
            <sz val="9"/>
            <color indexed="81"/>
            <rFont val="Tahoma"/>
            <family val="2"/>
          </rPr>
          <t>Value should be
TRUE</t>
        </r>
      </text>
    </comment>
    <comment ref="H15" authorId="0" shapeId="0">
      <text>
        <r>
          <rPr>
            <sz val="9"/>
            <color indexed="81"/>
            <rFont val="Tahoma"/>
            <family val="2"/>
          </rPr>
          <t>Value should be
greater then 0</t>
        </r>
      </text>
    </comment>
    <comment ref="B16" authorId="0" shapeId="0">
      <text>
        <r>
          <rPr>
            <sz val="9"/>
            <color indexed="81"/>
            <rFont val="Tahoma"/>
            <family val="2"/>
          </rPr>
          <t>Value should be
TRUE</t>
        </r>
      </text>
    </comment>
    <comment ref="H16" authorId="0" shapeId="0">
      <text>
        <r>
          <rPr>
            <sz val="9"/>
            <color indexed="81"/>
            <rFont val="Tahoma"/>
            <family val="2"/>
          </rPr>
          <t>Value should be
greater then 0</t>
        </r>
      </text>
    </comment>
    <comment ref="B17" authorId="0" shapeId="0">
      <text>
        <r>
          <rPr>
            <sz val="9"/>
            <color indexed="81"/>
            <rFont val="Tahoma"/>
            <family val="2"/>
          </rPr>
          <t>Value should be
TRUE</t>
        </r>
      </text>
    </comment>
    <comment ref="B18" authorId="0" shapeId="0">
      <text>
        <r>
          <rPr>
            <sz val="9"/>
            <color indexed="81"/>
            <rFont val="Tahoma"/>
            <family val="2"/>
          </rPr>
          <t>Value should be
FALSE</t>
        </r>
      </text>
    </comment>
  </commentList>
</comments>
</file>

<file path=xl/sharedStrings.xml><?xml version="1.0" encoding="utf-8"?>
<sst xmlns="http://schemas.openxmlformats.org/spreadsheetml/2006/main" count="4323" uniqueCount="533">
  <si>
    <t>Acronym</t>
  </si>
  <si>
    <t>Organisation</t>
  </si>
  <si>
    <t>R</t>
  </si>
  <si>
    <t>G</t>
  </si>
  <si>
    <t>B</t>
  </si>
  <si>
    <t>Sector</t>
  </si>
  <si>
    <t>ID</t>
  </si>
  <si>
    <t>Type</t>
  </si>
  <si>
    <t>AdminName</t>
  </si>
  <si>
    <t>Pcode</t>
  </si>
  <si>
    <t>All Programs</t>
  </si>
  <si>
    <t>Activity Type</t>
  </si>
  <si>
    <t>Organiztion Type</t>
  </si>
  <si>
    <t>Dashboard Text</t>
  </si>
  <si>
    <t>Color</t>
  </si>
  <si>
    <t>Number of Dashboard Maps</t>
  </si>
  <si>
    <t>TitleBarText</t>
  </si>
  <si>
    <t>Select the type of activity you want to see in the dashboard:</t>
  </si>
  <si>
    <t>Go to the 3W Data Entry Page</t>
  </si>
  <si>
    <t>Org Type</t>
  </si>
  <si>
    <t>Admin Unit Name</t>
  </si>
  <si>
    <t>Name</t>
  </si>
  <si>
    <t>Is Setup Complete</t>
  </si>
  <si>
    <t>DO NOT ADD MORE ROWS TO THIS TABLE</t>
  </si>
  <si>
    <t>Paste Pcodes Below (1 Column Only)</t>
  </si>
  <si>
    <t>sample color</t>
  </si>
  <si>
    <t>Unique Orgs by Admin Unit and Sector</t>
  </si>
  <si>
    <t>Unique Orgs by Admin Unit and Activity Type</t>
  </si>
  <si>
    <t>Unique Orgs by Org Type and Activity Type</t>
  </si>
  <si>
    <t>Unique Orgs by Sector and Activity Type</t>
  </si>
  <si>
    <t>Color Classification</t>
  </si>
  <si>
    <t>All Sectors</t>
  </si>
  <si>
    <t>Current Activity Type</t>
  </si>
  <si>
    <t>Bins</t>
  </si>
  <si>
    <t>Rank</t>
  </si>
  <si>
    <t>Go to instructions</t>
  </si>
  <si>
    <t>Color Ramp for Master Map</t>
  </si>
  <si>
    <t>Yes</t>
  </si>
  <si>
    <t>Standardized Scale</t>
  </si>
  <si>
    <t>International NGO</t>
  </si>
  <si>
    <t>National NGO</t>
  </si>
  <si>
    <t>Beneficiaries</t>
  </si>
  <si>
    <t>Concatenate</t>
  </si>
  <si>
    <t>Check Duplicated Entries</t>
  </si>
  <si>
    <t>Count PT.Concat</t>
  </si>
  <si>
    <t>PT.Concat</t>
  </si>
  <si>
    <t>PT.ID</t>
  </si>
  <si>
    <t>PT.FirstID</t>
  </si>
  <si>
    <t>PT.LastID.Row</t>
  </si>
  <si>
    <t>PT.LstOrg</t>
  </si>
  <si>
    <t>PT.Show</t>
  </si>
  <si>
    <t>PCODE</t>
  </si>
  <si>
    <t>HIDE THESE COLUMNS</t>
  </si>
  <si>
    <t>This table updates automatically based on columns L-R from the "Data" sheet. On this sheet, you just need to edit sectors in row 4 and Pcodes &amp; locations in column B &amp; C.</t>
  </si>
  <si>
    <r>
      <t>3W Data Entry -</t>
    </r>
    <r>
      <rPr>
        <sz val="20"/>
        <color rgb="FFFFFF00"/>
        <rFont val="Arial"/>
        <family val="2"/>
      </rPr>
      <t xml:space="preserve"> </t>
    </r>
    <r>
      <rPr>
        <sz val="14"/>
        <color rgb="FFFFFF00"/>
        <rFont val="Arial"/>
        <family val="2"/>
      </rPr>
      <t>Use the 3W data entry tool to add/delete entries (Menu &gt; 3W TOOLBOX)</t>
    </r>
  </si>
  <si>
    <t>Donors</t>
  </si>
  <si>
    <t>Goverment</t>
  </si>
  <si>
    <t>International Organization</t>
  </si>
  <si>
    <t>Laboratory</t>
  </si>
  <si>
    <t>Private</t>
  </si>
  <si>
    <t>Red Cross Movement</t>
  </si>
  <si>
    <t>UN Agency</t>
  </si>
  <si>
    <t>Catholic Agency For Overseas Development</t>
  </si>
  <si>
    <t>CAFOD</t>
  </si>
  <si>
    <t>CDC</t>
  </si>
  <si>
    <t>Catholic Relief Services</t>
  </si>
  <si>
    <t>CRS</t>
  </si>
  <si>
    <t>IFRC</t>
  </si>
  <si>
    <t>Ministry of Health</t>
  </si>
  <si>
    <t>MoH</t>
  </si>
  <si>
    <t>Medecins sans Frontieres</t>
  </si>
  <si>
    <t>MSF</t>
  </si>
  <si>
    <t>PLAN</t>
  </si>
  <si>
    <t>Save the Children</t>
  </si>
  <si>
    <t>United Nations Population Fund</t>
  </si>
  <si>
    <t>UNFPA</t>
  </si>
  <si>
    <t>United Nations Children's Fund</t>
  </si>
  <si>
    <t>UNICEF</t>
  </si>
  <si>
    <t>WFP</t>
  </si>
  <si>
    <t>World Health Organization</t>
  </si>
  <si>
    <t>WHO</t>
  </si>
  <si>
    <t>District</t>
  </si>
  <si>
    <t>Ongoing</t>
  </si>
  <si>
    <t>Planned</t>
  </si>
  <si>
    <t>_Map0</t>
  </si>
  <si>
    <t>=Dashboard!$E$10</t>
  </si>
  <si>
    <t>_Map1</t>
  </si>
  <si>
    <t>=Dashboard!$E$32</t>
  </si>
  <si>
    <t>_Map10</t>
  </si>
  <si>
    <t>=Dashboard!$E$77</t>
  </si>
  <si>
    <t>_Map11</t>
  </si>
  <si>
    <t>=Dashboard!$V$77</t>
  </si>
  <si>
    <t>_Map12</t>
  </si>
  <si>
    <t>=Dashboard!$AM$77</t>
  </si>
  <si>
    <t>_Map13</t>
  </si>
  <si>
    <t>=Dashboard!$E$92</t>
  </si>
  <si>
    <t>_Map14</t>
  </si>
  <si>
    <t>=Dashboard!$V$92</t>
  </si>
  <si>
    <t>_Map15</t>
  </si>
  <si>
    <t>=Dashboard!$AM$92</t>
  </si>
  <si>
    <t>_Map16</t>
  </si>
  <si>
    <t>=Dashboard!$E$107</t>
  </si>
  <si>
    <t>_Map2</t>
  </si>
  <si>
    <t>=Dashboard!$V$32</t>
  </si>
  <si>
    <t>_Map3</t>
  </si>
  <si>
    <t>=Dashboard!$AM$32</t>
  </si>
  <si>
    <t>_Map4</t>
  </si>
  <si>
    <t>=Dashboard!$E$47</t>
  </si>
  <si>
    <t>_Map5</t>
  </si>
  <si>
    <t>=Dashboard!$V$47</t>
  </si>
  <si>
    <t>_Map6</t>
  </si>
  <si>
    <t>=Dashboard!$AM$47</t>
  </si>
  <si>
    <t>_Map7</t>
  </si>
  <si>
    <t>=Dashboard!$E$62</t>
  </si>
  <si>
    <t>_Map8</t>
  </si>
  <si>
    <t>=Dashboard!$V$62</t>
  </si>
  <si>
    <t>_Map9</t>
  </si>
  <si>
    <t>=Dashboard!$AM$62</t>
  </si>
  <si>
    <t>AcronymList</t>
  </si>
  <si>
    <t>=Organizations[Acronym]</t>
  </si>
  <si>
    <t>ActiveRows</t>
  </si>
  <si>
    <t>=Geometry!$A$11:$A$17</t>
  </si>
  <si>
    <t>Activity</t>
  </si>
  <si>
    <t>=Dashboard!$B$4</t>
  </si>
  <si>
    <t>ActivityTypesAll</t>
  </si>
  <si>
    <t>=ActivityTypes[Activity Type]</t>
  </si>
  <si>
    <t>ActivityTypesForValidation</t>
  </si>
  <si>
    <t>=Vocabulary!$D$2:$D$3</t>
  </si>
  <si>
    <t>AdminNameDataList</t>
  </si>
  <si>
    <t>=Main3WData[Admin Unit Name]</t>
  </si>
  <si>
    <t>AdminNamesList</t>
  </si>
  <si>
    <t>=AdminUnits[AdminName]</t>
  </si>
  <si>
    <t>AllSectorBins</t>
  </si>
  <si>
    <t>=Gears!$Y$6:$Y$10</t>
  </si>
  <si>
    <t>ChartData_Org</t>
  </si>
  <si>
    <t>=Gears!$A$26:$A$36,Gears!$C$26:$C$36</t>
  </si>
  <si>
    <t>ChartData_Sector</t>
  </si>
  <si>
    <t>=Gears!$A$41:$A$56,Gears!$C$41:$C$56</t>
  </si>
  <si>
    <t>Data_Acro</t>
  </si>
  <si>
    <t>=Main3WData[Acronym]</t>
  </si>
  <si>
    <t>Data_Act</t>
  </si>
  <si>
    <t>=Main3WData[Activity Type]</t>
  </si>
  <si>
    <t>Data_OrgTyp</t>
  </si>
  <si>
    <t>=Main3WData[Org Type]</t>
  </si>
  <si>
    <t>Data_Pcd</t>
  </si>
  <si>
    <t>=Main3WData[Pcode]</t>
  </si>
  <si>
    <t>Data_Sect</t>
  </si>
  <si>
    <t>=Main3WData[Sector]</t>
  </si>
  <si>
    <t>FormulaOrgList1</t>
  </si>
  <si>
    <t>=Main3WData[[#Headers],[PT.Concat]]</t>
  </si>
  <si>
    <t>FormulaOrgList2</t>
  </si>
  <si>
    <t>=Main3WData[[#Headers],[Count PT.Concat]]</t>
  </si>
  <si>
    <t>FormulaOrgList3</t>
  </si>
  <si>
    <t>=Main3WData[[#Headers],[PT.ID]]</t>
  </si>
  <si>
    <t>FormulaOrgList4</t>
  </si>
  <si>
    <t>=Main3WData[[#Headers],[PT.FirstID]]</t>
  </si>
  <si>
    <t>FormulaOrgList5</t>
  </si>
  <si>
    <t>=Main3WData[[#Headers],[PT.LastID.Row]]</t>
  </si>
  <si>
    <t>FormulaOrgList6</t>
  </si>
  <si>
    <t>=Main3WData[[#Headers],[PT.LstOrg]]</t>
  </si>
  <si>
    <t>FormulaOrgList7</t>
  </si>
  <si>
    <t>=Main3WData[[#Headers],[PT.Show]]</t>
  </si>
  <si>
    <t>Map0Data</t>
  </si>
  <si>
    <t>=Gears!$A$6:$X$21</t>
  </si>
  <si>
    <t>Map10Data</t>
  </si>
  <si>
    <t>=Gears!$A$6:$AR$21</t>
  </si>
  <si>
    <t>Map11Data</t>
  </si>
  <si>
    <t>=Gears!$A$6:$AT$21</t>
  </si>
  <si>
    <t>Map12Data</t>
  </si>
  <si>
    <t>=Gears!$A$6:$AV$21</t>
  </si>
  <si>
    <t>Map13Data</t>
  </si>
  <si>
    <t>=Gears!$A$6:$AX$21</t>
  </si>
  <si>
    <t>Map14Data</t>
  </si>
  <si>
    <t>=Gears!$A$6:$AZ$21</t>
  </si>
  <si>
    <t>Map15Data</t>
  </si>
  <si>
    <t>=Gears!$A$6:$BB$21</t>
  </si>
  <si>
    <t>Map16Data</t>
  </si>
  <si>
    <t>=Gears!$A$6:$BD$21</t>
  </si>
  <si>
    <t>Map1Data</t>
  </si>
  <si>
    <t>=Gears!$A$6:$Z$21</t>
  </si>
  <si>
    <t>Map2Data</t>
  </si>
  <si>
    <t>=Gears!$A$6:$AB$21</t>
  </si>
  <si>
    <t>Map3Data</t>
  </si>
  <si>
    <t>=Gears!$A$6:$AD$21</t>
  </si>
  <si>
    <t>Map4Data</t>
  </si>
  <si>
    <t>=Gears!$A$6:$AF$21</t>
  </si>
  <si>
    <t>Map5Data</t>
  </si>
  <si>
    <t>=Gears!$A$6:$AH$21</t>
  </si>
  <si>
    <t>Map6Data</t>
  </si>
  <si>
    <t>=Gears!$A$6:$AJ$21</t>
  </si>
  <si>
    <t>Map7Data</t>
  </si>
  <si>
    <t>=Gears!$A$6:$AL$21</t>
  </si>
  <si>
    <t>Map8Data</t>
  </si>
  <si>
    <t>=Gears!$A$6:$AN$21</t>
  </si>
  <si>
    <t>Map9Data</t>
  </si>
  <si>
    <t>=Gears!$A$6:$AP$21</t>
  </si>
  <si>
    <t>NumbOfMaps</t>
  </si>
  <si>
    <t>=NumOfMaps[Number of Dashboard Maps]</t>
  </si>
  <si>
    <t>OrgByAdmin_All</t>
  </si>
  <si>
    <t>=Gears!$V$6:$V$21</t>
  </si>
  <si>
    <t>OrgByAdmin_Emg</t>
  </si>
  <si>
    <t>=Gears!$U$6:$U$21</t>
  </si>
  <si>
    <t>OrgByAdmin_Reg</t>
  </si>
  <si>
    <t>=Gears!$T$6:$T$21</t>
  </si>
  <si>
    <t>OrgByOrgType_All</t>
  </si>
  <si>
    <t>=Gears!$D$26:$D$36</t>
  </si>
  <si>
    <t>OrgByOrgType_Emg</t>
  </si>
  <si>
    <t>=Gears!$C$26:$C$36</t>
  </si>
  <si>
    <t>OrgByOrgType_Reg</t>
  </si>
  <si>
    <t>=Gears!$B$26:$B$36</t>
  </si>
  <si>
    <t>OrgNameList</t>
  </si>
  <si>
    <t>=Organizations[Name]</t>
  </si>
  <si>
    <t>OrgTypeList</t>
  </si>
  <si>
    <t>=OrganizationTypes[Organiztion Type]</t>
  </si>
  <si>
    <t>SectorCount0</t>
  </si>
  <si>
    <t>=Gears!$C$6:$C$21</t>
  </si>
  <si>
    <t>SectorCount1</t>
  </si>
  <si>
    <t>=Gears!$D$6:$D$21</t>
  </si>
  <si>
    <t>SectorCount10</t>
  </si>
  <si>
    <t>=Gears!$M$6:$M$21</t>
  </si>
  <si>
    <t>SectorCount11</t>
  </si>
  <si>
    <t>=Gears!$N$6:$N$21</t>
  </si>
  <si>
    <t>SectorCount12</t>
  </si>
  <si>
    <t>=Gears!$O$6:$O$21</t>
  </si>
  <si>
    <t>SectorCount13</t>
  </si>
  <si>
    <t>=Gears!$P$6:$P$21</t>
  </si>
  <si>
    <t>SectorCount14</t>
  </si>
  <si>
    <t>=Gears!$Q$6:$Q$21</t>
  </si>
  <si>
    <t>SectorCount15</t>
  </si>
  <si>
    <t>=Gears!$R$6:$R$21</t>
  </si>
  <si>
    <t>SectorCount2</t>
  </si>
  <si>
    <t>=Gears!$E$6:$E$21</t>
  </si>
  <si>
    <t>SectorCount3</t>
  </si>
  <si>
    <t>=Gears!$F$6:$F$21</t>
  </si>
  <si>
    <t>SectorCount4</t>
  </si>
  <si>
    <t>=Gears!$G$6:$G$21</t>
  </si>
  <si>
    <t>SectorCount5</t>
  </si>
  <si>
    <t>=Gears!$H$6:$H$21</t>
  </si>
  <si>
    <t>SectorCount6</t>
  </si>
  <si>
    <t>=Gears!$I$6:$I$21</t>
  </si>
  <si>
    <t>SectorCount7</t>
  </si>
  <si>
    <t>=Gears!$J$6:$J$21</t>
  </si>
  <si>
    <t>SectorCount8</t>
  </si>
  <si>
    <t>=Gears!$K$6:$K$21</t>
  </si>
  <si>
    <t>SectorCount9</t>
  </si>
  <si>
    <t>=Gears!$L$6:$L$21</t>
  </si>
  <si>
    <t>SectorCountBins0</t>
  </si>
  <si>
    <t>=Gears!$AA$6:$AA$10</t>
  </si>
  <si>
    <t>SectorCountBins1</t>
  </si>
  <si>
    <t>=Gears!$AC$6:$AC$10</t>
  </si>
  <si>
    <t>SectorCountBins10</t>
  </si>
  <si>
    <t>=Gears!$AU$6:$AU$10</t>
  </si>
  <si>
    <t>SectorCountBins11</t>
  </si>
  <si>
    <t>=Gears!$AW$6:$AW$10</t>
  </si>
  <si>
    <t>SectorCountBins12</t>
  </si>
  <si>
    <t>=Gears!$AY$6:$AY$10</t>
  </si>
  <si>
    <t>SectorCountBins13</t>
  </si>
  <si>
    <t>=Gears!$BA$6:$BA$10</t>
  </si>
  <si>
    <t>SectorCountBins14</t>
  </si>
  <si>
    <t>=Gears!$BC$6:$BC$10</t>
  </si>
  <si>
    <t>SectorCountBins15</t>
  </si>
  <si>
    <t>=Gears!$BE$6:$BE$10</t>
  </si>
  <si>
    <t>SectorCountBins2</t>
  </si>
  <si>
    <t>=Gears!$AE$6:$AE$10</t>
  </si>
  <si>
    <t>SectorCountBins3</t>
  </si>
  <si>
    <t>=Gears!$AG$6:$AG$10</t>
  </si>
  <si>
    <t>SectorCountBins4</t>
  </si>
  <si>
    <t>=Gears!$AI$6:$AI$10</t>
  </si>
  <si>
    <t>SectorCountBins5</t>
  </si>
  <si>
    <t>=Gears!$AK$6:$AK$10</t>
  </si>
  <si>
    <t>SectorCountBins6</t>
  </si>
  <si>
    <t>=Gears!$AM$6:$AM$10</t>
  </si>
  <si>
    <t>SectorCountBins7</t>
  </si>
  <si>
    <t>=Gears!$AO$6:$AO$10</t>
  </si>
  <si>
    <t>SectorCountBins8</t>
  </si>
  <si>
    <t>=Gears!$AQ$6:$AQ$10</t>
  </si>
  <si>
    <t>SectorCountBins9</t>
  </si>
  <si>
    <t>=Gears!$AS$6:$AS$10</t>
  </si>
  <si>
    <t>SectorList</t>
  </si>
  <si>
    <t>=Sectors[Sector]</t>
  </si>
  <si>
    <t>StdScale</t>
  </si>
  <si>
    <t>=Dashboard!$B$9</t>
  </si>
  <si>
    <t>UniqueByAdminSector_Start</t>
  </si>
  <si>
    <t>=Gears!$A$5</t>
  </si>
  <si>
    <t>UniqueByOrgType</t>
  </si>
  <si>
    <t>=Gears!$A$26:$D$36</t>
  </si>
  <si>
    <t>UniqueByOrgType_Anchor</t>
  </si>
  <si>
    <t>=Gears!$A$25</t>
  </si>
  <si>
    <t>UniqueBySector</t>
  </si>
  <si>
    <t>=Gears!$A$41:$D$56</t>
  </si>
  <si>
    <t>UniqueBySector_Anchor</t>
  </si>
  <si>
    <t>=Gears!$A$40</t>
  </si>
  <si>
    <t>UniqueCalc_Start</t>
  </si>
  <si>
    <t>=Gears!$C$6</t>
  </si>
  <si>
    <t>_MapX</t>
  </si>
  <si>
    <t>FormulaOrgListX</t>
  </si>
  <si>
    <t>MapXData</t>
  </si>
  <si>
    <t>SectorCountX</t>
  </si>
  <si>
    <t>SectorCountBinsX</t>
  </si>
  <si>
    <t>Multiple</t>
  </si>
  <si>
    <t>WORKBOOK</t>
  </si>
  <si>
    <t>NAMED RANGES</t>
  </si>
  <si>
    <t>Data</t>
  </si>
  <si>
    <t>Organisations</t>
  </si>
  <si>
    <t>Dashboard</t>
  </si>
  <si>
    <t>Report 2</t>
  </si>
  <si>
    <t>Calculated table</t>
  </si>
  <si>
    <t>Vocabulary</t>
  </si>
  <si>
    <t>Gears</t>
  </si>
  <si>
    <t>Geometry</t>
  </si>
  <si>
    <t>DB_Frames</t>
  </si>
  <si>
    <t>Setup Instructions</t>
  </si>
  <si>
    <t>NamedRanges</t>
  </si>
  <si>
    <t>Config</t>
  </si>
  <si>
    <t>Exists</t>
  </si>
  <si>
    <t>TimeStamp</t>
  </si>
  <si>
    <t>Err.Number</t>
  </si>
  <si>
    <t>Err.Description</t>
  </si>
  <si>
    <t>Err.Module</t>
  </si>
  <si>
    <t>Err.Procedure</t>
  </si>
  <si>
    <t>Err.Line</t>
  </si>
  <si>
    <t>Err.Source</t>
  </si>
  <si>
    <t>Number of Organisations</t>
  </si>
  <si>
    <t>Number of Geographic Entities</t>
  </si>
  <si>
    <t>Error(s) in 3W data entry</t>
  </si>
  <si>
    <t>Empty Rows in 3W data entry</t>
  </si>
  <si>
    <t>Data Entry</t>
  </si>
  <si>
    <t>Setup</t>
  </si>
  <si>
    <t>Setup Completed</t>
  </si>
  <si>
    <t>Number of Sectors/Activities</t>
  </si>
  <si>
    <t>Unique</t>
  </si>
  <si>
    <t>2 Duplicates</t>
  </si>
  <si>
    <t>3 Duplicates</t>
  </si>
  <si>
    <t>&gt; 3 Duplicates</t>
  </si>
  <si>
    <t>Duplicated Entries</t>
  </si>
  <si>
    <t>3W Setup and Data Entry Control</t>
  </si>
  <si>
    <t>Number of Unique Geographic Entities</t>
  </si>
  <si>
    <t>Number of Unique Sector/Activities</t>
  </si>
  <si>
    <t>Number of Unique Organisations</t>
  </si>
  <si>
    <t>&lt;&lt;&lt;&lt; check for errors in entries &gt;&gt;&gt;&gt;</t>
  </si>
  <si>
    <t>Organisations Report</t>
  </si>
  <si>
    <t>Column Headers updated</t>
  </si>
  <si>
    <t>PCODE Updated</t>
  </si>
  <si>
    <t>Admin Names Updated</t>
  </si>
  <si>
    <t>Error in formulas</t>
  </si>
  <si>
    <t>L'élément portant ce nom est introuvable.</t>
  </si>
  <si>
    <t>SetUp_DashboardFrame</t>
  </si>
  <si>
    <t>CleanDashboard</t>
  </si>
  <si>
    <t>VBAProject</t>
  </si>
  <si>
    <t>The item with the specified name wasn't found.</t>
  </si>
  <si>
    <t>Communication/Mobilisation sociale</t>
  </si>
  <si>
    <t>Surveillance &amp; suivi</t>
  </si>
  <si>
    <t>Transport &amp; diagnostiques</t>
  </si>
  <si>
    <t>Prise en charge</t>
  </si>
  <si>
    <t>Gestion des corps et desinfection</t>
  </si>
  <si>
    <t>Soutien nutritionnel et social</t>
  </si>
  <si>
    <t>Gestion des données</t>
  </si>
  <si>
    <t>Sécurité</t>
  </si>
  <si>
    <t>Logistiques</t>
  </si>
  <si>
    <t>Finance</t>
  </si>
  <si>
    <t>Coordination</t>
  </si>
  <si>
    <t>Recherche</t>
  </si>
  <si>
    <t>Activités Planifées</t>
  </si>
  <si>
    <t>Activités en cours</t>
  </si>
  <si>
    <t>Activités en cours et planifiées</t>
  </si>
  <si>
    <t>Organisations ayant des activités planifiées en Guinée</t>
  </si>
  <si>
    <t>Organisations ayant des activités en cours en Guinée</t>
  </si>
  <si>
    <t>Organisations basées e Guinée</t>
  </si>
  <si>
    <t>Boffa</t>
  </si>
  <si>
    <t>GIN001001</t>
  </si>
  <si>
    <t>Boke</t>
  </si>
  <si>
    <t>GIN001002</t>
  </si>
  <si>
    <t>Gaoual</t>
  </si>
  <si>
    <t>GIN001003</t>
  </si>
  <si>
    <t>Koundara</t>
  </si>
  <si>
    <t>GIN001004</t>
  </si>
  <si>
    <t>Conakry</t>
  </si>
  <si>
    <t>GIN002001</t>
  </si>
  <si>
    <t>Dabola</t>
  </si>
  <si>
    <t>GIN003001</t>
  </si>
  <si>
    <t>Dinguiraye</t>
  </si>
  <si>
    <t>GIN003002</t>
  </si>
  <si>
    <t>Faranah</t>
  </si>
  <si>
    <t>GIN003003</t>
  </si>
  <si>
    <t>Kissidougou</t>
  </si>
  <si>
    <t>GIN003004</t>
  </si>
  <si>
    <t>Kankan</t>
  </si>
  <si>
    <t>GIN004001</t>
  </si>
  <si>
    <t>Kerouane</t>
  </si>
  <si>
    <t>GIN004002</t>
  </si>
  <si>
    <t>Kouroussa</t>
  </si>
  <si>
    <t>GIN004003</t>
  </si>
  <si>
    <t>Mandiana</t>
  </si>
  <si>
    <t>GIN004004</t>
  </si>
  <si>
    <t>Siguiri</t>
  </si>
  <si>
    <t>GIN004005</t>
  </si>
  <si>
    <t>Coyah</t>
  </si>
  <si>
    <t>GIN005001</t>
  </si>
  <si>
    <t>Dubreka</t>
  </si>
  <si>
    <t>GIN005002</t>
  </si>
  <si>
    <t>Forecariah</t>
  </si>
  <si>
    <t>GIN005003</t>
  </si>
  <si>
    <t>Fria</t>
  </si>
  <si>
    <t>GIN005004</t>
  </si>
  <si>
    <t>Kindia</t>
  </si>
  <si>
    <t>GIN005005</t>
  </si>
  <si>
    <t>Telimele</t>
  </si>
  <si>
    <t>GIN005006</t>
  </si>
  <si>
    <t>Koubia</t>
  </si>
  <si>
    <t>GIN006001</t>
  </si>
  <si>
    <t>Labe</t>
  </si>
  <si>
    <t>GIN006002</t>
  </si>
  <si>
    <t>Lelouma</t>
  </si>
  <si>
    <t>GIN006003</t>
  </si>
  <si>
    <t>Mali</t>
  </si>
  <si>
    <t>GIN006004</t>
  </si>
  <si>
    <t>Tougue</t>
  </si>
  <si>
    <t>GIN006005</t>
  </si>
  <si>
    <t>Dalaba</t>
  </si>
  <si>
    <t>GIN007001</t>
  </si>
  <si>
    <t>Mamou</t>
  </si>
  <si>
    <t>GIN007002</t>
  </si>
  <si>
    <t>Pita</t>
  </si>
  <si>
    <t>GIN007003</t>
  </si>
  <si>
    <t>Beyla</t>
  </si>
  <si>
    <t>GIN008001</t>
  </si>
  <si>
    <t>Gueckedou</t>
  </si>
  <si>
    <t>GIN008002</t>
  </si>
  <si>
    <t>Lola</t>
  </si>
  <si>
    <t>GIN008003</t>
  </si>
  <si>
    <t>Macenta</t>
  </si>
  <si>
    <t>GIN008004</t>
  </si>
  <si>
    <t>Nzerekore</t>
  </si>
  <si>
    <t>GIN008005</t>
  </si>
  <si>
    <t>Yomou</t>
  </si>
  <si>
    <t>GIN008006</t>
  </si>
  <si>
    <t>Action Contre la Faim Espagne</t>
  </si>
  <si>
    <t>ACF-E</t>
  </si>
  <si>
    <t>Actions Intégrees pour le Develppement de l'Enfant la Femme et la Famille</t>
  </si>
  <si>
    <t>AIDEFF</t>
  </si>
  <si>
    <t>Aide à la Famille Africaine</t>
  </si>
  <si>
    <t>AFA</t>
  </si>
  <si>
    <t>Bernhard-Nocht Institue of Tropical Medicine (Hamburg)</t>
  </si>
  <si>
    <t>NBITM</t>
  </si>
  <si>
    <t>Communauté de Sant'Egidio-DREAM</t>
  </si>
  <si>
    <t>Communauté de Sant'Egidio</t>
  </si>
  <si>
    <t>Concern Universal</t>
  </si>
  <si>
    <t>CU</t>
  </si>
  <si>
    <t>Croix Rouge française</t>
  </si>
  <si>
    <t>CRF</t>
  </si>
  <si>
    <t>Croix-Rouge Guinée</t>
  </si>
  <si>
    <t>CRG</t>
  </si>
  <si>
    <t>European Union</t>
  </si>
  <si>
    <t>EU</t>
  </si>
  <si>
    <t>France</t>
  </si>
  <si>
    <t>Institut Pasteur France</t>
  </si>
  <si>
    <t>IP-F</t>
  </si>
  <si>
    <t>International Federation Of Red Cross and Red Crescent Societies</t>
  </si>
  <si>
    <t>Intitut Pasteur  de Dakar</t>
  </si>
  <si>
    <t>IP-D</t>
  </si>
  <si>
    <t>Office for the Coordination of Humanitarian Affairs</t>
  </si>
  <si>
    <t>OCHA</t>
  </si>
  <si>
    <t>Organisation PanAfricaine de Lutte pour la Santé</t>
  </si>
  <si>
    <t>OPALS</t>
  </si>
  <si>
    <t>Organisation Catholique pour la Promotion Humaine</t>
  </si>
  <si>
    <t>OCPH</t>
  </si>
  <si>
    <t>Population Service International</t>
  </si>
  <si>
    <t>PSI</t>
  </si>
  <si>
    <t>Rio Tinto</t>
  </si>
  <si>
    <t>Trias</t>
  </si>
  <si>
    <t>United Nation High Commissioner for Refugees</t>
  </si>
  <si>
    <t>UNHCR</t>
  </si>
  <si>
    <t>United Nations Development Programme</t>
  </si>
  <si>
    <t>UNDP</t>
  </si>
  <si>
    <t>United Nations Office for Project Services</t>
  </si>
  <si>
    <t>UNOPS</t>
  </si>
  <si>
    <t>United States Agency for International Development</t>
  </si>
  <si>
    <t>USAID</t>
  </si>
  <si>
    <t>World Food Programme</t>
  </si>
  <si>
    <t>Terre des Hommes - Suisse</t>
  </si>
  <si>
    <t>TDH</t>
  </si>
  <si>
    <t>Direction Nationale de l'Hygiène Publique</t>
  </si>
  <si>
    <t>DNHP</t>
  </si>
  <si>
    <t>Tinkisso</t>
  </si>
  <si>
    <t>Service National des Points d'Eau</t>
  </si>
  <si>
    <t>SNAPE</t>
  </si>
  <si>
    <t>Eau et Assainissement pour l'Afrique</t>
  </si>
  <si>
    <t>EAA</t>
  </si>
  <si>
    <t>Women and Health Alliance International</t>
  </si>
  <si>
    <t>WAHA</t>
  </si>
  <si>
    <t>International Consortium (ACF-E, CECI, Relief International)</t>
  </si>
  <si>
    <t>IC</t>
  </si>
  <si>
    <t>ALIMA</t>
  </si>
  <si>
    <t>Belgique</t>
  </si>
  <si>
    <t>CELLULE</t>
  </si>
  <si>
    <t>Columbia University</t>
  </si>
  <si>
    <t>Columbia Univ</t>
  </si>
  <si>
    <t>Education</t>
  </si>
  <si>
    <t>Croix-Rouge Guinée/Fédération internationale de la Croix-Rouge</t>
  </si>
  <si>
    <t>CRG/FICR</t>
  </si>
  <si>
    <t>CUBAINS</t>
  </si>
  <si>
    <t>Divers Bailleurs</t>
  </si>
  <si>
    <t>Danish Refugee Council</t>
  </si>
  <si>
    <t>DRC</t>
  </si>
  <si>
    <t>DSVC</t>
  </si>
  <si>
    <t>European Commission Humanitarian Aid and Civil Protection</t>
  </si>
  <si>
    <t>ECHO</t>
  </si>
  <si>
    <t>eHealth Africa</t>
  </si>
  <si>
    <t>FEI/KPLAN</t>
  </si>
  <si>
    <t>Internews</t>
  </si>
  <si>
    <t>Media</t>
  </si>
  <si>
    <t>Membres Nations Unies</t>
  </si>
  <si>
    <t>OMS</t>
  </si>
  <si>
    <t>PLAN GUINEE</t>
  </si>
  <si>
    <t>RUSSIE</t>
  </si>
  <si>
    <t>UNITED NATION MISSION FOR EBOLA  EMERGENCY RESPONSE</t>
  </si>
  <si>
    <t>UNMEER</t>
  </si>
  <si>
    <t>USAID/JHPIEGO</t>
  </si>
  <si>
    <t>USAID/Save the Children</t>
  </si>
  <si>
    <t>Véhicules en place</t>
  </si>
  <si>
    <t>OOAS</t>
  </si>
  <si>
    <t>Cellule Nationale de lutte contre Ebola</t>
  </si>
  <si>
    <t>SAVE THE CHILDREN</t>
  </si>
  <si>
    <t>save the children</t>
  </si>
  <si>
    <t>save the Children</t>
  </si>
  <si>
    <t>plan</t>
  </si>
  <si>
    <t>Plan</t>
  </si>
  <si>
    <t>27/01/2015 12:13:19</t>
  </si>
  <si>
    <t>27/01/2015 12:13:21</t>
  </si>
  <si>
    <t>27/01/2015 12:13:23</t>
  </si>
  <si>
    <t>27/01/2015 12:13:24</t>
  </si>
  <si>
    <t>27/01/2015 12:13:25</t>
  </si>
  <si>
    <t>This table updates automatically. You just need to edit sectors in row 4 (hidden) and locations in column B.
 A linked picture is already embeded on the dashboard.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</si>
</sst>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0;;"/>
  </numFmts>
  <fonts count="79" x14ac:knownFonts="1">
    <font>
      <sz val="10"/>
      <name val="Arial"/>
    </font>
    <font>
      <sz val="11"/>
      <color theme="1"/>
      <name val="Calibri"/>
      <family val="2"/>
      <scheme val="minor"/>
    </font>
    <font>
      <sz val="11"/>
      <color theme="1"/>
      <name val="Calibri"/>
      <family val="2"/>
      <scheme val="minor"/>
    </font>
    <font>
      <sz val="11"/>
      <color theme="1"/>
      <name val="Arial"/>
      <family val="2"/>
    </font>
    <font>
      <sz val="11"/>
      <color theme="1"/>
      <name val="Calibri"/>
      <family val="2"/>
      <scheme val="minor"/>
    </font>
    <font>
      <sz val="10"/>
      <name val="Arial"/>
      <family val="2"/>
    </font>
    <font>
      <sz val="10"/>
      <name val="Arial"/>
      <family val="2"/>
    </font>
    <font>
      <sz val="28"/>
      <color rgb="FFC00000"/>
      <name val="Arial"/>
      <family val="2"/>
    </font>
    <font>
      <sz val="9"/>
      <color theme="1" tint="0.249977111117893"/>
      <name val="Arial"/>
      <family val="2"/>
    </font>
    <font>
      <sz val="20"/>
      <color rgb="FFC00000"/>
      <name val="Arial"/>
      <family val="2"/>
    </font>
    <font>
      <sz val="14"/>
      <color theme="1" tint="0.34998626667073579"/>
      <name val="Arial"/>
      <family val="2"/>
    </font>
    <font>
      <sz val="18"/>
      <color theme="0"/>
      <name val="Arial"/>
      <family val="2"/>
    </font>
    <font>
      <sz val="16"/>
      <color theme="1" tint="0.34998626667073579"/>
      <name val="Arial"/>
      <family val="2"/>
    </font>
    <font>
      <sz val="10"/>
      <color rgb="FF026CB6"/>
      <name val="Arial"/>
      <family val="2"/>
    </font>
    <font>
      <b/>
      <sz val="10"/>
      <color indexed="9"/>
      <name val="Arial"/>
      <family val="2"/>
    </font>
    <font>
      <u/>
      <sz val="10"/>
      <color theme="10"/>
      <name val="Arial"/>
      <family val="2"/>
    </font>
    <font>
      <sz val="9"/>
      <color rgb="FF454545"/>
      <name val="Arial"/>
      <family val="2"/>
    </font>
    <font>
      <sz val="20"/>
      <color theme="0"/>
      <name val="Arial"/>
      <family val="2"/>
    </font>
    <font>
      <u/>
      <sz val="9"/>
      <color theme="10"/>
      <name val="Arial"/>
      <family val="2"/>
    </font>
    <font>
      <sz val="10"/>
      <color rgb="FFC00000"/>
      <name val="Arial"/>
      <family val="2"/>
    </font>
    <font>
      <sz val="9"/>
      <color rgb="FF026CB6"/>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tint="0.249977111117893"/>
      <name val="Arial"/>
      <family val="2"/>
    </font>
    <font>
      <b/>
      <sz val="12"/>
      <name val="Arial"/>
      <family val="2"/>
    </font>
    <font>
      <b/>
      <sz val="10"/>
      <name val="Arial"/>
      <family val="2"/>
    </font>
    <font>
      <sz val="9"/>
      <name val="Arial"/>
      <family val="2"/>
    </font>
    <font>
      <sz val="10"/>
      <color theme="0"/>
      <name val="Arial"/>
      <family val="2"/>
    </font>
    <font>
      <sz val="9"/>
      <color theme="1"/>
      <name val="Arial"/>
      <family val="2"/>
    </font>
    <font>
      <sz val="10"/>
      <color rgb="FF800000"/>
      <name val="Arial"/>
      <family val="2"/>
    </font>
    <font>
      <sz val="10"/>
      <name val="Arial"/>
      <family val="2"/>
    </font>
    <font>
      <b/>
      <sz val="15"/>
      <color theme="3"/>
      <name val="Arial"/>
      <family val="2"/>
    </font>
    <font>
      <b/>
      <sz val="13"/>
      <color theme="3"/>
      <name val="Arial"/>
      <family val="2"/>
    </font>
    <font>
      <b/>
      <sz val="11"/>
      <color theme="3"/>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10"/>
      <color rgb="FF000000"/>
      <name val="Arial"/>
      <family val="2"/>
    </font>
    <font>
      <sz val="8"/>
      <color theme="1" tint="0.249977111117893"/>
      <name val="Arial"/>
      <family val="2"/>
    </font>
    <font>
      <sz val="8"/>
      <color theme="1" tint="0.499984740745262"/>
      <name val="Arial"/>
      <family val="2"/>
    </font>
    <font>
      <sz val="9"/>
      <color rgb="FFFF0000"/>
      <name val="Arial"/>
      <family val="2"/>
    </font>
    <font>
      <sz val="8"/>
      <color theme="1"/>
      <name val="Arial"/>
      <family val="2"/>
    </font>
    <font>
      <sz val="20"/>
      <color rgb="FFFFFF00"/>
      <name val="Arial"/>
      <family val="2"/>
    </font>
    <font>
      <sz val="14"/>
      <color rgb="FFFFFF00"/>
      <name val="Arial"/>
      <family val="2"/>
    </font>
    <font>
      <sz val="10"/>
      <color theme="1" tint="0.14999847407452621"/>
      <name val="Arial"/>
      <family val="2"/>
    </font>
    <font>
      <sz val="18"/>
      <name val="Wingdings 2"/>
      <family val="1"/>
      <charset val="2"/>
    </font>
    <font>
      <sz val="18"/>
      <name val="Arial"/>
      <family val="2"/>
    </font>
    <font>
      <sz val="20"/>
      <name val="Arial"/>
      <family val="2"/>
    </font>
    <font>
      <sz val="20"/>
      <color theme="1" tint="0.249977111117893"/>
      <name val="Arial"/>
      <family val="2"/>
    </font>
    <font>
      <sz val="14"/>
      <name val="Arial"/>
      <family val="2"/>
    </font>
    <font>
      <sz val="24"/>
      <name val="Arial"/>
      <family val="2"/>
    </font>
    <font>
      <sz val="9"/>
      <color indexed="81"/>
      <name val="Tahoma"/>
      <family val="2"/>
    </font>
    <font>
      <sz val="18"/>
      <color theme="1"/>
      <name val="Arial"/>
      <family val="2"/>
    </font>
    <font>
      <sz val="16"/>
      <color theme="1"/>
      <name val="Arial"/>
      <family val="2"/>
    </font>
    <font>
      <sz val="12"/>
      <color rgb="FF026CB6"/>
      <name val="Arial"/>
      <family val="2"/>
    </font>
    <font>
      <sz val="8"/>
      <name val="Arial"/>
      <family val="2"/>
    </font>
  </fonts>
  <fills count="52">
    <fill>
      <patternFill patternType="none"/>
    </fill>
    <fill>
      <patternFill patternType="gray125"/>
    </fill>
    <fill>
      <patternFill patternType="solid">
        <fgColor rgb="FF026CB6"/>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7D6EE"/>
        <bgColor indexed="64"/>
      </patternFill>
    </fill>
    <fill>
      <patternFill patternType="solid">
        <fgColor rgb="FF95B6DF"/>
        <bgColor indexed="64"/>
      </patternFill>
    </fill>
    <fill>
      <patternFill patternType="solid">
        <fgColor rgb="FF659AD2"/>
        <bgColor indexed="64"/>
      </patternFill>
    </fill>
    <fill>
      <patternFill patternType="solid">
        <fgColor rgb="FF003F69"/>
        <bgColor indexed="64"/>
      </patternFill>
    </fill>
    <fill>
      <patternFill patternType="solid">
        <fgColor theme="0"/>
        <bgColor indexed="64"/>
      </patternFill>
    </fill>
    <fill>
      <patternFill patternType="solid">
        <fgColor theme="6" tint="0.79998168889431442"/>
        <bgColor indexed="64"/>
      </patternFill>
    </fill>
    <fill>
      <patternFill patternType="solid">
        <fgColor rgb="FFCCCC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FFFF00"/>
        <bgColor indexed="64"/>
      </patternFill>
    </fill>
    <fill>
      <patternFill patternType="solid">
        <fgColor rgb="FFFEE2CA"/>
        <bgColor indexed="64"/>
      </patternFill>
    </fill>
    <fill>
      <patternFill patternType="solid">
        <fgColor rgb="FFFCC89F"/>
        <bgColor indexed="64"/>
      </patternFill>
    </fill>
    <fill>
      <patternFill patternType="solid">
        <fgColor rgb="FFFAAE77"/>
        <bgColor indexed="64"/>
      </patternFill>
    </fill>
    <fill>
      <patternFill patternType="solid">
        <fgColor rgb="FFF79552"/>
        <bgColor indexed="64"/>
      </patternFill>
    </fill>
    <fill>
      <patternFill patternType="solid">
        <fgColor rgb="FFF15A22"/>
        <bgColor indexed="64"/>
      </patternFill>
    </fill>
    <fill>
      <patternFill patternType="solid">
        <fgColor theme="1" tint="0.34998626667073579"/>
        <bgColor indexed="64"/>
      </patternFill>
    </fill>
  </fills>
  <borders count="25">
    <border>
      <left/>
      <right/>
      <top/>
      <bottom/>
      <diagonal/>
    </border>
    <border>
      <left style="double">
        <color indexed="9"/>
      </left>
      <right style="thin">
        <color indexed="9"/>
      </right>
      <top style="double">
        <color indexed="9"/>
      </top>
      <bottom/>
      <diagonal/>
    </border>
    <border>
      <left/>
      <right style="thin">
        <color indexed="9"/>
      </right>
      <top style="double">
        <color indexed="9"/>
      </top>
      <bottom/>
      <diagonal/>
    </border>
    <border>
      <left style="thin">
        <color indexed="9"/>
      </left>
      <right style="thin">
        <color indexed="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op>
      <bottom style="thin">
        <color theme="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1" tint="0.499984740745262"/>
      </bottom>
      <diagonal/>
    </border>
    <border>
      <left/>
      <right/>
      <top/>
      <bottom style="thin">
        <color theme="1"/>
      </bottom>
      <diagonal/>
    </border>
    <border>
      <left style="thin">
        <color theme="0"/>
      </left>
      <right/>
      <top style="thin">
        <color theme="0"/>
      </top>
      <bottom style="double">
        <color indexed="9"/>
      </bottom>
      <diagonal/>
    </border>
    <border>
      <left/>
      <right style="thin">
        <color theme="0"/>
      </right>
      <top style="thin">
        <color theme="0"/>
      </top>
      <bottom style="double">
        <color indexed="9"/>
      </bottom>
      <diagonal/>
    </border>
  </borders>
  <cellStyleXfs count="87">
    <xf numFmtId="0" fontId="0" fillId="0" borderId="0"/>
    <xf numFmtId="0" fontId="15" fillId="0" borderId="0" applyNumberFormat="0" applyFill="0" applyBorder="0" applyAlignment="0" applyProtection="0">
      <alignment vertical="top"/>
      <protection locked="0"/>
    </xf>
    <xf numFmtId="0" fontId="21" fillId="0" borderId="0" applyNumberFormat="0" applyFill="0" applyBorder="0" applyAlignment="0" applyProtection="0"/>
    <xf numFmtId="0" fontId="22" fillId="0" borderId="5" applyNumberFormat="0" applyFill="0" applyAlignment="0" applyProtection="0"/>
    <xf numFmtId="0" fontId="23" fillId="0" borderId="6" applyNumberFormat="0" applyFill="0" applyAlignment="0" applyProtection="0"/>
    <xf numFmtId="0" fontId="24" fillId="0" borderId="7" applyNumberFormat="0" applyFill="0" applyAlignment="0" applyProtection="0"/>
    <xf numFmtId="0" fontId="24" fillId="0" borderId="0" applyNumberFormat="0" applyFill="0" applyBorder="0" applyAlignment="0" applyProtection="0"/>
    <xf numFmtId="0" fontId="25" fillId="12" borderId="0" applyNumberFormat="0" applyBorder="0" applyAlignment="0" applyProtection="0"/>
    <xf numFmtId="0" fontId="26" fillId="13" borderId="0" applyNumberFormat="0" applyBorder="0" applyAlignment="0" applyProtection="0"/>
    <xf numFmtId="0" fontId="27" fillId="14" borderId="0" applyNumberFormat="0" applyBorder="0" applyAlignment="0" applyProtection="0"/>
    <xf numFmtId="0" fontId="28" fillId="15" borderId="8" applyNumberFormat="0" applyAlignment="0" applyProtection="0"/>
    <xf numFmtId="0" fontId="29" fillId="16" borderId="9" applyNumberFormat="0" applyAlignment="0" applyProtection="0"/>
    <xf numFmtId="0" fontId="30" fillId="16" borderId="8" applyNumberFormat="0" applyAlignment="0" applyProtection="0"/>
    <xf numFmtId="0" fontId="31" fillId="0" borderId="10" applyNumberFormat="0" applyFill="0" applyAlignment="0" applyProtection="0"/>
    <xf numFmtId="0" fontId="32" fillId="17" borderId="11"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5" fillId="0" borderId="13" applyNumberFormat="0" applyFill="0" applyAlignment="0" applyProtection="0"/>
    <xf numFmtId="0" fontId="36" fillId="19" borderId="0" applyNumberFormat="0" applyBorder="0" applyAlignment="0" applyProtection="0"/>
    <xf numFmtId="0" fontId="4" fillId="20" borderId="0" applyNumberFormat="0" applyBorder="0" applyAlignment="0" applyProtection="0"/>
    <xf numFmtId="0" fontId="4" fillId="21" borderId="0" applyNumberFormat="0" applyBorder="0" applyAlignment="0" applyProtection="0"/>
    <xf numFmtId="0" fontId="36" fillId="22" borderId="0" applyNumberFormat="0" applyBorder="0" applyAlignment="0" applyProtection="0"/>
    <xf numFmtId="0" fontId="36" fillId="23" borderId="0" applyNumberFormat="0" applyBorder="0" applyAlignment="0" applyProtection="0"/>
    <xf numFmtId="0" fontId="4" fillId="24" borderId="0" applyNumberFormat="0" applyBorder="0" applyAlignment="0" applyProtection="0"/>
    <xf numFmtId="0" fontId="4"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36" fillId="30" borderId="0" applyNumberFormat="0" applyBorder="0" applyAlignment="0" applyProtection="0"/>
    <xf numFmtId="0" fontId="36"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36" fillId="34" borderId="0" applyNumberFormat="0" applyBorder="0" applyAlignment="0" applyProtection="0"/>
    <xf numFmtId="0" fontId="36" fillId="35"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36" fillId="38" borderId="0" applyNumberFormat="0" applyBorder="0" applyAlignment="0" applyProtection="0"/>
    <xf numFmtId="0" fontId="36" fillId="39"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36" fillId="42" borderId="0" applyNumberFormat="0" applyBorder="0" applyAlignment="0" applyProtection="0"/>
    <xf numFmtId="0" fontId="4" fillId="0" borderId="0"/>
    <xf numFmtId="0" fontId="4" fillId="18" borderId="12" applyNumberFormat="0" applyFont="0" applyAlignment="0" applyProtection="0"/>
    <xf numFmtId="164" fontId="44" fillId="0" borderId="0" applyFont="0" applyFill="0" applyBorder="0" applyAlignment="0" applyProtection="0"/>
    <xf numFmtId="0" fontId="3" fillId="0" borderId="0"/>
    <xf numFmtId="0" fontId="45" fillId="0" borderId="5" applyNumberFormat="0" applyFill="0" applyAlignment="0" applyProtection="0"/>
    <xf numFmtId="0" fontId="46" fillId="0" borderId="6" applyNumberFormat="0" applyFill="0" applyAlignment="0" applyProtection="0"/>
    <xf numFmtId="0" fontId="47" fillId="0" borderId="7" applyNumberFormat="0" applyFill="0" applyAlignment="0" applyProtection="0"/>
    <xf numFmtId="0" fontId="47" fillId="0" borderId="0" applyNumberFormat="0" applyFill="0" applyBorder="0" applyAlignment="0" applyProtection="0"/>
    <xf numFmtId="0" fontId="48" fillId="12" borderId="0" applyNumberFormat="0" applyBorder="0" applyAlignment="0" applyProtection="0"/>
    <xf numFmtId="0" fontId="49" fillId="13" borderId="0" applyNumberFormat="0" applyBorder="0" applyAlignment="0" applyProtection="0"/>
    <xf numFmtId="0" fontId="50" fillId="14" borderId="0" applyNumberFormat="0" applyBorder="0" applyAlignment="0" applyProtection="0"/>
    <xf numFmtId="0" fontId="51" fillId="15" borderId="8" applyNumberFormat="0" applyAlignment="0" applyProtection="0"/>
    <xf numFmtId="0" fontId="52" fillId="16" borderId="9" applyNumberFormat="0" applyAlignment="0" applyProtection="0"/>
    <xf numFmtId="0" fontId="53" fillId="16" borderId="8" applyNumberFormat="0" applyAlignment="0" applyProtection="0"/>
    <xf numFmtId="0" fontId="54" fillId="0" borderId="10" applyNumberFormat="0" applyFill="0" applyAlignment="0" applyProtection="0"/>
    <xf numFmtId="0" fontId="55" fillId="17" borderId="11" applyNumberFormat="0" applyAlignment="0" applyProtection="0"/>
    <xf numFmtId="0" fontId="56" fillId="0" borderId="0" applyNumberFormat="0" applyFill="0" applyBorder="0" applyAlignment="0" applyProtection="0"/>
    <xf numFmtId="0" fontId="3" fillId="18" borderId="12" applyNumberFormat="0" applyFont="0" applyAlignment="0" applyProtection="0"/>
    <xf numFmtId="0" fontId="57" fillId="0" borderId="0" applyNumberFormat="0" applyFill="0" applyBorder="0" applyAlignment="0" applyProtection="0"/>
    <xf numFmtId="0" fontId="58" fillId="0" borderId="13" applyNumberFormat="0" applyFill="0" applyAlignment="0" applyProtection="0"/>
    <xf numFmtId="0" fontId="59"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59" fillId="22" borderId="0" applyNumberFormat="0" applyBorder="0" applyAlignment="0" applyProtection="0"/>
    <xf numFmtId="0" fontId="59"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59" fillId="26" borderId="0" applyNumberFormat="0" applyBorder="0" applyAlignment="0" applyProtection="0"/>
    <xf numFmtId="0" fontId="59"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59" fillId="34" borderId="0" applyNumberFormat="0" applyBorder="0" applyAlignment="0" applyProtection="0"/>
    <xf numFmtId="0" fontId="59"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59" fillId="42" borderId="0" applyNumberFormat="0" applyBorder="0" applyAlignment="0" applyProtection="0"/>
    <xf numFmtId="0" fontId="2" fillId="0" borderId="0"/>
  </cellStyleXfs>
  <cellXfs count="124">
    <xf numFmtId="0" fontId="0" fillId="0" borderId="0" xfId="0"/>
    <xf numFmtId="0" fontId="0" fillId="0" borderId="0" xfId="0" applyAlignment="1"/>
    <xf numFmtId="0" fontId="6" fillId="0" borderId="0" xfId="0" applyFont="1"/>
    <xf numFmtId="0" fontId="6" fillId="0" borderId="0" xfId="0" applyFont="1" applyBorder="1"/>
    <xf numFmtId="0" fontId="5" fillId="0" borderId="0" xfId="0" applyFont="1"/>
    <xf numFmtId="0" fontId="6" fillId="3" borderId="0" xfId="0" applyFont="1" applyFill="1"/>
    <xf numFmtId="0" fontId="9" fillId="0" borderId="0" xfId="0" applyFont="1"/>
    <xf numFmtId="0" fontId="10" fillId="0" borderId="0" xfId="0" applyFont="1" applyAlignment="1">
      <alignment horizontal="left" vertical="center"/>
    </xf>
    <xf numFmtId="0" fontId="8" fillId="0" borderId="0" xfId="0" applyFont="1" applyBorder="1" applyAlignment="1">
      <alignment horizontal="left"/>
    </xf>
    <xf numFmtId="0" fontId="0" fillId="0" borderId="0" xfId="0" applyBorder="1"/>
    <xf numFmtId="0" fontId="0" fillId="0" borderId="0" xfId="0" applyAlignment="1">
      <alignment vertical="center"/>
    </xf>
    <xf numFmtId="0" fontId="14" fillId="2" borderId="2" xfId="0" applyFont="1" applyFill="1" applyBorder="1" applyAlignment="1" applyProtection="1">
      <alignment horizontal="center" vertical="center"/>
      <protection locked="0"/>
    </xf>
    <xf numFmtId="0" fontId="14" fillId="2" borderId="3" xfId="0" applyFont="1" applyFill="1" applyBorder="1" applyAlignment="1" applyProtection="1">
      <alignment horizontal="center" vertical="center"/>
      <protection locked="0"/>
    </xf>
    <xf numFmtId="0" fontId="18" fillId="0" borderId="0" xfId="1" applyFont="1" applyAlignment="1" applyProtection="1">
      <alignment vertical="center"/>
    </xf>
    <xf numFmtId="0" fontId="15" fillId="0" borderId="0" xfId="1" applyAlignment="1" applyProtection="1">
      <alignment vertical="center"/>
    </xf>
    <xf numFmtId="0" fontId="19" fillId="4" borderId="4" xfId="0" applyFont="1" applyFill="1" applyBorder="1" applyAlignment="1">
      <alignment horizontal="center"/>
    </xf>
    <xf numFmtId="0" fontId="19" fillId="11" borderId="4" xfId="1" applyFont="1" applyFill="1" applyBorder="1" applyAlignment="1" applyProtection="1">
      <alignment horizontal="center" vertical="center"/>
    </xf>
    <xf numFmtId="0" fontId="6" fillId="9" borderId="0" xfId="0" applyFont="1" applyFill="1" applyBorder="1"/>
    <xf numFmtId="0" fontId="37" fillId="0" borderId="0" xfId="0" applyFont="1" applyAlignment="1">
      <alignment horizontal="left"/>
    </xf>
    <xf numFmtId="0" fontId="38" fillId="0" borderId="0" xfId="0" applyFont="1" applyAlignment="1">
      <alignment horizontal="left"/>
    </xf>
    <xf numFmtId="0" fontId="39" fillId="0" borderId="0" xfId="0" applyFont="1"/>
    <xf numFmtId="0" fontId="6" fillId="5" borderId="15" xfId="0" applyFont="1" applyFill="1" applyBorder="1"/>
    <xf numFmtId="0" fontId="6" fillId="6" borderId="15" xfId="0" applyFont="1" applyFill="1" applyBorder="1"/>
    <xf numFmtId="0" fontId="11" fillId="2" borderId="0" xfId="0" applyFont="1" applyFill="1" applyAlignment="1"/>
    <xf numFmtId="0" fontId="11" fillId="2" borderId="0" xfId="0" applyFont="1" applyFill="1" applyAlignment="1">
      <alignment horizontal="left" vertical="top" wrapText="1"/>
    </xf>
    <xf numFmtId="0" fontId="16" fillId="0" borderId="0" xfId="0" applyFont="1" applyBorder="1" applyAlignment="1" applyProtection="1">
      <alignment vertical="center"/>
      <protection locked="0"/>
    </xf>
    <xf numFmtId="0" fontId="20" fillId="3" borderId="0" xfId="0" applyFont="1" applyFill="1" applyAlignment="1">
      <alignment wrapText="1"/>
    </xf>
    <xf numFmtId="0" fontId="40" fillId="10" borderId="0" xfId="0" applyNumberFormat="1" applyFont="1" applyFill="1" applyBorder="1" applyAlignment="1" applyProtection="1">
      <alignment vertical="center"/>
    </xf>
    <xf numFmtId="0" fontId="40" fillId="10" borderId="0" xfId="0" applyNumberFormat="1" applyFont="1" applyFill="1" applyBorder="1" applyAlignment="1">
      <alignment vertical="center"/>
    </xf>
    <xf numFmtId="0" fontId="14" fillId="2" borderId="1" xfId="0" applyFont="1" applyFill="1" applyBorder="1" applyAlignment="1" applyProtection="1">
      <alignment horizontal="center" vertical="center"/>
      <protection locked="0"/>
    </xf>
    <xf numFmtId="0" fontId="0" fillId="43" borderId="0" xfId="0" applyFill="1"/>
    <xf numFmtId="0" fontId="5" fillId="43" borderId="0" xfId="0" applyFont="1" applyFill="1"/>
    <xf numFmtId="0" fontId="39" fillId="43" borderId="0" xfId="0" applyFont="1" applyFill="1" applyAlignment="1">
      <alignment horizontal="center"/>
    </xf>
    <xf numFmtId="0" fontId="6" fillId="43" borderId="0" xfId="0" applyFont="1" applyFill="1" applyAlignment="1">
      <alignment horizontal="center"/>
    </xf>
    <xf numFmtId="0" fontId="5" fillId="43" borderId="0" xfId="0" applyFont="1" applyFill="1" applyAlignment="1">
      <alignment horizontal="center"/>
    </xf>
    <xf numFmtId="0" fontId="5" fillId="44" borderId="0" xfId="0" applyFont="1" applyFill="1"/>
    <xf numFmtId="0" fontId="39" fillId="0" borderId="0" xfId="0" applyFont="1" applyAlignment="1">
      <alignment wrapText="1"/>
    </xf>
    <xf numFmtId="0" fontId="9" fillId="0" borderId="0" xfId="0" applyFont="1" applyAlignment="1">
      <alignment horizontal="right"/>
    </xf>
    <xf numFmtId="0" fontId="5" fillId="0" borderId="0" xfId="0" applyFont="1" applyAlignment="1">
      <alignment horizontal="left" vertical="center"/>
    </xf>
    <xf numFmtId="0" fontId="5" fillId="9" borderId="14" xfId="0" applyFont="1" applyFill="1" applyBorder="1"/>
    <xf numFmtId="0" fontId="41" fillId="7" borderId="15" xfId="0" applyFont="1" applyFill="1" applyBorder="1"/>
    <xf numFmtId="0" fontId="41" fillId="2" borderId="15" xfId="0" applyFont="1" applyFill="1" applyBorder="1"/>
    <xf numFmtId="0" fontId="41" fillId="8" borderId="16" xfId="0" applyFont="1" applyFill="1" applyBorder="1"/>
    <xf numFmtId="0" fontId="13" fillId="0" borderId="0" xfId="0" applyFont="1" applyAlignment="1">
      <alignment horizontal="left" vertical="center" wrapText="1"/>
    </xf>
    <xf numFmtId="0" fontId="12" fillId="0" borderId="0" xfId="0" applyFont="1" applyAlignment="1">
      <alignment vertical="center"/>
    </xf>
    <xf numFmtId="0" fontId="19" fillId="4" borderId="4" xfId="0" applyFont="1" applyFill="1" applyBorder="1" applyAlignment="1">
      <alignment horizontal="center" vertical="center"/>
    </xf>
    <xf numFmtId="1" fontId="0" fillId="0" borderId="0" xfId="0" applyNumberFormat="1"/>
    <xf numFmtId="0" fontId="6" fillId="46" borderId="15" xfId="0" applyFont="1" applyFill="1" applyBorder="1"/>
    <xf numFmtId="0" fontId="6" fillId="47" borderId="15" xfId="0" applyFont="1" applyFill="1" applyBorder="1"/>
    <xf numFmtId="0" fontId="41" fillId="48" borderId="15" xfId="0" applyFont="1" applyFill="1" applyBorder="1"/>
    <xf numFmtId="0" fontId="41" fillId="49" borderId="15" xfId="0" applyFont="1" applyFill="1" applyBorder="1"/>
    <xf numFmtId="0" fontId="41" fillId="50" borderId="16" xfId="0" applyFont="1" applyFill="1" applyBorder="1"/>
    <xf numFmtId="0" fontId="37" fillId="0" borderId="17" xfId="0" applyFont="1" applyFill="1" applyBorder="1" applyAlignment="1">
      <alignment vertical="center"/>
    </xf>
    <xf numFmtId="0" fontId="42" fillId="0" borderId="19" xfId="0" applyFont="1" applyFill="1" applyBorder="1" applyAlignment="1">
      <alignment vertical="center"/>
    </xf>
    <xf numFmtId="0" fontId="42" fillId="0" borderId="19" xfId="0" applyFont="1" applyFill="1" applyBorder="1" applyAlignment="1" applyProtection="1">
      <alignment vertical="center"/>
      <protection locked="0"/>
    </xf>
    <xf numFmtId="0" fontId="42" fillId="0" borderId="18" xfId="0" applyFont="1" applyFill="1" applyBorder="1" applyAlignment="1" applyProtection="1">
      <alignment vertical="center"/>
      <protection locked="0"/>
    </xf>
    <xf numFmtId="0" fontId="40" fillId="0" borderId="0" xfId="0" applyFont="1" applyAlignment="1" applyProtection="1">
      <alignment vertical="center"/>
      <protection locked="0"/>
    </xf>
    <xf numFmtId="3" fontId="40" fillId="0" borderId="0" xfId="0" applyNumberFormat="1" applyFont="1" applyAlignment="1" applyProtection="1">
      <alignment vertical="center"/>
      <protection locked="0"/>
    </xf>
    <xf numFmtId="0" fontId="14" fillId="2" borderId="3" xfId="0" applyFont="1" applyFill="1" applyBorder="1" applyAlignment="1" applyProtection="1">
      <alignment horizontal="center" vertical="center" wrapText="1"/>
      <protection locked="0"/>
    </xf>
    <xf numFmtId="0" fontId="0" fillId="0" borderId="0" xfId="0" applyAlignment="1">
      <alignment wrapText="1"/>
    </xf>
    <xf numFmtId="0" fontId="37" fillId="0" borderId="0" xfId="0" applyFont="1"/>
    <xf numFmtId="0" fontId="40" fillId="10" borderId="0" xfId="0" applyFont="1" applyFill="1" applyAlignment="1" applyProtection="1">
      <alignment vertical="center"/>
    </xf>
    <xf numFmtId="0" fontId="40" fillId="10" borderId="0" xfId="0" applyNumberFormat="1" applyFont="1" applyFill="1" applyAlignment="1" applyProtection="1">
      <alignment vertical="center"/>
    </xf>
    <xf numFmtId="0" fontId="17" fillId="2" borderId="0" xfId="0" applyFont="1" applyFill="1" applyAlignment="1"/>
    <xf numFmtId="165" fontId="61" fillId="3" borderId="0" xfId="0" applyNumberFormat="1" applyFont="1" applyFill="1" applyBorder="1" applyAlignment="1">
      <alignment horizontal="center" vertical="center" wrapText="1"/>
    </xf>
    <xf numFmtId="0" fontId="62" fillId="9" borderId="0" xfId="0" applyFont="1" applyFill="1" applyBorder="1" applyAlignment="1">
      <alignment vertical="center"/>
    </xf>
    <xf numFmtId="0" fontId="64" fillId="0" borderId="18" xfId="0" applyFont="1" applyFill="1" applyBorder="1" applyAlignment="1" applyProtection="1">
      <alignment vertical="center"/>
      <protection locked="0"/>
    </xf>
    <xf numFmtId="0" fontId="40" fillId="0" borderId="0" xfId="0" applyNumberFormat="1" applyFont="1" applyAlignment="1" applyProtection="1">
      <alignment vertical="center"/>
      <protection locked="0"/>
    </xf>
    <xf numFmtId="0" fontId="5" fillId="0" borderId="0" xfId="0" quotePrefix="1" applyFont="1"/>
    <xf numFmtId="0" fontId="40" fillId="10" borderId="0" xfId="0" applyFont="1" applyFill="1" applyAlignment="1" applyProtection="1">
      <alignment horizontal="center" vertical="center"/>
    </xf>
    <xf numFmtId="0" fontId="0" fillId="10" borderId="0" xfId="0" applyNumberFormat="1" applyFont="1" applyFill="1" applyAlignment="1" applyProtection="1">
      <alignment vertical="center"/>
    </xf>
    <xf numFmtId="0" fontId="0" fillId="10" borderId="0" xfId="0" applyFont="1" applyFill="1" applyAlignment="1" applyProtection="1">
      <alignment vertical="center"/>
    </xf>
    <xf numFmtId="0" fontId="67" fillId="0" borderId="0" xfId="0" applyFont="1" applyFill="1"/>
    <xf numFmtId="0" fontId="64" fillId="0" borderId="0" xfId="0" applyFont="1"/>
    <xf numFmtId="0" fontId="2" fillId="0" borderId="0" xfId="86"/>
    <xf numFmtId="0" fontId="2" fillId="0" borderId="0" xfId="86"/>
    <xf numFmtId="0" fontId="6" fillId="0" borderId="0" xfId="0" applyFont="1" applyFill="1"/>
    <xf numFmtId="0" fontId="36" fillId="2" borderId="0" xfId="86" applyFont="1" applyFill="1" applyAlignment="1">
      <alignment horizontal="center" vertical="top" wrapText="1"/>
    </xf>
    <xf numFmtId="0" fontId="0" fillId="0" borderId="0" xfId="0" applyAlignment="1">
      <alignment horizontal="center" vertical="top"/>
    </xf>
    <xf numFmtId="0" fontId="1" fillId="0" borderId="0" xfId="86" applyFont="1"/>
    <xf numFmtId="0" fontId="68" fillId="0" borderId="0" xfId="0" applyFont="1" applyAlignment="1">
      <alignment vertical="center"/>
    </xf>
    <xf numFmtId="0" fontId="69" fillId="0" borderId="0" xfId="0" applyFont="1"/>
    <xf numFmtId="0" fontId="0" fillId="0" borderId="0" xfId="0" applyAlignment="1">
      <alignment horizontal="center" vertical="center"/>
    </xf>
    <xf numFmtId="0" fontId="69" fillId="0" borderId="0" xfId="0" applyFont="1" applyAlignment="1">
      <alignment vertical="center"/>
    </xf>
    <xf numFmtId="0" fontId="70" fillId="0" borderId="0" xfId="0" applyFont="1" applyAlignment="1">
      <alignment vertical="center"/>
    </xf>
    <xf numFmtId="0" fontId="0" fillId="0" borderId="21" xfId="0" applyBorder="1"/>
    <xf numFmtId="0" fontId="0" fillId="0" borderId="21" xfId="0" applyBorder="1" applyAlignment="1">
      <alignment vertical="center"/>
    </xf>
    <xf numFmtId="0" fontId="69" fillId="0" borderId="21" xfId="0" applyFont="1" applyBorder="1" applyAlignment="1">
      <alignment vertical="center"/>
    </xf>
    <xf numFmtId="0" fontId="0" fillId="0" borderId="21" xfId="0" applyBorder="1" applyAlignment="1">
      <alignment horizontal="center" vertical="center"/>
    </xf>
    <xf numFmtId="0" fontId="5" fillId="0" borderId="0" xfId="0" applyFont="1" applyAlignment="1">
      <alignment horizontal="left"/>
    </xf>
    <xf numFmtId="0" fontId="37" fillId="0" borderId="0" xfId="0" applyFont="1" applyAlignment="1">
      <alignment horizontal="center" vertical="center"/>
    </xf>
    <xf numFmtId="0" fontId="68" fillId="0" borderId="0" xfId="0" applyFont="1" applyAlignment="1">
      <alignment horizontal="center" vertical="center"/>
    </xf>
    <xf numFmtId="0" fontId="69" fillId="0" borderId="0" xfId="0" applyFont="1" applyAlignment="1">
      <alignment horizontal="center" vertical="center"/>
    </xf>
    <xf numFmtId="0" fontId="69" fillId="0" borderId="21" xfId="0" applyFont="1" applyBorder="1" applyAlignment="1">
      <alignment horizontal="center" vertical="center"/>
    </xf>
    <xf numFmtId="0" fontId="69" fillId="0" borderId="0" xfId="0" applyFont="1" applyAlignment="1">
      <alignment horizontal="center"/>
    </xf>
    <xf numFmtId="0" fontId="37" fillId="0" borderId="0" xfId="0" applyFont="1" applyAlignment="1">
      <alignment horizontal="right" vertical="center" indent="1"/>
    </xf>
    <xf numFmtId="0" fontId="71" fillId="0" borderId="21" xfId="0" applyFont="1" applyBorder="1" applyAlignment="1">
      <alignment vertical="center"/>
    </xf>
    <xf numFmtId="0" fontId="69" fillId="0" borderId="22" xfId="0" applyFont="1" applyBorder="1" applyAlignment="1">
      <alignment vertical="top"/>
    </xf>
    <xf numFmtId="0" fontId="5" fillId="0" borderId="0" xfId="0" applyFont="1" applyAlignment="1">
      <alignment horizontal="right" vertical="center" indent="1"/>
    </xf>
    <xf numFmtId="0" fontId="40" fillId="0" borderId="20" xfId="0" applyFont="1" applyBorder="1" applyAlignment="1">
      <alignment horizontal="center" vertical="center"/>
    </xf>
    <xf numFmtId="0" fontId="73" fillId="0" borderId="22" xfId="0" applyFont="1" applyBorder="1" applyAlignment="1">
      <alignment vertical="top"/>
    </xf>
    <xf numFmtId="0" fontId="72" fillId="0" borderId="22" xfId="0" applyFont="1" applyBorder="1" applyAlignment="1">
      <alignment horizontal="right" vertical="center"/>
    </xf>
    <xf numFmtId="0" fontId="42" fillId="0" borderId="19" xfId="0" applyNumberFormat="1" applyFont="1" applyFill="1" applyBorder="1" applyAlignment="1">
      <alignment horizontal="center" vertical="center"/>
    </xf>
    <xf numFmtId="0" fontId="76" fillId="2" borderId="19" xfId="0" applyNumberFormat="1" applyFont="1" applyFill="1" applyBorder="1" applyAlignment="1">
      <alignment horizontal="center" vertical="center"/>
    </xf>
    <xf numFmtId="0" fontId="75" fillId="2" borderId="19" xfId="0" applyNumberFormat="1" applyFont="1" applyFill="1" applyBorder="1" applyAlignment="1">
      <alignment horizontal="center" vertical="center"/>
    </xf>
    <xf numFmtId="0" fontId="41" fillId="51" borderId="0" xfId="0" applyFont="1" applyFill="1"/>
    <xf numFmtId="0" fontId="40" fillId="0" borderId="0" xfId="0" applyFont="1" applyFill="1" applyAlignment="1">
      <alignment vertical="center"/>
    </xf>
    <xf numFmtId="0" fontId="8" fillId="0" borderId="0" xfId="0" applyFont="1" applyFill="1" applyAlignment="1">
      <alignment vertical="center" wrapText="1"/>
    </xf>
    <xf numFmtId="0" fontId="61" fillId="0" borderId="0" xfId="86" applyNumberFormat="1" applyFont="1" applyFill="1" applyAlignment="1">
      <alignment horizontal="center" vertical="top" wrapText="1"/>
    </xf>
    <xf numFmtId="22" fontId="0" fillId="0" borderId="0" xfId="0" applyNumberFormat="1"/>
    <xf numFmtId="0" fontId="37" fillId="0" borderId="0" xfId="0" applyFont="1" applyFill="1" applyBorder="1" applyAlignment="1">
      <alignment vertical="center"/>
    </xf>
    <xf numFmtId="0" fontId="37" fillId="0" borderId="17" xfId="44" applyNumberFormat="1" applyFont="1" applyFill="1" applyBorder="1" applyAlignment="1">
      <alignment vertical="center"/>
    </xf>
    <xf numFmtId="0" fontId="8" fillId="0" borderId="17" xfId="44" applyNumberFormat="1" applyFont="1" applyFill="1" applyBorder="1" applyAlignment="1">
      <alignment horizontal="left" vertical="center" wrapText="1"/>
    </xf>
    <xf numFmtId="0" fontId="78" fillId="0" borderId="0" xfId="0" applyFont="1" applyAlignment="1">
      <alignment horizontal="right" wrapText="1"/>
    </xf>
    <xf numFmtId="0" fontId="7" fillId="0" borderId="0" xfId="0" applyFont="1" applyAlignment="1">
      <alignment horizontal="center" vertical="center"/>
    </xf>
    <xf numFmtId="0" fontId="63" fillId="45" borderId="0" xfId="0" applyFont="1" applyFill="1" applyAlignment="1">
      <alignment horizontal="center" vertical="top" wrapText="1"/>
    </xf>
    <xf numFmtId="0" fontId="63" fillId="45" borderId="0" xfId="0" applyFont="1" applyFill="1" applyAlignment="1">
      <alignment horizontal="left" vertical="top" wrapText="1"/>
    </xf>
    <xf numFmtId="0" fontId="63" fillId="45" borderId="0" xfId="0" applyFont="1" applyFill="1" applyAlignment="1">
      <alignment horizontal="left" vertical="top"/>
    </xf>
    <xf numFmtId="0" fontId="17" fillId="2" borderId="0" xfId="0" applyFont="1" applyFill="1" applyAlignment="1">
      <alignment horizontal="left" vertical="center"/>
    </xf>
    <xf numFmtId="0" fontId="77" fillId="0" borderId="23" xfId="0" applyNumberFormat="1" applyFont="1" applyFill="1" applyBorder="1" applyAlignment="1">
      <alignment horizontal="center" vertical="center"/>
    </xf>
    <xf numFmtId="0" fontId="77" fillId="0" borderId="24" xfId="0" applyNumberFormat="1" applyFont="1" applyFill="1" applyBorder="1" applyAlignment="1">
      <alignment horizontal="center" vertical="center"/>
    </xf>
    <xf numFmtId="0" fontId="41" fillId="43" borderId="0" xfId="0" applyFont="1" applyFill="1" applyAlignment="1">
      <alignment horizontal="center"/>
    </xf>
    <xf numFmtId="0" fontId="5" fillId="45" borderId="0" xfId="0" applyFont="1" applyFill="1" applyAlignment="1">
      <alignment horizontal="center" vertical="center"/>
    </xf>
    <xf numFmtId="0" fontId="0" fillId="45" borderId="0" xfId="0" applyFill="1" applyAlignment="1">
      <alignment horizontal="center" vertical="center"/>
    </xf>
  </cellXfs>
  <cellStyles count="87">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20% - Accent1 2" xfId="63"/>
    <cellStyle name="20% - Accent2 2" xfId="67"/>
    <cellStyle name="20% - Accent3 2" xfId="71"/>
    <cellStyle name="20% - Accent4 2" xfId="75"/>
    <cellStyle name="20% - Accent5 2" xfId="79"/>
    <cellStyle name="20% - Accent6 2" xfId="83"/>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40% - Accent1 2" xfId="64"/>
    <cellStyle name="40% - Accent2 2" xfId="68"/>
    <cellStyle name="40% - Accent3 2" xfId="72"/>
    <cellStyle name="40% - Accent4 2" xfId="76"/>
    <cellStyle name="40% - Accent5 2" xfId="80"/>
    <cellStyle name="40% - Accent6 2" xfId="84"/>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60% - Accent1 2" xfId="65"/>
    <cellStyle name="60% - Accent2 2" xfId="69"/>
    <cellStyle name="60% - Accent3 2" xfId="73"/>
    <cellStyle name="60% - Accent4 2" xfId="77"/>
    <cellStyle name="60% - Accent5 2" xfId="81"/>
    <cellStyle name="60% - Accent6 2" xfId="85"/>
    <cellStyle name="Accent1" xfId="18" builtinId="29" customBuiltin="1"/>
    <cellStyle name="Accent1 2" xfId="62"/>
    <cellStyle name="Accent2" xfId="22" builtinId="33" customBuiltin="1"/>
    <cellStyle name="Accent2 2" xfId="66"/>
    <cellStyle name="Accent3" xfId="26" builtinId="37" customBuiltin="1"/>
    <cellStyle name="Accent3 2" xfId="70"/>
    <cellStyle name="Accent4" xfId="30" builtinId="41" customBuiltin="1"/>
    <cellStyle name="Accent4 2" xfId="74"/>
    <cellStyle name="Accent5" xfId="34" builtinId="45" customBuiltin="1"/>
    <cellStyle name="Accent5 2" xfId="78"/>
    <cellStyle name="Accent6" xfId="38" builtinId="49" customBuiltin="1"/>
    <cellStyle name="Accent6 2" xfId="82"/>
    <cellStyle name="Avertissement" xfId="15" builtinId="11" customBuiltin="1"/>
    <cellStyle name="Bad 2" xfId="51"/>
    <cellStyle name="Calcul" xfId="12" builtinId="22" customBuiltin="1"/>
    <cellStyle name="Calculation 2" xfId="55"/>
    <cellStyle name="Cellule liée" xfId="13" builtinId="24" customBuiltin="1"/>
    <cellStyle name="Check Cell 2" xfId="57"/>
    <cellStyle name="Entrée" xfId="10" builtinId="20" customBuiltin="1"/>
    <cellStyle name="Explanatory Text 2" xfId="60"/>
    <cellStyle name="Good 2" xfId="50"/>
    <cellStyle name="Heading 1 2" xfId="46"/>
    <cellStyle name="Heading 2 2" xfId="47"/>
    <cellStyle name="Heading 3 2" xfId="48"/>
    <cellStyle name="Heading 4 2" xfId="49"/>
    <cellStyle name="Input 2" xfId="53"/>
    <cellStyle name="Insatisfaisant" xfId="8" builtinId="27" customBuiltin="1"/>
    <cellStyle name="Lien hypertexte" xfId="1" builtinId="8"/>
    <cellStyle name="Linked Cell 2" xfId="56"/>
    <cellStyle name="Milliers" xfId="44" builtinId="3"/>
    <cellStyle name="Neutral 2" xfId="52"/>
    <cellStyle name="Neutre" xfId="9" builtinId="28" customBuiltin="1"/>
    <cellStyle name="Normal" xfId="0" builtinId="0"/>
    <cellStyle name="Normal 2" xfId="42"/>
    <cellStyle name="Normal 3" xfId="45"/>
    <cellStyle name="Normal 4" xfId="86"/>
    <cellStyle name="Note 2" xfId="43"/>
    <cellStyle name="Note 3" xfId="59"/>
    <cellStyle name="Output 2" xfId="54"/>
    <cellStyle name="Satisfaisant" xfId="7" builtinId="26" customBuiltin="1"/>
    <cellStyle name="Sortie" xfId="11" builtinId="21" customBuiltin="1"/>
    <cellStyle name="Texte explicatif" xfId="16" builtinId="53" customBuiltin="1"/>
    <cellStyle name="Titre" xfId="2" builtinId="15" customBuiltin="1"/>
    <cellStyle name="Titre 1" xfId="3" builtinId="16" customBuiltin="1"/>
    <cellStyle name="Titre 2" xfId="4" builtinId="17" customBuiltin="1"/>
    <cellStyle name="Titre 3" xfId="5" builtinId="18" customBuiltin="1"/>
    <cellStyle name="Titre 4" xfId="6" builtinId="19" customBuiltin="1"/>
    <cellStyle name="Total" xfId="17" builtinId="25" customBuiltin="1"/>
    <cellStyle name="Total 2" xfId="61"/>
    <cellStyle name="Vérification" xfId="14" builtinId="23" customBuiltin="1"/>
    <cellStyle name="Warning Text 2" xfId="58"/>
  </cellStyles>
  <dxfs count="109">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92D05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92D05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92D05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FF0000"/>
        </patternFill>
      </fill>
      <alignment horizontal="center" vertical="bottom" textRotation="0" wrapText="0" indent="0" justifyLastLine="0" shrinkToFit="0" readingOrder="0"/>
    </dxf>
    <dxf>
      <fill>
        <patternFill patternType="solid">
          <fgColor indexed="64"/>
          <bgColor rgb="FFFF0000"/>
        </patternFill>
      </fill>
    </dxf>
    <dxf>
      <fill>
        <patternFill patternType="solid">
          <fgColor indexed="64"/>
          <bgColor rgb="FFFF0000"/>
        </patternFill>
      </fill>
    </dxf>
    <dxf>
      <font>
        <b val="0"/>
        <i val="0"/>
        <strike val="0"/>
        <condense val="0"/>
        <extend val="0"/>
        <outline val="0"/>
        <shadow val="0"/>
        <u val="none"/>
        <vertAlign val="baseline"/>
        <sz val="10"/>
        <color auto="1"/>
        <name val="Arial"/>
        <scheme val="none"/>
      </font>
      <fill>
        <patternFill patternType="solid">
          <fgColor indexed="64"/>
          <bgColor rgb="FFFF000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92D05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92D05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92D05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fill>
        <patternFill patternType="solid">
          <fgColor indexed="64"/>
          <bgColor rgb="FFFF0000"/>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fill>
        <patternFill patternType="solid">
          <fgColor indexed="64"/>
          <bgColor rgb="FFFF0000"/>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solid">
          <fgColor indexed="64"/>
          <bgColor rgb="FFFF0000"/>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solid">
          <fgColor indexed="64"/>
          <bgColor rgb="FFFF0000"/>
        </patternFill>
      </fill>
    </dxf>
    <dxf>
      <fill>
        <patternFill patternType="solid">
          <fgColor indexed="64"/>
          <bgColor rgb="FF92D050"/>
        </patternFill>
      </fill>
    </dxf>
    <dxf>
      <fill>
        <patternFill patternType="solid">
          <fgColor indexed="64"/>
          <bgColor rgb="FF92D050"/>
        </patternFill>
      </fill>
    </dxf>
    <dxf>
      <fill>
        <patternFill patternType="solid">
          <fgColor indexed="64"/>
          <bgColor rgb="FFFF0000"/>
        </patternFill>
      </fill>
    </dxf>
    <dxf>
      <fill>
        <patternFill patternType="solid">
          <fgColor indexed="64"/>
          <bgColor rgb="FFFF0000"/>
        </patternFill>
      </fill>
    </dxf>
    <dxf>
      <alignment horizontal="general" vertical="center" textRotation="0" wrapText="0" indent="0" justifyLastLine="0" shrinkToFit="0" readingOrder="0"/>
    </dxf>
    <dxf>
      <alignment horizontal="general" vertical="center" textRotation="0" wrapText="0" indent="0" justifyLastLine="0" shrinkToFit="0" readingOrder="0"/>
    </dxf>
    <dxf>
      <fill>
        <patternFill patternType="solid">
          <fgColor indexed="64"/>
          <bgColor rgb="FFFF0000"/>
        </patternFill>
      </fill>
    </dxf>
    <dxf>
      <fill>
        <patternFill patternType="solid">
          <fgColor indexed="64"/>
          <bgColor rgb="FFFF0000"/>
        </patternFill>
      </fill>
    </dxf>
    <dxf>
      <font>
        <b val="0"/>
        <i val="0"/>
        <strike val="0"/>
        <condense val="0"/>
        <extend val="0"/>
        <outline val="0"/>
        <shadow val="0"/>
        <u val="none"/>
        <vertAlign val="baseline"/>
        <sz val="10"/>
        <color theme="1" tint="0.249977111117893"/>
        <name val="Arial"/>
        <scheme val="none"/>
      </font>
      <fill>
        <patternFill patternType="none">
          <fgColor indexed="64"/>
          <bgColor auto="1"/>
        </patternFill>
      </fill>
      <alignment horizontal="general" vertical="center" textRotation="0" wrapText="0" relative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0"/>
        <color theme="1" tint="0.249977111117893"/>
        <name val="Arial"/>
        <scheme val="none"/>
      </font>
      <fill>
        <patternFill patternType="none">
          <fgColor indexed="64"/>
          <bgColor auto="1"/>
        </patternFill>
      </fill>
      <alignment horizontal="general" vertical="center" textRotation="0" wrapText="0" relative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0"/>
        <color theme="1" tint="0.249977111117893"/>
        <name val="Arial"/>
        <scheme val="none"/>
      </font>
      <fill>
        <patternFill patternType="none">
          <fgColor indexed="64"/>
          <bgColor auto="1"/>
        </patternFill>
      </fill>
      <alignment horizontal="general" vertical="center" textRotation="0" wrapText="0" relativeIndent="0" justifyLastLine="0" shrinkToFit="0" readingOrder="0"/>
      <border diagonalUp="0" diagonalDown="0" outline="0">
        <left/>
        <right/>
        <top style="thin">
          <color theme="4"/>
        </top>
        <bottom style="thin">
          <color theme="4"/>
        </bottom>
      </border>
    </dxf>
    <dxf>
      <border outline="0">
        <left style="thin">
          <color theme="4"/>
        </left>
        <right style="thin">
          <color theme="4"/>
        </right>
        <top style="thin">
          <color theme="4"/>
        </top>
      </border>
    </dxf>
    <dxf>
      <font>
        <b val="0"/>
        <i val="0"/>
        <strike val="0"/>
        <condense val="0"/>
        <extend val="0"/>
        <outline val="0"/>
        <shadow val="0"/>
        <u val="none"/>
        <vertAlign val="baseline"/>
        <sz val="10"/>
        <color theme="1" tint="0.249977111117893"/>
        <name val="Arial"/>
        <scheme val="none"/>
      </font>
      <fill>
        <patternFill patternType="none">
          <fgColor indexed="64"/>
          <bgColor auto="1"/>
        </patternFill>
      </fill>
      <alignment horizontal="general" vertical="center" textRotation="0" wrapText="0" relativeIndent="0" justifyLastLine="0" shrinkToFit="0" readingOrder="0"/>
    </dxf>
    <dxf>
      <font>
        <b val="0"/>
        <i val="0"/>
        <strike val="0"/>
        <condense val="0"/>
        <extend val="0"/>
        <outline val="0"/>
        <shadow val="0"/>
        <u val="none"/>
        <vertAlign val="baseline"/>
        <sz val="9"/>
        <color auto="1"/>
        <name val="Arial"/>
        <scheme val="none"/>
      </font>
      <numFmt numFmtId="0" formatCode="General"/>
      <fill>
        <patternFill>
          <fgColor indexed="64"/>
          <bgColor theme="6" tint="0.79998168889431442"/>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fill>
        <patternFill>
          <fgColor indexed="64"/>
          <bgColor theme="6" tint="0.79998168889431442"/>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fill>
        <patternFill>
          <fgColor indexed="64"/>
          <bgColor theme="6" tint="0.79998168889431442"/>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fill>
        <patternFill>
          <fgColor indexed="64"/>
          <bgColor theme="6" tint="0.79998168889431442"/>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fill>
        <patternFill>
          <fgColor indexed="64"/>
          <bgColor theme="6" tint="0.79998168889431442"/>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fill>
        <patternFill>
          <fgColor indexed="64"/>
          <bgColor theme="6" tint="0.79998168889431442"/>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fill>
        <patternFill>
          <fgColor indexed="64"/>
          <bgColor theme="6" tint="0.79998168889431442"/>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6" tint="0.7999816888943144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numFmt numFmtId="0" formatCode="Genera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auto="1"/>
        <name val="Arial"/>
        <scheme val="none"/>
      </font>
      <numFmt numFmtId="3" formatCode="#,##0"/>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6" tint="0.79998168889431442"/>
        </patternFill>
      </fill>
      <alignment horizontal="general" vertical="center" textRotation="0" wrapText="0" indent="0" justifyLastLine="0" shrinkToFit="0" readingOrder="0"/>
      <border outline="0">
        <left style="thin">
          <color theme="0"/>
        </left>
      </border>
    </dxf>
    <dxf>
      <font>
        <strike val="0"/>
        <outline val="0"/>
        <shadow val="0"/>
        <u val="none"/>
        <vertAlign val="baseline"/>
        <sz val="9"/>
        <color theme="1"/>
        <name val="Arial"/>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style="thin">
          <color theme="0"/>
        </bottom>
      </border>
      <protection locked="0" hidden="0"/>
    </dxf>
    <dxf>
      <font>
        <b val="0"/>
        <i val="0"/>
        <strike val="0"/>
        <condense val="0"/>
        <extend val="0"/>
        <outline val="0"/>
        <shadow val="0"/>
        <u val="none"/>
        <vertAlign val="baseline"/>
        <sz val="9"/>
        <color theme="1"/>
        <name val="Arial"/>
        <scheme val="none"/>
      </font>
      <fill>
        <patternFill patternType="none">
          <fgColor indexed="64"/>
          <bgColor indexed="65"/>
        </patternFill>
      </fill>
      <alignment horizontal="general"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protection locked="0" hidden="0"/>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theme="0"/>
        </left>
        <right style="thin">
          <color theme="0"/>
        </right>
        <top style="thin">
          <color theme="0"/>
        </top>
        <bottom style="thin">
          <color theme="0"/>
        </bottom>
      </border>
      <protection locked="0"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6" tint="0.79998168889431442"/>
        </patternFill>
      </fill>
      <alignment horizontal="general" vertical="center" textRotation="0" wrapText="0" indent="0" justifyLastLine="0" shrinkToFit="0" readingOrder="0"/>
      <border outline="0">
        <right style="thin">
          <color theme="0"/>
        </right>
      </border>
      <protection locked="1" hidden="0"/>
    </dxf>
    <dxf>
      <font>
        <b val="0"/>
        <i val="0"/>
        <strike val="0"/>
        <condense val="0"/>
        <extend val="0"/>
        <outline val="0"/>
        <shadow val="0"/>
        <u val="none"/>
        <vertAlign val="baseline"/>
        <sz val="9"/>
        <color auto="1"/>
        <name val="Arial"/>
        <scheme val="none"/>
      </font>
      <numFmt numFmtId="0" formatCode="General"/>
      <fill>
        <patternFill patternType="solid">
          <fgColor indexed="64"/>
          <bgColor theme="6" tint="0.79998168889431442"/>
        </patternFill>
      </fill>
      <alignment horizontal="general" vertical="center" textRotation="0" wrapText="0" indent="0" justifyLastLine="0" shrinkToFit="0" readingOrder="0"/>
      <border outline="0">
        <left style="thin">
          <color theme="0"/>
        </left>
      </border>
      <protection locked="1" hidden="0"/>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thin">
          <color theme="0"/>
        </right>
        <top style="thin">
          <color theme="0"/>
        </top>
        <bottom style="thin">
          <color theme="0"/>
        </bottom>
      </border>
      <protection locked="0" hidden="0"/>
    </dxf>
    <dxf>
      <border outline="0">
        <bottom style="thin">
          <color indexed="64"/>
        </bottom>
      </border>
    </dxf>
    <dxf>
      <font>
        <b val="0"/>
        <i val="0"/>
        <strike val="0"/>
        <condense val="0"/>
        <extend val="0"/>
        <outline val="0"/>
        <shadow val="0"/>
        <u val="none"/>
        <vertAlign val="baseline"/>
        <sz val="9"/>
        <color auto="1"/>
        <name val="Arial"/>
        <scheme val="none"/>
      </font>
      <alignment horizontal="general" vertical="center" textRotation="0" wrapText="0" indent="0" justifyLastLine="0" shrinkToFit="0" readingOrder="0"/>
      <protection locked="0" hidden="0"/>
    </dxf>
    <dxf>
      <font>
        <b/>
        <i val="0"/>
        <strike val="0"/>
        <condense val="0"/>
        <extend val="0"/>
        <outline val="0"/>
        <shadow val="0"/>
        <u val="none"/>
        <vertAlign val="baseline"/>
        <sz val="10"/>
        <color indexed="9"/>
        <name val="Arial"/>
        <scheme val="none"/>
      </font>
      <fill>
        <patternFill patternType="solid">
          <fgColor indexed="64"/>
          <bgColor indexed="56"/>
        </patternFill>
      </fill>
      <alignment horizontal="center" vertical="center" textRotation="0" wrapText="0" indent="0" justifyLastLine="0" shrinkToFit="0" readingOrder="0"/>
      <border diagonalUp="0" diagonalDown="0" outline="0">
        <left style="thin">
          <color indexed="9"/>
        </left>
        <right style="thin">
          <color indexed="9"/>
        </right>
        <top/>
        <bottom/>
      </border>
      <protection locked="0" hidden="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249977111117893"/>
        <name val="Arial"/>
        <scheme val="none"/>
      </font>
      <numFmt numFmtId="165" formatCode="0;;"/>
      <fill>
        <patternFill patternType="solid">
          <fgColor indexed="64"/>
          <bgColor theme="0" tint="-4.9989318521683403E-2"/>
        </patternFill>
      </fill>
      <alignment horizontal="center" vertical="center" textRotation="0" wrapText="1" indent="0" justifyLastLine="0" shrinkToFit="0" readingOrder="0"/>
    </dxf>
    <dxf>
      <font>
        <strike val="0"/>
        <outline val="0"/>
        <shadow val="0"/>
        <u val="none"/>
        <vertAlign val="baseline"/>
        <sz val="8"/>
        <color theme="1" tint="0.499984740745262"/>
        <name val="Arial"/>
        <scheme val="none"/>
      </font>
      <fill>
        <patternFill patternType="solid">
          <fgColor indexed="64"/>
          <bgColor theme="0"/>
        </patternFill>
      </fill>
      <alignment vertical="center" textRotation="0" wrapText="0" indent="0" justifyLastLine="0" shrinkToFit="0" readingOrder="0"/>
    </dxf>
    <dxf>
      <font>
        <strike val="0"/>
        <outline val="0"/>
        <shadow val="0"/>
        <u val="none"/>
        <vertAlign val="baseline"/>
        <sz val="8"/>
        <color theme="1" tint="0.249977111117893"/>
        <name val="Arial"/>
        <scheme val="none"/>
      </font>
      <fill>
        <patternFill patternType="solid">
          <fgColor indexed="64"/>
          <bgColor theme="0" tint="-4.9989318521683403E-2"/>
        </patternFill>
      </fill>
      <alignment vertical="center" textRotation="0" wrapText="0" indent="0" justifyLastLine="0" shrinkToFit="0" readingOrder="0"/>
    </dxf>
    <dxf>
      <font>
        <b val="0"/>
        <strike val="0"/>
        <outline val="0"/>
        <shadow val="0"/>
        <u val="none"/>
        <vertAlign val="baseline"/>
        <sz val="10"/>
        <color theme="1" tint="0.249977111117893"/>
        <name val="Arial"/>
        <scheme val="none"/>
      </font>
      <alignment horizontal="right" vertical="bottom" textRotation="90" wrapText="1" indent="0" justifyLastLine="0" shrinkToFit="0" readingOrder="0"/>
    </dxf>
    <dxf>
      <font>
        <color theme="0"/>
      </font>
      <fill>
        <patternFill patternType="solid">
          <fgColor theme="0"/>
          <bgColor rgb="FF003469"/>
        </patternFill>
      </fill>
    </dxf>
    <dxf>
      <font>
        <color theme="0"/>
      </font>
      <fill>
        <patternFill patternType="solid">
          <fgColor theme="0"/>
          <bgColor rgb="FF026CB6"/>
        </patternFill>
      </fill>
    </dxf>
    <dxf>
      <font>
        <color theme="0"/>
      </font>
      <fill>
        <patternFill patternType="solid">
          <fgColor theme="0"/>
          <bgColor rgb="FF659AD2"/>
        </patternFill>
      </fill>
    </dxf>
    <dxf>
      <fill>
        <patternFill patternType="solid">
          <fgColor theme="0"/>
          <bgColor rgb="FF95B6DF"/>
        </patternFill>
      </fill>
    </dxf>
    <dxf>
      <fill>
        <patternFill patternType="solid">
          <fgColor theme="0"/>
          <bgColor rgb="FFC7D6EE"/>
        </patternFill>
      </fill>
    </dxf>
    <dxf>
      <fill>
        <patternFill>
          <bgColor theme="0"/>
        </patternFill>
      </fill>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strike val="0"/>
        <outline val="0"/>
        <shadow val="0"/>
        <u val="none"/>
        <vertAlign val="baseline"/>
        <sz val="8"/>
        <color theme="1" tint="0.249977111117893"/>
        <name val="Arial"/>
        <scheme val="none"/>
      </font>
      <numFmt numFmtId="0" formatCode="General"/>
      <fill>
        <patternFill patternType="none">
          <fgColor indexed="64"/>
          <bgColor indexed="65"/>
        </patternFill>
      </fill>
      <alignment horizontal="center" vertical="top" textRotation="0" wrapText="1" indent="0" justifyLastLine="0" shrinkToFit="0" readingOrder="0"/>
    </dxf>
    <dxf>
      <font>
        <b val="0"/>
        <strike val="0"/>
        <outline val="0"/>
        <shadow val="0"/>
        <u val="none"/>
        <vertAlign val="baseline"/>
        <sz val="9"/>
        <color theme="1" tint="0.249977111117893"/>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sz val="9"/>
        <color auto="1"/>
        <name val="Arial"/>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top" textRotation="0" indent="0" justifyLastLine="0" shrinkToFit="0" readingOrder="0"/>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9" defaultPivotStyle="PivotStyleLight16"/>
  <colors>
    <mruColors>
      <color rgb="FF026CB6"/>
      <color rgb="FF003469"/>
      <color rgb="FF003F69"/>
      <color rgb="FFF79552"/>
      <color rgb="FFC7D6EE"/>
      <color rgb="FF659AD2"/>
      <color rgb="FF95B6DF"/>
      <color rgb="FFFEE2CA"/>
      <color rgb="FFFCC89F"/>
      <color rgb="FFFAAE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53843813032366827"/>
          <c:y val="3.6884350973603014E-2"/>
          <c:w val="0.38783004302683977"/>
          <c:h val="0.90759140258821669"/>
        </c:manualLayout>
      </c:layout>
      <c:barChart>
        <c:barDir val="bar"/>
        <c:grouping val="clustered"/>
        <c:varyColors val="0"/>
        <c:ser>
          <c:idx val="0"/>
          <c:order val="0"/>
          <c:spPr>
            <a:solidFill>
              <a:srgbClr val="CCCCCC"/>
            </a:solidFill>
          </c:spPr>
          <c:invertIfNegative val="0"/>
          <c:dLbls>
            <c:spPr>
              <a:noFill/>
              <a:ln>
                <a:noFill/>
              </a:ln>
              <a:effectLst/>
            </c:spPr>
            <c:txPr>
              <a:bodyPr/>
              <a:lstStyle/>
              <a:p>
                <a:pPr>
                  <a:defRPr lang="fr-FR" sz="900" b="1" baseline="0">
                    <a:solidFill>
                      <a:srgbClr val="F7924C"/>
                    </a:solidFill>
                    <a:latin typeface="Arial" pitchFamily="34" charset="0"/>
                    <a:cs typeface="Arial"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Gears!$A$44:$A$52</c:f>
              <c:strCache>
                <c:ptCount val="9"/>
                <c:pt idx="0">
                  <c:v>International NGO</c:v>
                </c:pt>
                <c:pt idx="1">
                  <c:v>International Organization</c:v>
                </c:pt>
                <c:pt idx="2">
                  <c:v>UN Agency</c:v>
                </c:pt>
                <c:pt idx="3">
                  <c:v>Donors</c:v>
                </c:pt>
                <c:pt idx="4">
                  <c:v>Red Cross Movement</c:v>
                </c:pt>
                <c:pt idx="5">
                  <c:v>Goverment</c:v>
                </c:pt>
                <c:pt idx="6">
                  <c:v>Laboratory</c:v>
                </c:pt>
                <c:pt idx="7">
                  <c:v>National NGO</c:v>
                </c:pt>
                <c:pt idx="8">
                  <c:v>Private</c:v>
                </c:pt>
              </c:strCache>
            </c:strRef>
          </c:cat>
          <c:val>
            <c:numRef>
              <c:f>Gears!$C$44:$C$52</c:f>
              <c:numCache>
                <c:formatCode>General</c:formatCode>
                <c:ptCount val="9"/>
                <c:pt idx="0">
                  <c:v>10</c:v>
                </c:pt>
                <c:pt idx="1">
                  <c:v>6</c:v>
                </c:pt>
                <c:pt idx="2">
                  <c:v>6</c:v>
                </c:pt>
                <c:pt idx="3">
                  <c:v>5</c:v>
                </c:pt>
                <c:pt idx="4">
                  <c:v>2</c:v>
                </c:pt>
                <c:pt idx="5">
                  <c:v>1</c:v>
                </c:pt>
                <c:pt idx="6">
                  <c:v>1</c:v>
                </c:pt>
                <c:pt idx="7">
                  <c:v>0</c:v>
                </c:pt>
                <c:pt idx="8">
                  <c:v>0</c:v>
                </c:pt>
              </c:numCache>
            </c:numRef>
          </c:val>
        </c:ser>
        <c:dLbls>
          <c:showLegendKey val="0"/>
          <c:showVal val="0"/>
          <c:showCatName val="0"/>
          <c:showSerName val="0"/>
          <c:showPercent val="0"/>
          <c:showBubbleSize val="0"/>
        </c:dLbls>
        <c:gapWidth val="34"/>
        <c:axId val="163917344"/>
        <c:axId val="162044360"/>
      </c:barChart>
      <c:catAx>
        <c:axId val="163917344"/>
        <c:scaling>
          <c:orientation val="maxMin"/>
        </c:scaling>
        <c:delete val="0"/>
        <c:axPos val="l"/>
        <c:numFmt formatCode="General" sourceLinked="1"/>
        <c:majorTickMark val="none"/>
        <c:minorTickMark val="none"/>
        <c:tickLblPos val="nextTo"/>
        <c:txPr>
          <a:bodyPr/>
          <a:lstStyle/>
          <a:p>
            <a:pPr>
              <a:defRPr lang="fr-FR" sz="800">
                <a:solidFill>
                  <a:schemeClr val="tx1">
                    <a:lumMod val="75000"/>
                    <a:lumOff val="25000"/>
                  </a:schemeClr>
                </a:solidFill>
                <a:latin typeface="Arial" pitchFamily="34" charset="0"/>
                <a:cs typeface="Arial" pitchFamily="34" charset="0"/>
              </a:defRPr>
            </a:pPr>
            <a:endParaRPr lang="fr-FR"/>
          </a:p>
        </c:txPr>
        <c:crossAx val="162044360"/>
        <c:crosses val="autoZero"/>
        <c:auto val="1"/>
        <c:lblAlgn val="ctr"/>
        <c:lblOffset val="100"/>
        <c:noMultiLvlLbl val="0"/>
      </c:catAx>
      <c:valAx>
        <c:axId val="162044360"/>
        <c:scaling>
          <c:orientation val="minMax"/>
        </c:scaling>
        <c:delete val="1"/>
        <c:axPos val="t"/>
        <c:numFmt formatCode="General" sourceLinked="1"/>
        <c:majorTickMark val="out"/>
        <c:minorTickMark val="none"/>
        <c:tickLblPos val="none"/>
        <c:crossAx val="163917344"/>
        <c:crosses val="autoZero"/>
        <c:crossBetween val="between"/>
      </c:valAx>
      <c:spPr>
        <a:noFill/>
        <a:ln>
          <a:noFill/>
        </a:ln>
      </c:spPr>
    </c:plotArea>
    <c:plotVisOnly val="1"/>
    <c:dispBlanksAs val="gap"/>
    <c:showDLblsOverMax val="0"/>
  </c:chart>
  <c:spPr>
    <a:noFill/>
    <a:ln>
      <a:noFill/>
    </a:ln>
  </c:spPr>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66759078459949184"/>
          <c:y val="1.7572301643077635E-2"/>
          <c:w val="0.41043537185759388"/>
          <c:h val="0.95192249868785084"/>
        </c:manualLayout>
      </c:layout>
      <c:barChart>
        <c:barDir val="bar"/>
        <c:grouping val="clustered"/>
        <c:varyColors val="0"/>
        <c:ser>
          <c:idx val="0"/>
          <c:order val="0"/>
          <c:spPr>
            <a:solidFill>
              <a:srgbClr val="CCCCCC"/>
            </a:solidFill>
          </c:spPr>
          <c:invertIfNegative val="0"/>
          <c:dLbls>
            <c:spPr>
              <a:noFill/>
              <a:ln>
                <a:noFill/>
              </a:ln>
              <a:effectLst/>
            </c:spPr>
            <c:txPr>
              <a:bodyPr/>
              <a:lstStyle/>
              <a:p>
                <a:pPr>
                  <a:defRPr lang="fr-FR" sz="900" b="1" baseline="0">
                    <a:solidFill>
                      <a:srgbClr val="F7924C"/>
                    </a:solidFill>
                    <a:latin typeface="Arial" pitchFamily="34" charset="0"/>
                    <a:cs typeface="Arial"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Gears!$A$57:$A$68</c:f>
              <c:strCache>
                <c:ptCount val="12"/>
                <c:pt idx="0">
                  <c:v>Prise en charge</c:v>
                </c:pt>
                <c:pt idx="1">
                  <c:v>Communication/Mobilisation sociale</c:v>
                </c:pt>
                <c:pt idx="2">
                  <c:v>Surveillance &amp; suivi</c:v>
                </c:pt>
                <c:pt idx="3">
                  <c:v>Transport &amp; diagnostiques</c:v>
                </c:pt>
                <c:pt idx="4">
                  <c:v>Coordination</c:v>
                </c:pt>
                <c:pt idx="5">
                  <c:v>Soutien nutritionnel et social</c:v>
                </c:pt>
                <c:pt idx="6">
                  <c:v>Gestion des données</c:v>
                </c:pt>
                <c:pt idx="7">
                  <c:v>Recherche</c:v>
                </c:pt>
                <c:pt idx="8">
                  <c:v>Logistiques</c:v>
                </c:pt>
                <c:pt idx="9">
                  <c:v>Finance</c:v>
                </c:pt>
                <c:pt idx="10">
                  <c:v>Gestion des corps et desinfection</c:v>
                </c:pt>
                <c:pt idx="11">
                  <c:v>Sécurité</c:v>
                </c:pt>
              </c:strCache>
            </c:strRef>
          </c:cat>
          <c:val>
            <c:numRef>
              <c:f>Gears!$C$57:$C$68</c:f>
              <c:numCache>
                <c:formatCode>General</c:formatCode>
                <c:ptCount val="12"/>
                <c:pt idx="0">
                  <c:v>14</c:v>
                </c:pt>
                <c:pt idx="1">
                  <c:v>10</c:v>
                </c:pt>
                <c:pt idx="2">
                  <c:v>10</c:v>
                </c:pt>
                <c:pt idx="3">
                  <c:v>10</c:v>
                </c:pt>
                <c:pt idx="4">
                  <c:v>8</c:v>
                </c:pt>
                <c:pt idx="5">
                  <c:v>6</c:v>
                </c:pt>
                <c:pt idx="6">
                  <c:v>4</c:v>
                </c:pt>
                <c:pt idx="7">
                  <c:v>4</c:v>
                </c:pt>
                <c:pt idx="8">
                  <c:v>3</c:v>
                </c:pt>
                <c:pt idx="9">
                  <c:v>1</c:v>
                </c:pt>
                <c:pt idx="10">
                  <c:v>1</c:v>
                </c:pt>
                <c:pt idx="11">
                  <c:v>1</c:v>
                </c:pt>
              </c:numCache>
            </c:numRef>
          </c:val>
        </c:ser>
        <c:dLbls>
          <c:showLegendKey val="0"/>
          <c:showVal val="0"/>
          <c:showCatName val="0"/>
          <c:showSerName val="0"/>
          <c:showPercent val="0"/>
          <c:showBubbleSize val="0"/>
        </c:dLbls>
        <c:gapWidth val="34"/>
        <c:axId val="163671552"/>
        <c:axId val="164491192"/>
      </c:barChart>
      <c:catAx>
        <c:axId val="163671552"/>
        <c:scaling>
          <c:orientation val="maxMin"/>
        </c:scaling>
        <c:delete val="0"/>
        <c:axPos val="l"/>
        <c:numFmt formatCode="General" sourceLinked="1"/>
        <c:majorTickMark val="none"/>
        <c:minorTickMark val="none"/>
        <c:tickLblPos val="nextTo"/>
        <c:txPr>
          <a:bodyPr anchor="ctr" anchorCtr="0"/>
          <a:lstStyle/>
          <a:p>
            <a:pPr>
              <a:defRPr lang="fr-FR" sz="800">
                <a:solidFill>
                  <a:schemeClr val="tx1">
                    <a:lumMod val="75000"/>
                    <a:lumOff val="25000"/>
                  </a:schemeClr>
                </a:solidFill>
                <a:latin typeface="Arial" pitchFamily="34" charset="0"/>
                <a:cs typeface="Arial" pitchFamily="34" charset="0"/>
              </a:defRPr>
            </a:pPr>
            <a:endParaRPr lang="fr-FR"/>
          </a:p>
        </c:txPr>
        <c:crossAx val="164491192"/>
        <c:crosses val="autoZero"/>
        <c:auto val="1"/>
        <c:lblAlgn val="ctr"/>
        <c:lblOffset val="100"/>
        <c:noMultiLvlLbl val="0"/>
      </c:catAx>
      <c:valAx>
        <c:axId val="164491192"/>
        <c:scaling>
          <c:orientation val="minMax"/>
        </c:scaling>
        <c:delete val="1"/>
        <c:axPos val="t"/>
        <c:numFmt formatCode="General" sourceLinked="1"/>
        <c:majorTickMark val="out"/>
        <c:minorTickMark val="none"/>
        <c:tickLblPos val="none"/>
        <c:crossAx val="163671552"/>
        <c:crosses val="autoZero"/>
        <c:crossBetween val="between"/>
      </c:valAx>
      <c:spPr>
        <a:noFill/>
        <a:ln>
          <a:noFill/>
        </a:ln>
      </c:spPr>
    </c:plotArea>
    <c:plotVisOnly val="1"/>
    <c:dispBlanksAs val="gap"/>
    <c:showDLblsOverMax val="0"/>
  </c:chart>
  <c:spPr>
    <a:noFill/>
    <a:ln>
      <a:noFill/>
    </a:ln>
  </c:spPr>
  <c:printSettings>
    <c:headerFooter/>
    <c:pageMargins b="0.75000000000000144" l="0.70000000000000062" r="0.70000000000000062" t="0.750000000000001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31</xdr:col>
      <xdr:colOff>45151</xdr:colOff>
      <xdr:row>22</xdr:row>
      <xdr:rowOff>124198</xdr:rowOff>
    </xdr:from>
    <xdr:to>
      <xdr:col>54</xdr:col>
      <xdr:colOff>137226</xdr:colOff>
      <xdr:row>30</xdr:row>
      <xdr:rowOff>9897</xdr:rowOff>
    </xdr:to>
    <xdr:grpSp>
      <xdr:nvGrpSpPr>
        <xdr:cNvPr id="3" name="SourceMap"/>
        <xdr:cNvGrpSpPr/>
      </xdr:nvGrpSpPr>
      <xdr:grpSpPr>
        <a:xfrm>
          <a:off x="7055551" y="4115173"/>
          <a:ext cx="4254500" cy="752474"/>
          <a:chOff x="5629275" y="4371976"/>
          <a:chExt cx="4257675" cy="742949"/>
        </a:xfrm>
        <a:noFill/>
      </xdr:grpSpPr>
      <xdr:sp macro="" textlink="">
        <xdr:nvSpPr>
          <xdr:cNvPr id="760" name="EmgOnlyLabelTextBox"/>
          <xdr:cNvSpPr txBox="1"/>
        </xdr:nvSpPr>
        <xdr:spPr>
          <a:xfrm>
            <a:off x="6029325" y="4400549"/>
            <a:ext cx="3724275" cy="25603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GB" sz="1000">
              <a:solidFill>
                <a:schemeClr val="bg1">
                  <a:lumMod val="50000"/>
                </a:schemeClr>
              </a:solidFill>
              <a:latin typeface="Arial" pitchFamily="34" charset="0"/>
              <a:cs typeface="Arial" pitchFamily="34" charset="0"/>
            </a:endParaRPr>
          </a:p>
        </xdr:txBody>
      </xdr:sp>
      <xdr:sp macro="" textlink="">
        <xdr:nvSpPr>
          <xdr:cNvPr id="761" name="RegOnlyLabelTextBox"/>
          <xdr:cNvSpPr txBox="1"/>
        </xdr:nvSpPr>
        <xdr:spPr>
          <a:xfrm>
            <a:off x="6029325" y="4624386"/>
            <a:ext cx="3724275" cy="25603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GB" sz="1000">
              <a:solidFill>
                <a:schemeClr val="bg1">
                  <a:lumMod val="50000"/>
                </a:schemeClr>
              </a:solidFill>
              <a:latin typeface="Arial" pitchFamily="34" charset="0"/>
              <a:cs typeface="Arial" pitchFamily="34" charset="0"/>
            </a:endParaRPr>
          </a:p>
        </xdr:txBody>
      </xdr:sp>
      <xdr:sp macro="" textlink="">
        <xdr:nvSpPr>
          <xdr:cNvPr id="762" name="EmgAndRegLabelTextBox"/>
          <xdr:cNvSpPr txBox="1"/>
        </xdr:nvSpPr>
        <xdr:spPr>
          <a:xfrm>
            <a:off x="6029325" y="4848224"/>
            <a:ext cx="3857625" cy="25603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GB" sz="1000">
              <a:solidFill>
                <a:schemeClr val="bg1">
                  <a:lumMod val="50000"/>
                </a:schemeClr>
              </a:solidFill>
              <a:latin typeface="Arial" pitchFamily="34" charset="0"/>
              <a:cs typeface="Arial" pitchFamily="34" charset="0"/>
            </a:endParaRPr>
          </a:p>
        </xdr:txBody>
      </xdr:sp>
      <xdr:sp macro="" textlink="">
        <xdr:nvSpPr>
          <xdr:cNvPr id="763" name="EmgOnlyTextBox"/>
          <xdr:cNvSpPr txBox="1"/>
        </xdr:nvSpPr>
        <xdr:spPr>
          <a:xfrm>
            <a:off x="5629275" y="4371976"/>
            <a:ext cx="523544" cy="2762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en-GB" sz="1400" b="1">
              <a:solidFill>
                <a:srgbClr val="F7924C"/>
              </a:solidFill>
              <a:latin typeface="Arial" pitchFamily="34" charset="0"/>
              <a:cs typeface="Arial" pitchFamily="34" charset="0"/>
            </a:endParaRPr>
          </a:p>
        </xdr:txBody>
      </xdr:sp>
      <xdr:sp macro="" textlink="">
        <xdr:nvSpPr>
          <xdr:cNvPr id="764" name="RegOnlyTextBox"/>
          <xdr:cNvSpPr txBox="1"/>
        </xdr:nvSpPr>
        <xdr:spPr>
          <a:xfrm>
            <a:off x="5629275" y="4605339"/>
            <a:ext cx="523544" cy="2762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en-GB" sz="1400" b="1">
              <a:solidFill>
                <a:srgbClr val="F7924C"/>
              </a:solidFill>
              <a:latin typeface="Arial" pitchFamily="34" charset="0"/>
              <a:cs typeface="Arial" pitchFamily="34" charset="0"/>
            </a:endParaRPr>
          </a:p>
        </xdr:txBody>
      </xdr:sp>
      <xdr:sp macro="" textlink="">
        <xdr:nvSpPr>
          <xdr:cNvPr id="765" name="EmgAndRegTextBox"/>
          <xdr:cNvSpPr txBox="1"/>
        </xdr:nvSpPr>
        <xdr:spPr>
          <a:xfrm>
            <a:off x="5629275" y="4838701"/>
            <a:ext cx="523544" cy="2762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en-GB" sz="1400" b="1">
              <a:solidFill>
                <a:srgbClr val="F7924C"/>
              </a:solidFill>
              <a:latin typeface="Arial" pitchFamily="34" charset="0"/>
              <a:cs typeface="Arial" pitchFamily="34" charset="0"/>
            </a:endParaRPr>
          </a:p>
        </xdr:txBody>
      </xdr:sp>
    </xdr:grpSp>
    <xdr:clientData/>
  </xdr:twoCellAnchor>
  <xdr:twoCellAnchor editAs="absolute">
    <xdr:from>
      <xdr:col>24</xdr:col>
      <xdr:colOff>57150</xdr:colOff>
      <xdr:row>5</xdr:row>
      <xdr:rowOff>114301</xdr:rowOff>
    </xdr:from>
    <xdr:to>
      <xdr:col>39</xdr:col>
      <xdr:colOff>155454</xdr:colOff>
      <xdr:row>18</xdr:row>
      <xdr:rowOff>78509</xdr:rowOff>
    </xdr:to>
    <xdr:graphicFrame macro="">
      <xdr:nvGraphicFramePr>
        <xdr:cNvPr id="156" name="Graphique 15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36</xdr:col>
      <xdr:colOff>76200</xdr:colOff>
      <xdr:row>5</xdr:row>
      <xdr:rowOff>114301</xdr:rowOff>
    </xdr:from>
    <xdr:to>
      <xdr:col>54</xdr:col>
      <xdr:colOff>100642</xdr:colOff>
      <xdr:row>22</xdr:row>
      <xdr:rowOff>47625</xdr:rowOff>
    </xdr:to>
    <xdr:graphicFrame macro="">
      <xdr:nvGraphicFramePr>
        <xdr:cNvPr id="157" name="Graphique 15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44824</xdr:colOff>
      <xdr:row>3</xdr:row>
      <xdr:rowOff>39221</xdr:rowOff>
    </xdr:from>
    <xdr:to>
      <xdr:col>9</xdr:col>
      <xdr:colOff>112059</xdr:colOff>
      <xdr:row>6</xdr:row>
      <xdr:rowOff>50427</xdr:rowOff>
    </xdr:to>
    <xdr:sp macro="" textlink="">
      <xdr:nvSpPr>
        <xdr:cNvPr id="5" name="TotalOrgsTextBox"/>
        <xdr:cNvSpPr txBox="1"/>
      </xdr:nvSpPr>
      <xdr:spPr>
        <a:xfrm>
          <a:off x="2173942" y="801221"/>
          <a:ext cx="963705" cy="48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GB" sz="3600" b="1">
              <a:solidFill>
                <a:srgbClr val="F7924C"/>
              </a:solidFill>
              <a:latin typeface="Arial" pitchFamily="34" charset="0"/>
              <a:cs typeface="Arial" pitchFamily="34" charset="0"/>
            </a:rPr>
            <a:t>31</a:t>
          </a:r>
        </a:p>
      </xdr:txBody>
    </xdr:sp>
    <xdr:clientData/>
  </xdr:twoCellAnchor>
  <xdr:twoCellAnchor editAs="absolute">
    <xdr:from>
      <xdr:col>10</xdr:col>
      <xdr:colOff>20814</xdr:colOff>
      <xdr:row>3</xdr:row>
      <xdr:rowOff>27214</xdr:rowOff>
    </xdr:from>
    <xdr:to>
      <xdr:col>27</xdr:col>
      <xdr:colOff>12408</xdr:colOff>
      <xdr:row>6</xdr:row>
      <xdr:rowOff>90446</xdr:rowOff>
    </xdr:to>
    <xdr:sp macro="" textlink="">
      <xdr:nvSpPr>
        <xdr:cNvPr id="6" name="TotalOrgsBlurbTextBox"/>
        <xdr:cNvSpPr txBox="1"/>
      </xdr:nvSpPr>
      <xdr:spPr>
        <a:xfrm>
          <a:off x="3230739" y="789214"/>
          <a:ext cx="3068169" cy="5490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r>
            <a:rPr lang="en-GB" sz="1600">
              <a:solidFill>
                <a:srgbClr val="026CB6"/>
              </a:solidFill>
              <a:latin typeface="Arial" pitchFamily="34" charset="0"/>
              <a:ea typeface="+mn-ea"/>
              <a:cs typeface="Arial" pitchFamily="34" charset="0"/>
            </a:rPr>
            <a:t>Organisations ayant des activités en cours en Guinée</a:t>
          </a:r>
        </a:p>
      </xdr:txBody>
    </xdr:sp>
    <xdr:clientData/>
  </xdr:twoCellAnchor>
  <xdr:twoCellAnchor editAs="absolute">
    <xdr:from>
      <xdr:col>5</xdr:col>
      <xdr:colOff>67220</xdr:colOff>
      <xdr:row>23</xdr:row>
      <xdr:rowOff>28917</xdr:rowOff>
    </xdr:from>
    <xdr:to>
      <xdr:col>11</xdr:col>
      <xdr:colOff>132014</xdr:colOff>
      <xdr:row>25</xdr:row>
      <xdr:rowOff>91843</xdr:rowOff>
    </xdr:to>
    <xdr:grpSp>
      <xdr:nvGrpSpPr>
        <xdr:cNvPr id="611" name="ColorRamp_0"/>
        <xdr:cNvGrpSpPr/>
      </xdr:nvGrpSpPr>
      <xdr:grpSpPr>
        <a:xfrm rot="5400000">
          <a:off x="2744679" y="3818933"/>
          <a:ext cx="405826" cy="1150644"/>
          <a:chOff x="4886325" y="3583132"/>
          <a:chExt cx="436545" cy="992517"/>
        </a:xfrm>
      </xdr:grpSpPr>
      <xdr:grpSp>
        <xdr:nvGrpSpPr>
          <xdr:cNvPr id="612" name="ColorRamp1"/>
          <xdr:cNvGrpSpPr/>
        </xdr:nvGrpSpPr>
        <xdr:grpSpPr>
          <a:xfrm rot="10800000">
            <a:off x="4886325" y="3676650"/>
            <a:ext cx="161767" cy="822095"/>
            <a:chOff x="12534900" y="3095625"/>
            <a:chExt cx="161767" cy="822095"/>
          </a:xfrm>
        </xdr:grpSpPr>
        <xdr:sp macro="" textlink="">
          <xdr:nvSpPr>
            <xdr:cNvPr id="615" name="Rectangle 614"/>
            <xdr:cNvSpPr/>
          </xdr:nvSpPr>
          <xdr:spPr>
            <a:xfrm>
              <a:off x="12534900" y="3095625"/>
              <a:ext cx="161767" cy="162000"/>
            </a:xfrm>
            <a:prstGeom prst="rect">
              <a:avLst/>
            </a:prstGeom>
            <a:solidFill>
              <a:srgbClr val="FEE2CA"/>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16" name="ColorRampBox2"/>
            <xdr:cNvSpPr/>
          </xdr:nvSpPr>
          <xdr:spPr>
            <a:xfrm>
              <a:off x="12534900" y="3260119"/>
              <a:ext cx="161767" cy="161999"/>
            </a:xfrm>
            <a:prstGeom prst="rect">
              <a:avLst/>
            </a:prstGeom>
            <a:solidFill>
              <a:srgbClr val="FCC89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17" name="ColorRampBox3"/>
            <xdr:cNvSpPr/>
          </xdr:nvSpPr>
          <xdr:spPr>
            <a:xfrm>
              <a:off x="12534900" y="3424612"/>
              <a:ext cx="161767" cy="161999"/>
            </a:xfrm>
            <a:prstGeom prst="rect">
              <a:avLst/>
            </a:prstGeom>
            <a:solidFill>
              <a:srgbClr val="FAAE77"/>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18" name="ColorRampBox4"/>
            <xdr:cNvSpPr/>
          </xdr:nvSpPr>
          <xdr:spPr>
            <a:xfrm>
              <a:off x="12534900" y="3589105"/>
              <a:ext cx="161767" cy="162000"/>
            </a:xfrm>
            <a:prstGeom prst="rect">
              <a:avLst/>
            </a:prstGeom>
            <a:solidFill>
              <a:srgbClr val="F7955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19" name="ColorRampBox5"/>
            <xdr:cNvSpPr/>
          </xdr:nvSpPr>
          <xdr:spPr>
            <a:xfrm>
              <a:off x="12534900" y="3755256"/>
              <a:ext cx="161767" cy="162464"/>
            </a:xfrm>
            <a:prstGeom prst="rect">
              <a:avLst/>
            </a:prstGeom>
            <a:solidFill>
              <a:srgbClr val="F15A2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613" name="ColorRampLabelLow_0"/>
          <xdr:cNvSpPr txBox="1"/>
        </xdr:nvSpPr>
        <xdr:spPr>
          <a:xfrm rot="16200000">
            <a:off x="5020853" y="4273632"/>
            <a:ext cx="338222" cy="265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a:solidFill>
                  <a:schemeClr val="bg1">
                    <a:lumMod val="50000"/>
                  </a:schemeClr>
                </a:solidFill>
                <a:latin typeface="Arial" pitchFamily="34" charset="0"/>
                <a:cs typeface="Arial" pitchFamily="34" charset="0"/>
              </a:rPr>
              <a:t>10</a:t>
            </a:r>
          </a:p>
        </xdr:txBody>
      </xdr:sp>
      <xdr:sp macro="" textlink="">
        <xdr:nvSpPr>
          <xdr:cNvPr id="614" name="ColorRampLabelHigh_0"/>
          <xdr:cNvSpPr txBox="1"/>
        </xdr:nvSpPr>
        <xdr:spPr>
          <a:xfrm rot="16200000">
            <a:off x="4950475" y="3681362"/>
            <a:ext cx="462272" cy="265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22</a:t>
            </a:r>
          </a:p>
        </xdr:txBody>
      </xdr:sp>
    </xdr:grpSp>
    <xdr:clientData/>
  </xdr:twoCellAnchor>
  <xdr:twoCellAnchor editAs="absolute">
    <xdr:from>
      <xdr:col>4</xdr:col>
      <xdr:colOff>0</xdr:colOff>
      <xdr:row>1</xdr:row>
      <xdr:rowOff>25400</xdr:rowOff>
    </xdr:from>
    <xdr:to>
      <xdr:col>39</xdr:col>
      <xdr:colOff>161925</xdr:colOff>
      <xdr:row>2</xdr:row>
      <xdr:rowOff>0</xdr:rowOff>
    </xdr:to>
    <xdr:sp macro="" textlink="">
      <xdr:nvSpPr>
        <xdr:cNvPr id="11" name="TextBox 10"/>
        <xdr:cNvSpPr txBox="1"/>
      </xdr:nvSpPr>
      <xdr:spPr>
        <a:xfrm>
          <a:off x="2129118" y="182282"/>
          <a:ext cx="6437219"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latin typeface="Arial" pitchFamily="34" charset="0"/>
              <a:cs typeface="Arial" pitchFamily="34" charset="0"/>
            </a:rPr>
            <a:t>GUINEA: </a:t>
          </a:r>
          <a:r>
            <a:rPr lang="en-US" sz="1600" b="0">
              <a:solidFill>
                <a:schemeClr val="bg1"/>
              </a:solidFill>
              <a:latin typeface="Arial" pitchFamily="34" charset="0"/>
              <a:cs typeface="Arial" pitchFamily="34" charset="0"/>
            </a:rPr>
            <a:t>EVD EPIDEMIE</a:t>
          </a:r>
          <a:r>
            <a:rPr lang="en-US" sz="1600" b="0" baseline="0">
              <a:solidFill>
                <a:schemeClr val="bg1"/>
              </a:solidFill>
              <a:latin typeface="Arial" pitchFamily="34" charset="0"/>
              <a:cs typeface="Arial" pitchFamily="34" charset="0"/>
            </a:rPr>
            <a:t> 2014 |</a:t>
          </a:r>
          <a:r>
            <a:rPr lang="en-US" sz="1600" b="0">
              <a:solidFill>
                <a:schemeClr val="bg1"/>
              </a:solidFill>
              <a:latin typeface="Arial" pitchFamily="34" charset="0"/>
              <a:cs typeface="Arial" pitchFamily="34" charset="0"/>
            </a:rPr>
            <a:t> Presence Opérationnelle</a:t>
          </a:r>
        </a:p>
        <a:p>
          <a:r>
            <a:rPr lang="en-US" sz="1100">
              <a:solidFill>
                <a:schemeClr val="bg1"/>
              </a:solidFill>
            </a:rPr>
            <a:t>[au 16 Juin 2015</a:t>
          </a:r>
          <a:r>
            <a:rPr lang="en-US" sz="1100" baseline="0">
              <a:solidFill>
                <a:schemeClr val="bg1"/>
              </a:solidFill>
            </a:rPr>
            <a:t>]</a:t>
          </a:r>
          <a:endParaRPr lang="en-US" sz="1100">
            <a:solidFill>
              <a:schemeClr val="bg1"/>
            </a:solidFill>
          </a:endParaRPr>
        </a:p>
      </xdr:txBody>
    </xdr:sp>
    <xdr:clientData/>
  </xdr:twoCellAnchor>
  <xdr:twoCellAnchor editAs="oneCell">
    <xdr:from>
      <xdr:col>45</xdr:col>
      <xdr:colOff>76200</xdr:colOff>
      <xdr:row>1</xdr:row>
      <xdr:rowOff>85725</xdr:rowOff>
    </xdr:from>
    <xdr:to>
      <xdr:col>54</xdr:col>
      <xdr:colOff>47625</xdr:colOff>
      <xdr:row>1</xdr:row>
      <xdr:rowOff>473529</xdr:rowOff>
    </xdr:to>
    <xdr:pic>
      <xdr:nvPicPr>
        <xdr:cNvPr id="1629" name="Picture 162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20250" y="247650"/>
          <a:ext cx="1600200" cy="3878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66</xdr:col>
      <xdr:colOff>15496</xdr:colOff>
      <xdr:row>65</xdr:row>
      <xdr:rowOff>29103</xdr:rowOff>
    </xdr:from>
    <xdr:to>
      <xdr:col>70</xdr:col>
      <xdr:colOff>3743</xdr:colOff>
      <xdr:row>76</xdr:row>
      <xdr:rowOff>143591</xdr:rowOff>
    </xdr:to>
    <xdr:grpSp>
      <xdr:nvGrpSpPr>
        <xdr:cNvPr id="1631" name="Group 1630"/>
        <xdr:cNvGrpSpPr/>
      </xdr:nvGrpSpPr>
      <xdr:grpSpPr>
        <a:xfrm>
          <a:off x="15103096" y="11220978"/>
          <a:ext cx="3036247" cy="2105213"/>
          <a:chOff x="8290983" y="12349692"/>
          <a:chExt cx="3006009" cy="1979800"/>
        </a:xfrm>
      </xdr:grpSpPr>
      <xdr:sp macro="" textlink="">
        <xdr:nvSpPr>
          <xdr:cNvPr id="1632" name="Rectangle 1631"/>
          <xdr:cNvSpPr/>
        </xdr:nvSpPr>
        <xdr:spPr>
          <a:xfrm>
            <a:off x="8290983" y="12349692"/>
            <a:ext cx="3006009" cy="1979800"/>
          </a:xfrm>
          <a:prstGeom prst="rect">
            <a:avLst/>
          </a:prstGeom>
          <a:solidFill>
            <a:schemeClr val="bg1">
              <a:lumMod val="9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33" name="TextBox 1632"/>
          <xdr:cNvSpPr txBox="1"/>
        </xdr:nvSpPr>
        <xdr:spPr>
          <a:xfrm>
            <a:off x="8710083" y="12414250"/>
            <a:ext cx="2465918" cy="1836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r>
              <a:rPr lang="en-US" sz="1400" b="1">
                <a:solidFill>
                  <a:srgbClr val="026CB6"/>
                </a:solidFill>
                <a:latin typeface="Arial" pitchFamily="34" charset="0"/>
                <a:cs typeface="Arial" pitchFamily="34" charset="0"/>
              </a:rPr>
              <a:t>Is your</a:t>
            </a:r>
            <a:r>
              <a:rPr lang="en-US" sz="1400" b="1" baseline="0">
                <a:solidFill>
                  <a:srgbClr val="026CB6"/>
                </a:solidFill>
                <a:latin typeface="Arial" pitchFamily="34" charset="0"/>
                <a:cs typeface="Arial" pitchFamily="34" charset="0"/>
              </a:rPr>
              <a:t> data missing from this document?</a:t>
            </a:r>
          </a:p>
          <a:p>
            <a:endParaRPr lang="en-US" sz="1200" b="1" baseline="0">
              <a:solidFill>
                <a:srgbClr val="026CB6"/>
              </a:solidFill>
              <a:latin typeface="Arial" pitchFamily="34" charset="0"/>
              <a:cs typeface="Arial" pitchFamily="34" charset="0"/>
            </a:endParaRPr>
          </a:p>
          <a:p>
            <a:r>
              <a:rPr lang="en-US" sz="1100" baseline="0">
                <a:solidFill>
                  <a:schemeClr val="tx1">
                    <a:lumMod val="50000"/>
                    <a:lumOff val="50000"/>
                  </a:schemeClr>
                </a:solidFill>
                <a:latin typeface="Arial" pitchFamily="34" charset="0"/>
                <a:cs typeface="Arial" pitchFamily="34" charset="0"/>
              </a:rPr>
              <a:t>Let us know by filling out the 3W form at: </a:t>
            </a:r>
            <a:r>
              <a:rPr lang="en-US" sz="1100" b="1" baseline="0">
                <a:solidFill>
                  <a:srgbClr val="026CB6"/>
                </a:solidFill>
                <a:latin typeface="Arial" pitchFamily="34" charset="0"/>
                <a:cs typeface="Arial" pitchFamily="34" charset="0"/>
              </a:rPr>
              <a:t>[link to form, not in hyperlink format]</a:t>
            </a:r>
          </a:p>
          <a:p>
            <a:endParaRPr lang="en-US" sz="1100" baseline="0">
              <a:solidFill>
                <a:schemeClr val="tx1">
                  <a:lumMod val="50000"/>
                  <a:lumOff val="50000"/>
                </a:schemeClr>
              </a:solidFill>
              <a:latin typeface="Arial" pitchFamily="34" charset="0"/>
              <a:cs typeface="Arial" pitchFamily="34" charset="0"/>
            </a:endParaRPr>
          </a:p>
          <a:p>
            <a:r>
              <a:rPr lang="en-US" sz="1100" baseline="0">
                <a:solidFill>
                  <a:schemeClr val="tx1">
                    <a:lumMod val="50000"/>
                    <a:lumOff val="50000"/>
                  </a:schemeClr>
                </a:solidFill>
                <a:latin typeface="Arial" pitchFamily="34" charset="0"/>
                <a:cs typeface="Arial" pitchFamily="34" charset="0"/>
              </a:rPr>
              <a:t>Return it to [email] and your data will be on the next version. Thanks for helping out!</a:t>
            </a:r>
            <a:endParaRPr lang="en-US" sz="1100">
              <a:solidFill>
                <a:schemeClr val="tx1">
                  <a:lumMod val="50000"/>
                  <a:lumOff val="50000"/>
                </a:schemeClr>
              </a:solidFill>
              <a:latin typeface="Arial" pitchFamily="34" charset="0"/>
              <a:cs typeface="Arial" pitchFamily="34" charset="0"/>
            </a:endParaRPr>
          </a:p>
        </xdr:txBody>
      </xdr:sp>
      <xdr:pic>
        <xdr:nvPicPr>
          <xdr:cNvPr id="1634" name="Picture 163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403167" y="12477750"/>
            <a:ext cx="227542" cy="19790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28</xdr:col>
      <xdr:colOff>27274</xdr:colOff>
      <xdr:row>3</xdr:row>
      <xdr:rowOff>27214</xdr:rowOff>
    </xdr:from>
    <xdr:to>
      <xdr:col>40</xdr:col>
      <xdr:colOff>33618</xdr:colOff>
      <xdr:row>5</xdr:row>
      <xdr:rowOff>133569</xdr:rowOff>
    </xdr:to>
    <xdr:sp macro="" textlink="">
      <xdr:nvSpPr>
        <xdr:cNvPr id="1655" name="TotalOrgsBlurbTextBox"/>
        <xdr:cNvSpPr txBox="1"/>
      </xdr:nvSpPr>
      <xdr:spPr>
        <a:xfrm>
          <a:off x="6494749" y="789214"/>
          <a:ext cx="2178044" cy="4302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GB" sz="1600">
              <a:solidFill>
                <a:srgbClr val="026CB6"/>
              </a:solidFill>
              <a:latin typeface="Arial" pitchFamily="34" charset="0"/>
              <a:cs typeface="Arial" pitchFamily="34" charset="0"/>
            </a:rPr>
            <a:t>Organisations par Type</a:t>
          </a:r>
        </a:p>
      </xdr:txBody>
    </xdr:sp>
    <xdr:clientData/>
  </xdr:twoCellAnchor>
  <xdr:twoCellAnchor editAs="absolute">
    <xdr:from>
      <xdr:col>41</xdr:col>
      <xdr:colOff>104775</xdr:colOff>
      <xdr:row>3</xdr:row>
      <xdr:rowOff>27214</xdr:rowOff>
    </xdr:from>
    <xdr:to>
      <xdr:col>55</xdr:col>
      <xdr:colOff>28575</xdr:colOff>
      <xdr:row>5</xdr:row>
      <xdr:rowOff>133569</xdr:rowOff>
    </xdr:to>
    <xdr:sp macro="" textlink="">
      <xdr:nvSpPr>
        <xdr:cNvPr id="1656" name="TotalOrgsBlurbTextBox"/>
        <xdr:cNvSpPr txBox="1"/>
      </xdr:nvSpPr>
      <xdr:spPr>
        <a:xfrm>
          <a:off x="8924925" y="789214"/>
          <a:ext cx="2457450" cy="4302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GB" sz="1600">
              <a:solidFill>
                <a:srgbClr val="026CB6"/>
              </a:solidFill>
              <a:latin typeface="Arial" pitchFamily="34" charset="0"/>
              <a:cs typeface="Arial" pitchFamily="34" charset="0"/>
            </a:rPr>
            <a:t>Organisations par activité</a:t>
          </a:r>
        </a:p>
      </xdr:txBody>
    </xdr:sp>
    <xdr:clientData/>
  </xdr:twoCellAnchor>
  <xdr:oneCellAnchor>
    <xdr:from>
      <xdr:col>5</xdr:col>
      <xdr:colOff>98895</xdr:colOff>
      <xdr:row>21</xdr:row>
      <xdr:rowOff>43455</xdr:rowOff>
    </xdr:from>
    <xdr:ext cx="879664" cy="357662"/>
    <xdr:sp macro="" textlink="">
      <xdr:nvSpPr>
        <xdr:cNvPr id="12" name="TextBox 11"/>
        <xdr:cNvSpPr txBox="1"/>
      </xdr:nvSpPr>
      <xdr:spPr>
        <a:xfrm>
          <a:off x="2407307" y="3797426"/>
          <a:ext cx="879664" cy="357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endParaRPr lang="en-GB" sz="900">
            <a:solidFill>
              <a:schemeClr val="tx1">
                <a:lumMod val="50000"/>
                <a:lumOff val="50000"/>
              </a:schemeClr>
            </a:solidFill>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xdr:from>
          <xdr:col>1</xdr:col>
          <xdr:colOff>66675</xdr:colOff>
          <xdr:row>9</xdr:row>
          <xdr:rowOff>133350</xdr:rowOff>
        </xdr:from>
        <xdr:to>
          <xdr:col>1</xdr:col>
          <xdr:colOff>1647825</xdr:colOff>
          <xdr:row>12</xdr:row>
          <xdr:rowOff>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UPDATE DASHBOARD</a:t>
              </a:r>
            </a:p>
          </xdr:txBody>
        </xdr:sp>
        <xdr:clientData fPrintsWithSheet="0"/>
      </xdr:twoCellAnchor>
    </mc:Choice>
    <mc:Fallback/>
  </mc:AlternateContent>
  <xdr:oneCellAnchor>
    <xdr:from>
      <xdr:col>1</xdr:col>
      <xdr:colOff>215730</xdr:colOff>
      <xdr:row>15</xdr:row>
      <xdr:rowOff>9893</xdr:rowOff>
    </xdr:from>
    <xdr:ext cx="597399" cy="235834"/>
    <xdr:sp macro="" textlink="">
      <xdr:nvSpPr>
        <xdr:cNvPr id="484" name="TextBox 483"/>
        <xdr:cNvSpPr txBox="1"/>
      </xdr:nvSpPr>
      <xdr:spPr>
        <a:xfrm>
          <a:off x="319639" y="2798120"/>
          <a:ext cx="597399" cy="2358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36000" tIns="0" rIns="36000" bIns="0" rtlCol="0" anchor="t">
          <a:spAutoFit/>
        </a:bodyPr>
        <a:lstStyle/>
        <a:p>
          <a:r>
            <a:rPr lang="en-GB" sz="800">
              <a:solidFill>
                <a:schemeClr val="tx1">
                  <a:lumMod val="50000"/>
                  <a:lumOff val="50000"/>
                </a:schemeClr>
              </a:solidFill>
              <a:latin typeface="Arial" panose="020B0604020202020204" pitchFamily="34" charset="0"/>
              <a:cs typeface="Arial" panose="020B0604020202020204" pitchFamily="34" charset="0"/>
            </a:rPr>
            <a:t>Western </a:t>
          </a:r>
        </a:p>
        <a:p>
          <a:r>
            <a:rPr lang="en-GB" sz="800">
              <a:solidFill>
                <a:schemeClr val="tx1">
                  <a:lumMod val="50000"/>
                  <a:lumOff val="50000"/>
                </a:schemeClr>
              </a:solidFill>
              <a:latin typeface="Arial" panose="020B0604020202020204" pitchFamily="34" charset="0"/>
              <a:cs typeface="Arial" panose="020B0604020202020204" pitchFamily="34" charset="0"/>
            </a:rPr>
            <a:t>Area Urban</a:t>
          </a:r>
        </a:p>
      </xdr:txBody>
    </xdr:sp>
    <xdr:clientData/>
  </xdr:oneCellAnchor>
  <xdr:twoCellAnchor>
    <xdr:from>
      <xdr:col>1</xdr:col>
      <xdr:colOff>813128</xdr:colOff>
      <xdr:row>15</xdr:row>
      <xdr:rowOff>121501</xdr:rowOff>
    </xdr:from>
    <xdr:to>
      <xdr:col>1</xdr:col>
      <xdr:colOff>1278021</xdr:colOff>
      <xdr:row>16</xdr:row>
      <xdr:rowOff>19586</xdr:rowOff>
    </xdr:to>
    <xdr:grpSp>
      <xdr:nvGrpSpPr>
        <xdr:cNvPr id="485" name="Group 484"/>
        <xdr:cNvGrpSpPr/>
      </xdr:nvGrpSpPr>
      <xdr:grpSpPr>
        <a:xfrm>
          <a:off x="908378" y="2912326"/>
          <a:ext cx="464893" cy="69535"/>
          <a:chOff x="2407038" y="2042428"/>
          <a:chExt cx="493464" cy="69594"/>
        </a:xfrm>
      </xdr:grpSpPr>
      <xdr:cxnSp macro="">
        <xdr:nvCxnSpPr>
          <xdr:cNvPr id="486" name="Elbow Connector 485"/>
          <xdr:cNvCxnSpPr>
            <a:stCxn id="484" idx="3"/>
            <a:endCxn id="487" idx="0"/>
          </xdr:cNvCxnSpPr>
        </xdr:nvCxnSpPr>
        <xdr:spPr>
          <a:xfrm flipV="1">
            <a:off x="2407038" y="2042428"/>
            <a:ext cx="457464" cy="6375"/>
          </a:xfrm>
          <a:prstGeom prst="bentConnector4">
            <a:avLst>
              <a:gd name="adj1" fmla="val 46065"/>
              <a:gd name="adj2" fmla="val 5492424"/>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87" name="Oval 486"/>
          <xdr:cNvSpPr/>
        </xdr:nvSpPr>
        <xdr:spPr>
          <a:xfrm>
            <a:off x="2828502" y="2042428"/>
            <a:ext cx="72000" cy="69594"/>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oneCellAnchor>
    <xdr:from>
      <xdr:col>17</xdr:col>
      <xdr:colOff>55062</xdr:colOff>
      <xdr:row>1</xdr:row>
      <xdr:rowOff>263355</xdr:rowOff>
    </xdr:from>
    <xdr:ext cx="2437684" cy="254557"/>
    <xdr:sp macro="" textlink="">
      <xdr:nvSpPr>
        <xdr:cNvPr id="3001" name="ActivityTypeTitleText"/>
        <xdr:cNvSpPr txBox="1"/>
      </xdr:nvSpPr>
      <xdr:spPr>
        <a:xfrm>
          <a:off x="4531812" y="425280"/>
          <a:ext cx="2437684"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en-GB" sz="1100">
              <a:solidFill>
                <a:schemeClr val="bg1"/>
              </a:solidFill>
              <a:latin typeface="Arial" panose="020B0604020202020204" pitchFamily="34" charset="0"/>
              <a:cs typeface="Arial" panose="020B0604020202020204" pitchFamily="34" charset="0"/>
            </a:rPr>
            <a:t>Activités en cours</a:t>
          </a:r>
        </a:p>
      </xdr:txBody>
    </xdr:sp>
    <xdr:clientData/>
  </xdr:oneCellAnchor>
  <xdr:twoCellAnchor editAs="oneCell">
    <xdr:from>
      <xdr:col>3</xdr:col>
      <xdr:colOff>66261</xdr:colOff>
      <xdr:row>32</xdr:row>
      <xdr:rowOff>87086</xdr:rowOff>
    </xdr:from>
    <xdr:to>
      <xdr:col>18</xdr:col>
      <xdr:colOff>171066</xdr:colOff>
      <xdr:row>43</xdr:row>
      <xdr:rowOff>64594</xdr:rowOff>
    </xdr:to>
    <xdr:sp macro="" textlink="">
      <xdr:nvSpPr>
        <xdr:cNvPr id="4793" name="MapFrame_1"/>
        <xdr:cNvSpPr/>
      </xdr:nvSpPr>
      <xdr:spPr>
        <a:xfrm>
          <a:off x="2012674" y="5371390"/>
          <a:ext cx="2838066" cy="1981900"/>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0</xdr:colOff>
      <xdr:row>31</xdr:row>
      <xdr:rowOff>0</xdr:rowOff>
    </xdr:from>
    <xdr:to>
      <xdr:col>20</xdr:col>
      <xdr:colOff>65010</xdr:colOff>
      <xdr:row>32</xdr:row>
      <xdr:rowOff>77561</xdr:rowOff>
    </xdr:to>
    <xdr:sp macro="" textlink="">
      <xdr:nvSpPr>
        <xdr:cNvPr id="4794" name="MapName_1"/>
        <xdr:cNvSpPr txBox="1"/>
      </xdr:nvSpPr>
      <xdr:spPr>
        <a:xfrm>
          <a:off x="2124075" y="5038725"/>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Communication/Mobilisation sociale</a:t>
          </a:r>
        </a:p>
      </xdr:txBody>
    </xdr:sp>
    <xdr:clientData/>
  </xdr:twoCellAnchor>
  <xdr:twoCellAnchor editAs="oneCell">
    <xdr:from>
      <xdr:col>4</xdr:col>
      <xdr:colOff>0</xdr:colOff>
      <xdr:row>32</xdr:row>
      <xdr:rowOff>87086</xdr:rowOff>
    </xdr:from>
    <xdr:to>
      <xdr:col>6</xdr:col>
      <xdr:colOff>90706</xdr:colOff>
      <xdr:row>34</xdr:row>
      <xdr:rowOff>454</xdr:rowOff>
    </xdr:to>
    <xdr:sp macro="" textlink="">
      <xdr:nvSpPr>
        <xdr:cNvPr id="4795" name="NumPartners_1"/>
        <xdr:cNvSpPr txBox="1"/>
      </xdr:nvSpPr>
      <xdr:spPr>
        <a:xfrm>
          <a:off x="2124075" y="5306786"/>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10</a:t>
          </a:r>
        </a:p>
      </xdr:txBody>
    </xdr:sp>
    <xdr:clientData/>
  </xdr:twoCellAnchor>
  <xdr:twoCellAnchor editAs="oneCell">
    <xdr:from>
      <xdr:col>5</xdr:col>
      <xdr:colOff>172811</xdr:colOff>
      <xdr:row>32</xdr:row>
      <xdr:rowOff>87086</xdr:rowOff>
    </xdr:from>
    <xdr:to>
      <xdr:col>12</xdr:col>
      <xdr:colOff>78445</xdr:colOff>
      <xdr:row>33</xdr:row>
      <xdr:rowOff>161303</xdr:rowOff>
    </xdr:to>
    <xdr:sp macro="" textlink="">
      <xdr:nvSpPr>
        <xdr:cNvPr id="4796" name="EmgAndRegLabelTextBox_1"/>
        <xdr:cNvSpPr txBox="1"/>
      </xdr:nvSpPr>
      <xdr:spPr>
        <a:xfrm>
          <a:off x="2477861" y="5306786"/>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4</xdr:col>
      <xdr:colOff>0</xdr:colOff>
      <xdr:row>41</xdr:row>
      <xdr:rowOff>50347</xdr:rowOff>
    </xdr:from>
    <xdr:to>
      <xdr:col>10</xdr:col>
      <xdr:colOff>5791</xdr:colOff>
      <xdr:row>43</xdr:row>
      <xdr:rowOff>143542</xdr:rowOff>
    </xdr:to>
    <xdr:grpSp>
      <xdr:nvGrpSpPr>
        <xdr:cNvPr id="143" name="KeyMap_1"/>
        <xdr:cNvGrpSpPr/>
      </xdr:nvGrpSpPr>
      <xdr:grpSpPr>
        <a:xfrm>
          <a:off x="2124075" y="6898822"/>
          <a:ext cx="1091641" cy="455145"/>
          <a:chOff x="2124075" y="6898822"/>
          <a:chExt cx="1091641" cy="455145"/>
        </a:xfrm>
      </xdr:grpSpPr>
      <xdr:grpSp>
        <xdr:nvGrpSpPr>
          <xdr:cNvPr id="4797" name="ColorRamp_1"/>
          <xdr:cNvGrpSpPr/>
        </xdr:nvGrpSpPr>
        <xdr:grpSpPr>
          <a:xfrm rot="16200000">
            <a:off x="2608749" y="6591041"/>
            <a:ext cx="166997" cy="782560"/>
            <a:chOff x="12534900" y="3095625"/>
            <a:chExt cx="161767" cy="822095"/>
          </a:xfrm>
        </xdr:grpSpPr>
        <xdr:sp macro="" textlink="">
          <xdr:nvSpPr>
            <xdr:cNvPr id="4801" name="Rectangle 4800"/>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02"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03"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04"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05"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798" name="ColorRampLabelHigh_1"/>
          <xdr:cNvSpPr txBox="1"/>
        </xdr:nvSpPr>
        <xdr:spPr>
          <a:xfrm>
            <a:off x="2831647" y="7075715"/>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799" name="ColorRampLabelLow_1"/>
          <xdr:cNvSpPr txBox="1"/>
        </xdr:nvSpPr>
        <xdr:spPr>
          <a:xfrm>
            <a:off x="2124075" y="7075715"/>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xdr:col>
      <xdr:colOff>66261</xdr:colOff>
      <xdr:row>39</xdr:row>
      <xdr:rowOff>58511</xdr:rowOff>
    </xdr:from>
    <xdr:to>
      <xdr:col>9</xdr:col>
      <xdr:colOff>34676</xdr:colOff>
      <xdr:row>41</xdr:row>
      <xdr:rowOff>28575</xdr:rowOff>
    </xdr:to>
    <xdr:sp macro="" textlink="">
      <xdr:nvSpPr>
        <xdr:cNvPr id="4800" name="RampLabel_1"/>
        <xdr:cNvSpPr txBox="1"/>
      </xdr:nvSpPr>
      <xdr:spPr>
        <a:xfrm>
          <a:off x="2012674" y="6618337"/>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21</xdr:col>
      <xdr:colOff>0</xdr:colOff>
      <xdr:row>32</xdr:row>
      <xdr:rowOff>87086</xdr:rowOff>
    </xdr:from>
    <xdr:to>
      <xdr:col>36</xdr:col>
      <xdr:colOff>104805</xdr:colOff>
      <xdr:row>43</xdr:row>
      <xdr:rowOff>64594</xdr:rowOff>
    </xdr:to>
    <xdr:sp macro="" textlink="">
      <xdr:nvSpPr>
        <xdr:cNvPr id="4807" name="MapFrame_2"/>
        <xdr:cNvSpPr/>
      </xdr:nvSpPr>
      <xdr:spPr>
        <a:xfrm>
          <a:off x="5200650" y="5306786"/>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21</xdr:col>
      <xdr:colOff>0</xdr:colOff>
      <xdr:row>31</xdr:row>
      <xdr:rowOff>0</xdr:rowOff>
    </xdr:from>
    <xdr:to>
      <xdr:col>37</xdr:col>
      <xdr:colOff>65010</xdr:colOff>
      <xdr:row>32</xdr:row>
      <xdr:rowOff>77561</xdr:rowOff>
    </xdr:to>
    <xdr:sp macro="" textlink="">
      <xdr:nvSpPr>
        <xdr:cNvPr id="4808" name="MapName_2"/>
        <xdr:cNvSpPr txBox="1"/>
      </xdr:nvSpPr>
      <xdr:spPr>
        <a:xfrm>
          <a:off x="5200650" y="5038725"/>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Coordination</a:t>
          </a:r>
        </a:p>
      </xdr:txBody>
    </xdr:sp>
    <xdr:clientData/>
  </xdr:twoCellAnchor>
  <xdr:twoCellAnchor editAs="oneCell">
    <xdr:from>
      <xdr:col>21</xdr:col>
      <xdr:colOff>0</xdr:colOff>
      <xdr:row>32</xdr:row>
      <xdr:rowOff>87086</xdr:rowOff>
    </xdr:from>
    <xdr:to>
      <xdr:col>23</xdr:col>
      <xdr:colOff>90706</xdr:colOff>
      <xdr:row>34</xdr:row>
      <xdr:rowOff>454</xdr:rowOff>
    </xdr:to>
    <xdr:sp macro="" textlink="">
      <xdr:nvSpPr>
        <xdr:cNvPr id="4809" name="NumPartners_2"/>
        <xdr:cNvSpPr txBox="1"/>
      </xdr:nvSpPr>
      <xdr:spPr>
        <a:xfrm>
          <a:off x="5200650" y="5306786"/>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8</a:t>
          </a:r>
        </a:p>
      </xdr:txBody>
    </xdr:sp>
    <xdr:clientData/>
  </xdr:twoCellAnchor>
  <xdr:twoCellAnchor editAs="oneCell">
    <xdr:from>
      <xdr:col>22</xdr:col>
      <xdr:colOff>172811</xdr:colOff>
      <xdr:row>32</xdr:row>
      <xdr:rowOff>87086</xdr:rowOff>
    </xdr:from>
    <xdr:to>
      <xdr:col>29</xdr:col>
      <xdr:colOff>78445</xdr:colOff>
      <xdr:row>33</xdr:row>
      <xdr:rowOff>161303</xdr:rowOff>
    </xdr:to>
    <xdr:sp macro="" textlink="">
      <xdr:nvSpPr>
        <xdr:cNvPr id="4810" name="EmgAndRegLabelTextBox_2"/>
        <xdr:cNvSpPr txBox="1"/>
      </xdr:nvSpPr>
      <xdr:spPr>
        <a:xfrm>
          <a:off x="5554436" y="5306786"/>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20</xdr:col>
      <xdr:colOff>66261</xdr:colOff>
      <xdr:row>41</xdr:row>
      <xdr:rowOff>50347</xdr:rowOff>
    </xdr:from>
    <xdr:to>
      <xdr:col>26</xdr:col>
      <xdr:colOff>72052</xdr:colOff>
      <xdr:row>43</xdr:row>
      <xdr:rowOff>143542</xdr:rowOff>
    </xdr:to>
    <xdr:grpSp>
      <xdr:nvGrpSpPr>
        <xdr:cNvPr id="144" name="KeyMap_2"/>
        <xdr:cNvGrpSpPr/>
      </xdr:nvGrpSpPr>
      <xdr:grpSpPr>
        <a:xfrm>
          <a:off x="5085936" y="6898822"/>
          <a:ext cx="1091641" cy="455145"/>
          <a:chOff x="5200650" y="6898822"/>
          <a:chExt cx="1091641" cy="455145"/>
        </a:xfrm>
      </xdr:grpSpPr>
      <xdr:grpSp>
        <xdr:nvGrpSpPr>
          <xdr:cNvPr id="4811" name="ColorRamp_2"/>
          <xdr:cNvGrpSpPr/>
        </xdr:nvGrpSpPr>
        <xdr:grpSpPr>
          <a:xfrm rot="16200000">
            <a:off x="5685324" y="6591041"/>
            <a:ext cx="166997" cy="782560"/>
            <a:chOff x="12534900" y="3095625"/>
            <a:chExt cx="161767" cy="822095"/>
          </a:xfrm>
        </xdr:grpSpPr>
        <xdr:sp macro="" textlink="">
          <xdr:nvSpPr>
            <xdr:cNvPr id="4815" name="Rectangle 4814"/>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16"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17"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18"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19"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812" name="ColorRampLabelHigh_2"/>
          <xdr:cNvSpPr txBox="1"/>
        </xdr:nvSpPr>
        <xdr:spPr>
          <a:xfrm>
            <a:off x="5908222" y="7075715"/>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813" name="ColorRampLabelLow_2"/>
          <xdr:cNvSpPr txBox="1"/>
        </xdr:nvSpPr>
        <xdr:spPr>
          <a:xfrm>
            <a:off x="5200650" y="7075715"/>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20</xdr:col>
      <xdr:colOff>66261</xdr:colOff>
      <xdr:row>39</xdr:row>
      <xdr:rowOff>58511</xdr:rowOff>
    </xdr:from>
    <xdr:to>
      <xdr:col>26</xdr:col>
      <xdr:colOff>34676</xdr:colOff>
      <xdr:row>41</xdr:row>
      <xdr:rowOff>28575</xdr:rowOff>
    </xdr:to>
    <xdr:sp macro="" textlink="">
      <xdr:nvSpPr>
        <xdr:cNvPr id="4814" name="RampLabel_2"/>
        <xdr:cNvSpPr txBox="1"/>
      </xdr:nvSpPr>
      <xdr:spPr>
        <a:xfrm>
          <a:off x="5110370" y="6618337"/>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38</xdr:col>
      <xdr:colOff>0</xdr:colOff>
      <xdr:row>32</xdr:row>
      <xdr:rowOff>87086</xdr:rowOff>
    </xdr:from>
    <xdr:to>
      <xdr:col>53</xdr:col>
      <xdr:colOff>104805</xdr:colOff>
      <xdr:row>43</xdr:row>
      <xdr:rowOff>64594</xdr:rowOff>
    </xdr:to>
    <xdr:sp macro="" textlink="">
      <xdr:nvSpPr>
        <xdr:cNvPr id="4821" name="MapFrame_3"/>
        <xdr:cNvSpPr/>
      </xdr:nvSpPr>
      <xdr:spPr>
        <a:xfrm>
          <a:off x="8277225" y="5306786"/>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38</xdr:col>
      <xdr:colOff>0</xdr:colOff>
      <xdr:row>31</xdr:row>
      <xdr:rowOff>0</xdr:rowOff>
    </xdr:from>
    <xdr:to>
      <xdr:col>54</xdr:col>
      <xdr:colOff>65010</xdr:colOff>
      <xdr:row>32</xdr:row>
      <xdr:rowOff>77561</xdr:rowOff>
    </xdr:to>
    <xdr:sp macro="" textlink="">
      <xdr:nvSpPr>
        <xdr:cNvPr id="4822" name="MapName_3"/>
        <xdr:cNvSpPr txBox="1"/>
      </xdr:nvSpPr>
      <xdr:spPr>
        <a:xfrm>
          <a:off x="8277225" y="5038725"/>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Finance</a:t>
          </a:r>
        </a:p>
      </xdr:txBody>
    </xdr:sp>
    <xdr:clientData/>
  </xdr:twoCellAnchor>
  <xdr:twoCellAnchor editAs="oneCell">
    <xdr:from>
      <xdr:col>38</xdr:col>
      <xdr:colOff>0</xdr:colOff>
      <xdr:row>32</xdr:row>
      <xdr:rowOff>87086</xdr:rowOff>
    </xdr:from>
    <xdr:to>
      <xdr:col>40</xdr:col>
      <xdr:colOff>90706</xdr:colOff>
      <xdr:row>34</xdr:row>
      <xdr:rowOff>454</xdr:rowOff>
    </xdr:to>
    <xdr:sp macro="" textlink="">
      <xdr:nvSpPr>
        <xdr:cNvPr id="4823" name="NumPartners_3"/>
        <xdr:cNvSpPr txBox="1"/>
      </xdr:nvSpPr>
      <xdr:spPr>
        <a:xfrm>
          <a:off x="8277225" y="5306786"/>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1</a:t>
          </a:r>
        </a:p>
      </xdr:txBody>
    </xdr:sp>
    <xdr:clientData/>
  </xdr:twoCellAnchor>
  <xdr:twoCellAnchor editAs="oneCell">
    <xdr:from>
      <xdr:col>39</xdr:col>
      <xdr:colOff>172811</xdr:colOff>
      <xdr:row>32</xdr:row>
      <xdr:rowOff>87086</xdr:rowOff>
    </xdr:from>
    <xdr:to>
      <xdr:col>46</xdr:col>
      <xdr:colOff>78445</xdr:colOff>
      <xdr:row>33</xdr:row>
      <xdr:rowOff>161303</xdr:rowOff>
    </xdr:to>
    <xdr:sp macro="" textlink="">
      <xdr:nvSpPr>
        <xdr:cNvPr id="4824" name="EmgAndRegLabelTextBox_3"/>
        <xdr:cNvSpPr txBox="1"/>
      </xdr:nvSpPr>
      <xdr:spPr>
        <a:xfrm>
          <a:off x="8631011" y="5306786"/>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37</xdr:col>
      <xdr:colOff>66262</xdr:colOff>
      <xdr:row>41</xdr:row>
      <xdr:rowOff>50347</xdr:rowOff>
    </xdr:from>
    <xdr:to>
      <xdr:col>43</xdr:col>
      <xdr:colOff>72052</xdr:colOff>
      <xdr:row>43</xdr:row>
      <xdr:rowOff>143542</xdr:rowOff>
    </xdr:to>
    <xdr:grpSp>
      <xdr:nvGrpSpPr>
        <xdr:cNvPr id="145" name="KeyMap_3"/>
        <xdr:cNvGrpSpPr/>
      </xdr:nvGrpSpPr>
      <xdr:grpSpPr>
        <a:xfrm>
          <a:off x="8162512" y="6898822"/>
          <a:ext cx="1091640" cy="455145"/>
          <a:chOff x="8277225" y="6898822"/>
          <a:chExt cx="1091641" cy="455145"/>
        </a:xfrm>
      </xdr:grpSpPr>
      <xdr:grpSp>
        <xdr:nvGrpSpPr>
          <xdr:cNvPr id="4825" name="ColorRamp_3"/>
          <xdr:cNvGrpSpPr/>
        </xdr:nvGrpSpPr>
        <xdr:grpSpPr>
          <a:xfrm rot="16200000">
            <a:off x="8761899" y="6591041"/>
            <a:ext cx="166997" cy="782560"/>
            <a:chOff x="12534900" y="3095625"/>
            <a:chExt cx="161767" cy="822095"/>
          </a:xfrm>
        </xdr:grpSpPr>
        <xdr:sp macro="" textlink="">
          <xdr:nvSpPr>
            <xdr:cNvPr id="4829" name="Rectangle 4828"/>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30"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31"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32"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33"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826" name="ColorRampLabelHigh_3"/>
          <xdr:cNvSpPr txBox="1"/>
        </xdr:nvSpPr>
        <xdr:spPr>
          <a:xfrm>
            <a:off x="8984797" y="7075715"/>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827" name="ColorRampLabelLow_3"/>
          <xdr:cNvSpPr txBox="1"/>
        </xdr:nvSpPr>
        <xdr:spPr>
          <a:xfrm>
            <a:off x="8277225" y="7075715"/>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37</xdr:col>
      <xdr:colOff>66262</xdr:colOff>
      <xdr:row>39</xdr:row>
      <xdr:rowOff>58511</xdr:rowOff>
    </xdr:from>
    <xdr:to>
      <xdr:col>43</xdr:col>
      <xdr:colOff>34676</xdr:colOff>
      <xdr:row>41</xdr:row>
      <xdr:rowOff>28575</xdr:rowOff>
    </xdr:to>
    <xdr:sp macro="" textlink="">
      <xdr:nvSpPr>
        <xdr:cNvPr id="4828" name="RampLabel_3"/>
        <xdr:cNvSpPr txBox="1"/>
      </xdr:nvSpPr>
      <xdr:spPr>
        <a:xfrm>
          <a:off x="8208066" y="6618337"/>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4</xdr:col>
      <xdr:colOff>0</xdr:colOff>
      <xdr:row>47</xdr:row>
      <xdr:rowOff>87086</xdr:rowOff>
    </xdr:from>
    <xdr:to>
      <xdr:col>19</xdr:col>
      <xdr:colOff>104805</xdr:colOff>
      <xdr:row>58</xdr:row>
      <xdr:rowOff>64594</xdr:rowOff>
    </xdr:to>
    <xdr:sp macro="" textlink="">
      <xdr:nvSpPr>
        <xdr:cNvPr id="4835" name="MapFrame_4"/>
        <xdr:cNvSpPr/>
      </xdr:nvSpPr>
      <xdr:spPr>
        <a:xfrm>
          <a:off x="2124075" y="8021411"/>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0</xdr:colOff>
      <xdr:row>46</xdr:row>
      <xdr:rowOff>0</xdr:rowOff>
    </xdr:from>
    <xdr:to>
      <xdr:col>20</xdr:col>
      <xdr:colOff>65010</xdr:colOff>
      <xdr:row>47</xdr:row>
      <xdr:rowOff>77561</xdr:rowOff>
    </xdr:to>
    <xdr:sp macro="" textlink="">
      <xdr:nvSpPr>
        <xdr:cNvPr id="4836" name="MapName_4"/>
        <xdr:cNvSpPr txBox="1"/>
      </xdr:nvSpPr>
      <xdr:spPr>
        <a:xfrm>
          <a:off x="2124075" y="7753350"/>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Gestion des corps et desinfection</a:t>
          </a:r>
        </a:p>
      </xdr:txBody>
    </xdr:sp>
    <xdr:clientData/>
  </xdr:twoCellAnchor>
  <xdr:twoCellAnchor editAs="oneCell">
    <xdr:from>
      <xdr:col>4</xdr:col>
      <xdr:colOff>0</xdr:colOff>
      <xdr:row>47</xdr:row>
      <xdr:rowOff>87086</xdr:rowOff>
    </xdr:from>
    <xdr:to>
      <xdr:col>6</xdr:col>
      <xdr:colOff>90706</xdr:colOff>
      <xdr:row>49</xdr:row>
      <xdr:rowOff>454</xdr:rowOff>
    </xdr:to>
    <xdr:sp macro="" textlink="">
      <xdr:nvSpPr>
        <xdr:cNvPr id="4837" name="NumPartners_4"/>
        <xdr:cNvSpPr txBox="1"/>
      </xdr:nvSpPr>
      <xdr:spPr>
        <a:xfrm>
          <a:off x="2124075" y="8021411"/>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1</a:t>
          </a:r>
        </a:p>
      </xdr:txBody>
    </xdr:sp>
    <xdr:clientData/>
  </xdr:twoCellAnchor>
  <xdr:twoCellAnchor editAs="oneCell">
    <xdr:from>
      <xdr:col>5</xdr:col>
      <xdr:colOff>172811</xdr:colOff>
      <xdr:row>47</xdr:row>
      <xdr:rowOff>87086</xdr:rowOff>
    </xdr:from>
    <xdr:to>
      <xdr:col>12</xdr:col>
      <xdr:colOff>78445</xdr:colOff>
      <xdr:row>48</xdr:row>
      <xdr:rowOff>161303</xdr:rowOff>
    </xdr:to>
    <xdr:sp macro="" textlink="">
      <xdr:nvSpPr>
        <xdr:cNvPr id="4838" name="EmgAndRegLabelTextBox_4"/>
        <xdr:cNvSpPr txBox="1"/>
      </xdr:nvSpPr>
      <xdr:spPr>
        <a:xfrm>
          <a:off x="2477861" y="8021411"/>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3</xdr:col>
      <xdr:colOff>66261</xdr:colOff>
      <xdr:row>56</xdr:row>
      <xdr:rowOff>50347</xdr:rowOff>
    </xdr:from>
    <xdr:to>
      <xdr:col>9</xdr:col>
      <xdr:colOff>72053</xdr:colOff>
      <xdr:row>58</xdr:row>
      <xdr:rowOff>143542</xdr:rowOff>
    </xdr:to>
    <xdr:grpSp>
      <xdr:nvGrpSpPr>
        <xdr:cNvPr id="146" name="KeyMap_4"/>
        <xdr:cNvGrpSpPr/>
      </xdr:nvGrpSpPr>
      <xdr:grpSpPr>
        <a:xfrm>
          <a:off x="2009361" y="9613447"/>
          <a:ext cx="1091642" cy="455145"/>
          <a:chOff x="2124075" y="9613447"/>
          <a:chExt cx="1091641" cy="455145"/>
        </a:xfrm>
      </xdr:grpSpPr>
      <xdr:grpSp>
        <xdr:nvGrpSpPr>
          <xdr:cNvPr id="4839" name="ColorRamp_4"/>
          <xdr:cNvGrpSpPr/>
        </xdr:nvGrpSpPr>
        <xdr:grpSpPr>
          <a:xfrm rot="16200000">
            <a:off x="2608749" y="9305666"/>
            <a:ext cx="166997" cy="782560"/>
            <a:chOff x="12534900" y="3095625"/>
            <a:chExt cx="161767" cy="822095"/>
          </a:xfrm>
        </xdr:grpSpPr>
        <xdr:sp macro="" textlink="">
          <xdr:nvSpPr>
            <xdr:cNvPr id="4843" name="Rectangle 4842"/>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44"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45"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46"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47"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840" name="ColorRampLabelHigh_4"/>
          <xdr:cNvSpPr txBox="1"/>
        </xdr:nvSpPr>
        <xdr:spPr>
          <a:xfrm>
            <a:off x="2831647" y="9790340"/>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841" name="ColorRampLabelLow_4"/>
          <xdr:cNvSpPr txBox="1"/>
        </xdr:nvSpPr>
        <xdr:spPr>
          <a:xfrm>
            <a:off x="2124075" y="9790340"/>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xdr:col>
      <xdr:colOff>66261</xdr:colOff>
      <xdr:row>54</xdr:row>
      <xdr:rowOff>58511</xdr:rowOff>
    </xdr:from>
    <xdr:to>
      <xdr:col>9</xdr:col>
      <xdr:colOff>34676</xdr:colOff>
      <xdr:row>56</xdr:row>
      <xdr:rowOff>28575</xdr:rowOff>
    </xdr:to>
    <xdr:sp macro="" textlink="">
      <xdr:nvSpPr>
        <xdr:cNvPr id="4842" name="RampLabel_4"/>
        <xdr:cNvSpPr txBox="1"/>
      </xdr:nvSpPr>
      <xdr:spPr>
        <a:xfrm>
          <a:off x="2012674" y="9351598"/>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21</xdr:col>
      <xdr:colOff>0</xdr:colOff>
      <xdr:row>47</xdr:row>
      <xdr:rowOff>87086</xdr:rowOff>
    </xdr:from>
    <xdr:to>
      <xdr:col>36</xdr:col>
      <xdr:colOff>104805</xdr:colOff>
      <xdr:row>58</xdr:row>
      <xdr:rowOff>64594</xdr:rowOff>
    </xdr:to>
    <xdr:sp macro="" textlink="">
      <xdr:nvSpPr>
        <xdr:cNvPr id="4849" name="MapFrame_5"/>
        <xdr:cNvSpPr/>
      </xdr:nvSpPr>
      <xdr:spPr>
        <a:xfrm>
          <a:off x="5200650" y="8021411"/>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21</xdr:col>
      <xdr:colOff>0</xdr:colOff>
      <xdr:row>46</xdr:row>
      <xdr:rowOff>0</xdr:rowOff>
    </xdr:from>
    <xdr:to>
      <xdr:col>37</xdr:col>
      <xdr:colOff>65010</xdr:colOff>
      <xdr:row>47</xdr:row>
      <xdr:rowOff>77561</xdr:rowOff>
    </xdr:to>
    <xdr:sp macro="" textlink="">
      <xdr:nvSpPr>
        <xdr:cNvPr id="4850" name="MapName_5"/>
        <xdr:cNvSpPr txBox="1"/>
      </xdr:nvSpPr>
      <xdr:spPr>
        <a:xfrm>
          <a:off x="5200650" y="7753350"/>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Gestion des données</a:t>
          </a:r>
        </a:p>
      </xdr:txBody>
    </xdr:sp>
    <xdr:clientData/>
  </xdr:twoCellAnchor>
  <xdr:twoCellAnchor editAs="oneCell">
    <xdr:from>
      <xdr:col>21</xdr:col>
      <xdr:colOff>0</xdr:colOff>
      <xdr:row>47</xdr:row>
      <xdr:rowOff>87086</xdr:rowOff>
    </xdr:from>
    <xdr:to>
      <xdr:col>23</xdr:col>
      <xdr:colOff>90706</xdr:colOff>
      <xdr:row>49</xdr:row>
      <xdr:rowOff>454</xdr:rowOff>
    </xdr:to>
    <xdr:sp macro="" textlink="">
      <xdr:nvSpPr>
        <xdr:cNvPr id="4851" name="NumPartners_5"/>
        <xdr:cNvSpPr txBox="1"/>
      </xdr:nvSpPr>
      <xdr:spPr>
        <a:xfrm>
          <a:off x="5200650" y="8021411"/>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4</a:t>
          </a:r>
        </a:p>
      </xdr:txBody>
    </xdr:sp>
    <xdr:clientData/>
  </xdr:twoCellAnchor>
  <xdr:twoCellAnchor editAs="oneCell">
    <xdr:from>
      <xdr:col>22</xdr:col>
      <xdr:colOff>172811</xdr:colOff>
      <xdr:row>47</xdr:row>
      <xdr:rowOff>87086</xdr:rowOff>
    </xdr:from>
    <xdr:to>
      <xdr:col>29</xdr:col>
      <xdr:colOff>78445</xdr:colOff>
      <xdr:row>48</xdr:row>
      <xdr:rowOff>161303</xdr:rowOff>
    </xdr:to>
    <xdr:sp macro="" textlink="">
      <xdr:nvSpPr>
        <xdr:cNvPr id="4852" name="EmgAndRegLabelTextBox_5"/>
        <xdr:cNvSpPr txBox="1"/>
      </xdr:nvSpPr>
      <xdr:spPr>
        <a:xfrm>
          <a:off x="5554436" y="8021411"/>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20</xdr:col>
      <xdr:colOff>66261</xdr:colOff>
      <xdr:row>56</xdr:row>
      <xdr:rowOff>50347</xdr:rowOff>
    </xdr:from>
    <xdr:to>
      <xdr:col>26</xdr:col>
      <xdr:colOff>72052</xdr:colOff>
      <xdr:row>58</xdr:row>
      <xdr:rowOff>143542</xdr:rowOff>
    </xdr:to>
    <xdr:grpSp>
      <xdr:nvGrpSpPr>
        <xdr:cNvPr id="147" name="KeyMap_5"/>
        <xdr:cNvGrpSpPr/>
      </xdr:nvGrpSpPr>
      <xdr:grpSpPr>
        <a:xfrm>
          <a:off x="5085936" y="9613447"/>
          <a:ext cx="1091641" cy="455145"/>
          <a:chOff x="5200650" y="9613447"/>
          <a:chExt cx="1091641" cy="455145"/>
        </a:xfrm>
      </xdr:grpSpPr>
      <xdr:grpSp>
        <xdr:nvGrpSpPr>
          <xdr:cNvPr id="4853" name="ColorRamp_5"/>
          <xdr:cNvGrpSpPr/>
        </xdr:nvGrpSpPr>
        <xdr:grpSpPr>
          <a:xfrm rot="16200000">
            <a:off x="5685324" y="9305666"/>
            <a:ext cx="166997" cy="782560"/>
            <a:chOff x="12534900" y="3095625"/>
            <a:chExt cx="161767" cy="822095"/>
          </a:xfrm>
        </xdr:grpSpPr>
        <xdr:sp macro="" textlink="">
          <xdr:nvSpPr>
            <xdr:cNvPr id="4857" name="Rectangle 4856"/>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58"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59"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60"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61"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854" name="ColorRampLabelHigh_5"/>
          <xdr:cNvSpPr txBox="1"/>
        </xdr:nvSpPr>
        <xdr:spPr>
          <a:xfrm>
            <a:off x="5908222" y="9790340"/>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855" name="ColorRampLabelLow_5"/>
          <xdr:cNvSpPr txBox="1"/>
        </xdr:nvSpPr>
        <xdr:spPr>
          <a:xfrm>
            <a:off x="5200650" y="9790340"/>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20</xdr:col>
      <xdr:colOff>66261</xdr:colOff>
      <xdr:row>54</xdr:row>
      <xdr:rowOff>58511</xdr:rowOff>
    </xdr:from>
    <xdr:to>
      <xdr:col>26</xdr:col>
      <xdr:colOff>34676</xdr:colOff>
      <xdr:row>56</xdr:row>
      <xdr:rowOff>28575</xdr:rowOff>
    </xdr:to>
    <xdr:sp macro="" textlink="">
      <xdr:nvSpPr>
        <xdr:cNvPr id="4856" name="RampLabel_5"/>
        <xdr:cNvSpPr txBox="1"/>
      </xdr:nvSpPr>
      <xdr:spPr>
        <a:xfrm>
          <a:off x="5110370" y="9351598"/>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38</xdr:col>
      <xdr:colOff>0</xdr:colOff>
      <xdr:row>47</xdr:row>
      <xdr:rowOff>87086</xdr:rowOff>
    </xdr:from>
    <xdr:to>
      <xdr:col>53</xdr:col>
      <xdr:colOff>104805</xdr:colOff>
      <xdr:row>58</xdr:row>
      <xdr:rowOff>64594</xdr:rowOff>
    </xdr:to>
    <xdr:sp macro="" textlink="">
      <xdr:nvSpPr>
        <xdr:cNvPr id="4863" name="MapFrame_6"/>
        <xdr:cNvSpPr/>
      </xdr:nvSpPr>
      <xdr:spPr>
        <a:xfrm>
          <a:off x="8277225" y="8021411"/>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38</xdr:col>
      <xdr:colOff>0</xdr:colOff>
      <xdr:row>46</xdr:row>
      <xdr:rowOff>0</xdr:rowOff>
    </xdr:from>
    <xdr:to>
      <xdr:col>54</xdr:col>
      <xdr:colOff>65010</xdr:colOff>
      <xdr:row>47</xdr:row>
      <xdr:rowOff>77561</xdr:rowOff>
    </xdr:to>
    <xdr:sp macro="" textlink="">
      <xdr:nvSpPr>
        <xdr:cNvPr id="4864" name="MapName_6"/>
        <xdr:cNvSpPr txBox="1"/>
      </xdr:nvSpPr>
      <xdr:spPr>
        <a:xfrm>
          <a:off x="8277225" y="7753350"/>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Logistiques</a:t>
          </a:r>
        </a:p>
      </xdr:txBody>
    </xdr:sp>
    <xdr:clientData/>
  </xdr:twoCellAnchor>
  <xdr:twoCellAnchor editAs="oneCell">
    <xdr:from>
      <xdr:col>38</xdr:col>
      <xdr:colOff>0</xdr:colOff>
      <xdr:row>47</xdr:row>
      <xdr:rowOff>87086</xdr:rowOff>
    </xdr:from>
    <xdr:to>
      <xdr:col>40</xdr:col>
      <xdr:colOff>90706</xdr:colOff>
      <xdr:row>49</xdr:row>
      <xdr:rowOff>454</xdr:rowOff>
    </xdr:to>
    <xdr:sp macro="" textlink="">
      <xdr:nvSpPr>
        <xdr:cNvPr id="4865" name="NumPartners_6"/>
        <xdr:cNvSpPr txBox="1"/>
      </xdr:nvSpPr>
      <xdr:spPr>
        <a:xfrm>
          <a:off x="8277225" y="8021411"/>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3</a:t>
          </a:r>
        </a:p>
      </xdr:txBody>
    </xdr:sp>
    <xdr:clientData/>
  </xdr:twoCellAnchor>
  <xdr:twoCellAnchor editAs="oneCell">
    <xdr:from>
      <xdr:col>39</xdr:col>
      <xdr:colOff>172811</xdr:colOff>
      <xdr:row>47</xdr:row>
      <xdr:rowOff>87086</xdr:rowOff>
    </xdr:from>
    <xdr:to>
      <xdr:col>46</xdr:col>
      <xdr:colOff>78445</xdr:colOff>
      <xdr:row>48</xdr:row>
      <xdr:rowOff>161303</xdr:rowOff>
    </xdr:to>
    <xdr:sp macro="" textlink="">
      <xdr:nvSpPr>
        <xdr:cNvPr id="4866" name="EmgAndRegLabelTextBox_6"/>
        <xdr:cNvSpPr txBox="1"/>
      </xdr:nvSpPr>
      <xdr:spPr>
        <a:xfrm>
          <a:off x="8631011" y="8021411"/>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37</xdr:col>
      <xdr:colOff>66262</xdr:colOff>
      <xdr:row>56</xdr:row>
      <xdr:rowOff>50347</xdr:rowOff>
    </xdr:from>
    <xdr:to>
      <xdr:col>43</xdr:col>
      <xdr:colOff>72052</xdr:colOff>
      <xdr:row>58</xdr:row>
      <xdr:rowOff>143542</xdr:rowOff>
    </xdr:to>
    <xdr:grpSp>
      <xdr:nvGrpSpPr>
        <xdr:cNvPr id="148" name="KeyMap_6"/>
        <xdr:cNvGrpSpPr/>
      </xdr:nvGrpSpPr>
      <xdr:grpSpPr>
        <a:xfrm>
          <a:off x="8162512" y="9613447"/>
          <a:ext cx="1091640" cy="455145"/>
          <a:chOff x="8277225" y="9613447"/>
          <a:chExt cx="1091641" cy="455145"/>
        </a:xfrm>
      </xdr:grpSpPr>
      <xdr:grpSp>
        <xdr:nvGrpSpPr>
          <xdr:cNvPr id="4867" name="ColorRamp_6"/>
          <xdr:cNvGrpSpPr/>
        </xdr:nvGrpSpPr>
        <xdr:grpSpPr>
          <a:xfrm rot="16200000">
            <a:off x="8761899" y="9305666"/>
            <a:ext cx="166997" cy="782560"/>
            <a:chOff x="12534900" y="3095625"/>
            <a:chExt cx="161767" cy="822095"/>
          </a:xfrm>
        </xdr:grpSpPr>
        <xdr:sp macro="" textlink="">
          <xdr:nvSpPr>
            <xdr:cNvPr id="4871" name="Rectangle 4870"/>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72"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73"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74"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75"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868" name="ColorRampLabelHigh_6"/>
          <xdr:cNvSpPr txBox="1"/>
        </xdr:nvSpPr>
        <xdr:spPr>
          <a:xfrm>
            <a:off x="8984797" y="9790340"/>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869" name="ColorRampLabelLow_6"/>
          <xdr:cNvSpPr txBox="1"/>
        </xdr:nvSpPr>
        <xdr:spPr>
          <a:xfrm>
            <a:off x="8277225" y="9790340"/>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37</xdr:col>
      <xdr:colOff>66262</xdr:colOff>
      <xdr:row>54</xdr:row>
      <xdr:rowOff>58511</xdr:rowOff>
    </xdr:from>
    <xdr:to>
      <xdr:col>43</xdr:col>
      <xdr:colOff>34676</xdr:colOff>
      <xdr:row>56</xdr:row>
      <xdr:rowOff>28575</xdr:rowOff>
    </xdr:to>
    <xdr:sp macro="" textlink="">
      <xdr:nvSpPr>
        <xdr:cNvPr id="4870" name="RampLabel_6"/>
        <xdr:cNvSpPr txBox="1"/>
      </xdr:nvSpPr>
      <xdr:spPr>
        <a:xfrm>
          <a:off x="8208066" y="9351598"/>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4</xdr:col>
      <xdr:colOff>0</xdr:colOff>
      <xdr:row>62</xdr:row>
      <xdr:rowOff>87086</xdr:rowOff>
    </xdr:from>
    <xdr:to>
      <xdr:col>19</xdr:col>
      <xdr:colOff>104805</xdr:colOff>
      <xdr:row>73</xdr:row>
      <xdr:rowOff>64594</xdr:rowOff>
    </xdr:to>
    <xdr:sp macro="" textlink="">
      <xdr:nvSpPr>
        <xdr:cNvPr id="4877" name="MapFrame_7"/>
        <xdr:cNvSpPr/>
      </xdr:nvSpPr>
      <xdr:spPr>
        <a:xfrm>
          <a:off x="2124075" y="10736036"/>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0</xdr:colOff>
      <xdr:row>61</xdr:row>
      <xdr:rowOff>0</xdr:rowOff>
    </xdr:from>
    <xdr:to>
      <xdr:col>20</xdr:col>
      <xdr:colOff>65010</xdr:colOff>
      <xdr:row>62</xdr:row>
      <xdr:rowOff>77561</xdr:rowOff>
    </xdr:to>
    <xdr:sp macro="" textlink="">
      <xdr:nvSpPr>
        <xdr:cNvPr id="4878" name="MapName_7"/>
        <xdr:cNvSpPr txBox="1"/>
      </xdr:nvSpPr>
      <xdr:spPr>
        <a:xfrm>
          <a:off x="2124075" y="10467975"/>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Prise en charge</a:t>
          </a:r>
        </a:p>
      </xdr:txBody>
    </xdr:sp>
    <xdr:clientData/>
  </xdr:twoCellAnchor>
  <xdr:twoCellAnchor editAs="oneCell">
    <xdr:from>
      <xdr:col>4</xdr:col>
      <xdr:colOff>0</xdr:colOff>
      <xdr:row>62</xdr:row>
      <xdr:rowOff>87086</xdr:rowOff>
    </xdr:from>
    <xdr:to>
      <xdr:col>6</xdr:col>
      <xdr:colOff>90706</xdr:colOff>
      <xdr:row>64</xdr:row>
      <xdr:rowOff>454</xdr:rowOff>
    </xdr:to>
    <xdr:sp macro="" textlink="">
      <xdr:nvSpPr>
        <xdr:cNvPr id="4879" name="NumPartners_7"/>
        <xdr:cNvSpPr txBox="1"/>
      </xdr:nvSpPr>
      <xdr:spPr>
        <a:xfrm>
          <a:off x="2124075" y="10736036"/>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14</a:t>
          </a:r>
        </a:p>
      </xdr:txBody>
    </xdr:sp>
    <xdr:clientData/>
  </xdr:twoCellAnchor>
  <xdr:twoCellAnchor editAs="oneCell">
    <xdr:from>
      <xdr:col>5</xdr:col>
      <xdr:colOff>172811</xdr:colOff>
      <xdr:row>62</xdr:row>
      <xdr:rowOff>87086</xdr:rowOff>
    </xdr:from>
    <xdr:to>
      <xdr:col>12</xdr:col>
      <xdr:colOff>78445</xdr:colOff>
      <xdr:row>63</xdr:row>
      <xdr:rowOff>161303</xdr:rowOff>
    </xdr:to>
    <xdr:sp macro="" textlink="">
      <xdr:nvSpPr>
        <xdr:cNvPr id="4880" name="EmgAndRegLabelTextBox_7"/>
        <xdr:cNvSpPr txBox="1"/>
      </xdr:nvSpPr>
      <xdr:spPr>
        <a:xfrm>
          <a:off x="2477861" y="10736036"/>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3</xdr:col>
      <xdr:colOff>66261</xdr:colOff>
      <xdr:row>71</xdr:row>
      <xdr:rowOff>50347</xdr:rowOff>
    </xdr:from>
    <xdr:to>
      <xdr:col>9</xdr:col>
      <xdr:colOff>72053</xdr:colOff>
      <xdr:row>73</xdr:row>
      <xdr:rowOff>143542</xdr:rowOff>
    </xdr:to>
    <xdr:grpSp>
      <xdr:nvGrpSpPr>
        <xdr:cNvPr id="149" name="KeyMap_7"/>
        <xdr:cNvGrpSpPr/>
      </xdr:nvGrpSpPr>
      <xdr:grpSpPr>
        <a:xfrm>
          <a:off x="2009361" y="12328072"/>
          <a:ext cx="1091642" cy="455145"/>
          <a:chOff x="2124075" y="12328072"/>
          <a:chExt cx="1091641" cy="455145"/>
        </a:xfrm>
      </xdr:grpSpPr>
      <xdr:grpSp>
        <xdr:nvGrpSpPr>
          <xdr:cNvPr id="4881" name="ColorRamp_7"/>
          <xdr:cNvGrpSpPr/>
        </xdr:nvGrpSpPr>
        <xdr:grpSpPr>
          <a:xfrm rot="16200000">
            <a:off x="2608749" y="12020291"/>
            <a:ext cx="166997" cy="782560"/>
            <a:chOff x="12534900" y="3095625"/>
            <a:chExt cx="161767" cy="822095"/>
          </a:xfrm>
        </xdr:grpSpPr>
        <xdr:sp macro="" textlink="">
          <xdr:nvSpPr>
            <xdr:cNvPr id="4885" name="Rectangle 4884"/>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86"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87"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88"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889"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882" name="ColorRampLabelHigh_7"/>
          <xdr:cNvSpPr txBox="1"/>
        </xdr:nvSpPr>
        <xdr:spPr>
          <a:xfrm>
            <a:off x="2831647" y="12504965"/>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883" name="ColorRampLabelLow_7"/>
          <xdr:cNvSpPr txBox="1"/>
        </xdr:nvSpPr>
        <xdr:spPr>
          <a:xfrm>
            <a:off x="2124075" y="12504965"/>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xdr:col>
      <xdr:colOff>66261</xdr:colOff>
      <xdr:row>69</xdr:row>
      <xdr:rowOff>58511</xdr:rowOff>
    </xdr:from>
    <xdr:to>
      <xdr:col>9</xdr:col>
      <xdr:colOff>34676</xdr:colOff>
      <xdr:row>71</xdr:row>
      <xdr:rowOff>28575</xdr:rowOff>
    </xdr:to>
    <xdr:sp macro="" textlink="">
      <xdr:nvSpPr>
        <xdr:cNvPr id="4884" name="RampLabel_7"/>
        <xdr:cNvSpPr txBox="1"/>
      </xdr:nvSpPr>
      <xdr:spPr>
        <a:xfrm>
          <a:off x="2012674" y="12084859"/>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21</xdr:col>
      <xdr:colOff>0</xdr:colOff>
      <xdr:row>62</xdr:row>
      <xdr:rowOff>87086</xdr:rowOff>
    </xdr:from>
    <xdr:to>
      <xdr:col>36</xdr:col>
      <xdr:colOff>104805</xdr:colOff>
      <xdr:row>73</xdr:row>
      <xdr:rowOff>64594</xdr:rowOff>
    </xdr:to>
    <xdr:sp macro="" textlink="">
      <xdr:nvSpPr>
        <xdr:cNvPr id="4891" name="MapFrame_8"/>
        <xdr:cNvSpPr/>
      </xdr:nvSpPr>
      <xdr:spPr>
        <a:xfrm>
          <a:off x="5200650" y="10736036"/>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21</xdr:col>
      <xdr:colOff>0</xdr:colOff>
      <xdr:row>61</xdr:row>
      <xdr:rowOff>0</xdr:rowOff>
    </xdr:from>
    <xdr:to>
      <xdr:col>37</xdr:col>
      <xdr:colOff>65010</xdr:colOff>
      <xdr:row>62</xdr:row>
      <xdr:rowOff>77561</xdr:rowOff>
    </xdr:to>
    <xdr:sp macro="" textlink="">
      <xdr:nvSpPr>
        <xdr:cNvPr id="4892" name="MapName_8"/>
        <xdr:cNvSpPr txBox="1"/>
      </xdr:nvSpPr>
      <xdr:spPr>
        <a:xfrm>
          <a:off x="5200650" y="10467975"/>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Recherche</a:t>
          </a:r>
        </a:p>
      </xdr:txBody>
    </xdr:sp>
    <xdr:clientData/>
  </xdr:twoCellAnchor>
  <xdr:twoCellAnchor editAs="oneCell">
    <xdr:from>
      <xdr:col>21</xdr:col>
      <xdr:colOff>0</xdr:colOff>
      <xdr:row>62</xdr:row>
      <xdr:rowOff>87086</xdr:rowOff>
    </xdr:from>
    <xdr:to>
      <xdr:col>23</xdr:col>
      <xdr:colOff>90706</xdr:colOff>
      <xdr:row>64</xdr:row>
      <xdr:rowOff>454</xdr:rowOff>
    </xdr:to>
    <xdr:sp macro="" textlink="">
      <xdr:nvSpPr>
        <xdr:cNvPr id="4893" name="NumPartners_8"/>
        <xdr:cNvSpPr txBox="1"/>
      </xdr:nvSpPr>
      <xdr:spPr>
        <a:xfrm>
          <a:off x="5200650" y="10736036"/>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4</a:t>
          </a:r>
        </a:p>
      </xdr:txBody>
    </xdr:sp>
    <xdr:clientData/>
  </xdr:twoCellAnchor>
  <xdr:twoCellAnchor editAs="oneCell">
    <xdr:from>
      <xdr:col>22</xdr:col>
      <xdr:colOff>172811</xdr:colOff>
      <xdr:row>62</xdr:row>
      <xdr:rowOff>87086</xdr:rowOff>
    </xdr:from>
    <xdr:to>
      <xdr:col>29</xdr:col>
      <xdr:colOff>78445</xdr:colOff>
      <xdr:row>63</xdr:row>
      <xdr:rowOff>161303</xdr:rowOff>
    </xdr:to>
    <xdr:sp macro="" textlink="">
      <xdr:nvSpPr>
        <xdr:cNvPr id="4894" name="EmgAndRegLabelTextBox_8"/>
        <xdr:cNvSpPr txBox="1"/>
      </xdr:nvSpPr>
      <xdr:spPr>
        <a:xfrm>
          <a:off x="5554436" y="10736036"/>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20</xdr:col>
      <xdr:colOff>66261</xdr:colOff>
      <xdr:row>71</xdr:row>
      <xdr:rowOff>50347</xdr:rowOff>
    </xdr:from>
    <xdr:to>
      <xdr:col>26</xdr:col>
      <xdr:colOff>72052</xdr:colOff>
      <xdr:row>73</xdr:row>
      <xdr:rowOff>143542</xdr:rowOff>
    </xdr:to>
    <xdr:grpSp>
      <xdr:nvGrpSpPr>
        <xdr:cNvPr id="150" name="KeyMap_8"/>
        <xdr:cNvGrpSpPr/>
      </xdr:nvGrpSpPr>
      <xdr:grpSpPr>
        <a:xfrm>
          <a:off x="5085936" y="12328072"/>
          <a:ext cx="1091641" cy="455145"/>
          <a:chOff x="5200650" y="12328072"/>
          <a:chExt cx="1091641" cy="455145"/>
        </a:xfrm>
      </xdr:grpSpPr>
      <xdr:grpSp>
        <xdr:nvGrpSpPr>
          <xdr:cNvPr id="4895" name="ColorRamp_8"/>
          <xdr:cNvGrpSpPr/>
        </xdr:nvGrpSpPr>
        <xdr:grpSpPr>
          <a:xfrm rot="16200000">
            <a:off x="5685324" y="12020291"/>
            <a:ext cx="166997" cy="782560"/>
            <a:chOff x="12534900" y="3095625"/>
            <a:chExt cx="161767" cy="822095"/>
          </a:xfrm>
        </xdr:grpSpPr>
        <xdr:sp macro="" textlink="">
          <xdr:nvSpPr>
            <xdr:cNvPr id="4899" name="Rectangle 4898"/>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00"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01"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02"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03"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896" name="ColorRampLabelHigh_8"/>
          <xdr:cNvSpPr txBox="1"/>
        </xdr:nvSpPr>
        <xdr:spPr>
          <a:xfrm>
            <a:off x="5908222" y="12504965"/>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897" name="ColorRampLabelLow_8"/>
          <xdr:cNvSpPr txBox="1"/>
        </xdr:nvSpPr>
        <xdr:spPr>
          <a:xfrm>
            <a:off x="5200650" y="12504965"/>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20</xdr:col>
      <xdr:colOff>66261</xdr:colOff>
      <xdr:row>69</xdr:row>
      <xdr:rowOff>58511</xdr:rowOff>
    </xdr:from>
    <xdr:to>
      <xdr:col>26</xdr:col>
      <xdr:colOff>34676</xdr:colOff>
      <xdr:row>71</xdr:row>
      <xdr:rowOff>28575</xdr:rowOff>
    </xdr:to>
    <xdr:sp macro="" textlink="">
      <xdr:nvSpPr>
        <xdr:cNvPr id="4898" name="RampLabel_8"/>
        <xdr:cNvSpPr txBox="1"/>
      </xdr:nvSpPr>
      <xdr:spPr>
        <a:xfrm>
          <a:off x="5110370" y="12084859"/>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38</xdr:col>
      <xdr:colOff>0</xdr:colOff>
      <xdr:row>62</xdr:row>
      <xdr:rowOff>87086</xdr:rowOff>
    </xdr:from>
    <xdr:to>
      <xdr:col>53</xdr:col>
      <xdr:colOff>104805</xdr:colOff>
      <xdr:row>73</xdr:row>
      <xdr:rowOff>64594</xdr:rowOff>
    </xdr:to>
    <xdr:sp macro="" textlink="">
      <xdr:nvSpPr>
        <xdr:cNvPr id="4905" name="MapFrame_9"/>
        <xdr:cNvSpPr/>
      </xdr:nvSpPr>
      <xdr:spPr>
        <a:xfrm>
          <a:off x="8277225" y="10736036"/>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38</xdr:col>
      <xdr:colOff>0</xdr:colOff>
      <xdr:row>61</xdr:row>
      <xdr:rowOff>0</xdr:rowOff>
    </xdr:from>
    <xdr:to>
      <xdr:col>54</xdr:col>
      <xdr:colOff>65010</xdr:colOff>
      <xdr:row>62</xdr:row>
      <xdr:rowOff>77561</xdr:rowOff>
    </xdr:to>
    <xdr:sp macro="" textlink="">
      <xdr:nvSpPr>
        <xdr:cNvPr id="4906" name="MapName_9"/>
        <xdr:cNvSpPr txBox="1"/>
      </xdr:nvSpPr>
      <xdr:spPr>
        <a:xfrm>
          <a:off x="8277225" y="10467975"/>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Sécurité</a:t>
          </a:r>
        </a:p>
      </xdr:txBody>
    </xdr:sp>
    <xdr:clientData/>
  </xdr:twoCellAnchor>
  <xdr:twoCellAnchor editAs="oneCell">
    <xdr:from>
      <xdr:col>38</xdr:col>
      <xdr:colOff>0</xdr:colOff>
      <xdr:row>62</xdr:row>
      <xdr:rowOff>87086</xdr:rowOff>
    </xdr:from>
    <xdr:to>
      <xdr:col>40</xdr:col>
      <xdr:colOff>90706</xdr:colOff>
      <xdr:row>64</xdr:row>
      <xdr:rowOff>454</xdr:rowOff>
    </xdr:to>
    <xdr:sp macro="" textlink="">
      <xdr:nvSpPr>
        <xdr:cNvPr id="4907" name="NumPartners_9"/>
        <xdr:cNvSpPr txBox="1"/>
      </xdr:nvSpPr>
      <xdr:spPr>
        <a:xfrm>
          <a:off x="8277225" y="10736036"/>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1</a:t>
          </a:r>
        </a:p>
      </xdr:txBody>
    </xdr:sp>
    <xdr:clientData/>
  </xdr:twoCellAnchor>
  <xdr:twoCellAnchor editAs="oneCell">
    <xdr:from>
      <xdr:col>39</xdr:col>
      <xdr:colOff>172811</xdr:colOff>
      <xdr:row>62</xdr:row>
      <xdr:rowOff>87086</xdr:rowOff>
    </xdr:from>
    <xdr:to>
      <xdr:col>46</xdr:col>
      <xdr:colOff>78445</xdr:colOff>
      <xdr:row>63</xdr:row>
      <xdr:rowOff>161303</xdr:rowOff>
    </xdr:to>
    <xdr:sp macro="" textlink="">
      <xdr:nvSpPr>
        <xdr:cNvPr id="4908" name="EmgAndRegLabelTextBox_9"/>
        <xdr:cNvSpPr txBox="1"/>
      </xdr:nvSpPr>
      <xdr:spPr>
        <a:xfrm>
          <a:off x="8631011" y="10736036"/>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37</xdr:col>
      <xdr:colOff>66262</xdr:colOff>
      <xdr:row>71</xdr:row>
      <xdr:rowOff>50347</xdr:rowOff>
    </xdr:from>
    <xdr:to>
      <xdr:col>43</xdr:col>
      <xdr:colOff>72052</xdr:colOff>
      <xdr:row>73</xdr:row>
      <xdr:rowOff>143542</xdr:rowOff>
    </xdr:to>
    <xdr:grpSp>
      <xdr:nvGrpSpPr>
        <xdr:cNvPr id="151" name="KeyMap_9"/>
        <xdr:cNvGrpSpPr/>
      </xdr:nvGrpSpPr>
      <xdr:grpSpPr>
        <a:xfrm>
          <a:off x="8162512" y="12328072"/>
          <a:ext cx="1091640" cy="455145"/>
          <a:chOff x="8277225" y="12328072"/>
          <a:chExt cx="1091641" cy="455145"/>
        </a:xfrm>
      </xdr:grpSpPr>
      <xdr:grpSp>
        <xdr:nvGrpSpPr>
          <xdr:cNvPr id="4909" name="ColorRamp_9"/>
          <xdr:cNvGrpSpPr/>
        </xdr:nvGrpSpPr>
        <xdr:grpSpPr>
          <a:xfrm rot="16200000">
            <a:off x="8761899" y="12020291"/>
            <a:ext cx="166997" cy="782560"/>
            <a:chOff x="12534900" y="3095625"/>
            <a:chExt cx="161767" cy="822095"/>
          </a:xfrm>
        </xdr:grpSpPr>
        <xdr:sp macro="" textlink="">
          <xdr:nvSpPr>
            <xdr:cNvPr id="4913" name="Rectangle 4912"/>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14"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15"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16"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17"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910" name="ColorRampLabelHigh_9"/>
          <xdr:cNvSpPr txBox="1"/>
        </xdr:nvSpPr>
        <xdr:spPr>
          <a:xfrm>
            <a:off x="8984797" y="12504965"/>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911" name="ColorRampLabelLow_9"/>
          <xdr:cNvSpPr txBox="1"/>
        </xdr:nvSpPr>
        <xdr:spPr>
          <a:xfrm>
            <a:off x="8277225" y="12504965"/>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37</xdr:col>
      <xdr:colOff>66262</xdr:colOff>
      <xdr:row>69</xdr:row>
      <xdr:rowOff>58511</xdr:rowOff>
    </xdr:from>
    <xdr:to>
      <xdr:col>43</xdr:col>
      <xdr:colOff>34676</xdr:colOff>
      <xdr:row>71</xdr:row>
      <xdr:rowOff>28575</xdr:rowOff>
    </xdr:to>
    <xdr:sp macro="" textlink="">
      <xdr:nvSpPr>
        <xdr:cNvPr id="4912" name="RampLabel_9"/>
        <xdr:cNvSpPr txBox="1"/>
      </xdr:nvSpPr>
      <xdr:spPr>
        <a:xfrm>
          <a:off x="8208066" y="12084859"/>
          <a:ext cx="1061719" cy="334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4</xdr:col>
      <xdr:colOff>0</xdr:colOff>
      <xdr:row>77</xdr:row>
      <xdr:rowOff>87086</xdr:rowOff>
    </xdr:from>
    <xdr:to>
      <xdr:col>19</xdr:col>
      <xdr:colOff>104805</xdr:colOff>
      <xdr:row>88</xdr:row>
      <xdr:rowOff>64594</xdr:rowOff>
    </xdr:to>
    <xdr:sp macro="" textlink="">
      <xdr:nvSpPr>
        <xdr:cNvPr id="4919" name="MapFrame_10"/>
        <xdr:cNvSpPr/>
      </xdr:nvSpPr>
      <xdr:spPr>
        <a:xfrm>
          <a:off x="2124075" y="13450661"/>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0</xdr:colOff>
      <xdr:row>76</xdr:row>
      <xdr:rowOff>0</xdr:rowOff>
    </xdr:from>
    <xdr:to>
      <xdr:col>20</xdr:col>
      <xdr:colOff>65010</xdr:colOff>
      <xdr:row>77</xdr:row>
      <xdr:rowOff>77561</xdr:rowOff>
    </xdr:to>
    <xdr:sp macro="" textlink="">
      <xdr:nvSpPr>
        <xdr:cNvPr id="4920" name="MapName_10"/>
        <xdr:cNvSpPr txBox="1"/>
      </xdr:nvSpPr>
      <xdr:spPr>
        <a:xfrm>
          <a:off x="2124075" y="13182600"/>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Soutien nutritionnel et social</a:t>
          </a:r>
        </a:p>
      </xdr:txBody>
    </xdr:sp>
    <xdr:clientData/>
  </xdr:twoCellAnchor>
  <xdr:twoCellAnchor editAs="oneCell">
    <xdr:from>
      <xdr:col>4</xdr:col>
      <xdr:colOff>0</xdr:colOff>
      <xdr:row>77</xdr:row>
      <xdr:rowOff>87086</xdr:rowOff>
    </xdr:from>
    <xdr:to>
      <xdr:col>6</xdr:col>
      <xdr:colOff>90706</xdr:colOff>
      <xdr:row>79</xdr:row>
      <xdr:rowOff>454</xdr:rowOff>
    </xdr:to>
    <xdr:sp macro="" textlink="">
      <xdr:nvSpPr>
        <xdr:cNvPr id="4921" name="NumPartners_10"/>
        <xdr:cNvSpPr txBox="1"/>
      </xdr:nvSpPr>
      <xdr:spPr>
        <a:xfrm>
          <a:off x="2124075" y="13450661"/>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6</a:t>
          </a:r>
        </a:p>
      </xdr:txBody>
    </xdr:sp>
    <xdr:clientData/>
  </xdr:twoCellAnchor>
  <xdr:twoCellAnchor editAs="oneCell">
    <xdr:from>
      <xdr:col>5</xdr:col>
      <xdr:colOff>172811</xdr:colOff>
      <xdr:row>77</xdr:row>
      <xdr:rowOff>87086</xdr:rowOff>
    </xdr:from>
    <xdr:to>
      <xdr:col>12</xdr:col>
      <xdr:colOff>78445</xdr:colOff>
      <xdr:row>78</xdr:row>
      <xdr:rowOff>161303</xdr:rowOff>
    </xdr:to>
    <xdr:sp macro="" textlink="">
      <xdr:nvSpPr>
        <xdr:cNvPr id="4922" name="EmgAndRegLabelTextBox_10"/>
        <xdr:cNvSpPr txBox="1"/>
      </xdr:nvSpPr>
      <xdr:spPr>
        <a:xfrm>
          <a:off x="2477861" y="13450661"/>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3</xdr:col>
      <xdr:colOff>66261</xdr:colOff>
      <xdr:row>86</xdr:row>
      <xdr:rowOff>50347</xdr:rowOff>
    </xdr:from>
    <xdr:to>
      <xdr:col>9</xdr:col>
      <xdr:colOff>72053</xdr:colOff>
      <xdr:row>88</xdr:row>
      <xdr:rowOff>143542</xdr:rowOff>
    </xdr:to>
    <xdr:grpSp>
      <xdr:nvGrpSpPr>
        <xdr:cNvPr id="152" name="KeyMap_10"/>
        <xdr:cNvGrpSpPr/>
      </xdr:nvGrpSpPr>
      <xdr:grpSpPr>
        <a:xfrm>
          <a:off x="2009361" y="15042697"/>
          <a:ext cx="1091642" cy="455145"/>
          <a:chOff x="2124075" y="15042697"/>
          <a:chExt cx="1091641" cy="455145"/>
        </a:xfrm>
      </xdr:grpSpPr>
      <xdr:grpSp>
        <xdr:nvGrpSpPr>
          <xdr:cNvPr id="4923" name="ColorRamp_10"/>
          <xdr:cNvGrpSpPr/>
        </xdr:nvGrpSpPr>
        <xdr:grpSpPr>
          <a:xfrm rot="16200000">
            <a:off x="2608749" y="14734916"/>
            <a:ext cx="166997" cy="782560"/>
            <a:chOff x="12534900" y="3095625"/>
            <a:chExt cx="161767" cy="822095"/>
          </a:xfrm>
        </xdr:grpSpPr>
        <xdr:sp macro="" textlink="">
          <xdr:nvSpPr>
            <xdr:cNvPr id="4927" name="Rectangle 4926"/>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28"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29"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30"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31"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924" name="ColorRampLabelHigh_10"/>
          <xdr:cNvSpPr txBox="1"/>
        </xdr:nvSpPr>
        <xdr:spPr>
          <a:xfrm>
            <a:off x="2831647" y="15219590"/>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925" name="ColorRampLabelLow_10"/>
          <xdr:cNvSpPr txBox="1"/>
        </xdr:nvSpPr>
        <xdr:spPr>
          <a:xfrm>
            <a:off x="2124075" y="15219590"/>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xdr:col>
      <xdr:colOff>66261</xdr:colOff>
      <xdr:row>84</xdr:row>
      <xdr:rowOff>58511</xdr:rowOff>
    </xdr:from>
    <xdr:to>
      <xdr:col>9</xdr:col>
      <xdr:colOff>34676</xdr:colOff>
      <xdr:row>86</xdr:row>
      <xdr:rowOff>28575</xdr:rowOff>
    </xdr:to>
    <xdr:sp macro="" textlink="">
      <xdr:nvSpPr>
        <xdr:cNvPr id="4926" name="RampLabel_10"/>
        <xdr:cNvSpPr txBox="1"/>
      </xdr:nvSpPr>
      <xdr:spPr>
        <a:xfrm>
          <a:off x="2012674" y="14818120"/>
          <a:ext cx="1061719" cy="33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21</xdr:col>
      <xdr:colOff>0</xdr:colOff>
      <xdr:row>77</xdr:row>
      <xdr:rowOff>87086</xdr:rowOff>
    </xdr:from>
    <xdr:to>
      <xdr:col>36</xdr:col>
      <xdr:colOff>104805</xdr:colOff>
      <xdr:row>88</xdr:row>
      <xdr:rowOff>64594</xdr:rowOff>
    </xdr:to>
    <xdr:sp macro="" textlink="">
      <xdr:nvSpPr>
        <xdr:cNvPr id="4933" name="MapFrame_11"/>
        <xdr:cNvSpPr/>
      </xdr:nvSpPr>
      <xdr:spPr>
        <a:xfrm>
          <a:off x="5200650" y="13450661"/>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21</xdr:col>
      <xdr:colOff>0</xdr:colOff>
      <xdr:row>76</xdr:row>
      <xdr:rowOff>0</xdr:rowOff>
    </xdr:from>
    <xdr:to>
      <xdr:col>37</xdr:col>
      <xdr:colOff>65010</xdr:colOff>
      <xdr:row>77</xdr:row>
      <xdr:rowOff>77561</xdr:rowOff>
    </xdr:to>
    <xdr:sp macro="" textlink="">
      <xdr:nvSpPr>
        <xdr:cNvPr id="4934" name="MapName_11"/>
        <xdr:cNvSpPr txBox="1"/>
      </xdr:nvSpPr>
      <xdr:spPr>
        <a:xfrm>
          <a:off x="5200650" y="13182600"/>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Surveillance &amp; suivi</a:t>
          </a:r>
        </a:p>
      </xdr:txBody>
    </xdr:sp>
    <xdr:clientData/>
  </xdr:twoCellAnchor>
  <xdr:twoCellAnchor editAs="oneCell">
    <xdr:from>
      <xdr:col>21</xdr:col>
      <xdr:colOff>0</xdr:colOff>
      <xdr:row>77</xdr:row>
      <xdr:rowOff>87086</xdr:rowOff>
    </xdr:from>
    <xdr:to>
      <xdr:col>23</xdr:col>
      <xdr:colOff>90706</xdr:colOff>
      <xdr:row>79</xdr:row>
      <xdr:rowOff>454</xdr:rowOff>
    </xdr:to>
    <xdr:sp macro="" textlink="">
      <xdr:nvSpPr>
        <xdr:cNvPr id="4935" name="NumPartners_11"/>
        <xdr:cNvSpPr txBox="1"/>
      </xdr:nvSpPr>
      <xdr:spPr>
        <a:xfrm>
          <a:off x="5200650" y="13450661"/>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10</a:t>
          </a:r>
        </a:p>
      </xdr:txBody>
    </xdr:sp>
    <xdr:clientData/>
  </xdr:twoCellAnchor>
  <xdr:twoCellAnchor editAs="oneCell">
    <xdr:from>
      <xdr:col>22</xdr:col>
      <xdr:colOff>172811</xdr:colOff>
      <xdr:row>77</xdr:row>
      <xdr:rowOff>87086</xdr:rowOff>
    </xdr:from>
    <xdr:to>
      <xdr:col>29</xdr:col>
      <xdr:colOff>78445</xdr:colOff>
      <xdr:row>78</xdr:row>
      <xdr:rowOff>161303</xdr:rowOff>
    </xdr:to>
    <xdr:sp macro="" textlink="">
      <xdr:nvSpPr>
        <xdr:cNvPr id="4936" name="EmgAndRegLabelTextBox_11"/>
        <xdr:cNvSpPr txBox="1"/>
      </xdr:nvSpPr>
      <xdr:spPr>
        <a:xfrm>
          <a:off x="5554436" y="13450661"/>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20</xdr:col>
      <xdr:colOff>66261</xdr:colOff>
      <xdr:row>86</xdr:row>
      <xdr:rowOff>50347</xdr:rowOff>
    </xdr:from>
    <xdr:to>
      <xdr:col>26</xdr:col>
      <xdr:colOff>72052</xdr:colOff>
      <xdr:row>88</xdr:row>
      <xdr:rowOff>143542</xdr:rowOff>
    </xdr:to>
    <xdr:grpSp>
      <xdr:nvGrpSpPr>
        <xdr:cNvPr id="153" name="KeyMap_11"/>
        <xdr:cNvGrpSpPr/>
      </xdr:nvGrpSpPr>
      <xdr:grpSpPr>
        <a:xfrm>
          <a:off x="5085936" y="15042697"/>
          <a:ext cx="1091641" cy="455145"/>
          <a:chOff x="5200650" y="15042697"/>
          <a:chExt cx="1091641" cy="455145"/>
        </a:xfrm>
      </xdr:grpSpPr>
      <xdr:grpSp>
        <xdr:nvGrpSpPr>
          <xdr:cNvPr id="4937" name="ColorRamp_11"/>
          <xdr:cNvGrpSpPr/>
        </xdr:nvGrpSpPr>
        <xdr:grpSpPr>
          <a:xfrm rot="16200000">
            <a:off x="5685324" y="14734916"/>
            <a:ext cx="166997" cy="782560"/>
            <a:chOff x="12534900" y="3095625"/>
            <a:chExt cx="161767" cy="822095"/>
          </a:xfrm>
        </xdr:grpSpPr>
        <xdr:sp macro="" textlink="">
          <xdr:nvSpPr>
            <xdr:cNvPr id="4941" name="Rectangle 4940"/>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42"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43"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44"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45"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938" name="ColorRampLabelHigh_11"/>
          <xdr:cNvSpPr txBox="1"/>
        </xdr:nvSpPr>
        <xdr:spPr>
          <a:xfrm>
            <a:off x="5908222" y="15219590"/>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939" name="ColorRampLabelLow_11"/>
          <xdr:cNvSpPr txBox="1"/>
        </xdr:nvSpPr>
        <xdr:spPr>
          <a:xfrm>
            <a:off x="5200650" y="15219590"/>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20</xdr:col>
      <xdr:colOff>66261</xdr:colOff>
      <xdr:row>84</xdr:row>
      <xdr:rowOff>58511</xdr:rowOff>
    </xdr:from>
    <xdr:to>
      <xdr:col>26</xdr:col>
      <xdr:colOff>34676</xdr:colOff>
      <xdr:row>86</xdr:row>
      <xdr:rowOff>28575</xdr:rowOff>
    </xdr:to>
    <xdr:sp macro="" textlink="">
      <xdr:nvSpPr>
        <xdr:cNvPr id="4940" name="RampLabel_11"/>
        <xdr:cNvSpPr txBox="1"/>
      </xdr:nvSpPr>
      <xdr:spPr>
        <a:xfrm>
          <a:off x="5110370" y="14818120"/>
          <a:ext cx="1061719" cy="33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38</xdr:col>
      <xdr:colOff>0</xdr:colOff>
      <xdr:row>77</xdr:row>
      <xdr:rowOff>87086</xdr:rowOff>
    </xdr:from>
    <xdr:to>
      <xdr:col>53</xdr:col>
      <xdr:colOff>104805</xdr:colOff>
      <xdr:row>88</xdr:row>
      <xdr:rowOff>64594</xdr:rowOff>
    </xdr:to>
    <xdr:sp macro="" textlink="">
      <xdr:nvSpPr>
        <xdr:cNvPr id="4947" name="MapFrame_12"/>
        <xdr:cNvSpPr/>
      </xdr:nvSpPr>
      <xdr:spPr>
        <a:xfrm>
          <a:off x="8277225" y="13450661"/>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38</xdr:col>
      <xdr:colOff>0</xdr:colOff>
      <xdr:row>76</xdr:row>
      <xdr:rowOff>0</xdr:rowOff>
    </xdr:from>
    <xdr:to>
      <xdr:col>54</xdr:col>
      <xdr:colOff>65010</xdr:colOff>
      <xdr:row>77</xdr:row>
      <xdr:rowOff>77561</xdr:rowOff>
    </xdr:to>
    <xdr:sp macro="" textlink="">
      <xdr:nvSpPr>
        <xdr:cNvPr id="4948" name="MapName_12"/>
        <xdr:cNvSpPr txBox="1"/>
      </xdr:nvSpPr>
      <xdr:spPr>
        <a:xfrm>
          <a:off x="8277225" y="13182600"/>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Transport &amp; diagnostiques</a:t>
          </a:r>
        </a:p>
      </xdr:txBody>
    </xdr:sp>
    <xdr:clientData/>
  </xdr:twoCellAnchor>
  <xdr:twoCellAnchor editAs="oneCell">
    <xdr:from>
      <xdr:col>38</xdr:col>
      <xdr:colOff>0</xdr:colOff>
      <xdr:row>77</xdr:row>
      <xdr:rowOff>87086</xdr:rowOff>
    </xdr:from>
    <xdr:to>
      <xdr:col>40</xdr:col>
      <xdr:colOff>90706</xdr:colOff>
      <xdr:row>79</xdr:row>
      <xdr:rowOff>454</xdr:rowOff>
    </xdr:to>
    <xdr:sp macro="" textlink="">
      <xdr:nvSpPr>
        <xdr:cNvPr id="4949" name="NumPartners_12"/>
        <xdr:cNvSpPr txBox="1"/>
      </xdr:nvSpPr>
      <xdr:spPr>
        <a:xfrm>
          <a:off x="8277225" y="13450661"/>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10</a:t>
          </a:r>
        </a:p>
      </xdr:txBody>
    </xdr:sp>
    <xdr:clientData/>
  </xdr:twoCellAnchor>
  <xdr:twoCellAnchor editAs="oneCell">
    <xdr:from>
      <xdr:col>39</xdr:col>
      <xdr:colOff>172811</xdr:colOff>
      <xdr:row>77</xdr:row>
      <xdr:rowOff>87086</xdr:rowOff>
    </xdr:from>
    <xdr:to>
      <xdr:col>46</xdr:col>
      <xdr:colOff>78445</xdr:colOff>
      <xdr:row>78</xdr:row>
      <xdr:rowOff>161303</xdr:rowOff>
    </xdr:to>
    <xdr:sp macro="" textlink="">
      <xdr:nvSpPr>
        <xdr:cNvPr id="4950" name="EmgAndRegLabelTextBox_12"/>
        <xdr:cNvSpPr txBox="1"/>
      </xdr:nvSpPr>
      <xdr:spPr>
        <a:xfrm>
          <a:off x="8631011" y="13450661"/>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clientData/>
  </xdr:twoCellAnchor>
  <xdr:twoCellAnchor>
    <xdr:from>
      <xdr:col>37</xdr:col>
      <xdr:colOff>66262</xdr:colOff>
      <xdr:row>86</xdr:row>
      <xdr:rowOff>50347</xdr:rowOff>
    </xdr:from>
    <xdr:to>
      <xdr:col>43</xdr:col>
      <xdr:colOff>72052</xdr:colOff>
      <xdr:row>88</xdr:row>
      <xdr:rowOff>143542</xdr:rowOff>
    </xdr:to>
    <xdr:grpSp>
      <xdr:nvGrpSpPr>
        <xdr:cNvPr id="154" name="KeyMap_12"/>
        <xdr:cNvGrpSpPr/>
      </xdr:nvGrpSpPr>
      <xdr:grpSpPr>
        <a:xfrm>
          <a:off x="8162512" y="15042697"/>
          <a:ext cx="1091640" cy="455145"/>
          <a:chOff x="8277225" y="15042697"/>
          <a:chExt cx="1091641" cy="455145"/>
        </a:xfrm>
      </xdr:grpSpPr>
      <xdr:grpSp>
        <xdr:nvGrpSpPr>
          <xdr:cNvPr id="4951" name="ColorRamp_12"/>
          <xdr:cNvGrpSpPr/>
        </xdr:nvGrpSpPr>
        <xdr:grpSpPr>
          <a:xfrm rot="16200000">
            <a:off x="8761899" y="14734916"/>
            <a:ext cx="166997" cy="782560"/>
            <a:chOff x="12534900" y="3095625"/>
            <a:chExt cx="161767" cy="822095"/>
          </a:xfrm>
        </xdr:grpSpPr>
        <xdr:sp macro="" textlink="">
          <xdr:nvSpPr>
            <xdr:cNvPr id="4955" name="Rectangle 4954"/>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56"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57"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58"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59"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4952" name="ColorRampLabelHigh_12"/>
          <xdr:cNvSpPr txBox="1"/>
        </xdr:nvSpPr>
        <xdr:spPr>
          <a:xfrm>
            <a:off x="8984797" y="15219590"/>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9</a:t>
            </a:r>
          </a:p>
        </xdr:txBody>
      </xdr:sp>
      <xdr:sp macro="" textlink="">
        <xdr:nvSpPr>
          <xdr:cNvPr id="4953" name="ColorRampLabelLow_12"/>
          <xdr:cNvSpPr txBox="1"/>
        </xdr:nvSpPr>
        <xdr:spPr>
          <a:xfrm>
            <a:off x="8277225" y="15219590"/>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grpSp>
    <xdr:clientData/>
  </xdr:twoCellAnchor>
  <xdr:twoCellAnchor editAs="oneCell">
    <xdr:from>
      <xdr:col>37</xdr:col>
      <xdr:colOff>66262</xdr:colOff>
      <xdr:row>84</xdr:row>
      <xdr:rowOff>58511</xdr:rowOff>
    </xdr:from>
    <xdr:to>
      <xdr:col>43</xdr:col>
      <xdr:colOff>34676</xdr:colOff>
      <xdr:row>86</xdr:row>
      <xdr:rowOff>28575</xdr:rowOff>
    </xdr:to>
    <xdr:sp macro="" textlink="">
      <xdr:nvSpPr>
        <xdr:cNvPr id="4954" name="RampLabel_12"/>
        <xdr:cNvSpPr txBox="1"/>
      </xdr:nvSpPr>
      <xdr:spPr>
        <a:xfrm>
          <a:off x="8208066" y="14818120"/>
          <a:ext cx="1061719" cy="33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clientData/>
  </xdr:twoCellAnchor>
  <xdr:twoCellAnchor editAs="oneCell">
    <xdr:from>
      <xdr:col>6</xdr:col>
      <xdr:colOff>47625</xdr:colOff>
      <xdr:row>8</xdr:row>
      <xdr:rowOff>5312</xdr:rowOff>
    </xdr:from>
    <xdr:to>
      <xdr:col>25</xdr:col>
      <xdr:colOff>171450</xdr:colOff>
      <xdr:row>23</xdr:row>
      <xdr:rowOff>105865</xdr:rowOff>
    </xdr:to>
    <xdr:grpSp>
      <xdr:nvGrpSpPr>
        <xdr:cNvPr id="4960" name="_Map0Geometry"/>
        <xdr:cNvGrpSpPr>
          <a:grpSpLocks noChangeAspect="1"/>
        </xdr:cNvGrpSpPr>
      </xdr:nvGrpSpPr>
      <xdr:grpSpPr>
        <a:xfrm>
          <a:off x="2533650" y="1595987"/>
          <a:ext cx="3562350" cy="2672303"/>
          <a:chOff x="3565073" y="2219820"/>
          <a:chExt cx="6883977" cy="4969206"/>
        </a:xfrm>
        <a:solidFill>
          <a:schemeClr val="bg1"/>
        </a:solidFill>
      </xdr:grpSpPr>
      <xdr:sp macro="" textlink="">
        <xdr:nvSpPr>
          <xdr:cNvPr id="4961" name="GIN008006_0"/>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FEE2CA"/>
          </a:solidFill>
          <a:ln w="9525">
            <a:solidFill>
              <a:schemeClr val="bg1">
                <a:lumMod val="65000"/>
              </a:schemeClr>
            </a:solidFill>
            <a:prstDash val="solid"/>
            <a:round/>
            <a:headEnd/>
            <a:tailEnd/>
          </a:ln>
        </xdr:spPr>
      </xdr:sp>
      <xdr:sp macro="" textlink="">
        <xdr:nvSpPr>
          <xdr:cNvPr id="4962" name="GIN008005_0"/>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F79552"/>
          </a:solidFill>
          <a:ln w="9525">
            <a:solidFill>
              <a:schemeClr val="bg1">
                <a:lumMod val="65000"/>
              </a:schemeClr>
            </a:solidFill>
            <a:prstDash val="solid"/>
            <a:round/>
            <a:headEnd/>
            <a:tailEnd/>
          </a:ln>
        </xdr:spPr>
      </xdr:sp>
      <xdr:sp macro="" textlink="">
        <xdr:nvSpPr>
          <xdr:cNvPr id="4963" name="GIN008003_0"/>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FAAE77"/>
          </a:solidFill>
          <a:ln w="9525">
            <a:solidFill>
              <a:schemeClr val="bg1">
                <a:lumMod val="65000"/>
              </a:schemeClr>
            </a:solidFill>
            <a:prstDash val="solid"/>
            <a:round/>
            <a:headEnd/>
            <a:tailEnd/>
          </a:ln>
        </xdr:spPr>
      </xdr:sp>
      <xdr:sp macro="" textlink="">
        <xdr:nvSpPr>
          <xdr:cNvPr id="4964" name="GIN008002_0"/>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FAAE77"/>
          </a:solidFill>
          <a:ln w="9525">
            <a:solidFill>
              <a:schemeClr val="bg1">
                <a:lumMod val="65000"/>
              </a:schemeClr>
            </a:solidFill>
            <a:prstDash val="solid"/>
            <a:round/>
            <a:headEnd/>
            <a:tailEnd/>
          </a:ln>
        </xdr:spPr>
      </xdr:sp>
      <xdr:sp macro="" textlink="">
        <xdr:nvSpPr>
          <xdr:cNvPr id="4965" name="GIN008004_0"/>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F79552"/>
          </a:solidFill>
          <a:ln w="9525">
            <a:solidFill>
              <a:schemeClr val="bg1">
                <a:lumMod val="65000"/>
              </a:schemeClr>
            </a:solidFill>
            <a:prstDash val="solid"/>
            <a:round/>
            <a:headEnd/>
            <a:tailEnd/>
          </a:ln>
        </xdr:spPr>
      </xdr:sp>
      <xdr:sp macro="" textlink="">
        <xdr:nvSpPr>
          <xdr:cNvPr id="4966" name="GIN008001_0"/>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F79552"/>
          </a:solidFill>
          <a:ln w="9525">
            <a:solidFill>
              <a:schemeClr val="bg1">
                <a:lumMod val="65000"/>
              </a:schemeClr>
            </a:solidFill>
            <a:prstDash val="solid"/>
            <a:round/>
            <a:headEnd/>
            <a:tailEnd/>
          </a:ln>
        </xdr:spPr>
      </xdr:sp>
      <xdr:sp macro="" textlink="">
        <xdr:nvSpPr>
          <xdr:cNvPr id="4967" name="GIN003004_0"/>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FCC89F"/>
          </a:solidFill>
          <a:ln w="9525">
            <a:solidFill>
              <a:schemeClr val="bg1">
                <a:lumMod val="65000"/>
              </a:schemeClr>
            </a:solidFill>
            <a:prstDash val="solid"/>
            <a:round/>
            <a:headEnd/>
            <a:tailEnd/>
          </a:ln>
        </xdr:spPr>
      </xdr:sp>
      <xdr:sp macro="" textlink="">
        <xdr:nvSpPr>
          <xdr:cNvPr id="4968" name="GIN005003_0"/>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FAAE77"/>
          </a:solidFill>
          <a:ln w="9525">
            <a:solidFill>
              <a:schemeClr val="bg1">
                <a:lumMod val="65000"/>
              </a:schemeClr>
            </a:solidFill>
            <a:prstDash val="solid"/>
            <a:round/>
            <a:headEnd/>
            <a:tailEnd/>
          </a:ln>
        </xdr:spPr>
      </xdr:sp>
      <xdr:sp macro="" textlink="">
        <xdr:nvSpPr>
          <xdr:cNvPr id="4969" name="GIN002001_0"/>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F15A22"/>
          </a:solidFill>
          <a:ln w="9525">
            <a:solidFill>
              <a:schemeClr val="bg1">
                <a:lumMod val="65000"/>
              </a:schemeClr>
            </a:solidFill>
            <a:prstDash val="solid"/>
            <a:round/>
            <a:headEnd/>
            <a:tailEnd/>
          </a:ln>
        </xdr:spPr>
      </xdr:sp>
      <xdr:sp macro="" textlink="">
        <xdr:nvSpPr>
          <xdr:cNvPr id="4970" name="GIN004002_0"/>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FAAE77"/>
          </a:solidFill>
          <a:ln w="9525">
            <a:solidFill>
              <a:schemeClr val="bg1">
                <a:lumMod val="65000"/>
              </a:schemeClr>
            </a:solidFill>
            <a:prstDash val="solid"/>
            <a:round/>
            <a:headEnd/>
            <a:tailEnd/>
          </a:ln>
        </xdr:spPr>
      </xdr:sp>
      <xdr:sp macro="" textlink="">
        <xdr:nvSpPr>
          <xdr:cNvPr id="4971" name="GIN005002_0"/>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FCC89F"/>
          </a:solidFill>
          <a:ln w="9525">
            <a:solidFill>
              <a:schemeClr val="bg1">
                <a:lumMod val="65000"/>
              </a:schemeClr>
            </a:solidFill>
            <a:prstDash val="solid"/>
            <a:round/>
            <a:headEnd/>
            <a:tailEnd/>
          </a:ln>
        </xdr:spPr>
      </xdr:sp>
      <xdr:sp macro="" textlink="">
        <xdr:nvSpPr>
          <xdr:cNvPr id="4972" name="GIN003003_0"/>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FCC89F"/>
          </a:solidFill>
          <a:ln w="9525">
            <a:solidFill>
              <a:schemeClr val="bg1">
                <a:lumMod val="65000"/>
              </a:schemeClr>
            </a:solidFill>
            <a:prstDash val="solid"/>
            <a:round/>
            <a:headEnd/>
            <a:tailEnd/>
          </a:ln>
        </xdr:spPr>
      </xdr:sp>
      <xdr:sp macro="" textlink="">
        <xdr:nvSpPr>
          <xdr:cNvPr id="4973" name="GIN005001_0"/>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F79552"/>
          </a:solidFill>
          <a:ln w="9525">
            <a:solidFill>
              <a:schemeClr val="bg1">
                <a:lumMod val="65000"/>
              </a:schemeClr>
            </a:solidFill>
            <a:prstDash val="solid"/>
            <a:round/>
            <a:headEnd/>
            <a:tailEnd/>
          </a:ln>
        </xdr:spPr>
      </xdr:sp>
      <xdr:sp macro="" textlink="">
        <xdr:nvSpPr>
          <xdr:cNvPr id="4974" name="GIN001001_0"/>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FEE2CA"/>
          </a:solidFill>
          <a:ln w="9525">
            <a:solidFill>
              <a:schemeClr val="bg1">
                <a:lumMod val="65000"/>
              </a:schemeClr>
            </a:solidFill>
            <a:prstDash val="solid"/>
            <a:round/>
            <a:headEnd/>
            <a:tailEnd/>
          </a:ln>
        </xdr:spPr>
      </xdr:sp>
      <xdr:sp macro="" textlink="">
        <xdr:nvSpPr>
          <xdr:cNvPr id="4975" name="GIN007002_0"/>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FEE2CA"/>
          </a:solidFill>
          <a:ln w="9525">
            <a:solidFill>
              <a:schemeClr val="bg1">
                <a:lumMod val="65000"/>
              </a:schemeClr>
            </a:solidFill>
            <a:prstDash val="solid"/>
            <a:round/>
            <a:headEnd/>
            <a:tailEnd/>
          </a:ln>
        </xdr:spPr>
      </xdr:sp>
      <xdr:sp macro="" textlink="">
        <xdr:nvSpPr>
          <xdr:cNvPr id="4976" name="GIN005005_0"/>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FCC89F"/>
          </a:solidFill>
          <a:ln w="9525">
            <a:solidFill>
              <a:schemeClr val="bg1">
                <a:lumMod val="65000"/>
              </a:schemeClr>
            </a:solidFill>
            <a:prstDash val="solid"/>
            <a:round/>
            <a:headEnd/>
            <a:tailEnd/>
          </a:ln>
        </xdr:spPr>
      </xdr:sp>
      <xdr:sp macro="" textlink="">
        <xdr:nvSpPr>
          <xdr:cNvPr id="4977" name="GIN005004_0"/>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FEE2CA"/>
          </a:solidFill>
          <a:ln w="9525">
            <a:solidFill>
              <a:schemeClr val="bg1">
                <a:lumMod val="65000"/>
              </a:schemeClr>
            </a:solidFill>
            <a:prstDash val="solid"/>
            <a:round/>
            <a:headEnd/>
            <a:tailEnd/>
          </a:ln>
        </xdr:spPr>
      </xdr:sp>
      <xdr:sp macro="" textlink="">
        <xdr:nvSpPr>
          <xdr:cNvPr id="4978" name="GIN001002_0"/>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FCC89F"/>
          </a:solidFill>
          <a:ln w="9525">
            <a:solidFill>
              <a:schemeClr val="bg1">
                <a:lumMod val="65000"/>
              </a:schemeClr>
            </a:solidFill>
            <a:prstDash val="solid"/>
            <a:round/>
            <a:headEnd/>
            <a:tailEnd/>
          </a:ln>
        </xdr:spPr>
      </xdr:sp>
      <xdr:sp macro="" textlink="">
        <xdr:nvSpPr>
          <xdr:cNvPr id="4979" name="GIN004001_0"/>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FAAE77"/>
          </a:solidFill>
          <a:ln w="9525">
            <a:solidFill>
              <a:schemeClr val="bg1">
                <a:lumMod val="65000"/>
              </a:schemeClr>
            </a:solidFill>
            <a:prstDash val="solid"/>
            <a:round/>
            <a:headEnd/>
            <a:tailEnd/>
          </a:ln>
        </xdr:spPr>
      </xdr:sp>
      <xdr:sp macro="" textlink="">
        <xdr:nvSpPr>
          <xdr:cNvPr id="4980" name="GIN003001_0"/>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FEE2CA"/>
          </a:solidFill>
          <a:ln w="9525">
            <a:solidFill>
              <a:schemeClr val="bg1">
                <a:lumMod val="65000"/>
              </a:schemeClr>
            </a:solidFill>
            <a:prstDash val="solid"/>
            <a:round/>
            <a:headEnd/>
            <a:tailEnd/>
          </a:ln>
        </xdr:spPr>
      </xdr:sp>
      <xdr:sp macro="" textlink="">
        <xdr:nvSpPr>
          <xdr:cNvPr id="4981" name="GIN007001_0"/>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FEE2CA"/>
          </a:solidFill>
          <a:ln w="9525">
            <a:solidFill>
              <a:schemeClr val="bg1">
                <a:lumMod val="65000"/>
              </a:schemeClr>
            </a:solidFill>
            <a:prstDash val="solid"/>
            <a:round/>
            <a:headEnd/>
            <a:tailEnd/>
          </a:ln>
        </xdr:spPr>
      </xdr:sp>
      <xdr:sp macro="" textlink="">
        <xdr:nvSpPr>
          <xdr:cNvPr id="4982" name="GIN007003_0"/>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FCC89F"/>
          </a:solidFill>
          <a:ln w="9525">
            <a:solidFill>
              <a:schemeClr val="bg1">
                <a:lumMod val="65000"/>
              </a:schemeClr>
            </a:solidFill>
            <a:prstDash val="solid"/>
            <a:round/>
            <a:headEnd/>
            <a:tailEnd/>
          </a:ln>
        </xdr:spPr>
      </xdr:sp>
      <xdr:sp macro="" textlink="">
        <xdr:nvSpPr>
          <xdr:cNvPr id="4983" name="GIN005006_0"/>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FEE2CA"/>
          </a:solidFill>
          <a:ln w="9525">
            <a:solidFill>
              <a:schemeClr val="bg1">
                <a:lumMod val="65000"/>
              </a:schemeClr>
            </a:solidFill>
            <a:prstDash val="solid"/>
            <a:round/>
            <a:headEnd/>
            <a:tailEnd/>
          </a:ln>
        </xdr:spPr>
      </xdr:sp>
      <xdr:sp macro="" textlink="">
        <xdr:nvSpPr>
          <xdr:cNvPr id="4984" name="GIN004003_0"/>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FCC89F"/>
          </a:solidFill>
          <a:ln w="9525">
            <a:solidFill>
              <a:schemeClr val="bg1">
                <a:lumMod val="65000"/>
              </a:schemeClr>
            </a:solidFill>
            <a:prstDash val="solid"/>
            <a:round/>
            <a:headEnd/>
            <a:tailEnd/>
          </a:ln>
        </xdr:spPr>
      </xdr:sp>
      <xdr:sp macro="" textlink="">
        <xdr:nvSpPr>
          <xdr:cNvPr id="4985" name="GIN004004_0"/>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FCC89F"/>
          </a:solidFill>
          <a:ln w="9525">
            <a:solidFill>
              <a:schemeClr val="bg1">
                <a:lumMod val="65000"/>
              </a:schemeClr>
            </a:solidFill>
            <a:prstDash val="solid"/>
            <a:round/>
            <a:headEnd/>
            <a:tailEnd/>
          </a:ln>
        </xdr:spPr>
      </xdr:sp>
      <xdr:sp macro="" textlink="">
        <xdr:nvSpPr>
          <xdr:cNvPr id="4986" name="GIN006002_0"/>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FCC89F"/>
          </a:solidFill>
          <a:ln w="9525">
            <a:solidFill>
              <a:schemeClr val="bg1">
                <a:lumMod val="65000"/>
              </a:schemeClr>
            </a:solidFill>
            <a:prstDash val="solid"/>
            <a:round/>
            <a:headEnd/>
            <a:tailEnd/>
          </a:ln>
        </xdr:spPr>
      </xdr:sp>
      <xdr:sp macro="" textlink="">
        <xdr:nvSpPr>
          <xdr:cNvPr id="4987" name="GIN006003_0"/>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FEE2CA"/>
          </a:solidFill>
          <a:ln w="9525">
            <a:solidFill>
              <a:schemeClr val="bg1">
                <a:lumMod val="65000"/>
              </a:schemeClr>
            </a:solidFill>
            <a:prstDash val="solid"/>
            <a:round/>
            <a:headEnd/>
            <a:tailEnd/>
          </a:ln>
        </xdr:spPr>
      </xdr:sp>
      <xdr:sp macro="" textlink="">
        <xdr:nvSpPr>
          <xdr:cNvPr id="4988" name="GIN006005_0"/>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FEE2CA"/>
          </a:solidFill>
          <a:ln w="9525">
            <a:solidFill>
              <a:schemeClr val="bg1">
                <a:lumMod val="65000"/>
              </a:schemeClr>
            </a:solidFill>
            <a:prstDash val="solid"/>
            <a:round/>
            <a:headEnd/>
            <a:tailEnd/>
          </a:ln>
        </xdr:spPr>
      </xdr:sp>
      <xdr:sp macro="" textlink="">
        <xdr:nvSpPr>
          <xdr:cNvPr id="4989" name="GIN006001_0"/>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FEE2CA"/>
          </a:solidFill>
          <a:ln w="9525">
            <a:solidFill>
              <a:schemeClr val="bg1">
                <a:lumMod val="65000"/>
              </a:schemeClr>
            </a:solidFill>
            <a:prstDash val="solid"/>
            <a:round/>
            <a:headEnd/>
            <a:tailEnd/>
          </a:ln>
        </xdr:spPr>
      </xdr:sp>
      <xdr:sp macro="" textlink="">
        <xdr:nvSpPr>
          <xdr:cNvPr id="4990" name="GIN003002_0"/>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FEE2CA"/>
          </a:solidFill>
          <a:ln w="9525">
            <a:solidFill>
              <a:schemeClr val="bg1">
                <a:lumMod val="65000"/>
              </a:schemeClr>
            </a:solidFill>
            <a:prstDash val="solid"/>
            <a:round/>
            <a:headEnd/>
            <a:tailEnd/>
          </a:ln>
        </xdr:spPr>
      </xdr:sp>
      <xdr:sp macro="" textlink="">
        <xdr:nvSpPr>
          <xdr:cNvPr id="4991" name="GIN001003_0"/>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FEE2CA"/>
          </a:solidFill>
          <a:ln w="9525">
            <a:solidFill>
              <a:schemeClr val="bg1">
                <a:lumMod val="65000"/>
              </a:schemeClr>
            </a:solidFill>
            <a:prstDash val="solid"/>
            <a:round/>
            <a:headEnd/>
            <a:tailEnd/>
          </a:ln>
        </xdr:spPr>
      </xdr:sp>
      <xdr:sp macro="" textlink="">
        <xdr:nvSpPr>
          <xdr:cNvPr id="4992" name="GIN006004_0"/>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FEE2CA"/>
          </a:solidFill>
          <a:ln w="9525">
            <a:solidFill>
              <a:schemeClr val="bg1">
                <a:lumMod val="65000"/>
              </a:schemeClr>
            </a:solidFill>
            <a:prstDash val="solid"/>
            <a:round/>
            <a:headEnd/>
            <a:tailEnd/>
          </a:ln>
        </xdr:spPr>
      </xdr:sp>
      <xdr:sp macro="" textlink="">
        <xdr:nvSpPr>
          <xdr:cNvPr id="4993" name="GIN004005_0"/>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FCC89F"/>
          </a:solidFill>
          <a:ln w="9525">
            <a:solidFill>
              <a:schemeClr val="bg1">
                <a:lumMod val="65000"/>
              </a:schemeClr>
            </a:solidFill>
            <a:prstDash val="solid"/>
            <a:round/>
            <a:headEnd/>
            <a:tailEnd/>
          </a:ln>
        </xdr:spPr>
      </xdr:sp>
      <xdr:sp macro="" textlink="">
        <xdr:nvSpPr>
          <xdr:cNvPr id="4994" name="GIN001004_0"/>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FEE2CA"/>
          </a:solidFill>
          <a:ln w="9525">
            <a:solidFill>
              <a:schemeClr val="bg1">
                <a:lumMod val="65000"/>
              </a:schemeClr>
            </a:solidFill>
            <a:prstDash val="solid"/>
            <a:round/>
            <a:headEnd/>
            <a:tailEnd/>
          </a:ln>
        </xdr:spPr>
      </xdr:sp>
      <xdr:sp macro="" textlink="">
        <xdr:nvSpPr>
          <xdr:cNvPr id="4995" name="GIN002001_0"/>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4996" name="Group 50"/>
          <xdr:cNvGrpSpPr/>
        </xdr:nvGrpSpPr>
        <xdr:grpSpPr>
          <a:xfrm>
            <a:off x="4212412" y="4930731"/>
            <a:ext cx="721252" cy="300159"/>
            <a:chOff x="2925363" y="2042423"/>
            <a:chExt cx="743166" cy="307879"/>
          </a:xfrm>
          <a:grpFill/>
        </xdr:grpSpPr>
        <xdr:cxnSp macro="">
          <xdr:nvCxnSpPr>
            <xdr:cNvPr id="4997" name="Elbow Connector 51_0"/>
            <xdr:cNvCxnSpPr>
              <a:stCxn id="4995" idx="54"/>
              <a:endCxn id="4998"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998" name="Oval 52_0"/>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7</xdr:col>
      <xdr:colOff>51954</xdr:colOff>
      <xdr:row>33</xdr:row>
      <xdr:rowOff>51955</xdr:rowOff>
    </xdr:from>
    <xdr:to>
      <xdr:col>19</xdr:col>
      <xdr:colOff>48064</xdr:colOff>
      <xdr:row>42</xdr:row>
      <xdr:rowOff>51313</xdr:rowOff>
    </xdr:to>
    <xdr:grpSp>
      <xdr:nvGrpSpPr>
        <xdr:cNvPr id="4999" name="_Map1Geometry"/>
        <xdr:cNvGrpSpPr>
          <a:grpSpLocks noChangeAspect="1"/>
        </xdr:cNvGrpSpPr>
      </xdr:nvGrpSpPr>
      <xdr:grpSpPr>
        <a:xfrm>
          <a:off x="2718954" y="5452630"/>
          <a:ext cx="2167810" cy="1628133"/>
          <a:chOff x="3565073" y="2219820"/>
          <a:chExt cx="6883977" cy="4969206"/>
        </a:xfrm>
        <a:solidFill>
          <a:schemeClr val="bg1"/>
        </a:solidFill>
      </xdr:grpSpPr>
      <xdr:sp macro="" textlink="">
        <xdr:nvSpPr>
          <xdr:cNvPr id="5000" name="GIN008006_1"/>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659AD2"/>
          </a:solidFill>
          <a:ln w="9525">
            <a:solidFill>
              <a:schemeClr val="bg1">
                <a:lumMod val="65000"/>
              </a:schemeClr>
            </a:solidFill>
            <a:prstDash val="solid"/>
            <a:round/>
            <a:headEnd/>
            <a:tailEnd/>
          </a:ln>
        </xdr:spPr>
      </xdr:sp>
      <xdr:sp macro="" textlink="">
        <xdr:nvSpPr>
          <xdr:cNvPr id="5001" name="GIN008005_1"/>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026CB6"/>
          </a:solidFill>
          <a:ln w="9525">
            <a:solidFill>
              <a:schemeClr val="bg1">
                <a:lumMod val="65000"/>
              </a:schemeClr>
            </a:solidFill>
            <a:prstDash val="solid"/>
            <a:round/>
            <a:headEnd/>
            <a:tailEnd/>
          </a:ln>
        </xdr:spPr>
      </xdr:sp>
      <xdr:sp macro="" textlink="">
        <xdr:nvSpPr>
          <xdr:cNvPr id="5002" name="GIN008003_1"/>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026CB6"/>
          </a:solidFill>
          <a:ln w="9525">
            <a:solidFill>
              <a:schemeClr val="bg1">
                <a:lumMod val="65000"/>
              </a:schemeClr>
            </a:solidFill>
            <a:prstDash val="solid"/>
            <a:round/>
            <a:headEnd/>
            <a:tailEnd/>
          </a:ln>
        </xdr:spPr>
      </xdr:sp>
      <xdr:sp macro="" textlink="">
        <xdr:nvSpPr>
          <xdr:cNvPr id="5003" name="GIN008002_1"/>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659AD2"/>
          </a:solidFill>
          <a:ln w="9525">
            <a:solidFill>
              <a:schemeClr val="bg1">
                <a:lumMod val="65000"/>
              </a:schemeClr>
            </a:solidFill>
            <a:prstDash val="solid"/>
            <a:round/>
            <a:headEnd/>
            <a:tailEnd/>
          </a:ln>
        </xdr:spPr>
      </xdr:sp>
      <xdr:sp macro="" textlink="">
        <xdr:nvSpPr>
          <xdr:cNvPr id="5004" name="GIN008004_1"/>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659AD2"/>
          </a:solidFill>
          <a:ln w="9525">
            <a:solidFill>
              <a:schemeClr val="bg1">
                <a:lumMod val="65000"/>
              </a:schemeClr>
            </a:solidFill>
            <a:prstDash val="solid"/>
            <a:round/>
            <a:headEnd/>
            <a:tailEnd/>
          </a:ln>
        </xdr:spPr>
      </xdr:sp>
      <xdr:sp macro="" textlink="">
        <xdr:nvSpPr>
          <xdr:cNvPr id="5005" name="GIN008001_1"/>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003469"/>
          </a:solidFill>
          <a:ln w="9525">
            <a:solidFill>
              <a:schemeClr val="bg1">
                <a:lumMod val="65000"/>
              </a:schemeClr>
            </a:solidFill>
            <a:prstDash val="solid"/>
            <a:round/>
            <a:headEnd/>
            <a:tailEnd/>
          </a:ln>
        </xdr:spPr>
      </xdr:sp>
      <xdr:sp macro="" textlink="">
        <xdr:nvSpPr>
          <xdr:cNvPr id="5006" name="GIN003004_1"/>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659AD2"/>
          </a:solidFill>
          <a:ln w="9525">
            <a:solidFill>
              <a:schemeClr val="bg1">
                <a:lumMod val="65000"/>
              </a:schemeClr>
            </a:solidFill>
            <a:prstDash val="solid"/>
            <a:round/>
            <a:headEnd/>
            <a:tailEnd/>
          </a:ln>
        </xdr:spPr>
      </xdr:sp>
      <xdr:sp macro="" textlink="">
        <xdr:nvSpPr>
          <xdr:cNvPr id="5007" name="GIN005003_1"/>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659AD2"/>
          </a:solidFill>
          <a:ln w="9525">
            <a:solidFill>
              <a:schemeClr val="bg1">
                <a:lumMod val="65000"/>
              </a:schemeClr>
            </a:solidFill>
            <a:prstDash val="solid"/>
            <a:round/>
            <a:headEnd/>
            <a:tailEnd/>
          </a:ln>
        </xdr:spPr>
      </xdr:sp>
      <xdr:sp macro="" textlink="">
        <xdr:nvSpPr>
          <xdr:cNvPr id="5008" name="GIN002001_1"/>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026CB6"/>
          </a:solidFill>
          <a:ln w="9525">
            <a:solidFill>
              <a:schemeClr val="bg1">
                <a:lumMod val="65000"/>
              </a:schemeClr>
            </a:solidFill>
            <a:prstDash val="solid"/>
            <a:round/>
            <a:headEnd/>
            <a:tailEnd/>
          </a:ln>
        </xdr:spPr>
      </xdr:sp>
      <xdr:sp macro="" textlink="">
        <xdr:nvSpPr>
          <xdr:cNvPr id="5009" name="GIN004002_1"/>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659AD2"/>
          </a:solidFill>
          <a:ln w="9525">
            <a:solidFill>
              <a:schemeClr val="bg1">
                <a:lumMod val="65000"/>
              </a:schemeClr>
            </a:solidFill>
            <a:prstDash val="solid"/>
            <a:round/>
            <a:headEnd/>
            <a:tailEnd/>
          </a:ln>
        </xdr:spPr>
      </xdr:sp>
      <xdr:sp macro="" textlink="">
        <xdr:nvSpPr>
          <xdr:cNvPr id="5010" name="GIN005002_1"/>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659AD2"/>
          </a:solidFill>
          <a:ln w="9525">
            <a:solidFill>
              <a:schemeClr val="bg1">
                <a:lumMod val="65000"/>
              </a:schemeClr>
            </a:solidFill>
            <a:prstDash val="solid"/>
            <a:round/>
            <a:headEnd/>
            <a:tailEnd/>
          </a:ln>
        </xdr:spPr>
      </xdr:sp>
      <xdr:sp macro="" textlink="">
        <xdr:nvSpPr>
          <xdr:cNvPr id="5011" name="GIN003003_1"/>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659AD2"/>
          </a:solidFill>
          <a:ln w="9525">
            <a:solidFill>
              <a:schemeClr val="bg1">
                <a:lumMod val="65000"/>
              </a:schemeClr>
            </a:solidFill>
            <a:prstDash val="solid"/>
            <a:round/>
            <a:headEnd/>
            <a:tailEnd/>
          </a:ln>
        </xdr:spPr>
      </xdr:sp>
      <xdr:sp macro="" textlink="">
        <xdr:nvSpPr>
          <xdr:cNvPr id="5012" name="GIN005001_1"/>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026CB6"/>
          </a:solidFill>
          <a:ln w="9525">
            <a:solidFill>
              <a:schemeClr val="bg1">
                <a:lumMod val="65000"/>
              </a:schemeClr>
            </a:solidFill>
            <a:prstDash val="solid"/>
            <a:round/>
            <a:headEnd/>
            <a:tailEnd/>
          </a:ln>
        </xdr:spPr>
      </xdr:sp>
      <xdr:sp macro="" textlink="">
        <xdr:nvSpPr>
          <xdr:cNvPr id="5013" name="GIN001001_1"/>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659AD2"/>
          </a:solidFill>
          <a:ln w="9525">
            <a:solidFill>
              <a:schemeClr val="bg1">
                <a:lumMod val="65000"/>
              </a:schemeClr>
            </a:solidFill>
            <a:prstDash val="solid"/>
            <a:round/>
            <a:headEnd/>
            <a:tailEnd/>
          </a:ln>
        </xdr:spPr>
      </xdr:sp>
      <xdr:sp macro="" textlink="">
        <xdr:nvSpPr>
          <xdr:cNvPr id="5014" name="GIN007002_1"/>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659AD2"/>
          </a:solidFill>
          <a:ln w="9525">
            <a:solidFill>
              <a:schemeClr val="bg1">
                <a:lumMod val="65000"/>
              </a:schemeClr>
            </a:solidFill>
            <a:prstDash val="solid"/>
            <a:round/>
            <a:headEnd/>
            <a:tailEnd/>
          </a:ln>
        </xdr:spPr>
      </xdr:sp>
      <xdr:sp macro="" textlink="">
        <xdr:nvSpPr>
          <xdr:cNvPr id="5015" name="GIN005005_1"/>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659AD2"/>
          </a:solidFill>
          <a:ln w="9525">
            <a:solidFill>
              <a:schemeClr val="bg1">
                <a:lumMod val="65000"/>
              </a:schemeClr>
            </a:solidFill>
            <a:prstDash val="solid"/>
            <a:round/>
            <a:headEnd/>
            <a:tailEnd/>
          </a:ln>
        </xdr:spPr>
      </xdr:sp>
      <xdr:sp macro="" textlink="">
        <xdr:nvSpPr>
          <xdr:cNvPr id="5016" name="GIN005004_1"/>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C7D6EE"/>
          </a:solidFill>
          <a:ln w="9525">
            <a:solidFill>
              <a:schemeClr val="bg1">
                <a:lumMod val="65000"/>
              </a:schemeClr>
            </a:solidFill>
            <a:prstDash val="solid"/>
            <a:round/>
            <a:headEnd/>
            <a:tailEnd/>
          </a:ln>
        </xdr:spPr>
      </xdr:sp>
      <xdr:sp macro="" textlink="">
        <xdr:nvSpPr>
          <xdr:cNvPr id="5017" name="GIN001002_1"/>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026CB6"/>
          </a:solidFill>
          <a:ln w="9525">
            <a:solidFill>
              <a:schemeClr val="bg1">
                <a:lumMod val="65000"/>
              </a:schemeClr>
            </a:solidFill>
            <a:prstDash val="solid"/>
            <a:round/>
            <a:headEnd/>
            <a:tailEnd/>
          </a:ln>
        </xdr:spPr>
      </xdr:sp>
      <xdr:sp macro="" textlink="">
        <xdr:nvSpPr>
          <xdr:cNvPr id="5018" name="GIN004001_1"/>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026CB6"/>
          </a:solidFill>
          <a:ln w="9525">
            <a:solidFill>
              <a:schemeClr val="bg1">
                <a:lumMod val="65000"/>
              </a:schemeClr>
            </a:solidFill>
            <a:prstDash val="solid"/>
            <a:round/>
            <a:headEnd/>
            <a:tailEnd/>
          </a:ln>
        </xdr:spPr>
      </xdr:sp>
      <xdr:sp macro="" textlink="">
        <xdr:nvSpPr>
          <xdr:cNvPr id="5019" name="GIN003001_1"/>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95B6DF"/>
          </a:solidFill>
          <a:ln w="9525">
            <a:solidFill>
              <a:schemeClr val="bg1">
                <a:lumMod val="65000"/>
              </a:schemeClr>
            </a:solidFill>
            <a:prstDash val="solid"/>
            <a:round/>
            <a:headEnd/>
            <a:tailEnd/>
          </a:ln>
        </xdr:spPr>
      </xdr:sp>
      <xdr:sp macro="" textlink="">
        <xdr:nvSpPr>
          <xdr:cNvPr id="5020" name="GIN007001_1"/>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659AD2"/>
          </a:solidFill>
          <a:ln w="9525">
            <a:solidFill>
              <a:schemeClr val="bg1">
                <a:lumMod val="65000"/>
              </a:schemeClr>
            </a:solidFill>
            <a:prstDash val="solid"/>
            <a:round/>
            <a:headEnd/>
            <a:tailEnd/>
          </a:ln>
        </xdr:spPr>
      </xdr:sp>
      <xdr:sp macro="" textlink="">
        <xdr:nvSpPr>
          <xdr:cNvPr id="5021" name="GIN007003_1"/>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659AD2"/>
          </a:solidFill>
          <a:ln w="9525">
            <a:solidFill>
              <a:schemeClr val="bg1">
                <a:lumMod val="65000"/>
              </a:schemeClr>
            </a:solidFill>
            <a:prstDash val="solid"/>
            <a:round/>
            <a:headEnd/>
            <a:tailEnd/>
          </a:ln>
        </xdr:spPr>
      </xdr:sp>
      <xdr:sp macro="" textlink="">
        <xdr:nvSpPr>
          <xdr:cNvPr id="5022" name="GIN005006_1"/>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026CB6"/>
          </a:solidFill>
          <a:ln w="9525">
            <a:solidFill>
              <a:schemeClr val="bg1">
                <a:lumMod val="65000"/>
              </a:schemeClr>
            </a:solidFill>
            <a:prstDash val="solid"/>
            <a:round/>
            <a:headEnd/>
            <a:tailEnd/>
          </a:ln>
        </xdr:spPr>
      </xdr:sp>
      <xdr:sp macro="" textlink="">
        <xdr:nvSpPr>
          <xdr:cNvPr id="5023" name="GIN004003_1"/>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659AD2"/>
          </a:solidFill>
          <a:ln w="9525">
            <a:solidFill>
              <a:schemeClr val="bg1">
                <a:lumMod val="65000"/>
              </a:schemeClr>
            </a:solidFill>
            <a:prstDash val="solid"/>
            <a:round/>
            <a:headEnd/>
            <a:tailEnd/>
          </a:ln>
        </xdr:spPr>
      </xdr:sp>
      <xdr:sp macro="" textlink="">
        <xdr:nvSpPr>
          <xdr:cNvPr id="5024" name="GIN004004_1"/>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659AD2"/>
          </a:solidFill>
          <a:ln w="9525">
            <a:solidFill>
              <a:schemeClr val="bg1">
                <a:lumMod val="65000"/>
              </a:schemeClr>
            </a:solidFill>
            <a:prstDash val="solid"/>
            <a:round/>
            <a:headEnd/>
            <a:tailEnd/>
          </a:ln>
        </xdr:spPr>
      </xdr:sp>
      <xdr:sp macro="" textlink="">
        <xdr:nvSpPr>
          <xdr:cNvPr id="5025" name="GIN006002_1"/>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659AD2"/>
          </a:solidFill>
          <a:ln w="9525">
            <a:solidFill>
              <a:schemeClr val="bg1">
                <a:lumMod val="65000"/>
              </a:schemeClr>
            </a:solidFill>
            <a:prstDash val="solid"/>
            <a:round/>
            <a:headEnd/>
            <a:tailEnd/>
          </a:ln>
        </xdr:spPr>
      </xdr:sp>
      <xdr:sp macro="" textlink="">
        <xdr:nvSpPr>
          <xdr:cNvPr id="5026" name="GIN006003_1"/>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C7D6EE"/>
          </a:solidFill>
          <a:ln w="9525">
            <a:solidFill>
              <a:schemeClr val="bg1">
                <a:lumMod val="65000"/>
              </a:schemeClr>
            </a:solidFill>
            <a:prstDash val="solid"/>
            <a:round/>
            <a:headEnd/>
            <a:tailEnd/>
          </a:ln>
        </xdr:spPr>
      </xdr:sp>
      <xdr:sp macro="" textlink="">
        <xdr:nvSpPr>
          <xdr:cNvPr id="5027" name="GIN006005_1"/>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95B6DF"/>
          </a:solidFill>
          <a:ln w="9525">
            <a:solidFill>
              <a:schemeClr val="bg1">
                <a:lumMod val="65000"/>
              </a:schemeClr>
            </a:solidFill>
            <a:prstDash val="solid"/>
            <a:round/>
            <a:headEnd/>
            <a:tailEnd/>
          </a:ln>
        </xdr:spPr>
      </xdr:sp>
      <xdr:sp macro="" textlink="">
        <xdr:nvSpPr>
          <xdr:cNvPr id="5028" name="GIN006001_1"/>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659AD2"/>
          </a:solidFill>
          <a:ln w="9525">
            <a:solidFill>
              <a:schemeClr val="bg1">
                <a:lumMod val="65000"/>
              </a:schemeClr>
            </a:solidFill>
            <a:prstDash val="solid"/>
            <a:round/>
            <a:headEnd/>
            <a:tailEnd/>
          </a:ln>
        </xdr:spPr>
      </xdr:sp>
      <xdr:sp macro="" textlink="">
        <xdr:nvSpPr>
          <xdr:cNvPr id="5029" name="GIN003002_1"/>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95B6DF"/>
          </a:solidFill>
          <a:ln w="9525">
            <a:solidFill>
              <a:schemeClr val="bg1">
                <a:lumMod val="65000"/>
              </a:schemeClr>
            </a:solidFill>
            <a:prstDash val="solid"/>
            <a:round/>
            <a:headEnd/>
            <a:tailEnd/>
          </a:ln>
        </xdr:spPr>
      </xdr:sp>
      <xdr:sp macro="" textlink="">
        <xdr:nvSpPr>
          <xdr:cNvPr id="5030" name="GIN001003_1"/>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659AD2"/>
          </a:solidFill>
          <a:ln w="9525">
            <a:solidFill>
              <a:schemeClr val="bg1">
                <a:lumMod val="65000"/>
              </a:schemeClr>
            </a:solidFill>
            <a:prstDash val="solid"/>
            <a:round/>
            <a:headEnd/>
            <a:tailEnd/>
          </a:ln>
        </xdr:spPr>
      </xdr:sp>
      <xdr:sp macro="" textlink="">
        <xdr:nvSpPr>
          <xdr:cNvPr id="5031" name="GIN006004_1"/>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659AD2"/>
          </a:solidFill>
          <a:ln w="9525">
            <a:solidFill>
              <a:schemeClr val="bg1">
                <a:lumMod val="65000"/>
              </a:schemeClr>
            </a:solidFill>
            <a:prstDash val="solid"/>
            <a:round/>
            <a:headEnd/>
            <a:tailEnd/>
          </a:ln>
        </xdr:spPr>
      </xdr:sp>
      <xdr:sp macro="" textlink="">
        <xdr:nvSpPr>
          <xdr:cNvPr id="5032" name="GIN004005_1"/>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659AD2"/>
          </a:solidFill>
          <a:ln w="9525">
            <a:solidFill>
              <a:schemeClr val="bg1">
                <a:lumMod val="65000"/>
              </a:schemeClr>
            </a:solidFill>
            <a:prstDash val="solid"/>
            <a:round/>
            <a:headEnd/>
            <a:tailEnd/>
          </a:ln>
        </xdr:spPr>
      </xdr:sp>
      <xdr:sp macro="" textlink="">
        <xdr:nvSpPr>
          <xdr:cNvPr id="5033" name="GIN001004_1"/>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95B6DF"/>
          </a:solidFill>
          <a:ln w="9525">
            <a:solidFill>
              <a:schemeClr val="bg1">
                <a:lumMod val="65000"/>
              </a:schemeClr>
            </a:solidFill>
            <a:prstDash val="solid"/>
            <a:round/>
            <a:headEnd/>
            <a:tailEnd/>
          </a:ln>
        </xdr:spPr>
      </xdr:sp>
      <xdr:sp macro="" textlink="">
        <xdr:nvSpPr>
          <xdr:cNvPr id="5034" name="GIN002001_1"/>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035" name="Group 50"/>
          <xdr:cNvGrpSpPr/>
        </xdr:nvGrpSpPr>
        <xdr:grpSpPr>
          <a:xfrm>
            <a:off x="4212412" y="4930731"/>
            <a:ext cx="721252" cy="300159"/>
            <a:chOff x="2925363" y="2042423"/>
            <a:chExt cx="743166" cy="307879"/>
          </a:xfrm>
          <a:grpFill/>
        </xdr:grpSpPr>
        <xdr:cxnSp macro="">
          <xdr:nvCxnSpPr>
            <xdr:cNvPr id="5036" name="Elbow Connector 51_1"/>
            <xdr:cNvCxnSpPr>
              <a:stCxn id="5034" idx="54"/>
              <a:endCxn id="5037"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37" name="Oval 52_1"/>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24</xdr:col>
      <xdr:colOff>51954</xdr:colOff>
      <xdr:row>33</xdr:row>
      <xdr:rowOff>51955</xdr:rowOff>
    </xdr:from>
    <xdr:to>
      <xdr:col>36</xdr:col>
      <xdr:colOff>48064</xdr:colOff>
      <xdr:row>42</xdr:row>
      <xdr:rowOff>51313</xdr:rowOff>
    </xdr:to>
    <xdr:grpSp>
      <xdr:nvGrpSpPr>
        <xdr:cNvPr id="5038" name="_Map2Geometry"/>
        <xdr:cNvGrpSpPr>
          <a:grpSpLocks noChangeAspect="1"/>
        </xdr:cNvGrpSpPr>
      </xdr:nvGrpSpPr>
      <xdr:grpSpPr>
        <a:xfrm>
          <a:off x="5795529" y="5452630"/>
          <a:ext cx="2167810" cy="1628133"/>
          <a:chOff x="3565073" y="2219820"/>
          <a:chExt cx="6883977" cy="4969206"/>
        </a:xfrm>
        <a:solidFill>
          <a:schemeClr val="bg1"/>
        </a:solidFill>
      </xdr:grpSpPr>
      <xdr:sp macro="" textlink="">
        <xdr:nvSpPr>
          <xdr:cNvPr id="5039" name="GIN008006_2"/>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659AD2"/>
          </a:solidFill>
          <a:ln w="9525">
            <a:solidFill>
              <a:schemeClr val="bg1">
                <a:lumMod val="65000"/>
              </a:schemeClr>
            </a:solidFill>
            <a:prstDash val="solid"/>
            <a:round/>
            <a:headEnd/>
            <a:tailEnd/>
          </a:ln>
        </xdr:spPr>
      </xdr:sp>
      <xdr:sp macro="" textlink="">
        <xdr:nvSpPr>
          <xdr:cNvPr id="5040" name="GIN008005_2"/>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659AD2"/>
          </a:solidFill>
          <a:ln w="9525">
            <a:solidFill>
              <a:schemeClr val="bg1">
                <a:lumMod val="65000"/>
              </a:schemeClr>
            </a:solidFill>
            <a:prstDash val="solid"/>
            <a:round/>
            <a:headEnd/>
            <a:tailEnd/>
          </a:ln>
        </xdr:spPr>
      </xdr:sp>
      <xdr:sp macro="" textlink="">
        <xdr:nvSpPr>
          <xdr:cNvPr id="5041" name="GIN008003_2"/>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659AD2"/>
          </a:solidFill>
          <a:ln w="9525">
            <a:solidFill>
              <a:schemeClr val="bg1">
                <a:lumMod val="65000"/>
              </a:schemeClr>
            </a:solidFill>
            <a:prstDash val="solid"/>
            <a:round/>
            <a:headEnd/>
            <a:tailEnd/>
          </a:ln>
        </xdr:spPr>
      </xdr:sp>
      <xdr:sp macro="" textlink="">
        <xdr:nvSpPr>
          <xdr:cNvPr id="5042" name="GIN008002_2"/>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659AD2"/>
          </a:solidFill>
          <a:ln w="9525">
            <a:solidFill>
              <a:schemeClr val="bg1">
                <a:lumMod val="65000"/>
              </a:schemeClr>
            </a:solidFill>
            <a:prstDash val="solid"/>
            <a:round/>
            <a:headEnd/>
            <a:tailEnd/>
          </a:ln>
        </xdr:spPr>
      </xdr:sp>
      <xdr:sp macro="" textlink="">
        <xdr:nvSpPr>
          <xdr:cNvPr id="5043" name="GIN008004_2"/>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659AD2"/>
          </a:solidFill>
          <a:ln w="9525">
            <a:solidFill>
              <a:schemeClr val="bg1">
                <a:lumMod val="65000"/>
              </a:schemeClr>
            </a:solidFill>
            <a:prstDash val="solid"/>
            <a:round/>
            <a:headEnd/>
            <a:tailEnd/>
          </a:ln>
        </xdr:spPr>
      </xdr:sp>
      <xdr:sp macro="" textlink="">
        <xdr:nvSpPr>
          <xdr:cNvPr id="5044" name="GIN008001_2"/>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026CB6"/>
          </a:solidFill>
          <a:ln w="9525">
            <a:solidFill>
              <a:schemeClr val="bg1">
                <a:lumMod val="65000"/>
              </a:schemeClr>
            </a:solidFill>
            <a:prstDash val="solid"/>
            <a:round/>
            <a:headEnd/>
            <a:tailEnd/>
          </a:ln>
        </xdr:spPr>
      </xdr:sp>
      <xdr:sp macro="" textlink="">
        <xdr:nvSpPr>
          <xdr:cNvPr id="5045" name="GIN003004_2"/>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659AD2"/>
          </a:solidFill>
          <a:ln w="9525">
            <a:solidFill>
              <a:schemeClr val="bg1">
                <a:lumMod val="65000"/>
              </a:schemeClr>
            </a:solidFill>
            <a:prstDash val="solid"/>
            <a:round/>
            <a:headEnd/>
            <a:tailEnd/>
          </a:ln>
        </xdr:spPr>
      </xdr:sp>
      <xdr:sp macro="" textlink="">
        <xdr:nvSpPr>
          <xdr:cNvPr id="5046" name="GIN005003_2"/>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659AD2"/>
          </a:solidFill>
          <a:ln w="9525">
            <a:solidFill>
              <a:schemeClr val="bg1">
                <a:lumMod val="65000"/>
              </a:schemeClr>
            </a:solidFill>
            <a:prstDash val="solid"/>
            <a:round/>
            <a:headEnd/>
            <a:tailEnd/>
          </a:ln>
        </xdr:spPr>
      </xdr:sp>
      <xdr:sp macro="" textlink="">
        <xdr:nvSpPr>
          <xdr:cNvPr id="5047" name="GIN002001_2"/>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659AD2"/>
          </a:solidFill>
          <a:ln w="9525">
            <a:solidFill>
              <a:schemeClr val="bg1">
                <a:lumMod val="65000"/>
              </a:schemeClr>
            </a:solidFill>
            <a:prstDash val="solid"/>
            <a:round/>
            <a:headEnd/>
            <a:tailEnd/>
          </a:ln>
        </xdr:spPr>
      </xdr:sp>
      <xdr:sp macro="" textlink="">
        <xdr:nvSpPr>
          <xdr:cNvPr id="5048" name="GIN004002_2"/>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659AD2"/>
          </a:solidFill>
          <a:ln w="9525">
            <a:solidFill>
              <a:schemeClr val="bg1">
                <a:lumMod val="65000"/>
              </a:schemeClr>
            </a:solidFill>
            <a:prstDash val="solid"/>
            <a:round/>
            <a:headEnd/>
            <a:tailEnd/>
          </a:ln>
        </xdr:spPr>
      </xdr:sp>
      <xdr:sp macro="" textlink="">
        <xdr:nvSpPr>
          <xdr:cNvPr id="5049" name="GIN005002_2"/>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659AD2"/>
          </a:solidFill>
          <a:ln w="9525">
            <a:solidFill>
              <a:schemeClr val="bg1">
                <a:lumMod val="65000"/>
              </a:schemeClr>
            </a:solidFill>
            <a:prstDash val="solid"/>
            <a:round/>
            <a:headEnd/>
            <a:tailEnd/>
          </a:ln>
        </xdr:spPr>
      </xdr:sp>
      <xdr:sp macro="" textlink="">
        <xdr:nvSpPr>
          <xdr:cNvPr id="5050" name="GIN003003_2"/>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659AD2"/>
          </a:solidFill>
          <a:ln w="9525">
            <a:solidFill>
              <a:schemeClr val="bg1">
                <a:lumMod val="65000"/>
              </a:schemeClr>
            </a:solidFill>
            <a:prstDash val="solid"/>
            <a:round/>
            <a:headEnd/>
            <a:tailEnd/>
          </a:ln>
        </xdr:spPr>
      </xdr:sp>
      <xdr:sp macro="" textlink="">
        <xdr:nvSpPr>
          <xdr:cNvPr id="5051" name="GIN005001_2"/>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659AD2"/>
          </a:solidFill>
          <a:ln w="9525">
            <a:solidFill>
              <a:schemeClr val="bg1">
                <a:lumMod val="65000"/>
              </a:schemeClr>
            </a:solidFill>
            <a:prstDash val="solid"/>
            <a:round/>
            <a:headEnd/>
            <a:tailEnd/>
          </a:ln>
        </xdr:spPr>
      </xdr:sp>
      <xdr:sp macro="" textlink="">
        <xdr:nvSpPr>
          <xdr:cNvPr id="5052" name="GIN001001_2"/>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659AD2"/>
          </a:solidFill>
          <a:ln w="9525">
            <a:solidFill>
              <a:schemeClr val="bg1">
                <a:lumMod val="65000"/>
              </a:schemeClr>
            </a:solidFill>
            <a:prstDash val="solid"/>
            <a:round/>
            <a:headEnd/>
            <a:tailEnd/>
          </a:ln>
        </xdr:spPr>
      </xdr:sp>
      <xdr:sp macro="" textlink="">
        <xdr:nvSpPr>
          <xdr:cNvPr id="5053" name="GIN007002_2"/>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659AD2"/>
          </a:solidFill>
          <a:ln w="9525">
            <a:solidFill>
              <a:schemeClr val="bg1">
                <a:lumMod val="65000"/>
              </a:schemeClr>
            </a:solidFill>
            <a:prstDash val="solid"/>
            <a:round/>
            <a:headEnd/>
            <a:tailEnd/>
          </a:ln>
        </xdr:spPr>
      </xdr:sp>
      <xdr:sp macro="" textlink="">
        <xdr:nvSpPr>
          <xdr:cNvPr id="5054" name="GIN005005_2"/>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659AD2"/>
          </a:solidFill>
          <a:ln w="9525">
            <a:solidFill>
              <a:schemeClr val="bg1">
                <a:lumMod val="65000"/>
              </a:schemeClr>
            </a:solidFill>
            <a:prstDash val="solid"/>
            <a:round/>
            <a:headEnd/>
            <a:tailEnd/>
          </a:ln>
        </xdr:spPr>
      </xdr:sp>
      <xdr:sp macro="" textlink="">
        <xdr:nvSpPr>
          <xdr:cNvPr id="5055" name="GIN005004_2"/>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659AD2"/>
          </a:solidFill>
          <a:ln w="9525">
            <a:solidFill>
              <a:schemeClr val="bg1">
                <a:lumMod val="65000"/>
              </a:schemeClr>
            </a:solidFill>
            <a:prstDash val="solid"/>
            <a:round/>
            <a:headEnd/>
            <a:tailEnd/>
          </a:ln>
        </xdr:spPr>
      </xdr:sp>
      <xdr:sp macro="" textlink="">
        <xdr:nvSpPr>
          <xdr:cNvPr id="5056" name="GIN001002_2"/>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659AD2"/>
          </a:solidFill>
          <a:ln w="9525">
            <a:solidFill>
              <a:schemeClr val="bg1">
                <a:lumMod val="65000"/>
              </a:schemeClr>
            </a:solidFill>
            <a:prstDash val="solid"/>
            <a:round/>
            <a:headEnd/>
            <a:tailEnd/>
          </a:ln>
        </xdr:spPr>
      </xdr:sp>
      <xdr:sp macro="" textlink="">
        <xdr:nvSpPr>
          <xdr:cNvPr id="5057" name="GIN004001_2"/>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026CB6"/>
          </a:solidFill>
          <a:ln w="9525">
            <a:solidFill>
              <a:schemeClr val="bg1">
                <a:lumMod val="65000"/>
              </a:schemeClr>
            </a:solidFill>
            <a:prstDash val="solid"/>
            <a:round/>
            <a:headEnd/>
            <a:tailEnd/>
          </a:ln>
        </xdr:spPr>
      </xdr:sp>
      <xdr:sp macro="" textlink="">
        <xdr:nvSpPr>
          <xdr:cNvPr id="5058" name="GIN003001_2"/>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659AD2"/>
          </a:solidFill>
          <a:ln w="9525">
            <a:solidFill>
              <a:schemeClr val="bg1">
                <a:lumMod val="65000"/>
              </a:schemeClr>
            </a:solidFill>
            <a:prstDash val="solid"/>
            <a:round/>
            <a:headEnd/>
            <a:tailEnd/>
          </a:ln>
        </xdr:spPr>
      </xdr:sp>
      <xdr:sp macro="" textlink="">
        <xdr:nvSpPr>
          <xdr:cNvPr id="5059" name="GIN007001_2"/>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659AD2"/>
          </a:solidFill>
          <a:ln w="9525">
            <a:solidFill>
              <a:schemeClr val="bg1">
                <a:lumMod val="65000"/>
              </a:schemeClr>
            </a:solidFill>
            <a:prstDash val="solid"/>
            <a:round/>
            <a:headEnd/>
            <a:tailEnd/>
          </a:ln>
        </xdr:spPr>
      </xdr:sp>
      <xdr:sp macro="" textlink="">
        <xdr:nvSpPr>
          <xdr:cNvPr id="5060" name="GIN007003_2"/>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659AD2"/>
          </a:solidFill>
          <a:ln w="9525">
            <a:solidFill>
              <a:schemeClr val="bg1">
                <a:lumMod val="65000"/>
              </a:schemeClr>
            </a:solidFill>
            <a:prstDash val="solid"/>
            <a:round/>
            <a:headEnd/>
            <a:tailEnd/>
          </a:ln>
        </xdr:spPr>
      </xdr:sp>
      <xdr:sp macro="" textlink="">
        <xdr:nvSpPr>
          <xdr:cNvPr id="5061" name="GIN005006_2"/>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659AD2"/>
          </a:solidFill>
          <a:ln w="9525">
            <a:solidFill>
              <a:schemeClr val="bg1">
                <a:lumMod val="65000"/>
              </a:schemeClr>
            </a:solidFill>
            <a:prstDash val="solid"/>
            <a:round/>
            <a:headEnd/>
            <a:tailEnd/>
          </a:ln>
        </xdr:spPr>
      </xdr:sp>
      <xdr:sp macro="" textlink="">
        <xdr:nvSpPr>
          <xdr:cNvPr id="5062" name="GIN004003_2"/>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026CB6"/>
          </a:solidFill>
          <a:ln w="9525">
            <a:solidFill>
              <a:schemeClr val="bg1">
                <a:lumMod val="65000"/>
              </a:schemeClr>
            </a:solidFill>
            <a:prstDash val="solid"/>
            <a:round/>
            <a:headEnd/>
            <a:tailEnd/>
          </a:ln>
        </xdr:spPr>
      </xdr:sp>
      <xdr:sp macro="" textlink="">
        <xdr:nvSpPr>
          <xdr:cNvPr id="5063" name="GIN004004_2"/>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659AD2"/>
          </a:solidFill>
          <a:ln w="9525">
            <a:solidFill>
              <a:schemeClr val="bg1">
                <a:lumMod val="65000"/>
              </a:schemeClr>
            </a:solidFill>
            <a:prstDash val="solid"/>
            <a:round/>
            <a:headEnd/>
            <a:tailEnd/>
          </a:ln>
        </xdr:spPr>
      </xdr:sp>
      <xdr:sp macro="" textlink="">
        <xdr:nvSpPr>
          <xdr:cNvPr id="5064" name="GIN006002_2"/>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659AD2"/>
          </a:solidFill>
          <a:ln w="9525">
            <a:solidFill>
              <a:schemeClr val="bg1">
                <a:lumMod val="65000"/>
              </a:schemeClr>
            </a:solidFill>
            <a:prstDash val="solid"/>
            <a:round/>
            <a:headEnd/>
            <a:tailEnd/>
          </a:ln>
        </xdr:spPr>
      </xdr:sp>
      <xdr:sp macro="" textlink="">
        <xdr:nvSpPr>
          <xdr:cNvPr id="5065" name="GIN006003_2"/>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659AD2"/>
          </a:solidFill>
          <a:ln w="9525">
            <a:solidFill>
              <a:schemeClr val="bg1">
                <a:lumMod val="65000"/>
              </a:schemeClr>
            </a:solidFill>
            <a:prstDash val="solid"/>
            <a:round/>
            <a:headEnd/>
            <a:tailEnd/>
          </a:ln>
        </xdr:spPr>
      </xdr:sp>
      <xdr:sp macro="" textlink="">
        <xdr:nvSpPr>
          <xdr:cNvPr id="5066" name="GIN006005_2"/>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659AD2"/>
          </a:solidFill>
          <a:ln w="9525">
            <a:solidFill>
              <a:schemeClr val="bg1">
                <a:lumMod val="65000"/>
              </a:schemeClr>
            </a:solidFill>
            <a:prstDash val="solid"/>
            <a:round/>
            <a:headEnd/>
            <a:tailEnd/>
          </a:ln>
        </xdr:spPr>
      </xdr:sp>
      <xdr:sp macro="" textlink="">
        <xdr:nvSpPr>
          <xdr:cNvPr id="5067" name="GIN006001_2"/>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659AD2"/>
          </a:solidFill>
          <a:ln w="9525">
            <a:solidFill>
              <a:schemeClr val="bg1">
                <a:lumMod val="65000"/>
              </a:schemeClr>
            </a:solidFill>
            <a:prstDash val="solid"/>
            <a:round/>
            <a:headEnd/>
            <a:tailEnd/>
          </a:ln>
        </xdr:spPr>
      </xdr:sp>
      <xdr:sp macro="" textlink="">
        <xdr:nvSpPr>
          <xdr:cNvPr id="5068" name="GIN003002_2"/>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659AD2"/>
          </a:solidFill>
          <a:ln w="9525">
            <a:solidFill>
              <a:schemeClr val="bg1">
                <a:lumMod val="65000"/>
              </a:schemeClr>
            </a:solidFill>
            <a:prstDash val="solid"/>
            <a:round/>
            <a:headEnd/>
            <a:tailEnd/>
          </a:ln>
        </xdr:spPr>
      </xdr:sp>
      <xdr:sp macro="" textlink="">
        <xdr:nvSpPr>
          <xdr:cNvPr id="5069" name="GIN001003_2"/>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659AD2"/>
          </a:solidFill>
          <a:ln w="9525">
            <a:solidFill>
              <a:schemeClr val="bg1">
                <a:lumMod val="65000"/>
              </a:schemeClr>
            </a:solidFill>
            <a:prstDash val="solid"/>
            <a:round/>
            <a:headEnd/>
            <a:tailEnd/>
          </a:ln>
        </xdr:spPr>
      </xdr:sp>
      <xdr:sp macro="" textlink="">
        <xdr:nvSpPr>
          <xdr:cNvPr id="5070" name="GIN006004_2"/>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659AD2"/>
          </a:solidFill>
          <a:ln w="9525">
            <a:solidFill>
              <a:schemeClr val="bg1">
                <a:lumMod val="65000"/>
              </a:schemeClr>
            </a:solidFill>
            <a:prstDash val="solid"/>
            <a:round/>
            <a:headEnd/>
            <a:tailEnd/>
          </a:ln>
        </xdr:spPr>
      </xdr:sp>
      <xdr:sp macro="" textlink="">
        <xdr:nvSpPr>
          <xdr:cNvPr id="5071" name="GIN004005_2"/>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659AD2"/>
          </a:solidFill>
          <a:ln w="9525">
            <a:solidFill>
              <a:schemeClr val="bg1">
                <a:lumMod val="65000"/>
              </a:schemeClr>
            </a:solidFill>
            <a:prstDash val="solid"/>
            <a:round/>
            <a:headEnd/>
            <a:tailEnd/>
          </a:ln>
        </xdr:spPr>
      </xdr:sp>
      <xdr:sp macro="" textlink="">
        <xdr:nvSpPr>
          <xdr:cNvPr id="5072" name="GIN001004_2"/>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659AD2"/>
          </a:solidFill>
          <a:ln w="9525">
            <a:solidFill>
              <a:schemeClr val="bg1">
                <a:lumMod val="65000"/>
              </a:schemeClr>
            </a:solidFill>
            <a:prstDash val="solid"/>
            <a:round/>
            <a:headEnd/>
            <a:tailEnd/>
          </a:ln>
        </xdr:spPr>
      </xdr:sp>
      <xdr:sp macro="" textlink="">
        <xdr:nvSpPr>
          <xdr:cNvPr id="5073" name="GIN002001_2"/>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074" name="Group 50"/>
          <xdr:cNvGrpSpPr/>
        </xdr:nvGrpSpPr>
        <xdr:grpSpPr>
          <a:xfrm>
            <a:off x="4212412" y="4930731"/>
            <a:ext cx="721252" cy="300159"/>
            <a:chOff x="2925363" y="2042423"/>
            <a:chExt cx="743166" cy="307879"/>
          </a:xfrm>
          <a:grpFill/>
        </xdr:grpSpPr>
        <xdr:cxnSp macro="">
          <xdr:nvCxnSpPr>
            <xdr:cNvPr id="5075" name="Elbow Connector 51_2"/>
            <xdr:cNvCxnSpPr>
              <a:stCxn id="5073" idx="54"/>
              <a:endCxn id="5076"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76" name="Oval 52_2"/>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41</xdr:col>
      <xdr:colOff>51955</xdr:colOff>
      <xdr:row>33</xdr:row>
      <xdr:rowOff>51955</xdr:rowOff>
    </xdr:from>
    <xdr:to>
      <xdr:col>53</xdr:col>
      <xdr:colOff>48064</xdr:colOff>
      <xdr:row>42</xdr:row>
      <xdr:rowOff>51313</xdr:rowOff>
    </xdr:to>
    <xdr:grpSp>
      <xdr:nvGrpSpPr>
        <xdr:cNvPr id="5077" name="_Map3Geometry"/>
        <xdr:cNvGrpSpPr>
          <a:grpSpLocks noChangeAspect="1"/>
        </xdr:cNvGrpSpPr>
      </xdr:nvGrpSpPr>
      <xdr:grpSpPr>
        <a:xfrm>
          <a:off x="8872105" y="5452630"/>
          <a:ext cx="2167809" cy="1628133"/>
          <a:chOff x="3565073" y="2219820"/>
          <a:chExt cx="6883977" cy="4969206"/>
        </a:xfrm>
        <a:solidFill>
          <a:schemeClr val="bg1"/>
        </a:solidFill>
      </xdr:grpSpPr>
      <xdr:sp macro="" textlink="">
        <xdr:nvSpPr>
          <xdr:cNvPr id="5078" name="GIN008006_3"/>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C7D6EE"/>
          </a:solidFill>
          <a:ln w="9525">
            <a:solidFill>
              <a:schemeClr val="bg1">
                <a:lumMod val="65000"/>
              </a:schemeClr>
            </a:solidFill>
            <a:prstDash val="solid"/>
            <a:round/>
            <a:headEnd/>
            <a:tailEnd/>
          </a:ln>
        </xdr:spPr>
      </xdr:sp>
      <xdr:sp macro="" textlink="">
        <xdr:nvSpPr>
          <xdr:cNvPr id="5079" name="GIN008005_3"/>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080" name="GIN008003_3"/>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C7D6EE"/>
          </a:solidFill>
          <a:ln w="9525">
            <a:solidFill>
              <a:schemeClr val="bg1">
                <a:lumMod val="65000"/>
              </a:schemeClr>
            </a:solidFill>
            <a:prstDash val="solid"/>
            <a:round/>
            <a:headEnd/>
            <a:tailEnd/>
          </a:ln>
        </xdr:spPr>
      </xdr:sp>
      <xdr:sp macro="" textlink="">
        <xdr:nvSpPr>
          <xdr:cNvPr id="5081" name="GIN008002_3"/>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C7D6EE"/>
          </a:solidFill>
          <a:ln w="9525">
            <a:solidFill>
              <a:schemeClr val="bg1">
                <a:lumMod val="65000"/>
              </a:schemeClr>
            </a:solidFill>
            <a:prstDash val="solid"/>
            <a:round/>
            <a:headEnd/>
            <a:tailEnd/>
          </a:ln>
        </xdr:spPr>
      </xdr:sp>
      <xdr:sp macro="" textlink="">
        <xdr:nvSpPr>
          <xdr:cNvPr id="5082" name="GIN008004_3"/>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C7D6EE"/>
          </a:solidFill>
          <a:ln w="9525">
            <a:solidFill>
              <a:schemeClr val="bg1">
                <a:lumMod val="65000"/>
              </a:schemeClr>
            </a:solidFill>
            <a:prstDash val="solid"/>
            <a:round/>
            <a:headEnd/>
            <a:tailEnd/>
          </a:ln>
        </xdr:spPr>
      </xdr:sp>
      <xdr:sp macro="" textlink="">
        <xdr:nvSpPr>
          <xdr:cNvPr id="5083" name="GIN008001_3"/>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084" name="GIN003004_3"/>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C7D6EE"/>
          </a:solidFill>
          <a:ln w="9525">
            <a:solidFill>
              <a:schemeClr val="bg1">
                <a:lumMod val="65000"/>
              </a:schemeClr>
            </a:solidFill>
            <a:prstDash val="solid"/>
            <a:round/>
            <a:headEnd/>
            <a:tailEnd/>
          </a:ln>
        </xdr:spPr>
      </xdr:sp>
      <xdr:sp macro="" textlink="">
        <xdr:nvSpPr>
          <xdr:cNvPr id="5085" name="GIN005003_3"/>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086" name="GIN002001_3"/>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C7D6EE"/>
          </a:solidFill>
          <a:ln w="9525">
            <a:solidFill>
              <a:schemeClr val="bg1">
                <a:lumMod val="65000"/>
              </a:schemeClr>
            </a:solidFill>
            <a:prstDash val="solid"/>
            <a:round/>
            <a:headEnd/>
            <a:tailEnd/>
          </a:ln>
        </xdr:spPr>
      </xdr:sp>
      <xdr:sp macro="" textlink="">
        <xdr:nvSpPr>
          <xdr:cNvPr id="5087" name="GIN004002_3"/>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C7D6EE"/>
          </a:solidFill>
          <a:ln w="9525">
            <a:solidFill>
              <a:schemeClr val="bg1">
                <a:lumMod val="65000"/>
              </a:schemeClr>
            </a:solidFill>
            <a:prstDash val="solid"/>
            <a:round/>
            <a:headEnd/>
            <a:tailEnd/>
          </a:ln>
        </xdr:spPr>
      </xdr:sp>
      <xdr:sp macro="" textlink="">
        <xdr:nvSpPr>
          <xdr:cNvPr id="5088" name="GIN005002_3"/>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C7D6EE"/>
          </a:solidFill>
          <a:ln w="9525">
            <a:solidFill>
              <a:schemeClr val="bg1">
                <a:lumMod val="65000"/>
              </a:schemeClr>
            </a:solidFill>
            <a:prstDash val="solid"/>
            <a:round/>
            <a:headEnd/>
            <a:tailEnd/>
          </a:ln>
        </xdr:spPr>
      </xdr:sp>
      <xdr:sp macro="" textlink="">
        <xdr:nvSpPr>
          <xdr:cNvPr id="5089" name="GIN003003_3"/>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C7D6EE"/>
          </a:solidFill>
          <a:ln w="9525">
            <a:solidFill>
              <a:schemeClr val="bg1">
                <a:lumMod val="65000"/>
              </a:schemeClr>
            </a:solidFill>
            <a:prstDash val="solid"/>
            <a:round/>
            <a:headEnd/>
            <a:tailEnd/>
          </a:ln>
        </xdr:spPr>
      </xdr:sp>
      <xdr:sp macro="" textlink="">
        <xdr:nvSpPr>
          <xdr:cNvPr id="5090" name="GIN005001_3"/>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C7D6EE"/>
          </a:solidFill>
          <a:ln w="9525">
            <a:solidFill>
              <a:schemeClr val="bg1">
                <a:lumMod val="65000"/>
              </a:schemeClr>
            </a:solidFill>
            <a:prstDash val="solid"/>
            <a:round/>
            <a:headEnd/>
            <a:tailEnd/>
          </a:ln>
        </xdr:spPr>
      </xdr:sp>
      <xdr:sp macro="" textlink="">
        <xdr:nvSpPr>
          <xdr:cNvPr id="5091" name="GIN001001_3"/>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C7D6EE"/>
          </a:solidFill>
          <a:ln w="9525">
            <a:solidFill>
              <a:schemeClr val="bg1">
                <a:lumMod val="65000"/>
              </a:schemeClr>
            </a:solidFill>
            <a:prstDash val="solid"/>
            <a:round/>
            <a:headEnd/>
            <a:tailEnd/>
          </a:ln>
        </xdr:spPr>
      </xdr:sp>
      <xdr:sp macro="" textlink="">
        <xdr:nvSpPr>
          <xdr:cNvPr id="5092" name="GIN007002_3"/>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C7D6EE"/>
          </a:solidFill>
          <a:ln w="9525">
            <a:solidFill>
              <a:schemeClr val="bg1">
                <a:lumMod val="65000"/>
              </a:schemeClr>
            </a:solidFill>
            <a:prstDash val="solid"/>
            <a:round/>
            <a:headEnd/>
            <a:tailEnd/>
          </a:ln>
        </xdr:spPr>
      </xdr:sp>
      <xdr:sp macro="" textlink="">
        <xdr:nvSpPr>
          <xdr:cNvPr id="5093" name="GIN005005_3"/>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C7D6EE"/>
          </a:solidFill>
          <a:ln w="9525">
            <a:solidFill>
              <a:schemeClr val="bg1">
                <a:lumMod val="65000"/>
              </a:schemeClr>
            </a:solidFill>
            <a:prstDash val="solid"/>
            <a:round/>
            <a:headEnd/>
            <a:tailEnd/>
          </a:ln>
        </xdr:spPr>
      </xdr:sp>
      <xdr:sp macro="" textlink="">
        <xdr:nvSpPr>
          <xdr:cNvPr id="5094" name="GIN005004_3"/>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C7D6EE"/>
          </a:solidFill>
          <a:ln w="9525">
            <a:solidFill>
              <a:schemeClr val="bg1">
                <a:lumMod val="65000"/>
              </a:schemeClr>
            </a:solidFill>
            <a:prstDash val="solid"/>
            <a:round/>
            <a:headEnd/>
            <a:tailEnd/>
          </a:ln>
        </xdr:spPr>
      </xdr:sp>
      <xdr:sp macro="" textlink="">
        <xdr:nvSpPr>
          <xdr:cNvPr id="5095" name="GIN001002_3"/>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C7D6EE"/>
          </a:solidFill>
          <a:ln w="9525">
            <a:solidFill>
              <a:schemeClr val="bg1">
                <a:lumMod val="65000"/>
              </a:schemeClr>
            </a:solidFill>
            <a:prstDash val="solid"/>
            <a:round/>
            <a:headEnd/>
            <a:tailEnd/>
          </a:ln>
        </xdr:spPr>
      </xdr:sp>
      <xdr:sp macro="" textlink="">
        <xdr:nvSpPr>
          <xdr:cNvPr id="5096" name="GIN004001_3"/>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C7D6EE"/>
          </a:solidFill>
          <a:ln w="9525">
            <a:solidFill>
              <a:schemeClr val="bg1">
                <a:lumMod val="65000"/>
              </a:schemeClr>
            </a:solidFill>
            <a:prstDash val="solid"/>
            <a:round/>
            <a:headEnd/>
            <a:tailEnd/>
          </a:ln>
        </xdr:spPr>
      </xdr:sp>
      <xdr:sp macro="" textlink="">
        <xdr:nvSpPr>
          <xdr:cNvPr id="5097" name="GIN003001_3"/>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C7D6EE"/>
          </a:solidFill>
          <a:ln w="9525">
            <a:solidFill>
              <a:schemeClr val="bg1">
                <a:lumMod val="65000"/>
              </a:schemeClr>
            </a:solidFill>
            <a:prstDash val="solid"/>
            <a:round/>
            <a:headEnd/>
            <a:tailEnd/>
          </a:ln>
        </xdr:spPr>
      </xdr:sp>
      <xdr:sp macro="" textlink="">
        <xdr:nvSpPr>
          <xdr:cNvPr id="5098" name="GIN007001_3"/>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C7D6EE"/>
          </a:solidFill>
          <a:ln w="9525">
            <a:solidFill>
              <a:schemeClr val="bg1">
                <a:lumMod val="65000"/>
              </a:schemeClr>
            </a:solidFill>
            <a:prstDash val="solid"/>
            <a:round/>
            <a:headEnd/>
            <a:tailEnd/>
          </a:ln>
        </xdr:spPr>
      </xdr:sp>
      <xdr:sp macro="" textlink="">
        <xdr:nvSpPr>
          <xdr:cNvPr id="5099" name="GIN007003_3"/>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C7D6EE"/>
          </a:solidFill>
          <a:ln w="9525">
            <a:solidFill>
              <a:schemeClr val="bg1">
                <a:lumMod val="65000"/>
              </a:schemeClr>
            </a:solidFill>
            <a:prstDash val="solid"/>
            <a:round/>
            <a:headEnd/>
            <a:tailEnd/>
          </a:ln>
        </xdr:spPr>
      </xdr:sp>
      <xdr:sp macro="" textlink="">
        <xdr:nvSpPr>
          <xdr:cNvPr id="5100" name="GIN005006_3"/>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C7D6EE"/>
          </a:solidFill>
          <a:ln w="9525">
            <a:solidFill>
              <a:schemeClr val="bg1">
                <a:lumMod val="65000"/>
              </a:schemeClr>
            </a:solidFill>
            <a:prstDash val="solid"/>
            <a:round/>
            <a:headEnd/>
            <a:tailEnd/>
          </a:ln>
        </xdr:spPr>
      </xdr:sp>
      <xdr:sp macro="" textlink="">
        <xdr:nvSpPr>
          <xdr:cNvPr id="5101" name="GIN004003_3"/>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C7D6EE"/>
          </a:solidFill>
          <a:ln w="9525">
            <a:solidFill>
              <a:schemeClr val="bg1">
                <a:lumMod val="65000"/>
              </a:schemeClr>
            </a:solidFill>
            <a:prstDash val="solid"/>
            <a:round/>
            <a:headEnd/>
            <a:tailEnd/>
          </a:ln>
        </xdr:spPr>
      </xdr:sp>
      <xdr:sp macro="" textlink="">
        <xdr:nvSpPr>
          <xdr:cNvPr id="5102" name="GIN004004_3"/>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103" name="GIN006002_3"/>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C7D6EE"/>
          </a:solidFill>
          <a:ln w="9525">
            <a:solidFill>
              <a:schemeClr val="bg1">
                <a:lumMod val="65000"/>
              </a:schemeClr>
            </a:solidFill>
            <a:prstDash val="solid"/>
            <a:round/>
            <a:headEnd/>
            <a:tailEnd/>
          </a:ln>
        </xdr:spPr>
      </xdr:sp>
      <xdr:sp macro="" textlink="">
        <xdr:nvSpPr>
          <xdr:cNvPr id="5104" name="GIN006003_3"/>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C7D6EE"/>
          </a:solidFill>
          <a:ln w="9525">
            <a:solidFill>
              <a:schemeClr val="bg1">
                <a:lumMod val="65000"/>
              </a:schemeClr>
            </a:solidFill>
            <a:prstDash val="solid"/>
            <a:round/>
            <a:headEnd/>
            <a:tailEnd/>
          </a:ln>
        </xdr:spPr>
      </xdr:sp>
      <xdr:sp macro="" textlink="">
        <xdr:nvSpPr>
          <xdr:cNvPr id="5105" name="GIN006005_3"/>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C7D6EE"/>
          </a:solidFill>
          <a:ln w="9525">
            <a:solidFill>
              <a:schemeClr val="bg1">
                <a:lumMod val="65000"/>
              </a:schemeClr>
            </a:solidFill>
            <a:prstDash val="solid"/>
            <a:round/>
            <a:headEnd/>
            <a:tailEnd/>
          </a:ln>
        </xdr:spPr>
      </xdr:sp>
      <xdr:sp macro="" textlink="">
        <xdr:nvSpPr>
          <xdr:cNvPr id="5106" name="GIN006001_3"/>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C7D6EE"/>
          </a:solidFill>
          <a:ln w="9525">
            <a:solidFill>
              <a:schemeClr val="bg1">
                <a:lumMod val="65000"/>
              </a:schemeClr>
            </a:solidFill>
            <a:prstDash val="solid"/>
            <a:round/>
            <a:headEnd/>
            <a:tailEnd/>
          </a:ln>
        </xdr:spPr>
      </xdr:sp>
      <xdr:sp macro="" textlink="">
        <xdr:nvSpPr>
          <xdr:cNvPr id="5107" name="GIN003002_3"/>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C7D6EE"/>
          </a:solidFill>
          <a:ln w="9525">
            <a:solidFill>
              <a:schemeClr val="bg1">
                <a:lumMod val="65000"/>
              </a:schemeClr>
            </a:solidFill>
            <a:prstDash val="solid"/>
            <a:round/>
            <a:headEnd/>
            <a:tailEnd/>
          </a:ln>
        </xdr:spPr>
      </xdr:sp>
      <xdr:sp macro="" textlink="">
        <xdr:nvSpPr>
          <xdr:cNvPr id="5108" name="GIN001003_3"/>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C7D6EE"/>
          </a:solidFill>
          <a:ln w="9525">
            <a:solidFill>
              <a:schemeClr val="bg1">
                <a:lumMod val="65000"/>
              </a:schemeClr>
            </a:solidFill>
            <a:prstDash val="solid"/>
            <a:round/>
            <a:headEnd/>
            <a:tailEnd/>
          </a:ln>
        </xdr:spPr>
      </xdr:sp>
      <xdr:sp macro="" textlink="">
        <xdr:nvSpPr>
          <xdr:cNvPr id="5109" name="GIN006004_3"/>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C7D6EE"/>
          </a:solidFill>
          <a:ln w="9525">
            <a:solidFill>
              <a:schemeClr val="bg1">
                <a:lumMod val="65000"/>
              </a:schemeClr>
            </a:solidFill>
            <a:prstDash val="solid"/>
            <a:round/>
            <a:headEnd/>
            <a:tailEnd/>
          </a:ln>
        </xdr:spPr>
      </xdr:sp>
      <xdr:sp macro="" textlink="">
        <xdr:nvSpPr>
          <xdr:cNvPr id="5110" name="GIN004005_3"/>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C7D6EE"/>
          </a:solidFill>
          <a:ln w="9525">
            <a:solidFill>
              <a:schemeClr val="bg1">
                <a:lumMod val="65000"/>
              </a:schemeClr>
            </a:solidFill>
            <a:prstDash val="solid"/>
            <a:round/>
            <a:headEnd/>
            <a:tailEnd/>
          </a:ln>
        </xdr:spPr>
      </xdr:sp>
      <xdr:sp macro="" textlink="">
        <xdr:nvSpPr>
          <xdr:cNvPr id="5111" name="GIN001004_3"/>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C7D6EE"/>
          </a:solidFill>
          <a:ln w="9525">
            <a:solidFill>
              <a:schemeClr val="bg1">
                <a:lumMod val="65000"/>
              </a:schemeClr>
            </a:solidFill>
            <a:prstDash val="solid"/>
            <a:round/>
            <a:headEnd/>
            <a:tailEnd/>
          </a:ln>
        </xdr:spPr>
      </xdr:sp>
      <xdr:sp macro="" textlink="">
        <xdr:nvSpPr>
          <xdr:cNvPr id="5112" name="GIN002001_3"/>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113" name="Group 50"/>
          <xdr:cNvGrpSpPr/>
        </xdr:nvGrpSpPr>
        <xdr:grpSpPr>
          <a:xfrm>
            <a:off x="4212412" y="4930731"/>
            <a:ext cx="721252" cy="300159"/>
            <a:chOff x="2925363" y="2042423"/>
            <a:chExt cx="743166" cy="307879"/>
          </a:xfrm>
          <a:grpFill/>
        </xdr:grpSpPr>
        <xdr:cxnSp macro="">
          <xdr:nvCxnSpPr>
            <xdr:cNvPr id="5114" name="Elbow Connector 51_3"/>
            <xdr:cNvCxnSpPr>
              <a:stCxn id="5112" idx="54"/>
              <a:endCxn id="5115"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115" name="Oval 52_3"/>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7</xdr:col>
      <xdr:colOff>51954</xdr:colOff>
      <xdr:row>48</xdr:row>
      <xdr:rowOff>51955</xdr:rowOff>
    </xdr:from>
    <xdr:to>
      <xdr:col>19</xdr:col>
      <xdr:colOff>48064</xdr:colOff>
      <xdr:row>57</xdr:row>
      <xdr:rowOff>51313</xdr:rowOff>
    </xdr:to>
    <xdr:grpSp>
      <xdr:nvGrpSpPr>
        <xdr:cNvPr id="5116" name="_Map4Geometry"/>
        <xdr:cNvGrpSpPr>
          <a:grpSpLocks noChangeAspect="1"/>
        </xdr:cNvGrpSpPr>
      </xdr:nvGrpSpPr>
      <xdr:grpSpPr>
        <a:xfrm>
          <a:off x="2718954" y="8167255"/>
          <a:ext cx="2167810" cy="1628133"/>
          <a:chOff x="3565073" y="2219820"/>
          <a:chExt cx="6883977" cy="4969206"/>
        </a:xfrm>
        <a:solidFill>
          <a:schemeClr val="bg1"/>
        </a:solidFill>
      </xdr:grpSpPr>
      <xdr:sp macro="" textlink="">
        <xdr:nvSpPr>
          <xdr:cNvPr id="5117" name="GIN008006_4"/>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C7D6EE"/>
          </a:solidFill>
          <a:ln w="9525">
            <a:solidFill>
              <a:schemeClr val="bg1">
                <a:lumMod val="65000"/>
              </a:schemeClr>
            </a:solidFill>
            <a:prstDash val="solid"/>
            <a:round/>
            <a:headEnd/>
            <a:tailEnd/>
          </a:ln>
        </xdr:spPr>
      </xdr:sp>
      <xdr:sp macro="" textlink="">
        <xdr:nvSpPr>
          <xdr:cNvPr id="5118" name="GIN008005_4"/>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119" name="GIN008003_4"/>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C7D6EE"/>
          </a:solidFill>
          <a:ln w="9525">
            <a:solidFill>
              <a:schemeClr val="bg1">
                <a:lumMod val="65000"/>
              </a:schemeClr>
            </a:solidFill>
            <a:prstDash val="solid"/>
            <a:round/>
            <a:headEnd/>
            <a:tailEnd/>
          </a:ln>
        </xdr:spPr>
      </xdr:sp>
      <xdr:sp macro="" textlink="">
        <xdr:nvSpPr>
          <xdr:cNvPr id="5120" name="GIN008002_4"/>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C7D6EE"/>
          </a:solidFill>
          <a:ln w="9525">
            <a:solidFill>
              <a:schemeClr val="bg1">
                <a:lumMod val="65000"/>
              </a:schemeClr>
            </a:solidFill>
            <a:prstDash val="solid"/>
            <a:round/>
            <a:headEnd/>
            <a:tailEnd/>
          </a:ln>
        </xdr:spPr>
      </xdr:sp>
      <xdr:sp macro="" textlink="">
        <xdr:nvSpPr>
          <xdr:cNvPr id="5121" name="GIN008004_4"/>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C7D6EE"/>
          </a:solidFill>
          <a:ln w="9525">
            <a:solidFill>
              <a:schemeClr val="bg1">
                <a:lumMod val="65000"/>
              </a:schemeClr>
            </a:solidFill>
            <a:prstDash val="solid"/>
            <a:round/>
            <a:headEnd/>
            <a:tailEnd/>
          </a:ln>
        </xdr:spPr>
      </xdr:sp>
      <xdr:sp macro="" textlink="">
        <xdr:nvSpPr>
          <xdr:cNvPr id="5122" name="GIN008001_4"/>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123" name="GIN003004_4"/>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C7D6EE"/>
          </a:solidFill>
          <a:ln w="9525">
            <a:solidFill>
              <a:schemeClr val="bg1">
                <a:lumMod val="65000"/>
              </a:schemeClr>
            </a:solidFill>
            <a:prstDash val="solid"/>
            <a:round/>
            <a:headEnd/>
            <a:tailEnd/>
          </a:ln>
        </xdr:spPr>
      </xdr:sp>
      <xdr:sp macro="" textlink="">
        <xdr:nvSpPr>
          <xdr:cNvPr id="5124" name="GIN005003_4"/>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125" name="GIN002001_4"/>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C7D6EE"/>
          </a:solidFill>
          <a:ln w="9525">
            <a:solidFill>
              <a:schemeClr val="bg1">
                <a:lumMod val="65000"/>
              </a:schemeClr>
            </a:solidFill>
            <a:prstDash val="solid"/>
            <a:round/>
            <a:headEnd/>
            <a:tailEnd/>
          </a:ln>
        </xdr:spPr>
      </xdr:sp>
      <xdr:sp macro="" textlink="">
        <xdr:nvSpPr>
          <xdr:cNvPr id="5126" name="GIN004002_4"/>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C7D6EE"/>
          </a:solidFill>
          <a:ln w="9525">
            <a:solidFill>
              <a:schemeClr val="bg1">
                <a:lumMod val="65000"/>
              </a:schemeClr>
            </a:solidFill>
            <a:prstDash val="solid"/>
            <a:round/>
            <a:headEnd/>
            <a:tailEnd/>
          </a:ln>
        </xdr:spPr>
      </xdr:sp>
      <xdr:sp macro="" textlink="">
        <xdr:nvSpPr>
          <xdr:cNvPr id="5127" name="GIN005002_4"/>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C7D6EE"/>
          </a:solidFill>
          <a:ln w="9525">
            <a:solidFill>
              <a:schemeClr val="bg1">
                <a:lumMod val="65000"/>
              </a:schemeClr>
            </a:solidFill>
            <a:prstDash val="solid"/>
            <a:round/>
            <a:headEnd/>
            <a:tailEnd/>
          </a:ln>
        </xdr:spPr>
      </xdr:sp>
      <xdr:sp macro="" textlink="">
        <xdr:nvSpPr>
          <xdr:cNvPr id="5128" name="GIN003003_4"/>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C7D6EE"/>
          </a:solidFill>
          <a:ln w="9525">
            <a:solidFill>
              <a:schemeClr val="bg1">
                <a:lumMod val="65000"/>
              </a:schemeClr>
            </a:solidFill>
            <a:prstDash val="solid"/>
            <a:round/>
            <a:headEnd/>
            <a:tailEnd/>
          </a:ln>
        </xdr:spPr>
      </xdr:sp>
      <xdr:sp macro="" textlink="">
        <xdr:nvSpPr>
          <xdr:cNvPr id="5129" name="GIN005001_4"/>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C7D6EE"/>
          </a:solidFill>
          <a:ln w="9525">
            <a:solidFill>
              <a:schemeClr val="bg1">
                <a:lumMod val="65000"/>
              </a:schemeClr>
            </a:solidFill>
            <a:prstDash val="solid"/>
            <a:round/>
            <a:headEnd/>
            <a:tailEnd/>
          </a:ln>
        </xdr:spPr>
      </xdr:sp>
      <xdr:sp macro="" textlink="">
        <xdr:nvSpPr>
          <xdr:cNvPr id="5130" name="GIN001001_4"/>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C7D6EE"/>
          </a:solidFill>
          <a:ln w="9525">
            <a:solidFill>
              <a:schemeClr val="bg1">
                <a:lumMod val="65000"/>
              </a:schemeClr>
            </a:solidFill>
            <a:prstDash val="solid"/>
            <a:round/>
            <a:headEnd/>
            <a:tailEnd/>
          </a:ln>
        </xdr:spPr>
      </xdr:sp>
      <xdr:sp macro="" textlink="">
        <xdr:nvSpPr>
          <xdr:cNvPr id="5131" name="GIN007002_4"/>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C7D6EE"/>
          </a:solidFill>
          <a:ln w="9525">
            <a:solidFill>
              <a:schemeClr val="bg1">
                <a:lumMod val="65000"/>
              </a:schemeClr>
            </a:solidFill>
            <a:prstDash val="solid"/>
            <a:round/>
            <a:headEnd/>
            <a:tailEnd/>
          </a:ln>
        </xdr:spPr>
      </xdr:sp>
      <xdr:sp macro="" textlink="">
        <xdr:nvSpPr>
          <xdr:cNvPr id="5132" name="GIN005005_4"/>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C7D6EE"/>
          </a:solidFill>
          <a:ln w="9525">
            <a:solidFill>
              <a:schemeClr val="bg1">
                <a:lumMod val="65000"/>
              </a:schemeClr>
            </a:solidFill>
            <a:prstDash val="solid"/>
            <a:round/>
            <a:headEnd/>
            <a:tailEnd/>
          </a:ln>
        </xdr:spPr>
      </xdr:sp>
      <xdr:sp macro="" textlink="">
        <xdr:nvSpPr>
          <xdr:cNvPr id="5133" name="GIN005004_4"/>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C7D6EE"/>
          </a:solidFill>
          <a:ln w="9525">
            <a:solidFill>
              <a:schemeClr val="bg1">
                <a:lumMod val="65000"/>
              </a:schemeClr>
            </a:solidFill>
            <a:prstDash val="solid"/>
            <a:round/>
            <a:headEnd/>
            <a:tailEnd/>
          </a:ln>
        </xdr:spPr>
      </xdr:sp>
      <xdr:sp macro="" textlink="">
        <xdr:nvSpPr>
          <xdr:cNvPr id="5134" name="GIN001002_4"/>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C7D6EE"/>
          </a:solidFill>
          <a:ln w="9525">
            <a:solidFill>
              <a:schemeClr val="bg1">
                <a:lumMod val="65000"/>
              </a:schemeClr>
            </a:solidFill>
            <a:prstDash val="solid"/>
            <a:round/>
            <a:headEnd/>
            <a:tailEnd/>
          </a:ln>
        </xdr:spPr>
      </xdr:sp>
      <xdr:sp macro="" textlink="">
        <xdr:nvSpPr>
          <xdr:cNvPr id="5135" name="GIN004001_4"/>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C7D6EE"/>
          </a:solidFill>
          <a:ln w="9525">
            <a:solidFill>
              <a:schemeClr val="bg1">
                <a:lumMod val="65000"/>
              </a:schemeClr>
            </a:solidFill>
            <a:prstDash val="solid"/>
            <a:round/>
            <a:headEnd/>
            <a:tailEnd/>
          </a:ln>
        </xdr:spPr>
      </xdr:sp>
      <xdr:sp macro="" textlink="">
        <xdr:nvSpPr>
          <xdr:cNvPr id="5136" name="GIN003001_4"/>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C7D6EE"/>
          </a:solidFill>
          <a:ln w="9525">
            <a:solidFill>
              <a:schemeClr val="bg1">
                <a:lumMod val="65000"/>
              </a:schemeClr>
            </a:solidFill>
            <a:prstDash val="solid"/>
            <a:round/>
            <a:headEnd/>
            <a:tailEnd/>
          </a:ln>
        </xdr:spPr>
      </xdr:sp>
      <xdr:sp macro="" textlink="">
        <xdr:nvSpPr>
          <xdr:cNvPr id="5137" name="GIN007001_4"/>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C7D6EE"/>
          </a:solidFill>
          <a:ln w="9525">
            <a:solidFill>
              <a:schemeClr val="bg1">
                <a:lumMod val="65000"/>
              </a:schemeClr>
            </a:solidFill>
            <a:prstDash val="solid"/>
            <a:round/>
            <a:headEnd/>
            <a:tailEnd/>
          </a:ln>
        </xdr:spPr>
      </xdr:sp>
      <xdr:sp macro="" textlink="">
        <xdr:nvSpPr>
          <xdr:cNvPr id="5138" name="GIN007003_4"/>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C7D6EE"/>
          </a:solidFill>
          <a:ln w="9525">
            <a:solidFill>
              <a:schemeClr val="bg1">
                <a:lumMod val="65000"/>
              </a:schemeClr>
            </a:solidFill>
            <a:prstDash val="solid"/>
            <a:round/>
            <a:headEnd/>
            <a:tailEnd/>
          </a:ln>
        </xdr:spPr>
      </xdr:sp>
      <xdr:sp macro="" textlink="">
        <xdr:nvSpPr>
          <xdr:cNvPr id="5139" name="GIN005006_4"/>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C7D6EE"/>
          </a:solidFill>
          <a:ln w="9525">
            <a:solidFill>
              <a:schemeClr val="bg1">
                <a:lumMod val="65000"/>
              </a:schemeClr>
            </a:solidFill>
            <a:prstDash val="solid"/>
            <a:round/>
            <a:headEnd/>
            <a:tailEnd/>
          </a:ln>
        </xdr:spPr>
      </xdr:sp>
      <xdr:sp macro="" textlink="">
        <xdr:nvSpPr>
          <xdr:cNvPr id="5140" name="GIN004003_4"/>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C7D6EE"/>
          </a:solidFill>
          <a:ln w="9525">
            <a:solidFill>
              <a:schemeClr val="bg1">
                <a:lumMod val="65000"/>
              </a:schemeClr>
            </a:solidFill>
            <a:prstDash val="solid"/>
            <a:round/>
            <a:headEnd/>
            <a:tailEnd/>
          </a:ln>
        </xdr:spPr>
      </xdr:sp>
      <xdr:sp macro="" textlink="">
        <xdr:nvSpPr>
          <xdr:cNvPr id="5141" name="GIN004004_4"/>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142" name="GIN006002_4"/>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C7D6EE"/>
          </a:solidFill>
          <a:ln w="9525">
            <a:solidFill>
              <a:schemeClr val="bg1">
                <a:lumMod val="65000"/>
              </a:schemeClr>
            </a:solidFill>
            <a:prstDash val="solid"/>
            <a:round/>
            <a:headEnd/>
            <a:tailEnd/>
          </a:ln>
        </xdr:spPr>
      </xdr:sp>
      <xdr:sp macro="" textlink="">
        <xdr:nvSpPr>
          <xdr:cNvPr id="5143" name="GIN006003_4"/>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C7D6EE"/>
          </a:solidFill>
          <a:ln w="9525">
            <a:solidFill>
              <a:schemeClr val="bg1">
                <a:lumMod val="65000"/>
              </a:schemeClr>
            </a:solidFill>
            <a:prstDash val="solid"/>
            <a:round/>
            <a:headEnd/>
            <a:tailEnd/>
          </a:ln>
        </xdr:spPr>
      </xdr:sp>
      <xdr:sp macro="" textlink="">
        <xdr:nvSpPr>
          <xdr:cNvPr id="5144" name="GIN006005_4"/>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C7D6EE"/>
          </a:solidFill>
          <a:ln w="9525">
            <a:solidFill>
              <a:schemeClr val="bg1">
                <a:lumMod val="65000"/>
              </a:schemeClr>
            </a:solidFill>
            <a:prstDash val="solid"/>
            <a:round/>
            <a:headEnd/>
            <a:tailEnd/>
          </a:ln>
        </xdr:spPr>
      </xdr:sp>
      <xdr:sp macro="" textlink="">
        <xdr:nvSpPr>
          <xdr:cNvPr id="5145" name="GIN006001_4"/>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C7D6EE"/>
          </a:solidFill>
          <a:ln w="9525">
            <a:solidFill>
              <a:schemeClr val="bg1">
                <a:lumMod val="65000"/>
              </a:schemeClr>
            </a:solidFill>
            <a:prstDash val="solid"/>
            <a:round/>
            <a:headEnd/>
            <a:tailEnd/>
          </a:ln>
        </xdr:spPr>
      </xdr:sp>
      <xdr:sp macro="" textlink="">
        <xdr:nvSpPr>
          <xdr:cNvPr id="5146" name="GIN003002_4"/>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C7D6EE"/>
          </a:solidFill>
          <a:ln w="9525">
            <a:solidFill>
              <a:schemeClr val="bg1">
                <a:lumMod val="65000"/>
              </a:schemeClr>
            </a:solidFill>
            <a:prstDash val="solid"/>
            <a:round/>
            <a:headEnd/>
            <a:tailEnd/>
          </a:ln>
        </xdr:spPr>
      </xdr:sp>
      <xdr:sp macro="" textlink="">
        <xdr:nvSpPr>
          <xdr:cNvPr id="5147" name="GIN001003_4"/>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C7D6EE"/>
          </a:solidFill>
          <a:ln w="9525">
            <a:solidFill>
              <a:schemeClr val="bg1">
                <a:lumMod val="65000"/>
              </a:schemeClr>
            </a:solidFill>
            <a:prstDash val="solid"/>
            <a:round/>
            <a:headEnd/>
            <a:tailEnd/>
          </a:ln>
        </xdr:spPr>
      </xdr:sp>
      <xdr:sp macro="" textlink="">
        <xdr:nvSpPr>
          <xdr:cNvPr id="5148" name="GIN006004_4"/>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C7D6EE"/>
          </a:solidFill>
          <a:ln w="9525">
            <a:solidFill>
              <a:schemeClr val="bg1">
                <a:lumMod val="65000"/>
              </a:schemeClr>
            </a:solidFill>
            <a:prstDash val="solid"/>
            <a:round/>
            <a:headEnd/>
            <a:tailEnd/>
          </a:ln>
        </xdr:spPr>
      </xdr:sp>
      <xdr:sp macro="" textlink="">
        <xdr:nvSpPr>
          <xdr:cNvPr id="5149" name="GIN004005_4"/>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C7D6EE"/>
          </a:solidFill>
          <a:ln w="9525">
            <a:solidFill>
              <a:schemeClr val="bg1">
                <a:lumMod val="65000"/>
              </a:schemeClr>
            </a:solidFill>
            <a:prstDash val="solid"/>
            <a:round/>
            <a:headEnd/>
            <a:tailEnd/>
          </a:ln>
        </xdr:spPr>
      </xdr:sp>
      <xdr:sp macro="" textlink="">
        <xdr:nvSpPr>
          <xdr:cNvPr id="5150" name="GIN001004_4"/>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C7D6EE"/>
          </a:solidFill>
          <a:ln w="9525">
            <a:solidFill>
              <a:schemeClr val="bg1">
                <a:lumMod val="65000"/>
              </a:schemeClr>
            </a:solidFill>
            <a:prstDash val="solid"/>
            <a:round/>
            <a:headEnd/>
            <a:tailEnd/>
          </a:ln>
        </xdr:spPr>
      </xdr:sp>
      <xdr:sp macro="" textlink="">
        <xdr:nvSpPr>
          <xdr:cNvPr id="5151" name="GIN002001_4"/>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152" name="Group 50"/>
          <xdr:cNvGrpSpPr/>
        </xdr:nvGrpSpPr>
        <xdr:grpSpPr>
          <a:xfrm>
            <a:off x="4212412" y="4930731"/>
            <a:ext cx="721252" cy="300159"/>
            <a:chOff x="2925363" y="2042423"/>
            <a:chExt cx="743166" cy="307879"/>
          </a:xfrm>
          <a:grpFill/>
        </xdr:grpSpPr>
        <xdr:cxnSp macro="">
          <xdr:nvCxnSpPr>
            <xdr:cNvPr id="5153" name="Elbow Connector 51_4"/>
            <xdr:cNvCxnSpPr>
              <a:stCxn id="5151" idx="54"/>
              <a:endCxn id="5154"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154" name="Oval 52_4"/>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24</xdr:col>
      <xdr:colOff>51954</xdr:colOff>
      <xdr:row>48</xdr:row>
      <xdr:rowOff>51955</xdr:rowOff>
    </xdr:from>
    <xdr:to>
      <xdr:col>36</xdr:col>
      <xdr:colOff>48064</xdr:colOff>
      <xdr:row>57</xdr:row>
      <xdr:rowOff>51313</xdr:rowOff>
    </xdr:to>
    <xdr:grpSp>
      <xdr:nvGrpSpPr>
        <xdr:cNvPr id="5155" name="_Map5Geometry"/>
        <xdr:cNvGrpSpPr>
          <a:grpSpLocks noChangeAspect="1"/>
        </xdr:cNvGrpSpPr>
      </xdr:nvGrpSpPr>
      <xdr:grpSpPr>
        <a:xfrm>
          <a:off x="5795529" y="8167255"/>
          <a:ext cx="2167810" cy="1628133"/>
          <a:chOff x="3565073" y="2219820"/>
          <a:chExt cx="6883977" cy="4969206"/>
        </a:xfrm>
        <a:solidFill>
          <a:schemeClr val="bg1"/>
        </a:solidFill>
      </xdr:grpSpPr>
      <xdr:sp macro="" textlink="">
        <xdr:nvSpPr>
          <xdr:cNvPr id="5156" name="GIN008006_5"/>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95B6DF"/>
          </a:solidFill>
          <a:ln w="9525">
            <a:solidFill>
              <a:schemeClr val="bg1">
                <a:lumMod val="65000"/>
              </a:schemeClr>
            </a:solidFill>
            <a:prstDash val="solid"/>
            <a:round/>
            <a:headEnd/>
            <a:tailEnd/>
          </a:ln>
        </xdr:spPr>
      </xdr:sp>
      <xdr:sp macro="" textlink="">
        <xdr:nvSpPr>
          <xdr:cNvPr id="5157" name="GIN008005_5"/>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95B6DF"/>
          </a:solidFill>
          <a:ln w="9525">
            <a:solidFill>
              <a:schemeClr val="bg1">
                <a:lumMod val="65000"/>
              </a:schemeClr>
            </a:solidFill>
            <a:prstDash val="solid"/>
            <a:round/>
            <a:headEnd/>
            <a:tailEnd/>
          </a:ln>
        </xdr:spPr>
      </xdr:sp>
      <xdr:sp macro="" textlink="">
        <xdr:nvSpPr>
          <xdr:cNvPr id="5158" name="GIN008003_5"/>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C7D6EE"/>
          </a:solidFill>
          <a:ln w="9525">
            <a:solidFill>
              <a:schemeClr val="bg1">
                <a:lumMod val="65000"/>
              </a:schemeClr>
            </a:solidFill>
            <a:prstDash val="solid"/>
            <a:round/>
            <a:headEnd/>
            <a:tailEnd/>
          </a:ln>
        </xdr:spPr>
      </xdr:sp>
      <xdr:sp macro="" textlink="">
        <xdr:nvSpPr>
          <xdr:cNvPr id="5159" name="GIN008002_5"/>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95B6DF"/>
          </a:solidFill>
          <a:ln w="9525">
            <a:solidFill>
              <a:schemeClr val="bg1">
                <a:lumMod val="65000"/>
              </a:schemeClr>
            </a:solidFill>
            <a:prstDash val="solid"/>
            <a:round/>
            <a:headEnd/>
            <a:tailEnd/>
          </a:ln>
        </xdr:spPr>
      </xdr:sp>
      <xdr:sp macro="" textlink="">
        <xdr:nvSpPr>
          <xdr:cNvPr id="5160" name="GIN008004_5"/>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95B6DF"/>
          </a:solidFill>
          <a:ln w="9525">
            <a:solidFill>
              <a:schemeClr val="bg1">
                <a:lumMod val="65000"/>
              </a:schemeClr>
            </a:solidFill>
            <a:prstDash val="solid"/>
            <a:round/>
            <a:headEnd/>
            <a:tailEnd/>
          </a:ln>
        </xdr:spPr>
      </xdr:sp>
      <xdr:sp macro="" textlink="">
        <xdr:nvSpPr>
          <xdr:cNvPr id="5161" name="GIN008001_5"/>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162" name="GIN003004_5"/>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95B6DF"/>
          </a:solidFill>
          <a:ln w="9525">
            <a:solidFill>
              <a:schemeClr val="bg1">
                <a:lumMod val="65000"/>
              </a:schemeClr>
            </a:solidFill>
            <a:prstDash val="solid"/>
            <a:round/>
            <a:headEnd/>
            <a:tailEnd/>
          </a:ln>
        </xdr:spPr>
      </xdr:sp>
      <xdr:sp macro="" textlink="">
        <xdr:nvSpPr>
          <xdr:cNvPr id="5163" name="GIN005003_5"/>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95B6DF"/>
          </a:solidFill>
          <a:ln w="9525">
            <a:solidFill>
              <a:schemeClr val="bg1">
                <a:lumMod val="65000"/>
              </a:schemeClr>
            </a:solidFill>
            <a:prstDash val="solid"/>
            <a:round/>
            <a:headEnd/>
            <a:tailEnd/>
          </a:ln>
        </xdr:spPr>
      </xdr:sp>
      <xdr:sp macro="" textlink="">
        <xdr:nvSpPr>
          <xdr:cNvPr id="5164" name="GIN002001_5"/>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C7D6EE"/>
          </a:solidFill>
          <a:ln w="9525">
            <a:solidFill>
              <a:schemeClr val="bg1">
                <a:lumMod val="65000"/>
              </a:schemeClr>
            </a:solidFill>
            <a:prstDash val="solid"/>
            <a:round/>
            <a:headEnd/>
            <a:tailEnd/>
          </a:ln>
        </xdr:spPr>
      </xdr:sp>
      <xdr:sp macro="" textlink="">
        <xdr:nvSpPr>
          <xdr:cNvPr id="5165" name="GIN004002_5"/>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C7D6EE"/>
          </a:solidFill>
          <a:ln w="9525">
            <a:solidFill>
              <a:schemeClr val="bg1">
                <a:lumMod val="65000"/>
              </a:schemeClr>
            </a:solidFill>
            <a:prstDash val="solid"/>
            <a:round/>
            <a:headEnd/>
            <a:tailEnd/>
          </a:ln>
        </xdr:spPr>
      </xdr:sp>
      <xdr:sp macro="" textlink="">
        <xdr:nvSpPr>
          <xdr:cNvPr id="5166" name="GIN005002_5"/>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95B6DF"/>
          </a:solidFill>
          <a:ln w="9525">
            <a:solidFill>
              <a:schemeClr val="bg1">
                <a:lumMod val="65000"/>
              </a:schemeClr>
            </a:solidFill>
            <a:prstDash val="solid"/>
            <a:round/>
            <a:headEnd/>
            <a:tailEnd/>
          </a:ln>
        </xdr:spPr>
      </xdr:sp>
      <xdr:sp macro="" textlink="">
        <xdr:nvSpPr>
          <xdr:cNvPr id="5167" name="GIN003003_5"/>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95B6DF"/>
          </a:solidFill>
          <a:ln w="9525">
            <a:solidFill>
              <a:schemeClr val="bg1">
                <a:lumMod val="65000"/>
              </a:schemeClr>
            </a:solidFill>
            <a:prstDash val="solid"/>
            <a:round/>
            <a:headEnd/>
            <a:tailEnd/>
          </a:ln>
        </xdr:spPr>
      </xdr:sp>
      <xdr:sp macro="" textlink="">
        <xdr:nvSpPr>
          <xdr:cNvPr id="5168" name="GIN005001_5"/>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95B6DF"/>
          </a:solidFill>
          <a:ln w="9525">
            <a:solidFill>
              <a:schemeClr val="bg1">
                <a:lumMod val="65000"/>
              </a:schemeClr>
            </a:solidFill>
            <a:prstDash val="solid"/>
            <a:round/>
            <a:headEnd/>
            <a:tailEnd/>
          </a:ln>
        </xdr:spPr>
      </xdr:sp>
      <xdr:sp macro="" textlink="">
        <xdr:nvSpPr>
          <xdr:cNvPr id="5169" name="GIN001001_5"/>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C7D6EE"/>
          </a:solidFill>
          <a:ln w="9525">
            <a:solidFill>
              <a:schemeClr val="bg1">
                <a:lumMod val="65000"/>
              </a:schemeClr>
            </a:solidFill>
            <a:prstDash val="solid"/>
            <a:round/>
            <a:headEnd/>
            <a:tailEnd/>
          </a:ln>
        </xdr:spPr>
      </xdr:sp>
      <xdr:sp macro="" textlink="">
        <xdr:nvSpPr>
          <xdr:cNvPr id="5170" name="GIN007002_5"/>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C7D6EE"/>
          </a:solidFill>
          <a:ln w="9525">
            <a:solidFill>
              <a:schemeClr val="bg1">
                <a:lumMod val="65000"/>
              </a:schemeClr>
            </a:solidFill>
            <a:prstDash val="solid"/>
            <a:round/>
            <a:headEnd/>
            <a:tailEnd/>
          </a:ln>
        </xdr:spPr>
      </xdr:sp>
      <xdr:sp macro="" textlink="">
        <xdr:nvSpPr>
          <xdr:cNvPr id="5171" name="GIN005005_5"/>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C7D6EE"/>
          </a:solidFill>
          <a:ln w="9525">
            <a:solidFill>
              <a:schemeClr val="bg1">
                <a:lumMod val="65000"/>
              </a:schemeClr>
            </a:solidFill>
            <a:prstDash val="solid"/>
            <a:round/>
            <a:headEnd/>
            <a:tailEnd/>
          </a:ln>
        </xdr:spPr>
      </xdr:sp>
      <xdr:sp macro="" textlink="">
        <xdr:nvSpPr>
          <xdr:cNvPr id="5172" name="GIN005004_5"/>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C7D6EE"/>
          </a:solidFill>
          <a:ln w="9525">
            <a:solidFill>
              <a:schemeClr val="bg1">
                <a:lumMod val="65000"/>
              </a:schemeClr>
            </a:solidFill>
            <a:prstDash val="solid"/>
            <a:round/>
            <a:headEnd/>
            <a:tailEnd/>
          </a:ln>
        </xdr:spPr>
      </xdr:sp>
      <xdr:sp macro="" textlink="">
        <xdr:nvSpPr>
          <xdr:cNvPr id="5173" name="GIN001002_5"/>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C7D6EE"/>
          </a:solidFill>
          <a:ln w="9525">
            <a:solidFill>
              <a:schemeClr val="bg1">
                <a:lumMod val="65000"/>
              </a:schemeClr>
            </a:solidFill>
            <a:prstDash val="solid"/>
            <a:round/>
            <a:headEnd/>
            <a:tailEnd/>
          </a:ln>
        </xdr:spPr>
      </xdr:sp>
      <xdr:sp macro="" textlink="">
        <xdr:nvSpPr>
          <xdr:cNvPr id="5174" name="GIN004001_5"/>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95B6DF"/>
          </a:solidFill>
          <a:ln w="9525">
            <a:solidFill>
              <a:schemeClr val="bg1">
                <a:lumMod val="65000"/>
              </a:schemeClr>
            </a:solidFill>
            <a:prstDash val="solid"/>
            <a:round/>
            <a:headEnd/>
            <a:tailEnd/>
          </a:ln>
        </xdr:spPr>
      </xdr:sp>
      <xdr:sp macro="" textlink="">
        <xdr:nvSpPr>
          <xdr:cNvPr id="5175" name="GIN003001_5"/>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95B6DF"/>
          </a:solidFill>
          <a:ln w="9525">
            <a:solidFill>
              <a:schemeClr val="bg1">
                <a:lumMod val="65000"/>
              </a:schemeClr>
            </a:solidFill>
            <a:prstDash val="solid"/>
            <a:round/>
            <a:headEnd/>
            <a:tailEnd/>
          </a:ln>
        </xdr:spPr>
      </xdr:sp>
      <xdr:sp macro="" textlink="">
        <xdr:nvSpPr>
          <xdr:cNvPr id="5176" name="GIN007001_5"/>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C7D6EE"/>
          </a:solidFill>
          <a:ln w="9525">
            <a:solidFill>
              <a:schemeClr val="bg1">
                <a:lumMod val="65000"/>
              </a:schemeClr>
            </a:solidFill>
            <a:prstDash val="solid"/>
            <a:round/>
            <a:headEnd/>
            <a:tailEnd/>
          </a:ln>
        </xdr:spPr>
      </xdr:sp>
      <xdr:sp macro="" textlink="">
        <xdr:nvSpPr>
          <xdr:cNvPr id="5177" name="GIN007003_5"/>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C7D6EE"/>
          </a:solidFill>
          <a:ln w="9525">
            <a:solidFill>
              <a:schemeClr val="bg1">
                <a:lumMod val="65000"/>
              </a:schemeClr>
            </a:solidFill>
            <a:prstDash val="solid"/>
            <a:round/>
            <a:headEnd/>
            <a:tailEnd/>
          </a:ln>
        </xdr:spPr>
      </xdr:sp>
      <xdr:sp macro="" textlink="">
        <xdr:nvSpPr>
          <xdr:cNvPr id="5178" name="GIN005006_5"/>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95B6DF"/>
          </a:solidFill>
          <a:ln w="9525">
            <a:solidFill>
              <a:schemeClr val="bg1">
                <a:lumMod val="65000"/>
              </a:schemeClr>
            </a:solidFill>
            <a:prstDash val="solid"/>
            <a:round/>
            <a:headEnd/>
            <a:tailEnd/>
          </a:ln>
        </xdr:spPr>
      </xdr:sp>
      <xdr:sp macro="" textlink="">
        <xdr:nvSpPr>
          <xdr:cNvPr id="5179" name="GIN004003_5"/>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C7D6EE"/>
          </a:solidFill>
          <a:ln w="9525">
            <a:solidFill>
              <a:schemeClr val="bg1">
                <a:lumMod val="65000"/>
              </a:schemeClr>
            </a:solidFill>
            <a:prstDash val="solid"/>
            <a:round/>
            <a:headEnd/>
            <a:tailEnd/>
          </a:ln>
        </xdr:spPr>
      </xdr:sp>
      <xdr:sp macro="" textlink="">
        <xdr:nvSpPr>
          <xdr:cNvPr id="5180" name="GIN004004_5"/>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95B6DF"/>
          </a:solidFill>
          <a:ln w="9525">
            <a:solidFill>
              <a:schemeClr val="bg1">
                <a:lumMod val="65000"/>
              </a:schemeClr>
            </a:solidFill>
            <a:prstDash val="solid"/>
            <a:round/>
            <a:headEnd/>
            <a:tailEnd/>
          </a:ln>
        </xdr:spPr>
      </xdr:sp>
      <xdr:sp macro="" textlink="">
        <xdr:nvSpPr>
          <xdr:cNvPr id="5181" name="GIN006002_5"/>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C7D6EE"/>
          </a:solidFill>
          <a:ln w="9525">
            <a:solidFill>
              <a:schemeClr val="bg1">
                <a:lumMod val="65000"/>
              </a:schemeClr>
            </a:solidFill>
            <a:prstDash val="solid"/>
            <a:round/>
            <a:headEnd/>
            <a:tailEnd/>
          </a:ln>
        </xdr:spPr>
      </xdr:sp>
      <xdr:sp macro="" textlink="">
        <xdr:nvSpPr>
          <xdr:cNvPr id="5182" name="GIN006003_5"/>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C7D6EE"/>
          </a:solidFill>
          <a:ln w="9525">
            <a:solidFill>
              <a:schemeClr val="bg1">
                <a:lumMod val="65000"/>
              </a:schemeClr>
            </a:solidFill>
            <a:prstDash val="solid"/>
            <a:round/>
            <a:headEnd/>
            <a:tailEnd/>
          </a:ln>
        </xdr:spPr>
      </xdr:sp>
      <xdr:sp macro="" textlink="">
        <xdr:nvSpPr>
          <xdr:cNvPr id="5183" name="GIN006005_5"/>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C7D6EE"/>
          </a:solidFill>
          <a:ln w="9525">
            <a:solidFill>
              <a:schemeClr val="bg1">
                <a:lumMod val="65000"/>
              </a:schemeClr>
            </a:solidFill>
            <a:prstDash val="solid"/>
            <a:round/>
            <a:headEnd/>
            <a:tailEnd/>
          </a:ln>
        </xdr:spPr>
      </xdr:sp>
      <xdr:sp macro="" textlink="">
        <xdr:nvSpPr>
          <xdr:cNvPr id="5184" name="GIN006001_5"/>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C7D6EE"/>
          </a:solidFill>
          <a:ln w="9525">
            <a:solidFill>
              <a:schemeClr val="bg1">
                <a:lumMod val="65000"/>
              </a:schemeClr>
            </a:solidFill>
            <a:prstDash val="solid"/>
            <a:round/>
            <a:headEnd/>
            <a:tailEnd/>
          </a:ln>
        </xdr:spPr>
      </xdr:sp>
      <xdr:sp macro="" textlink="">
        <xdr:nvSpPr>
          <xdr:cNvPr id="5185" name="GIN003002_5"/>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95B6DF"/>
          </a:solidFill>
          <a:ln w="9525">
            <a:solidFill>
              <a:schemeClr val="bg1">
                <a:lumMod val="65000"/>
              </a:schemeClr>
            </a:solidFill>
            <a:prstDash val="solid"/>
            <a:round/>
            <a:headEnd/>
            <a:tailEnd/>
          </a:ln>
        </xdr:spPr>
      </xdr:sp>
      <xdr:sp macro="" textlink="">
        <xdr:nvSpPr>
          <xdr:cNvPr id="5186" name="GIN001003_5"/>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C7D6EE"/>
          </a:solidFill>
          <a:ln w="9525">
            <a:solidFill>
              <a:schemeClr val="bg1">
                <a:lumMod val="65000"/>
              </a:schemeClr>
            </a:solidFill>
            <a:prstDash val="solid"/>
            <a:round/>
            <a:headEnd/>
            <a:tailEnd/>
          </a:ln>
        </xdr:spPr>
      </xdr:sp>
      <xdr:sp macro="" textlink="">
        <xdr:nvSpPr>
          <xdr:cNvPr id="5187" name="GIN006004_5"/>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C7D6EE"/>
          </a:solidFill>
          <a:ln w="9525">
            <a:solidFill>
              <a:schemeClr val="bg1">
                <a:lumMod val="65000"/>
              </a:schemeClr>
            </a:solidFill>
            <a:prstDash val="solid"/>
            <a:round/>
            <a:headEnd/>
            <a:tailEnd/>
          </a:ln>
        </xdr:spPr>
      </xdr:sp>
      <xdr:sp macro="" textlink="">
        <xdr:nvSpPr>
          <xdr:cNvPr id="5188" name="GIN004005_5"/>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C7D6EE"/>
          </a:solidFill>
          <a:ln w="9525">
            <a:solidFill>
              <a:schemeClr val="bg1">
                <a:lumMod val="65000"/>
              </a:schemeClr>
            </a:solidFill>
            <a:prstDash val="solid"/>
            <a:round/>
            <a:headEnd/>
            <a:tailEnd/>
          </a:ln>
        </xdr:spPr>
      </xdr:sp>
      <xdr:sp macro="" textlink="">
        <xdr:nvSpPr>
          <xdr:cNvPr id="5189" name="GIN001004_5"/>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C7D6EE"/>
          </a:solidFill>
          <a:ln w="9525">
            <a:solidFill>
              <a:schemeClr val="bg1">
                <a:lumMod val="65000"/>
              </a:schemeClr>
            </a:solidFill>
            <a:prstDash val="solid"/>
            <a:round/>
            <a:headEnd/>
            <a:tailEnd/>
          </a:ln>
        </xdr:spPr>
      </xdr:sp>
      <xdr:sp macro="" textlink="">
        <xdr:nvSpPr>
          <xdr:cNvPr id="5190" name="GIN002001_5"/>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191" name="Group 50"/>
          <xdr:cNvGrpSpPr/>
        </xdr:nvGrpSpPr>
        <xdr:grpSpPr>
          <a:xfrm>
            <a:off x="4212412" y="4930731"/>
            <a:ext cx="721252" cy="300159"/>
            <a:chOff x="2925363" y="2042423"/>
            <a:chExt cx="743166" cy="307879"/>
          </a:xfrm>
          <a:grpFill/>
        </xdr:grpSpPr>
        <xdr:cxnSp macro="">
          <xdr:nvCxnSpPr>
            <xdr:cNvPr id="5192" name="Elbow Connector 51_5"/>
            <xdr:cNvCxnSpPr>
              <a:stCxn id="5190" idx="54"/>
              <a:endCxn id="5193"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193" name="Oval 52_5"/>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41</xdr:col>
      <xdr:colOff>51955</xdr:colOff>
      <xdr:row>48</xdr:row>
      <xdr:rowOff>51955</xdr:rowOff>
    </xdr:from>
    <xdr:to>
      <xdr:col>53</xdr:col>
      <xdr:colOff>48064</xdr:colOff>
      <xdr:row>57</xdr:row>
      <xdr:rowOff>51313</xdr:rowOff>
    </xdr:to>
    <xdr:grpSp>
      <xdr:nvGrpSpPr>
        <xdr:cNvPr id="5194" name="_Map6Geometry"/>
        <xdr:cNvGrpSpPr>
          <a:grpSpLocks noChangeAspect="1"/>
        </xdr:cNvGrpSpPr>
      </xdr:nvGrpSpPr>
      <xdr:grpSpPr>
        <a:xfrm>
          <a:off x="8872105" y="8167255"/>
          <a:ext cx="2167809" cy="1628133"/>
          <a:chOff x="3565073" y="2219820"/>
          <a:chExt cx="6883977" cy="4969206"/>
        </a:xfrm>
        <a:solidFill>
          <a:schemeClr val="bg1"/>
        </a:solidFill>
      </xdr:grpSpPr>
      <xdr:sp macro="" textlink="">
        <xdr:nvSpPr>
          <xdr:cNvPr id="5195" name="GIN008006_6"/>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FFFFFF"/>
          </a:solidFill>
          <a:ln w="9525">
            <a:solidFill>
              <a:schemeClr val="bg1">
                <a:lumMod val="65000"/>
              </a:schemeClr>
            </a:solidFill>
            <a:prstDash val="solid"/>
            <a:round/>
            <a:headEnd/>
            <a:tailEnd/>
          </a:ln>
        </xdr:spPr>
      </xdr:sp>
      <xdr:sp macro="" textlink="">
        <xdr:nvSpPr>
          <xdr:cNvPr id="5196" name="GIN008005_6"/>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197" name="GIN008003_6"/>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FFFFFF"/>
          </a:solidFill>
          <a:ln w="9525">
            <a:solidFill>
              <a:schemeClr val="bg1">
                <a:lumMod val="65000"/>
              </a:schemeClr>
            </a:solidFill>
            <a:prstDash val="solid"/>
            <a:round/>
            <a:headEnd/>
            <a:tailEnd/>
          </a:ln>
        </xdr:spPr>
      </xdr:sp>
      <xdr:sp macro="" textlink="">
        <xdr:nvSpPr>
          <xdr:cNvPr id="5198" name="GIN008002_6"/>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C7D6EE"/>
          </a:solidFill>
          <a:ln w="9525">
            <a:solidFill>
              <a:schemeClr val="bg1">
                <a:lumMod val="65000"/>
              </a:schemeClr>
            </a:solidFill>
            <a:prstDash val="solid"/>
            <a:round/>
            <a:headEnd/>
            <a:tailEnd/>
          </a:ln>
        </xdr:spPr>
      </xdr:sp>
      <xdr:sp macro="" textlink="">
        <xdr:nvSpPr>
          <xdr:cNvPr id="5199" name="GIN008004_6"/>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C7D6EE"/>
          </a:solidFill>
          <a:ln w="9525">
            <a:solidFill>
              <a:schemeClr val="bg1">
                <a:lumMod val="65000"/>
              </a:schemeClr>
            </a:solidFill>
            <a:prstDash val="solid"/>
            <a:round/>
            <a:headEnd/>
            <a:tailEnd/>
          </a:ln>
        </xdr:spPr>
      </xdr:sp>
      <xdr:sp macro="" textlink="">
        <xdr:nvSpPr>
          <xdr:cNvPr id="5200" name="GIN008001_6"/>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201" name="GIN003004_6"/>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C7D6EE"/>
          </a:solidFill>
          <a:ln w="9525">
            <a:solidFill>
              <a:schemeClr val="bg1">
                <a:lumMod val="65000"/>
              </a:schemeClr>
            </a:solidFill>
            <a:prstDash val="solid"/>
            <a:round/>
            <a:headEnd/>
            <a:tailEnd/>
          </a:ln>
        </xdr:spPr>
      </xdr:sp>
      <xdr:sp macro="" textlink="">
        <xdr:nvSpPr>
          <xdr:cNvPr id="5202" name="GIN005003_6"/>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203" name="GIN002001_6"/>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C7D6EE"/>
          </a:solidFill>
          <a:ln w="9525">
            <a:solidFill>
              <a:schemeClr val="bg1">
                <a:lumMod val="65000"/>
              </a:schemeClr>
            </a:solidFill>
            <a:prstDash val="solid"/>
            <a:round/>
            <a:headEnd/>
            <a:tailEnd/>
          </a:ln>
        </xdr:spPr>
      </xdr:sp>
      <xdr:sp macro="" textlink="">
        <xdr:nvSpPr>
          <xdr:cNvPr id="5204" name="GIN004002_6"/>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C7D6EE"/>
          </a:solidFill>
          <a:ln w="9525">
            <a:solidFill>
              <a:schemeClr val="bg1">
                <a:lumMod val="65000"/>
              </a:schemeClr>
            </a:solidFill>
            <a:prstDash val="solid"/>
            <a:round/>
            <a:headEnd/>
            <a:tailEnd/>
          </a:ln>
        </xdr:spPr>
      </xdr:sp>
      <xdr:sp macro="" textlink="">
        <xdr:nvSpPr>
          <xdr:cNvPr id="5205" name="GIN005002_6"/>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C7D6EE"/>
          </a:solidFill>
          <a:ln w="9525">
            <a:solidFill>
              <a:schemeClr val="bg1">
                <a:lumMod val="65000"/>
              </a:schemeClr>
            </a:solidFill>
            <a:prstDash val="solid"/>
            <a:round/>
            <a:headEnd/>
            <a:tailEnd/>
          </a:ln>
        </xdr:spPr>
      </xdr:sp>
      <xdr:sp macro="" textlink="">
        <xdr:nvSpPr>
          <xdr:cNvPr id="5206" name="GIN003003_6"/>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C7D6EE"/>
          </a:solidFill>
          <a:ln w="9525">
            <a:solidFill>
              <a:schemeClr val="bg1">
                <a:lumMod val="65000"/>
              </a:schemeClr>
            </a:solidFill>
            <a:prstDash val="solid"/>
            <a:round/>
            <a:headEnd/>
            <a:tailEnd/>
          </a:ln>
        </xdr:spPr>
      </xdr:sp>
      <xdr:sp macro="" textlink="">
        <xdr:nvSpPr>
          <xdr:cNvPr id="5207" name="GIN005001_6"/>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C7D6EE"/>
          </a:solidFill>
          <a:ln w="9525">
            <a:solidFill>
              <a:schemeClr val="bg1">
                <a:lumMod val="65000"/>
              </a:schemeClr>
            </a:solidFill>
            <a:prstDash val="solid"/>
            <a:round/>
            <a:headEnd/>
            <a:tailEnd/>
          </a:ln>
        </xdr:spPr>
      </xdr:sp>
      <xdr:sp macro="" textlink="">
        <xdr:nvSpPr>
          <xdr:cNvPr id="5208" name="GIN001001_6"/>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FFFFFF"/>
          </a:solidFill>
          <a:ln w="9525">
            <a:solidFill>
              <a:schemeClr val="bg1">
                <a:lumMod val="65000"/>
              </a:schemeClr>
            </a:solidFill>
            <a:prstDash val="solid"/>
            <a:round/>
            <a:headEnd/>
            <a:tailEnd/>
          </a:ln>
        </xdr:spPr>
      </xdr:sp>
      <xdr:sp macro="" textlink="">
        <xdr:nvSpPr>
          <xdr:cNvPr id="5209" name="GIN007002_6"/>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FFFFFF"/>
          </a:solidFill>
          <a:ln w="9525">
            <a:solidFill>
              <a:schemeClr val="bg1">
                <a:lumMod val="65000"/>
              </a:schemeClr>
            </a:solidFill>
            <a:prstDash val="solid"/>
            <a:round/>
            <a:headEnd/>
            <a:tailEnd/>
          </a:ln>
        </xdr:spPr>
      </xdr:sp>
      <xdr:sp macro="" textlink="">
        <xdr:nvSpPr>
          <xdr:cNvPr id="5210" name="GIN005005_6"/>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C7D6EE"/>
          </a:solidFill>
          <a:ln w="9525">
            <a:solidFill>
              <a:schemeClr val="bg1">
                <a:lumMod val="65000"/>
              </a:schemeClr>
            </a:solidFill>
            <a:prstDash val="solid"/>
            <a:round/>
            <a:headEnd/>
            <a:tailEnd/>
          </a:ln>
        </xdr:spPr>
      </xdr:sp>
      <xdr:sp macro="" textlink="">
        <xdr:nvSpPr>
          <xdr:cNvPr id="5211" name="GIN005004_6"/>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FFFFFF"/>
          </a:solidFill>
          <a:ln w="9525">
            <a:solidFill>
              <a:schemeClr val="bg1">
                <a:lumMod val="65000"/>
              </a:schemeClr>
            </a:solidFill>
            <a:prstDash val="solid"/>
            <a:round/>
            <a:headEnd/>
            <a:tailEnd/>
          </a:ln>
        </xdr:spPr>
      </xdr:sp>
      <xdr:sp macro="" textlink="">
        <xdr:nvSpPr>
          <xdr:cNvPr id="5212" name="GIN001002_6"/>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FFFFFF"/>
          </a:solidFill>
          <a:ln w="9525">
            <a:solidFill>
              <a:schemeClr val="bg1">
                <a:lumMod val="65000"/>
              </a:schemeClr>
            </a:solidFill>
            <a:prstDash val="solid"/>
            <a:round/>
            <a:headEnd/>
            <a:tailEnd/>
          </a:ln>
        </xdr:spPr>
      </xdr:sp>
      <xdr:sp macro="" textlink="">
        <xdr:nvSpPr>
          <xdr:cNvPr id="5213" name="GIN004001_6"/>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C7D6EE"/>
          </a:solidFill>
          <a:ln w="9525">
            <a:solidFill>
              <a:schemeClr val="bg1">
                <a:lumMod val="65000"/>
              </a:schemeClr>
            </a:solidFill>
            <a:prstDash val="solid"/>
            <a:round/>
            <a:headEnd/>
            <a:tailEnd/>
          </a:ln>
        </xdr:spPr>
      </xdr:sp>
      <xdr:sp macro="" textlink="">
        <xdr:nvSpPr>
          <xdr:cNvPr id="5214" name="GIN003001_6"/>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C7D6EE"/>
          </a:solidFill>
          <a:ln w="9525">
            <a:solidFill>
              <a:schemeClr val="bg1">
                <a:lumMod val="65000"/>
              </a:schemeClr>
            </a:solidFill>
            <a:prstDash val="solid"/>
            <a:round/>
            <a:headEnd/>
            <a:tailEnd/>
          </a:ln>
        </xdr:spPr>
      </xdr:sp>
      <xdr:sp macro="" textlink="">
        <xdr:nvSpPr>
          <xdr:cNvPr id="5215" name="GIN007001_6"/>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FFFFFF"/>
          </a:solidFill>
          <a:ln w="9525">
            <a:solidFill>
              <a:schemeClr val="bg1">
                <a:lumMod val="65000"/>
              </a:schemeClr>
            </a:solidFill>
            <a:prstDash val="solid"/>
            <a:round/>
            <a:headEnd/>
            <a:tailEnd/>
          </a:ln>
        </xdr:spPr>
      </xdr:sp>
      <xdr:sp macro="" textlink="">
        <xdr:nvSpPr>
          <xdr:cNvPr id="5216" name="GIN007003_6"/>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FFFFFF"/>
          </a:solidFill>
          <a:ln w="9525">
            <a:solidFill>
              <a:schemeClr val="bg1">
                <a:lumMod val="65000"/>
              </a:schemeClr>
            </a:solidFill>
            <a:prstDash val="solid"/>
            <a:round/>
            <a:headEnd/>
            <a:tailEnd/>
          </a:ln>
        </xdr:spPr>
      </xdr:sp>
      <xdr:sp macro="" textlink="">
        <xdr:nvSpPr>
          <xdr:cNvPr id="5217" name="GIN005006_6"/>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FFFFFF"/>
          </a:solidFill>
          <a:ln w="9525">
            <a:solidFill>
              <a:schemeClr val="bg1">
                <a:lumMod val="65000"/>
              </a:schemeClr>
            </a:solidFill>
            <a:prstDash val="solid"/>
            <a:round/>
            <a:headEnd/>
            <a:tailEnd/>
          </a:ln>
        </xdr:spPr>
      </xdr:sp>
      <xdr:sp macro="" textlink="">
        <xdr:nvSpPr>
          <xdr:cNvPr id="5218" name="GIN004003_6"/>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C7D6EE"/>
          </a:solidFill>
          <a:ln w="9525">
            <a:solidFill>
              <a:schemeClr val="bg1">
                <a:lumMod val="65000"/>
              </a:schemeClr>
            </a:solidFill>
            <a:prstDash val="solid"/>
            <a:round/>
            <a:headEnd/>
            <a:tailEnd/>
          </a:ln>
        </xdr:spPr>
      </xdr:sp>
      <xdr:sp macro="" textlink="">
        <xdr:nvSpPr>
          <xdr:cNvPr id="5219" name="GIN004004_6"/>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220" name="GIN006002_6"/>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FFFFFF"/>
          </a:solidFill>
          <a:ln w="9525">
            <a:solidFill>
              <a:schemeClr val="bg1">
                <a:lumMod val="65000"/>
              </a:schemeClr>
            </a:solidFill>
            <a:prstDash val="solid"/>
            <a:round/>
            <a:headEnd/>
            <a:tailEnd/>
          </a:ln>
        </xdr:spPr>
      </xdr:sp>
      <xdr:sp macro="" textlink="">
        <xdr:nvSpPr>
          <xdr:cNvPr id="5221" name="GIN006003_6"/>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FFFFFF"/>
          </a:solidFill>
          <a:ln w="9525">
            <a:solidFill>
              <a:schemeClr val="bg1">
                <a:lumMod val="65000"/>
              </a:schemeClr>
            </a:solidFill>
            <a:prstDash val="solid"/>
            <a:round/>
            <a:headEnd/>
            <a:tailEnd/>
          </a:ln>
        </xdr:spPr>
      </xdr:sp>
      <xdr:sp macro="" textlink="">
        <xdr:nvSpPr>
          <xdr:cNvPr id="5222" name="GIN006005_6"/>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FFFFFF"/>
          </a:solidFill>
          <a:ln w="9525">
            <a:solidFill>
              <a:schemeClr val="bg1">
                <a:lumMod val="65000"/>
              </a:schemeClr>
            </a:solidFill>
            <a:prstDash val="solid"/>
            <a:round/>
            <a:headEnd/>
            <a:tailEnd/>
          </a:ln>
        </xdr:spPr>
      </xdr:sp>
      <xdr:sp macro="" textlink="">
        <xdr:nvSpPr>
          <xdr:cNvPr id="5223" name="GIN006001_6"/>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FFFFFF"/>
          </a:solidFill>
          <a:ln w="9525">
            <a:solidFill>
              <a:schemeClr val="bg1">
                <a:lumMod val="65000"/>
              </a:schemeClr>
            </a:solidFill>
            <a:prstDash val="solid"/>
            <a:round/>
            <a:headEnd/>
            <a:tailEnd/>
          </a:ln>
        </xdr:spPr>
      </xdr:sp>
      <xdr:sp macro="" textlink="">
        <xdr:nvSpPr>
          <xdr:cNvPr id="5224" name="GIN003002_6"/>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FFFFFF"/>
          </a:solidFill>
          <a:ln w="9525">
            <a:solidFill>
              <a:schemeClr val="bg1">
                <a:lumMod val="65000"/>
              </a:schemeClr>
            </a:solidFill>
            <a:prstDash val="solid"/>
            <a:round/>
            <a:headEnd/>
            <a:tailEnd/>
          </a:ln>
        </xdr:spPr>
      </xdr:sp>
      <xdr:sp macro="" textlink="">
        <xdr:nvSpPr>
          <xdr:cNvPr id="5225" name="GIN001003_6"/>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FFFFFF"/>
          </a:solidFill>
          <a:ln w="9525">
            <a:solidFill>
              <a:schemeClr val="bg1">
                <a:lumMod val="65000"/>
              </a:schemeClr>
            </a:solidFill>
            <a:prstDash val="solid"/>
            <a:round/>
            <a:headEnd/>
            <a:tailEnd/>
          </a:ln>
        </xdr:spPr>
      </xdr:sp>
      <xdr:sp macro="" textlink="">
        <xdr:nvSpPr>
          <xdr:cNvPr id="5226" name="GIN006004_6"/>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FFFFFF"/>
          </a:solidFill>
          <a:ln w="9525">
            <a:solidFill>
              <a:schemeClr val="bg1">
                <a:lumMod val="65000"/>
              </a:schemeClr>
            </a:solidFill>
            <a:prstDash val="solid"/>
            <a:round/>
            <a:headEnd/>
            <a:tailEnd/>
          </a:ln>
        </xdr:spPr>
      </xdr:sp>
      <xdr:sp macro="" textlink="">
        <xdr:nvSpPr>
          <xdr:cNvPr id="5227" name="GIN004005_6"/>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C7D6EE"/>
          </a:solidFill>
          <a:ln w="9525">
            <a:solidFill>
              <a:schemeClr val="bg1">
                <a:lumMod val="65000"/>
              </a:schemeClr>
            </a:solidFill>
            <a:prstDash val="solid"/>
            <a:round/>
            <a:headEnd/>
            <a:tailEnd/>
          </a:ln>
        </xdr:spPr>
      </xdr:sp>
      <xdr:sp macro="" textlink="">
        <xdr:nvSpPr>
          <xdr:cNvPr id="5228" name="GIN001004_6"/>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FFFFFF"/>
          </a:solidFill>
          <a:ln w="9525">
            <a:solidFill>
              <a:schemeClr val="bg1">
                <a:lumMod val="65000"/>
              </a:schemeClr>
            </a:solidFill>
            <a:prstDash val="solid"/>
            <a:round/>
            <a:headEnd/>
            <a:tailEnd/>
          </a:ln>
        </xdr:spPr>
      </xdr:sp>
      <xdr:sp macro="" textlink="">
        <xdr:nvSpPr>
          <xdr:cNvPr id="5229" name="GIN002001_6"/>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230" name="Group 50"/>
          <xdr:cNvGrpSpPr/>
        </xdr:nvGrpSpPr>
        <xdr:grpSpPr>
          <a:xfrm>
            <a:off x="4212412" y="4930731"/>
            <a:ext cx="721252" cy="300159"/>
            <a:chOff x="2925363" y="2042423"/>
            <a:chExt cx="743166" cy="307879"/>
          </a:xfrm>
          <a:grpFill/>
        </xdr:grpSpPr>
        <xdr:cxnSp macro="">
          <xdr:nvCxnSpPr>
            <xdr:cNvPr id="5231" name="Elbow Connector 51_6"/>
            <xdr:cNvCxnSpPr>
              <a:stCxn id="5229" idx="54"/>
              <a:endCxn id="5232"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232" name="Oval 52_6"/>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7</xdr:col>
      <xdr:colOff>51954</xdr:colOff>
      <xdr:row>63</xdr:row>
      <xdr:rowOff>51955</xdr:rowOff>
    </xdr:from>
    <xdr:to>
      <xdr:col>19</xdr:col>
      <xdr:colOff>48064</xdr:colOff>
      <xdr:row>72</xdr:row>
      <xdr:rowOff>51314</xdr:rowOff>
    </xdr:to>
    <xdr:grpSp>
      <xdr:nvGrpSpPr>
        <xdr:cNvPr id="5233" name="_Map7Geometry"/>
        <xdr:cNvGrpSpPr>
          <a:grpSpLocks noChangeAspect="1"/>
        </xdr:cNvGrpSpPr>
      </xdr:nvGrpSpPr>
      <xdr:grpSpPr>
        <a:xfrm>
          <a:off x="2718954" y="10881880"/>
          <a:ext cx="2167810" cy="1628134"/>
          <a:chOff x="3565073" y="2219820"/>
          <a:chExt cx="6883977" cy="4969206"/>
        </a:xfrm>
        <a:solidFill>
          <a:schemeClr val="bg1"/>
        </a:solidFill>
      </xdr:grpSpPr>
      <xdr:sp macro="" textlink="">
        <xdr:nvSpPr>
          <xdr:cNvPr id="5234" name="GIN008006_7"/>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C7D6EE"/>
          </a:solidFill>
          <a:ln w="9525">
            <a:solidFill>
              <a:schemeClr val="bg1">
                <a:lumMod val="65000"/>
              </a:schemeClr>
            </a:solidFill>
            <a:prstDash val="solid"/>
            <a:round/>
            <a:headEnd/>
            <a:tailEnd/>
          </a:ln>
        </xdr:spPr>
      </xdr:sp>
      <xdr:sp macro="" textlink="">
        <xdr:nvSpPr>
          <xdr:cNvPr id="5235" name="GIN008005_7"/>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659AD2"/>
          </a:solidFill>
          <a:ln w="9525">
            <a:solidFill>
              <a:schemeClr val="bg1">
                <a:lumMod val="65000"/>
              </a:schemeClr>
            </a:solidFill>
            <a:prstDash val="solid"/>
            <a:round/>
            <a:headEnd/>
            <a:tailEnd/>
          </a:ln>
        </xdr:spPr>
      </xdr:sp>
      <xdr:sp macro="" textlink="">
        <xdr:nvSpPr>
          <xdr:cNvPr id="5236" name="GIN008003_7"/>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C7D6EE"/>
          </a:solidFill>
          <a:ln w="9525">
            <a:solidFill>
              <a:schemeClr val="bg1">
                <a:lumMod val="65000"/>
              </a:schemeClr>
            </a:solidFill>
            <a:prstDash val="solid"/>
            <a:round/>
            <a:headEnd/>
            <a:tailEnd/>
          </a:ln>
        </xdr:spPr>
      </xdr:sp>
      <xdr:sp macro="" textlink="">
        <xdr:nvSpPr>
          <xdr:cNvPr id="5237" name="GIN008002_7"/>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95B6DF"/>
          </a:solidFill>
          <a:ln w="9525">
            <a:solidFill>
              <a:schemeClr val="bg1">
                <a:lumMod val="65000"/>
              </a:schemeClr>
            </a:solidFill>
            <a:prstDash val="solid"/>
            <a:round/>
            <a:headEnd/>
            <a:tailEnd/>
          </a:ln>
        </xdr:spPr>
      </xdr:sp>
      <xdr:sp macro="" textlink="">
        <xdr:nvSpPr>
          <xdr:cNvPr id="5238" name="GIN008004_7"/>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659AD2"/>
          </a:solidFill>
          <a:ln w="9525">
            <a:solidFill>
              <a:schemeClr val="bg1">
                <a:lumMod val="65000"/>
              </a:schemeClr>
            </a:solidFill>
            <a:prstDash val="solid"/>
            <a:round/>
            <a:headEnd/>
            <a:tailEnd/>
          </a:ln>
        </xdr:spPr>
      </xdr:sp>
      <xdr:sp macro="" textlink="">
        <xdr:nvSpPr>
          <xdr:cNvPr id="5239" name="GIN008001_7"/>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659AD2"/>
          </a:solidFill>
          <a:ln w="9525">
            <a:solidFill>
              <a:schemeClr val="bg1">
                <a:lumMod val="65000"/>
              </a:schemeClr>
            </a:solidFill>
            <a:prstDash val="solid"/>
            <a:round/>
            <a:headEnd/>
            <a:tailEnd/>
          </a:ln>
        </xdr:spPr>
      </xdr:sp>
      <xdr:sp macro="" textlink="">
        <xdr:nvSpPr>
          <xdr:cNvPr id="5240" name="GIN003004_7"/>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FFFFFF"/>
          </a:solidFill>
          <a:ln w="9525">
            <a:solidFill>
              <a:schemeClr val="bg1">
                <a:lumMod val="65000"/>
              </a:schemeClr>
            </a:solidFill>
            <a:prstDash val="solid"/>
            <a:round/>
            <a:headEnd/>
            <a:tailEnd/>
          </a:ln>
        </xdr:spPr>
      </xdr:sp>
      <xdr:sp macro="" textlink="">
        <xdr:nvSpPr>
          <xdr:cNvPr id="5241" name="GIN005003_7"/>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659AD2"/>
          </a:solidFill>
          <a:ln w="9525">
            <a:solidFill>
              <a:schemeClr val="bg1">
                <a:lumMod val="65000"/>
              </a:schemeClr>
            </a:solidFill>
            <a:prstDash val="solid"/>
            <a:round/>
            <a:headEnd/>
            <a:tailEnd/>
          </a:ln>
        </xdr:spPr>
      </xdr:sp>
      <xdr:sp macro="" textlink="">
        <xdr:nvSpPr>
          <xdr:cNvPr id="5242" name="GIN002001_7"/>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659AD2"/>
          </a:solidFill>
          <a:ln w="9525">
            <a:solidFill>
              <a:schemeClr val="bg1">
                <a:lumMod val="65000"/>
              </a:schemeClr>
            </a:solidFill>
            <a:prstDash val="solid"/>
            <a:round/>
            <a:headEnd/>
            <a:tailEnd/>
          </a:ln>
        </xdr:spPr>
      </xdr:sp>
      <xdr:sp macro="" textlink="">
        <xdr:nvSpPr>
          <xdr:cNvPr id="5243" name="GIN004002_7"/>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659AD2"/>
          </a:solidFill>
          <a:ln w="9525">
            <a:solidFill>
              <a:schemeClr val="bg1">
                <a:lumMod val="65000"/>
              </a:schemeClr>
            </a:solidFill>
            <a:prstDash val="solid"/>
            <a:round/>
            <a:headEnd/>
            <a:tailEnd/>
          </a:ln>
        </xdr:spPr>
      </xdr:sp>
      <xdr:sp macro="" textlink="">
        <xdr:nvSpPr>
          <xdr:cNvPr id="5244" name="GIN005002_7"/>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FFFFFF"/>
          </a:solidFill>
          <a:ln w="9525">
            <a:solidFill>
              <a:schemeClr val="bg1">
                <a:lumMod val="65000"/>
              </a:schemeClr>
            </a:solidFill>
            <a:prstDash val="solid"/>
            <a:round/>
            <a:headEnd/>
            <a:tailEnd/>
          </a:ln>
        </xdr:spPr>
      </xdr:sp>
      <xdr:sp macro="" textlink="">
        <xdr:nvSpPr>
          <xdr:cNvPr id="5245" name="GIN003003_7"/>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FFFFFF"/>
          </a:solidFill>
          <a:ln w="9525">
            <a:solidFill>
              <a:schemeClr val="bg1">
                <a:lumMod val="65000"/>
              </a:schemeClr>
            </a:solidFill>
            <a:prstDash val="solid"/>
            <a:round/>
            <a:headEnd/>
            <a:tailEnd/>
          </a:ln>
        </xdr:spPr>
      </xdr:sp>
      <xdr:sp macro="" textlink="">
        <xdr:nvSpPr>
          <xdr:cNvPr id="5246" name="GIN005001_7"/>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95B6DF"/>
          </a:solidFill>
          <a:ln w="9525">
            <a:solidFill>
              <a:schemeClr val="bg1">
                <a:lumMod val="65000"/>
              </a:schemeClr>
            </a:solidFill>
            <a:prstDash val="solid"/>
            <a:round/>
            <a:headEnd/>
            <a:tailEnd/>
          </a:ln>
        </xdr:spPr>
      </xdr:sp>
      <xdr:sp macro="" textlink="">
        <xdr:nvSpPr>
          <xdr:cNvPr id="5247" name="GIN001001_7"/>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FFFFFF"/>
          </a:solidFill>
          <a:ln w="9525">
            <a:solidFill>
              <a:schemeClr val="bg1">
                <a:lumMod val="65000"/>
              </a:schemeClr>
            </a:solidFill>
            <a:prstDash val="solid"/>
            <a:round/>
            <a:headEnd/>
            <a:tailEnd/>
          </a:ln>
        </xdr:spPr>
      </xdr:sp>
      <xdr:sp macro="" textlink="">
        <xdr:nvSpPr>
          <xdr:cNvPr id="5248" name="GIN007002_7"/>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FFFFFF"/>
          </a:solidFill>
          <a:ln w="9525">
            <a:solidFill>
              <a:schemeClr val="bg1">
                <a:lumMod val="65000"/>
              </a:schemeClr>
            </a:solidFill>
            <a:prstDash val="solid"/>
            <a:round/>
            <a:headEnd/>
            <a:tailEnd/>
          </a:ln>
        </xdr:spPr>
      </xdr:sp>
      <xdr:sp macro="" textlink="">
        <xdr:nvSpPr>
          <xdr:cNvPr id="5249" name="GIN005005_7"/>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FFFFFF"/>
          </a:solidFill>
          <a:ln w="9525">
            <a:solidFill>
              <a:schemeClr val="bg1">
                <a:lumMod val="65000"/>
              </a:schemeClr>
            </a:solidFill>
            <a:prstDash val="solid"/>
            <a:round/>
            <a:headEnd/>
            <a:tailEnd/>
          </a:ln>
        </xdr:spPr>
      </xdr:sp>
      <xdr:sp macro="" textlink="">
        <xdr:nvSpPr>
          <xdr:cNvPr id="5250" name="GIN005004_7"/>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FFFFFF"/>
          </a:solidFill>
          <a:ln w="9525">
            <a:solidFill>
              <a:schemeClr val="bg1">
                <a:lumMod val="65000"/>
              </a:schemeClr>
            </a:solidFill>
            <a:prstDash val="solid"/>
            <a:round/>
            <a:headEnd/>
            <a:tailEnd/>
          </a:ln>
        </xdr:spPr>
      </xdr:sp>
      <xdr:sp macro="" textlink="">
        <xdr:nvSpPr>
          <xdr:cNvPr id="5251" name="GIN001002_7"/>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FFFFFF"/>
          </a:solidFill>
          <a:ln w="9525">
            <a:solidFill>
              <a:schemeClr val="bg1">
                <a:lumMod val="65000"/>
              </a:schemeClr>
            </a:solidFill>
            <a:prstDash val="solid"/>
            <a:round/>
            <a:headEnd/>
            <a:tailEnd/>
          </a:ln>
        </xdr:spPr>
      </xdr:sp>
      <xdr:sp macro="" textlink="">
        <xdr:nvSpPr>
          <xdr:cNvPr id="5252" name="GIN004001_7"/>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C7D6EE"/>
          </a:solidFill>
          <a:ln w="9525">
            <a:solidFill>
              <a:schemeClr val="bg1">
                <a:lumMod val="65000"/>
              </a:schemeClr>
            </a:solidFill>
            <a:prstDash val="solid"/>
            <a:round/>
            <a:headEnd/>
            <a:tailEnd/>
          </a:ln>
        </xdr:spPr>
      </xdr:sp>
      <xdr:sp macro="" textlink="">
        <xdr:nvSpPr>
          <xdr:cNvPr id="5253" name="GIN003001_7"/>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FFFFFF"/>
          </a:solidFill>
          <a:ln w="9525">
            <a:solidFill>
              <a:schemeClr val="bg1">
                <a:lumMod val="65000"/>
              </a:schemeClr>
            </a:solidFill>
            <a:prstDash val="solid"/>
            <a:round/>
            <a:headEnd/>
            <a:tailEnd/>
          </a:ln>
        </xdr:spPr>
      </xdr:sp>
      <xdr:sp macro="" textlink="">
        <xdr:nvSpPr>
          <xdr:cNvPr id="5254" name="GIN007001_7"/>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FFFFFF"/>
          </a:solidFill>
          <a:ln w="9525">
            <a:solidFill>
              <a:schemeClr val="bg1">
                <a:lumMod val="65000"/>
              </a:schemeClr>
            </a:solidFill>
            <a:prstDash val="solid"/>
            <a:round/>
            <a:headEnd/>
            <a:tailEnd/>
          </a:ln>
        </xdr:spPr>
      </xdr:sp>
      <xdr:sp macro="" textlink="">
        <xdr:nvSpPr>
          <xdr:cNvPr id="5255" name="GIN007003_7"/>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FFFFFF"/>
          </a:solidFill>
          <a:ln w="9525">
            <a:solidFill>
              <a:schemeClr val="bg1">
                <a:lumMod val="65000"/>
              </a:schemeClr>
            </a:solidFill>
            <a:prstDash val="solid"/>
            <a:round/>
            <a:headEnd/>
            <a:tailEnd/>
          </a:ln>
        </xdr:spPr>
      </xdr:sp>
      <xdr:sp macro="" textlink="">
        <xdr:nvSpPr>
          <xdr:cNvPr id="5256" name="GIN005006_7"/>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FFFFFF"/>
          </a:solidFill>
          <a:ln w="9525">
            <a:solidFill>
              <a:schemeClr val="bg1">
                <a:lumMod val="65000"/>
              </a:schemeClr>
            </a:solidFill>
            <a:prstDash val="solid"/>
            <a:round/>
            <a:headEnd/>
            <a:tailEnd/>
          </a:ln>
        </xdr:spPr>
      </xdr:sp>
      <xdr:sp macro="" textlink="">
        <xdr:nvSpPr>
          <xdr:cNvPr id="5257" name="GIN004003_7"/>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FFFFFF"/>
          </a:solidFill>
          <a:ln w="9525">
            <a:solidFill>
              <a:schemeClr val="bg1">
                <a:lumMod val="65000"/>
              </a:schemeClr>
            </a:solidFill>
            <a:prstDash val="solid"/>
            <a:round/>
            <a:headEnd/>
            <a:tailEnd/>
          </a:ln>
        </xdr:spPr>
      </xdr:sp>
      <xdr:sp macro="" textlink="">
        <xdr:nvSpPr>
          <xdr:cNvPr id="5258" name="GIN004004_7"/>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259" name="GIN006002_7"/>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FFFFFF"/>
          </a:solidFill>
          <a:ln w="9525">
            <a:solidFill>
              <a:schemeClr val="bg1">
                <a:lumMod val="65000"/>
              </a:schemeClr>
            </a:solidFill>
            <a:prstDash val="solid"/>
            <a:round/>
            <a:headEnd/>
            <a:tailEnd/>
          </a:ln>
        </xdr:spPr>
      </xdr:sp>
      <xdr:sp macro="" textlink="">
        <xdr:nvSpPr>
          <xdr:cNvPr id="5260" name="GIN006003_7"/>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FFFFFF"/>
          </a:solidFill>
          <a:ln w="9525">
            <a:solidFill>
              <a:schemeClr val="bg1">
                <a:lumMod val="65000"/>
              </a:schemeClr>
            </a:solidFill>
            <a:prstDash val="solid"/>
            <a:round/>
            <a:headEnd/>
            <a:tailEnd/>
          </a:ln>
        </xdr:spPr>
      </xdr:sp>
      <xdr:sp macro="" textlink="">
        <xdr:nvSpPr>
          <xdr:cNvPr id="5261" name="GIN006005_7"/>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FFFFFF"/>
          </a:solidFill>
          <a:ln w="9525">
            <a:solidFill>
              <a:schemeClr val="bg1">
                <a:lumMod val="65000"/>
              </a:schemeClr>
            </a:solidFill>
            <a:prstDash val="solid"/>
            <a:round/>
            <a:headEnd/>
            <a:tailEnd/>
          </a:ln>
        </xdr:spPr>
      </xdr:sp>
      <xdr:sp macro="" textlink="">
        <xdr:nvSpPr>
          <xdr:cNvPr id="5262" name="GIN006001_7"/>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FFFFFF"/>
          </a:solidFill>
          <a:ln w="9525">
            <a:solidFill>
              <a:schemeClr val="bg1">
                <a:lumMod val="65000"/>
              </a:schemeClr>
            </a:solidFill>
            <a:prstDash val="solid"/>
            <a:round/>
            <a:headEnd/>
            <a:tailEnd/>
          </a:ln>
        </xdr:spPr>
      </xdr:sp>
      <xdr:sp macro="" textlink="">
        <xdr:nvSpPr>
          <xdr:cNvPr id="5263" name="GIN003002_7"/>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FFFFFF"/>
          </a:solidFill>
          <a:ln w="9525">
            <a:solidFill>
              <a:schemeClr val="bg1">
                <a:lumMod val="65000"/>
              </a:schemeClr>
            </a:solidFill>
            <a:prstDash val="solid"/>
            <a:round/>
            <a:headEnd/>
            <a:tailEnd/>
          </a:ln>
        </xdr:spPr>
      </xdr:sp>
      <xdr:sp macro="" textlink="">
        <xdr:nvSpPr>
          <xdr:cNvPr id="5264" name="GIN001003_7"/>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FFFFFF"/>
          </a:solidFill>
          <a:ln w="9525">
            <a:solidFill>
              <a:schemeClr val="bg1">
                <a:lumMod val="65000"/>
              </a:schemeClr>
            </a:solidFill>
            <a:prstDash val="solid"/>
            <a:round/>
            <a:headEnd/>
            <a:tailEnd/>
          </a:ln>
        </xdr:spPr>
      </xdr:sp>
      <xdr:sp macro="" textlink="">
        <xdr:nvSpPr>
          <xdr:cNvPr id="5265" name="GIN006004_7"/>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FFFFFF"/>
          </a:solidFill>
          <a:ln w="9525">
            <a:solidFill>
              <a:schemeClr val="bg1">
                <a:lumMod val="65000"/>
              </a:schemeClr>
            </a:solidFill>
            <a:prstDash val="solid"/>
            <a:round/>
            <a:headEnd/>
            <a:tailEnd/>
          </a:ln>
        </xdr:spPr>
      </xdr:sp>
      <xdr:sp macro="" textlink="">
        <xdr:nvSpPr>
          <xdr:cNvPr id="5266" name="GIN004005_7"/>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C7D6EE"/>
          </a:solidFill>
          <a:ln w="9525">
            <a:solidFill>
              <a:schemeClr val="bg1">
                <a:lumMod val="65000"/>
              </a:schemeClr>
            </a:solidFill>
            <a:prstDash val="solid"/>
            <a:round/>
            <a:headEnd/>
            <a:tailEnd/>
          </a:ln>
        </xdr:spPr>
      </xdr:sp>
      <xdr:sp macro="" textlink="">
        <xdr:nvSpPr>
          <xdr:cNvPr id="5267" name="GIN001004_7"/>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FFFFFF"/>
          </a:solidFill>
          <a:ln w="9525">
            <a:solidFill>
              <a:schemeClr val="bg1">
                <a:lumMod val="65000"/>
              </a:schemeClr>
            </a:solidFill>
            <a:prstDash val="solid"/>
            <a:round/>
            <a:headEnd/>
            <a:tailEnd/>
          </a:ln>
        </xdr:spPr>
      </xdr:sp>
      <xdr:sp macro="" textlink="">
        <xdr:nvSpPr>
          <xdr:cNvPr id="5268" name="GIN002001_7"/>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269" name="Group 50"/>
          <xdr:cNvGrpSpPr/>
        </xdr:nvGrpSpPr>
        <xdr:grpSpPr>
          <a:xfrm>
            <a:off x="4212412" y="4930731"/>
            <a:ext cx="721252" cy="300159"/>
            <a:chOff x="2925363" y="2042423"/>
            <a:chExt cx="743166" cy="307879"/>
          </a:xfrm>
          <a:grpFill/>
        </xdr:grpSpPr>
        <xdr:cxnSp macro="">
          <xdr:nvCxnSpPr>
            <xdr:cNvPr id="5270" name="Elbow Connector 51_7"/>
            <xdr:cNvCxnSpPr>
              <a:stCxn id="5268" idx="54"/>
              <a:endCxn id="5271"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271" name="Oval 52_7"/>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24</xdr:col>
      <xdr:colOff>51954</xdr:colOff>
      <xdr:row>63</xdr:row>
      <xdr:rowOff>51955</xdr:rowOff>
    </xdr:from>
    <xdr:to>
      <xdr:col>36</xdr:col>
      <xdr:colOff>48064</xdr:colOff>
      <xdr:row>72</xdr:row>
      <xdr:rowOff>51314</xdr:rowOff>
    </xdr:to>
    <xdr:grpSp>
      <xdr:nvGrpSpPr>
        <xdr:cNvPr id="5272" name="_Map8Geometry"/>
        <xdr:cNvGrpSpPr>
          <a:grpSpLocks noChangeAspect="1"/>
        </xdr:cNvGrpSpPr>
      </xdr:nvGrpSpPr>
      <xdr:grpSpPr>
        <a:xfrm>
          <a:off x="5795529" y="10881880"/>
          <a:ext cx="2167810" cy="1628134"/>
          <a:chOff x="3565073" y="2219820"/>
          <a:chExt cx="6883977" cy="4969206"/>
        </a:xfrm>
        <a:solidFill>
          <a:schemeClr val="bg1"/>
        </a:solidFill>
      </xdr:grpSpPr>
      <xdr:sp macro="" textlink="">
        <xdr:nvSpPr>
          <xdr:cNvPr id="5273" name="GIN008006_8"/>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FFFFFF"/>
          </a:solidFill>
          <a:ln w="9525">
            <a:solidFill>
              <a:schemeClr val="bg1">
                <a:lumMod val="65000"/>
              </a:schemeClr>
            </a:solidFill>
            <a:prstDash val="solid"/>
            <a:round/>
            <a:headEnd/>
            <a:tailEnd/>
          </a:ln>
        </xdr:spPr>
      </xdr:sp>
      <xdr:sp macro="" textlink="">
        <xdr:nvSpPr>
          <xdr:cNvPr id="5274" name="GIN008005_8"/>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FFFFFF"/>
          </a:solidFill>
          <a:ln w="9525">
            <a:solidFill>
              <a:schemeClr val="bg1">
                <a:lumMod val="65000"/>
              </a:schemeClr>
            </a:solidFill>
            <a:prstDash val="solid"/>
            <a:round/>
            <a:headEnd/>
            <a:tailEnd/>
          </a:ln>
        </xdr:spPr>
      </xdr:sp>
      <xdr:sp macro="" textlink="">
        <xdr:nvSpPr>
          <xdr:cNvPr id="5275" name="GIN008003_8"/>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FFFFFF"/>
          </a:solidFill>
          <a:ln w="9525">
            <a:solidFill>
              <a:schemeClr val="bg1">
                <a:lumMod val="65000"/>
              </a:schemeClr>
            </a:solidFill>
            <a:prstDash val="solid"/>
            <a:round/>
            <a:headEnd/>
            <a:tailEnd/>
          </a:ln>
        </xdr:spPr>
      </xdr:sp>
      <xdr:sp macro="" textlink="">
        <xdr:nvSpPr>
          <xdr:cNvPr id="5276" name="GIN008002_8"/>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FFFFFF"/>
          </a:solidFill>
          <a:ln w="9525">
            <a:solidFill>
              <a:schemeClr val="bg1">
                <a:lumMod val="65000"/>
              </a:schemeClr>
            </a:solidFill>
            <a:prstDash val="solid"/>
            <a:round/>
            <a:headEnd/>
            <a:tailEnd/>
          </a:ln>
        </xdr:spPr>
      </xdr:sp>
      <xdr:sp macro="" textlink="">
        <xdr:nvSpPr>
          <xdr:cNvPr id="5277" name="GIN008004_8"/>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FFFFFF"/>
          </a:solidFill>
          <a:ln w="9525">
            <a:solidFill>
              <a:schemeClr val="bg1">
                <a:lumMod val="65000"/>
              </a:schemeClr>
            </a:solidFill>
            <a:prstDash val="solid"/>
            <a:round/>
            <a:headEnd/>
            <a:tailEnd/>
          </a:ln>
        </xdr:spPr>
      </xdr:sp>
      <xdr:sp macro="" textlink="">
        <xdr:nvSpPr>
          <xdr:cNvPr id="5278" name="GIN008001_8"/>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FFFFFF"/>
          </a:solidFill>
          <a:ln w="9525">
            <a:solidFill>
              <a:schemeClr val="bg1">
                <a:lumMod val="65000"/>
              </a:schemeClr>
            </a:solidFill>
            <a:prstDash val="solid"/>
            <a:round/>
            <a:headEnd/>
            <a:tailEnd/>
          </a:ln>
        </xdr:spPr>
      </xdr:sp>
      <xdr:sp macro="" textlink="">
        <xdr:nvSpPr>
          <xdr:cNvPr id="5279" name="GIN003004_8"/>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FFFFFF"/>
          </a:solidFill>
          <a:ln w="9525">
            <a:solidFill>
              <a:schemeClr val="bg1">
                <a:lumMod val="65000"/>
              </a:schemeClr>
            </a:solidFill>
            <a:prstDash val="solid"/>
            <a:round/>
            <a:headEnd/>
            <a:tailEnd/>
          </a:ln>
        </xdr:spPr>
      </xdr:sp>
      <xdr:sp macro="" textlink="">
        <xdr:nvSpPr>
          <xdr:cNvPr id="5280" name="GIN005003_8"/>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FFFFFF"/>
          </a:solidFill>
          <a:ln w="9525">
            <a:solidFill>
              <a:schemeClr val="bg1">
                <a:lumMod val="65000"/>
              </a:schemeClr>
            </a:solidFill>
            <a:prstDash val="solid"/>
            <a:round/>
            <a:headEnd/>
            <a:tailEnd/>
          </a:ln>
        </xdr:spPr>
      </xdr:sp>
      <xdr:sp macro="" textlink="">
        <xdr:nvSpPr>
          <xdr:cNvPr id="5281" name="GIN002001_8"/>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FFFFFF"/>
          </a:solidFill>
          <a:ln w="9525">
            <a:solidFill>
              <a:schemeClr val="bg1">
                <a:lumMod val="65000"/>
              </a:schemeClr>
            </a:solidFill>
            <a:prstDash val="solid"/>
            <a:round/>
            <a:headEnd/>
            <a:tailEnd/>
          </a:ln>
        </xdr:spPr>
      </xdr:sp>
      <xdr:sp macro="" textlink="">
        <xdr:nvSpPr>
          <xdr:cNvPr id="5282" name="GIN004002_8"/>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FFFFFF"/>
          </a:solidFill>
          <a:ln w="9525">
            <a:solidFill>
              <a:schemeClr val="bg1">
                <a:lumMod val="65000"/>
              </a:schemeClr>
            </a:solidFill>
            <a:prstDash val="solid"/>
            <a:round/>
            <a:headEnd/>
            <a:tailEnd/>
          </a:ln>
        </xdr:spPr>
      </xdr:sp>
      <xdr:sp macro="" textlink="">
        <xdr:nvSpPr>
          <xdr:cNvPr id="5283" name="GIN005002_8"/>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FFFFFF"/>
          </a:solidFill>
          <a:ln w="9525">
            <a:solidFill>
              <a:schemeClr val="bg1">
                <a:lumMod val="65000"/>
              </a:schemeClr>
            </a:solidFill>
            <a:prstDash val="solid"/>
            <a:round/>
            <a:headEnd/>
            <a:tailEnd/>
          </a:ln>
        </xdr:spPr>
      </xdr:sp>
      <xdr:sp macro="" textlink="">
        <xdr:nvSpPr>
          <xdr:cNvPr id="5284" name="GIN003003_8"/>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FFFFFF"/>
          </a:solidFill>
          <a:ln w="9525">
            <a:solidFill>
              <a:schemeClr val="bg1">
                <a:lumMod val="65000"/>
              </a:schemeClr>
            </a:solidFill>
            <a:prstDash val="solid"/>
            <a:round/>
            <a:headEnd/>
            <a:tailEnd/>
          </a:ln>
        </xdr:spPr>
      </xdr:sp>
      <xdr:sp macro="" textlink="">
        <xdr:nvSpPr>
          <xdr:cNvPr id="5285" name="GIN005001_8"/>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FFFFFF"/>
          </a:solidFill>
          <a:ln w="9525">
            <a:solidFill>
              <a:schemeClr val="bg1">
                <a:lumMod val="65000"/>
              </a:schemeClr>
            </a:solidFill>
            <a:prstDash val="solid"/>
            <a:round/>
            <a:headEnd/>
            <a:tailEnd/>
          </a:ln>
        </xdr:spPr>
      </xdr:sp>
      <xdr:sp macro="" textlink="">
        <xdr:nvSpPr>
          <xdr:cNvPr id="5286" name="GIN001001_8"/>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FFFFFF"/>
          </a:solidFill>
          <a:ln w="9525">
            <a:solidFill>
              <a:schemeClr val="bg1">
                <a:lumMod val="65000"/>
              </a:schemeClr>
            </a:solidFill>
            <a:prstDash val="solid"/>
            <a:round/>
            <a:headEnd/>
            <a:tailEnd/>
          </a:ln>
        </xdr:spPr>
      </xdr:sp>
      <xdr:sp macro="" textlink="">
        <xdr:nvSpPr>
          <xdr:cNvPr id="5287" name="GIN007002_8"/>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FFFFFF"/>
          </a:solidFill>
          <a:ln w="9525">
            <a:solidFill>
              <a:schemeClr val="bg1">
                <a:lumMod val="65000"/>
              </a:schemeClr>
            </a:solidFill>
            <a:prstDash val="solid"/>
            <a:round/>
            <a:headEnd/>
            <a:tailEnd/>
          </a:ln>
        </xdr:spPr>
      </xdr:sp>
      <xdr:sp macro="" textlink="">
        <xdr:nvSpPr>
          <xdr:cNvPr id="5288" name="GIN005005_8"/>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FFFFFF"/>
          </a:solidFill>
          <a:ln w="9525">
            <a:solidFill>
              <a:schemeClr val="bg1">
                <a:lumMod val="65000"/>
              </a:schemeClr>
            </a:solidFill>
            <a:prstDash val="solid"/>
            <a:round/>
            <a:headEnd/>
            <a:tailEnd/>
          </a:ln>
        </xdr:spPr>
      </xdr:sp>
      <xdr:sp macro="" textlink="">
        <xdr:nvSpPr>
          <xdr:cNvPr id="5289" name="GIN005004_8"/>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FFFFFF"/>
          </a:solidFill>
          <a:ln w="9525">
            <a:solidFill>
              <a:schemeClr val="bg1">
                <a:lumMod val="65000"/>
              </a:schemeClr>
            </a:solidFill>
            <a:prstDash val="solid"/>
            <a:round/>
            <a:headEnd/>
            <a:tailEnd/>
          </a:ln>
        </xdr:spPr>
      </xdr:sp>
      <xdr:sp macro="" textlink="">
        <xdr:nvSpPr>
          <xdr:cNvPr id="5290" name="GIN001002_8"/>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FFFFFF"/>
          </a:solidFill>
          <a:ln w="9525">
            <a:solidFill>
              <a:schemeClr val="bg1">
                <a:lumMod val="65000"/>
              </a:schemeClr>
            </a:solidFill>
            <a:prstDash val="solid"/>
            <a:round/>
            <a:headEnd/>
            <a:tailEnd/>
          </a:ln>
        </xdr:spPr>
      </xdr:sp>
      <xdr:sp macro="" textlink="">
        <xdr:nvSpPr>
          <xdr:cNvPr id="5291" name="GIN004001_8"/>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FFFFFF"/>
          </a:solidFill>
          <a:ln w="9525">
            <a:solidFill>
              <a:schemeClr val="bg1">
                <a:lumMod val="65000"/>
              </a:schemeClr>
            </a:solidFill>
            <a:prstDash val="solid"/>
            <a:round/>
            <a:headEnd/>
            <a:tailEnd/>
          </a:ln>
        </xdr:spPr>
      </xdr:sp>
      <xdr:sp macro="" textlink="">
        <xdr:nvSpPr>
          <xdr:cNvPr id="5292" name="GIN003001_8"/>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FFFFFF"/>
          </a:solidFill>
          <a:ln w="9525">
            <a:solidFill>
              <a:schemeClr val="bg1">
                <a:lumMod val="65000"/>
              </a:schemeClr>
            </a:solidFill>
            <a:prstDash val="solid"/>
            <a:round/>
            <a:headEnd/>
            <a:tailEnd/>
          </a:ln>
        </xdr:spPr>
      </xdr:sp>
      <xdr:sp macro="" textlink="">
        <xdr:nvSpPr>
          <xdr:cNvPr id="5293" name="GIN007001_8"/>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FFFFFF"/>
          </a:solidFill>
          <a:ln w="9525">
            <a:solidFill>
              <a:schemeClr val="bg1">
                <a:lumMod val="65000"/>
              </a:schemeClr>
            </a:solidFill>
            <a:prstDash val="solid"/>
            <a:round/>
            <a:headEnd/>
            <a:tailEnd/>
          </a:ln>
        </xdr:spPr>
      </xdr:sp>
      <xdr:sp macro="" textlink="">
        <xdr:nvSpPr>
          <xdr:cNvPr id="5294" name="GIN007003_8"/>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FFFFFF"/>
          </a:solidFill>
          <a:ln w="9525">
            <a:solidFill>
              <a:schemeClr val="bg1">
                <a:lumMod val="65000"/>
              </a:schemeClr>
            </a:solidFill>
            <a:prstDash val="solid"/>
            <a:round/>
            <a:headEnd/>
            <a:tailEnd/>
          </a:ln>
        </xdr:spPr>
      </xdr:sp>
      <xdr:sp macro="" textlink="">
        <xdr:nvSpPr>
          <xdr:cNvPr id="5295" name="GIN005006_8"/>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FFFFFF"/>
          </a:solidFill>
          <a:ln w="9525">
            <a:solidFill>
              <a:schemeClr val="bg1">
                <a:lumMod val="65000"/>
              </a:schemeClr>
            </a:solidFill>
            <a:prstDash val="solid"/>
            <a:round/>
            <a:headEnd/>
            <a:tailEnd/>
          </a:ln>
        </xdr:spPr>
      </xdr:sp>
      <xdr:sp macro="" textlink="">
        <xdr:nvSpPr>
          <xdr:cNvPr id="5296" name="GIN004003_8"/>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FFFFFF"/>
          </a:solidFill>
          <a:ln w="9525">
            <a:solidFill>
              <a:schemeClr val="bg1">
                <a:lumMod val="65000"/>
              </a:schemeClr>
            </a:solidFill>
            <a:prstDash val="solid"/>
            <a:round/>
            <a:headEnd/>
            <a:tailEnd/>
          </a:ln>
        </xdr:spPr>
      </xdr:sp>
      <xdr:sp macro="" textlink="">
        <xdr:nvSpPr>
          <xdr:cNvPr id="5297" name="GIN004004_8"/>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95B6DF"/>
          </a:solidFill>
          <a:ln w="9525">
            <a:solidFill>
              <a:schemeClr val="bg1">
                <a:lumMod val="65000"/>
              </a:schemeClr>
            </a:solidFill>
            <a:prstDash val="solid"/>
            <a:round/>
            <a:headEnd/>
            <a:tailEnd/>
          </a:ln>
        </xdr:spPr>
      </xdr:sp>
      <xdr:sp macro="" textlink="">
        <xdr:nvSpPr>
          <xdr:cNvPr id="5298" name="GIN006002_8"/>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FFFFFF"/>
          </a:solidFill>
          <a:ln w="9525">
            <a:solidFill>
              <a:schemeClr val="bg1">
                <a:lumMod val="65000"/>
              </a:schemeClr>
            </a:solidFill>
            <a:prstDash val="solid"/>
            <a:round/>
            <a:headEnd/>
            <a:tailEnd/>
          </a:ln>
        </xdr:spPr>
      </xdr:sp>
      <xdr:sp macro="" textlink="">
        <xdr:nvSpPr>
          <xdr:cNvPr id="5299" name="GIN006003_8"/>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FFFFFF"/>
          </a:solidFill>
          <a:ln w="9525">
            <a:solidFill>
              <a:schemeClr val="bg1">
                <a:lumMod val="65000"/>
              </a:schemeClr>
            </a:solidFill>
            <a:prstDash val="solid"/>
            <a:round/>
            <a:headEnd/>
            <a:tailEnd/>
          </a:ln>
        </xdr:spPr>
      </xdr:sp>
      <xdr:sp macro="" textlink="">
        <xdr:nvSpPr>
          <xdr:cNvPr id="5300" name="GIN006005_8"/>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FFFFFF"/>
          </a:solidFill>
          <a:ln w="9525">
            <a:solidFill>
              <a:schemeClr val="bg1">
                <a:lumMod val="65000"/>
              </a:schemeClr>
            </a:solidFill>
            <a:prstDash val="solid"/>
            <a:round/>
            <a:headEnd/>
            <a:tailEnd/>
          </a:ln>
        </xdr:spPr>
      </xdr:sp>
      <xdr:sp macro="" textlink="">
        <xdr:nvSpPr>
          <xdr:cNvPr id="5301" name="GIN006001_8"/>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FFFFFF"/>
          </a:solidFill>
          <a:ln w="9525">
            <a:solidFill>
              <a:schemeClr val="bg1">
                <a:lumMod val="65000"/>
              </a:schemeClr>
            </a:solidFill>
            <a:prstDash val="solid"/>
            <a:round/>
            <a:headEnd/>
            <a:tailEnd/>
          </a:ln>
        </xdr:spPr>
      </xdr:sp>
      <xdr:sp macro="" textlink="">
        <xdr:nvSpPr>
          <xdr:cNvPr id="5302" name="GIN003002_8"/>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FFFFFF"/>
          </a:solidFill>
          <a:ln w="9525">
            <a:solidFill>
              <a:schemeClr val="bg1">
                <a:lumMod val="65000"/>
              </a:schemeClr>
            </a:solidFill>
            <a:prstDash val="solid"/>
            <a:round/>
            <a:headEnd/>
            <a:tailEnd/>
          </a:ln>
        </xdr:spPr>
      </xdr:sp>
      <xdr:sp macro="" textlink="">
        <xdr:nvSpPr>
          <xdr:cNvPr id="5303" name="GIN001003_8"/>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FFFFFF"/>
          </a:solidFill>
          <a:ln w="9525">
            <a:solidFill>
              <a:schemeClr val="bg1">
                <a:lumMod val="65000"/>
              </a:schemeClr>
            </a:solidFill>
            <a:prstDash val="solid"/>
            <a:round/>
            <a:headEnd/>
            <a:tailEnd/>
          </a:ln>
        </xdr:spPr>
      </xdr:sp>
      <xdr:sp macro="" textlink="">
        <xdr:nvSpPr>
          <xdr:cNvPr id="5304" name="GIN006004_8"/>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FFFFFF"/>
          </a:solidFill>
          <a:ln w="9525">
            <a:solidFill>
              <a:schemeClr val="bg1">
                <a:lumMod val="65000"/>
              </a:schemeClr>
            </a:solidFill>
            <a:prstDash val="solid"/>
            <a:round/>
            <a:headEnd/>
            <a:tailEnd/>
          </a:ln>
        </xdr:spPr>
      </xdr:sp>
      <xdr:sp macro="" textlink="">
        <xdr:nvSpPr>
          <xdr:cNvPr id="5305" name="GIN004005_8"/>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FFFFFF"/>
          </a:solidFill>
          <a:ln w="9525">
            <a:solidFill>
              <a:schemeClr val="bg1">
                <a:lumMod val="65000"/>
              </a:schemeClr>
            </a:solidFill>
            <a:prstDash val="solid"/>
            <a:round/>
            <a:headEnd/>
            <a:tailEnd/>
          </a:ln>
        </xdr:spPr>
      </xdr:sp>
      <xdr:sp macro="" textlink="">
        <xdr:nvSpPr>
          <xdr:cNvPr id="5306" name="GIN001004_8"/>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FFFFFF"/>
          </a:solidFill>
          <a:ln w="9525">
            <a:solidFill>
              <a:schemeClr val="bg1">
                <a:lumMod val="65000"/>
              </a:schemeClr>
            </a:solidFill>
            <a:prstDash val="solid"/>
            <a:round/>
            <a:headEnd/>
            <a:tailEnd/>
          </a:ln>
        </xdr:spPr>
      </xdr:sp>
      <xdr:sp macro="" textlink="">
        <xdr:nvSpPr>
          <xdr:cNvPr id="5307" name="GIN002001_8"/>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308" name="Group 50"/>
          <xdr:cNvGrpSpPr/>
        </xdr:nvGrpSpPr>
        <xdr:grpSpPr>
          <a:xfrm>
            <a:off x="4212412" y="4930731"/>
            <a:ext cx="721252" cy="300159"/>
            <a:chOff x="2925363" y="2042423"/>
            <a:chExt cx="743166" cy="307879"/>
          </a:xfrm>
          <a:grpFill/>
        </xdr:grpSpPr>
        <xdr:cxnSp macro="">
          <xdr:nvCxnSpPr>
            <xdr:cNvPr id="5309" name="Elbow Connector 51_8"/>
            <xdr:cNvCxnSpPr>
              <a:stCxn id="5307" idx="54"/>
              <a:endCxn id="5310"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310" name="Oval 52_8"/>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41</xdr:col>
      <xdr:colOff>51955</xdr:colOff>
      <xdr:row>63</xdr:row>
      <xdr:rowOff>51955</xdr:rowOff>
    </xdr:from>
    <xdr:to>
      <xdr:col>53</xdr:col>
      <xdr:colOff>48064</xdr:colOff>
      <xdr:row>72</xdr:row>
      <xdr:rowOff>51314</xdr:rowOff>
    </xdr:to>
    <xdr:grpSp>
      <xdr:nvGrpSpPr>
        <xdr:cNvPr id="5311" name="_Map9Geometry"/>
        <xdr:cNvGrpSpPr>
          <a:grpSpLocks noChangeAspect="1"/>
        </xdr:cNvGrpSpPr>
      </xdr:nvGrpSpPr>
      <xdr:grpSpPr>
        <a:xfrm>
          <a:off x="8872105" y="10881880"/>
          <a:ext cx="2167809" cy="1628134"/>
          <a:chOff x="3565073" y="2219820"/>
          <a:chExt cx="6883977" cy="4969206"/>
        </a:xfrm>
        <a:solidFill>
          <a:schemeClr val="bg1"/>
        </a:solidFill>
      </xdr:grpSpPr>
      <xdr:sp macro="" textlink="">
        <xdr:nvSpPr>
          <xdr:cNvPr id="5312" name="GIN008006_9"/>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FFFFFF"/>
          </a:solidFill>
          <a:ln w="9525">
            <a:solidFill>
              <a:schemeClr val="bg1">
                <a:lumMod val="65000"/>
              </a:schemeClr>
            </a:solidFill>
            <a:prstDash val="solid"/>
            <a:round/>
            <a:headEnd/>
            <a:tailEnd/>
          </a:ln>
        </xdr:spPr>
      </xdr:sp>
      <xdr:sp macro="" textlink="">
        <xdr:nvSpPr>
          <xdr:cNvPr id="5313" name="GIN008005_9"/>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314" name="GIN008003_9"/>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FFFFFF"/>
          </a:solidFill>
          <a:ln w="9525">
            <a:solidFill>
              <a:schemeClr val="bg1">
                <a:lumMod val="65000"/>
              </a:schemeClr>
            </a:solidFill>
            <a:prstDash val="solid"/>
            <a:round/>
            <a:headEnd/>
            <a:tailEnd/>
          </a:ln>
        </xdr:spPr>
      </xdr:sp>
      <xdr:sp macro="" textlink="">
        <xdr:nvSpPr>
          <xdr:cNvPr id="5315" name="GIN008002_9"/>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FFFFFF"/>
          </a:solidFill>
          <a:ln w="9525">
            <a:solidFill>
              <a:schemeClr val="bg1">
                <a:lumMod val="65000"/>
              </a:schemeClr>
            </a:solidFill>
            <a:prstDash val="solid"/>
            <a:round/>
            <a:headEnd/>
            <a:tailEnd/>
          </a:ln>
        </xdr:spPr>
      </xdr:sp>
      <xdr:sp macro="" textlink="">
        <xdr:nvSpPr>
          <xdr:cNvPr id="5316" name="GIN008004_9"/>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C7D6EE"/>
          </a:solidFill>
          <a:ln w="9525">
            <a:solidFill>
              <a:schemeClr val="bg1">
                <a:lumMod val="65000"/>
              </a:schemeClr>
            </a:solidFill>
            <a:prstDash val="solid"/>
            <a:round/>
            <a:headEnd/>
            <a:tailEnd/>
          </a:ln>
        </xdr:spPr>
      </xdr:sp>
      <xdr:sp macro="" textlink="">
        <xdr:nvSpPr>
          <xdr:cNvPr id="5317" name="GIN008001_9"/>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FFFFFF"/>
          </a:solidFill>
          <a:ln w="9525">
            <a:solidFill>
              <a:schemeClr val="bg1">
                <a:lumMod val="65000"/>
              </a:schemeClr>
            </a:solidFill>
            <a:prstDash val="solid"/>
            <a:round/>
            <a:headEnd/>
            <a:tailEnd/>
          </a:ln>
        </xdr:spPr>
      </xdr:sp>
      <xdr:sp macro="" textlink="">
        <xdr:nvSpPr>
          <xdr:cNvPr id="5318" name="GIN003004_9"/>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FFFFFF"/>
          </a:solidFill>
          <a:ln w="9525">
            <a:solidFill>
              <a:schemeClr val="bg1">
                <a:lumMod val="65000"/>
              </a:schemeClr>
            </a:solidFill>
            <a:prstDash val="solid"/>
            <a:round/>
            <a:headEnd/>
            <a:tailEnd/>
          </a:ln>
        </xdr:spPr>
      </xdr:sp>
      <xdr:sp macro="" textlink="">
        <xdr:nvSpPr>
          <xdr:cNvPr id="5319" name="GIN005003_9"/>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FFFFFF"/>
          </a:solidFill>
          <a:ln w="9525">
            <a:solidFill>
              <a:schemeClr val="bg1">
                <a:lumMod val="65000"/>
              </a:schemeClr>
            </a:solidFill>
            <a:prstDash val="solid"/>
            <a:round/>
            <a:headEnd/>
            <a:tailEnd/>
          </a:ln>
        </xdr:spPr>
      </xdr:sp>
      <xdr:sp macro="" textlink="">
        <xdr:nvSpPr>
          <xdr:cNvPr id="5320" name="GIN002001_9"/>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FFFFFF"/>
          </a:solidFill>
          <a:ln w="9525">
            <a:solidFill>
              <a:schemeClr val="bg1">
                <a:lumMod val="65000"/>
              </a:schemeClr>
            </a:solidFill>
            <a:prstDash val="solid"/>
            <a:round/>
            <a:headEnd/>
            <a:tailEnd/>
          </a:ln>
        </xdr:spPr>
      </xdr:sp>
      <xdr:sp macro="" textlink="">
        <xdr:nvSpPr>
          <xdr:cNvPr id="5321" name="GIN004002_9"/>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FFFFFF"/>
          </a:solidFill>
          <a:ln w="9525">
            <a:solidFill>
              <a:schemeClr val="bg1">
                <a:lumMod val="65000"/>
              </a:schemeClr>
            </a:solidFill>
            <a:prstDash val="solid"/>
            <a:round/>
            <a:headEnd/>
            <a:tailEnd/>
          </a:ln>
        </xdr:spPr>
      </xdr:sp>
      <xdr:sp macro="" textlink="">
        <xdr:nvSpPr>
          <xdr:cNvPr id="5322" name="GIN005002_9"/>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FFFFFF"/>
          </a:solidFill>
          <a:ln w="9525">
            <a:solidFill>
              <a:schemeClr val="bg1">
                <a:lumMod val="65000"/>
              </a:schemeClr>
            </a:solidFill>
            <a:prstDash val="solid"/>
            <a:round/>
            <a:headEnd/>
            <a:tailEnd/>
          </a:ln>
        </xdr:spPr>
      </xdr:sp>
      <xdr:sp macro="" textlink="">
        <xdr:nvSpPr>
          <xdr:cNvPr id="5323" name="GIN003003_9"/>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FFFFFF"/>
          </a:solidFill>
          <a:ln w="9525">
            <a:solidFill>
              <a:schemeClr val="bg1">
                <a:lumMod val="65000"/>
              </a:schemeClr>
            </a:solidFill>
            <a:prstDash val="solid"/>
            <a:round/>
            <a:headEnd/>
            <a:tailEnd/>
          </a:ln>
        </xdr:spPr>
      </xdr:sp>
      <xdr:sp macro="" textlink="">
        <xdr:nvSpPr>
          <xdr:cNvPr id="5324" name="GIN005001_9"/>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FFFFFF"/>
          </a:solidFill>
          <a:ln w="9525">
            <a:solidFill>
              <a:schemeClr val="bg1">
                <a:lumMod val="65000"/>
              </a:schemeClr>
            </a:solidFill>
            <a:prstDash val="solid"/>
            <a:round/>
            <a:headEnd/>
            <a:tailEnd/>
          </a:ln>
        </xdr:spPr>
      </xdr:sp>
      <xdr:sp macro="" textlink="">
        <xdr:nvSpPr>
          <xdr:cNvPr id="5325" name="GIN001001_9"/>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FFFFFF"/>
          </a:solidFill>
          <a:ln w="9525">
            <a:solidFill>
              <a:schemeClr val="bg1">
                <a:lumMod val="65000"/>
              </a:schemeClr>
            </a:solidFill>
            <a:prstDash val="solid"/>
            <a:round/>
            <a:headEnd/>
            <a:tailEnd/>
          </a:ln>
        </xdr:spPr>
      </xdr:sp>
      <xdr:sp macro="" textlink="">
        <xdr:nvSpPr>
          <xdr:cNvPr id="5326" name="GIN007002_9"/>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FFFFFF"/>
          </a:solidFill>
          <a:ln w="9525">
            <a:solidFill>
              <a:schemeClr val="bg1">
                <a:lumMod val="65000"/>
              </a:schemeClr>
            </a:solidFill>
            <a:prstDash val="solid"/>
            <a:round/>
            <a:headEnd/>
            <a:tailEnd/>
          </a:ln>
        </xdr:spPr>
      </xdr:sp>
      <xdr:sp macro="" textlink="">
        <xdr:nvSpPr>
          <xdr:cNvPr id="5327" name="GIN005005_9"/>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FFFFFF"/>
          </a:solidFill>
          <a:ln w="9525">
            <a:solidFill>
              <a:schemeClr val="bg1">
                <a:lumMod val="65000"/>
              </a:schemeClr>
            </a:solidFill>
            <a:prstDash val="solid"/>
            <a:round/>
            <a:headEnd/>
            <a:tailEnd/>
          </a:ln>
        </xdr:spPr>
      </xdr:sp>
      <xdr:sp macro="" textlink="">
        <xdr:nvSpPr>
          <xdr:cNvPr id="5328" name="GIN005004_9"/>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FFFFFF"/>
          </a:solidFill>
          <a:ln w="9525">
            <a:solidFill>
              <a:schemeClr val="bg1">
                <a:lumMod val="65000"/>
              </a:schemeClr>
            </a:solidFill>
            <a:prstDash val="solid"/>
            <a:round/>
            <a:headEnd/>
            <a:tailEnd/>
          </a:ln>
        </xdr:spPr>
      </xdr:sp>
      <xdr:sp macro="" textlink="">
        <xdr:nvSpPr>
          <xdr:cNvPr id="5329" name="GIN001002_9"/>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FFFFFF"/>
          </a:solidFill>
          <a:ln w="9525">
            <a:solidFill>
              <a:schemeClr val="bg1">
                <a:lumMod val="65000"/>
              </a:schemeClr>
            </a:solidFill>
            <a:prstDash val="solid"/>
            <a:round/>
            <a:headEnd/>
            <a:tailEnd/>
          </a:ln>
        </xdr:spPr>
      </xdr:sp>
      <xdr:sp macro="" textlink="">
        <xdr:nvSpPr>
          <xdr:cNvPr id="5330" name="GIN004001_9"/>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FFFFFF"/>
          </a:solidFill>
          <a:ln w="9525">
            <a:solidFill>
              <a:schemeClr val="bg1">
                <a:lumMod val="65000"/>
              </a:schemeClr>
            </a:solidFill>
            <a:prstDash val="solid"/>
            <a:round/>
            <a:headEnd/>
            <a:tailEnd/>
          </a:ln>
        </xdr:spPr>
      </xdr:sp>
      <xdr:sp macro="" textlink="">
        <xdr:nvSpPr>
          <xdr:cNvPr id="5331" name="GIN003001_9"/>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FFFFFF"/>
          </a:solidFill>
          <a:ln w="9525">
            <a:solidFill>
              <a:schemeClr val="bg1">
                <a:lumMod val="65000"/>
              </a:schemeClr>
            </a:solidFill>
            <a:prstDash val="solid"/>
            <a:round/>
            <a:headEnd/>
            <a:tailEnd/>
          </a:ln>
        </xdr:spPr>
      </xdr:sp>
      <xdr:sp macro="" textlink="">
        <xdr:nvSpPr>
          <xdr:cNvPr id="5332" name="GIN007001_9"/>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FFFFFF"/>
          </a:solidFill>
          <a:ln w="9525">
            <a:solidFill>
              <a:schemeClr val="bg1">
                <a:lumMod val="65000"/>
              </a:schemeClr>
            </a:solidFill>
            <a:prstDash val="solid"/>
            <a:round/>
            <a:headEnd/>
            <a:tailEnd/>
          </a:ln>
        </xdr:spPr>
      </xdr:sp>
      <xdr:sp macro="" textlink="">
        <xdr:nvSpPr>
          <xdr:cNvPr id="5333" name="GIN007003_9"/>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FFFFFF"/>
          </a:solidFill>
          <a:ln w="9525">
            <a:solidFill>
              <a:schemeClr val="bg1">
                <a:lumMod val="65000"/>
              </a:schemeClr>
            </a:solidFill>
            <a:prstDash val="solid"/>
            <a:round/>
            <a:headEnd/>
            <a:tailEnd/>
          </a:ln>
        </xdr:spPr>
      </xdr:sp>
      <xdr:sp macro="" textlink="">
        <xdr:nvSpPr>
          <xdr:cNvPr id="5334" name="GIN005006_9"/>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FFFFFF"/>
          </a:solidFill>
          <a:ln w="9525">
            <a:solidFill>
              <a:schemeClr val="bg1">
                <a:lumMod val="65000"/>
              </a:schemeClr>
            </a:solidFill>
            <a:prstDash val="solid"/>
            <a:round/>
            <a:headEnd/>
            <a:tailEnd/>
          </a:ln>
        </xdr:spPr>
      </xdr:sp>
      <xdr:sp macro="" textlink="">
        <xdr:nvSpPr>
          <xdr:cNvPr id="5335" name="GIN004003_9"/>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FFFFFF"/>
          </a:solidFill>
          <a:ln w="9525">
            <a:solidFill>
              <a:schemeClr val="bg1">
                <a:lumMod val="65000"/>
              </a:schemeClr>
            </a:solidFill>
            <a:prstDash val="solid"/>
            <a:round/>
            <a:headEnd/>
            <a:tailEnd/>
          </a:ln>
        </xdr:spPr>
      </xdr:sp>
      <xdr:sp macro="" textlink="">
        <xdr:nvSpPr>
          <xdr:cNvPr id="5336" name="GIN004004_9"/>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FFFFFF"/>
          </a:solidFill>
          <a:ln w="9525">
            <a:solidFill>
              <a:schemeClr val="bg1">
                <a:lumMod val="65000"/>
              </a:schemeClr>
            </a:solidFill>
            <a:prstDash val="solid"/>
            <a:round/>
            <a:headEnd/>
            <a:tailEnd/>
          </a:ln>
        </xdr:spPr>
      </xdr:sp>
      <xdr:sp macro="" textlink="">
        <xdr:nvSpPr>
          <xdr:cNvPr id="5337" name="GIN006002_9"/>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FFFFFF"/>
          </a:solidFill>
          <a:ln w="9525">
            <a:solidFill>
              <a:schemeClr val="bg1">
                <a:lumMod val="65000"/>
              </a:schemeClr>
            </a:solidFill>
            <a:prstDash val="solid"/>
            <a:round/>
            <a:headEnd/>
            <a:tailEnd/>
          </a:ln>
        </xdr:spPr>
      </xdr:sp>
      <xdr:sp macro="" textlink="">
        <xdr:nvSpPr>
          <xdr:cNvPr id="5338" name="GIN006003_9"/>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FFFFFF"/>
          </a:solidFill>
          <a:ln w="9525">
            <a:solidFill>
              <a:schemeClr val="bg1">
                <a:lumMod val="65000"/>
              </a:schemeClr>
            </a:solidFill>
            <a:prstDash val="solid"/>
            <a:round/>
            <a:headEnd/>
            <a:tailEnd/>
          </a:ln>
        </xdr:spPr>
      </xdr:sp>
      <xdr:sp macro="" textlink="">
        <xdr:nvSpPr>
          <xdr:cNvPr id="5339" name="GIN006005_9"/>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FFFFFF"/>
          </a:solidFill>
          <a:ln w="9525">
            <a:solidFill>
              <a:schemeClr val="bg1">
                <a:lumMod val="65000"/>
              </a:schemeClr>
            </a:solidFill>
            <a:prstDash val="solid"/>
            <a:round/>
            <a:headEnd/>
            <a:tailEnd/>
          </a:ln>
        </xdr:spPr>
      </xdr:sp>
      <xdr:sp macro="" textlink="">
        <xdr:nvSpPr>
          <xdr:cNvPr id="5340" name="GIN006001_9"/>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FFFFFF"/>
          </a:solidFill>
          <a:ln w="9525">
            <a:solidFill>
              <a:schemeClr val="bg1">
                <a:lumMod val="65000"/>
              </a:schemeClr>
            </a:solidFill>
            <a:prstDash val="solid"/>
            <a:round/>
            <a:headEnd/>
            <a:tailEnd/>
          </a:ln>
        </xdr:spPr>
      </xdr:sp>
      <xdr:sp macro="" textlink="">
        <xdr:nvSpPr>
          <xdr:cNvPr id="5341" name="GIN003002_9"/>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FFFFFF"/>
          </a:solidFill>
          <a:ln w="9525">
            <a:solidFill>
              <a:schemeClr val="bg1">
                <a:lumMod val="65000"/>
              </a:schemeClr>
            </a:solidFill>
            <a:prstDash val="solid"/>
            <a:round/>
            <a:headEnd/>
            <a:tailEnd/>
          </a:ln>
        </xdr:spPr>
      </xdr:sp>
      <xdr:sp macro="" textlink="">
        <xdr:nvSpPr>
          <xdr:cNvPr id="5342" name="GIN001003_9"/>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FFFFFF"/>
          </a:solidFill>
          <a:ln w="9525">
            <a:solidFill>
              <a:schemeClr val="bg1">
                <a:lumMod val="65000"/>
              </a:schemeClr>
            </a:solidFill>
            <a:prstDash val="solid"/>
            <a:round/>
            <a:headEnd/>
            <a:tailEnd/>
          </a:ln>
        </xdr:spPr>
      </xdr:sp>
      <xdr:sp macro="" textlink="">
        <xdr:nvSpPr>
          <xdr:cNvPr id="5343" name="GIN006004_9"/>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FFFFFF"/>
          </a:solidFill>
          <a:ln w="9525">
            <a:solidFill>
              <a:schemeClr val="bg1">
                <a:lumMod val="65000"/>
              </a:schemeClr>
            </a:solidFill>
            <a:prstDash val="solid"/>
            <a:round/>
            <a:headEnd/>
            <a:tailEnd/>
          </a:ln>
        </xdr:spPr>
      </xdr:sp>
      <xdr:sp macro="" textlink="">
        <xdr:nvSpPr>
          <xdr:cNvPr id="5344" name="GIN004005_9"/>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C7D6EE"/>
          </a:solidFill>
          <a:ln w="9525">
            <a:solidFill>
              <a:schemeClr val="bg1">
                <a:lumMod val="65000"/>
              </a:schemeClr>
            </a:solidFill>
            <a:prstDash val="solid"/>
            <a:round/>
            <a:headEnd/>
            <a:tailEnd/>
          </a:ln>
        </xdr:spPr>
      </xdr:sp>
      <xdr:sp macro="" textlink="">
        <xdr:nvSpPr>
          <xdr:cNvPr id="5345" name="GIN001004_9"/>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FFFFFF"/>
          </a:solidFill>
          <a:ln w="9525">
            <a:solidFill>
              <a:schemeClr val="bg1">
                <a:lumMod val="65000"/>
              </a:schemeClr>
            </a:solidFill>
            <a:prstDash val="solid"/>
            <a:round/>
            <a:headEnd/>
            <a:tailEnd/>
          </a:ln>
        </xdr:spPr>
      </xdr:sp>
      <xdr:sp macro="" textlink="">
        <xdr:nvSpPr>
          <xdr:cNvPr id="5346" name="GIN002001_9"/>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347" name="Group 50"/>
          <xdr:cNvGrpSpPr/>
        </xdr:nvGrpSpPr>
        <xdr:grpSpPr>
          <a:xfrm>
            <a:off x="4212412" y="4930731"/>
            <a:ext cx="721252" cy="300159"/>
            <a:chOff x="2925363" y="2042423"/>
            <a:chExt cx="743166" cy="307879"/>
          </a:xfrm>
          <a:grpFill/>
        </xdr:grpSpPr>
        <xdr:cxnSp macro="">
          <xdr:nvCxnSpPr>
            <xdr:cNvPr id="5348" name="Elbow Connector 51_9"/>
            <xdr:cNvCxnSpPr>
              <a:stCxn id="5346" idx="54"/>
              <a:endCxn id="5349"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349" name="Oval 52_9"/>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7</xdr:col>
      <xdr:colOff>51954</xdr:colOff>
      <xdr:row>78</xdr:row>
      <xdr:rowOff>51955</xdr:rowOff>
    </xdr:from>
    <xdr:to>
      <xdr:col>19</xdr:col>
      <xdr:colOff>48064</xdr:colOff>
      <xdr:row>87</xdr:row>
      <xdr:rowOff>51313</xdr:rowOff>
    </xdr:to>
    <xdr:grpSp>
      <xdr:nvGrpSpPr>
        <xdr:cNvPr id="5350" name="_Map10Geometry"/>
        <xdr:cNvGrpSpPr>
          <a:grpSpLocks noChangeAspect="1"/>
        </xdr:cNvGrpSpPr>
      </xdr:nvGrpSpPr>
      <xdr:grpSpPr>
        <a:xfrm>
          <a:off x="2718954" y="13596505"/>
          <a:ext cx="2167810" cy="1628133"/>
          <a:chOff x="3565073" y="2219820"/>
          <a:chExt cx="6883977" cy="4969206"/>
        </a:xfrm>
        <a:solidFill>
          <a:schemeClr val="bg1"/>
        </a:solidFill>
      </xdr:grpSpPr>
      <xdr:sp macro="" textlink="">
        <xdr:nvSpPr>
          <xdr:cNvPr id="5351" name="GIN008006_10"/>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C7D6EE"/>
          </a:solidFill>
          <a:ln w="9525">
            <a:solidFill>
              <a:schemeClr val="bg1">
                <a:lumMod val="65000"/>
              </a:schemeClr>
            </a:solidFill>
            <a:prstDash val="solid"/>
            <a:round/>
            <a:headEnd/>
            <a:tailEnd/>
          </a:ln>
        </xdr:spPr>
      </xdr:sp>
      <xdr:sp macro="" textlink="">
        <xdr:nvSpPr>
          <xdr:cNvPr id="5352" name="GIN008005_10"/>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353" name="GIN008003_10"/>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95B6DF"/>
          </a:solidFill>
          <a:ln w="9525">
            <a:solidFill>
              <a:schemeClr val="bg1">
                <a:lumMod val="65000"/>
              </a:schemeClr>
            </a:solidFill>
            <a:prstDash val="solid"/>
            <a:round/>
            <a:headEnd/>
            <a:tailEnd/>
          </a:ln>
        </xdr:spPr>
      </xdr:sp>
      <xdr:sp macro="" textlink="">
        <xdr:nvSpPr>
          <xdr:cNvPr id="5354" name="GIN008002_10"/>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C7D6EE"/>
          </a:solidFill>
          <a:ln w="9525">
            <a:solidFill>
              <a:schemeClr val="bg1">
                <a:lumMod val="65000"/>
              </a:schemeClr>
            </a:solidFill>
            <a:prstDash val="solid"/>
            <a:round/>
            <a:headEnd/>
            <a:tailEnd/>
          </a:ln>
        </xdr:spPr>
      </xdr:sp>
      <xdr:sp macro="" textlink="">
        <xdr:nvSpPr>
          <xdr:cNvPr id="5355" name="GIN008004_10"/>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95B6DF"/>
          </a:solidFill>
          <a:ln w="9525">
            <a:solidFill>
              <a:schemeClr val="bg1">
                <a:lumMod val="65000"/>
              </a:schemeClr>
            </a:solidFill>
            <a:prstDash val="solid"/>
            <a:round/>
            <a:headEnd/>
            <a:tailEnd/>
          </a:ln>
        </xdr:spPr>
      </xdr:sp>
      <xdr:sp macro="" textlink="">
        <xdr:nvSpPr>
          <xdr:cNvPr id="5356" name="GIN008001_10"/>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357" name="GIN003004_10"/>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C7D6EE"/>
          </a:solidFill>
          <a:ln w="9525">
            <a:solidFill>
              <a:schemeClr val="bg1">
                <a:lumMod val="65000"/>
              </a:schemeClr>
            </a:solidFill>
            <a:prstDash val="solid"/>
            <a:round/>
            <a:headEnd/>
            <a:tailEnd/>
          </a:ln>
        </xdr:spPr>
      </xdr:sp>
      <xdr:sp macro="" textlink="">
        <xdr:nvSpPr>
          <xdr:cNvPr id="5358" name="GIN005003_10"/>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C7D6EE"/>
          </a:solidFill>
          <a:ln w="9525">
            <a:solidFill>
              <a:schemeClr val="bg1">
                <a:lumMod val="65000"/>
              </a:schemeClr>
            </a:solidFill>
            <a:prstDash val="solid"/>
            <a:round/>
            <a:headEnd/>
            <a:tailEnd/>
          </a:ln>
        </xdr:spPr>
      </xdr:sp>
      <xdr:sp macro="" textlink="">
        <xdr:nvSpPr>
          <xdr:cNvPr id="5359" name="GIN002001_10"/>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C7D6EE"/>
          </a:solidFill>
          <a:ln w="9525">
            <a:solidFill>
              <a:schemeClr val="bg1">
                <a:lumMod val="65000"/>
              </a:schemeClr>
            </a:solidFill>
            <a:prstDash val="solid"/>
            <a:round/>
            <a:headEnd/>
            <a:tailEnd/>
          </a:ln>
        </xdr:spPr>
      </xdr:sp>
      <xdr:sp macro="" textlink="">
        <xdr:nvSpPr>
          <xdr:cNvPr id="5360" name="GIN004002_10"/>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C7D6EE"/>
          </a:solidFill>
          <a:ln w="9525">
            <a:solidFill>
              <a:schemeClr val="bg1">
                <a:lumMod val="65000"/>
              </a:schemeClr>
            </a:solidFill>
            <a:prstDash val="solid"/>
            <a:round/>
            <a:headEnd/>
            <a:tailEnd/>
          </a:ln>
        </xdr:spPr>
      </xdr:sp>
      <xdr:sp macro="" textlink="">
        <xdr:nvSpPr>
          <xdr:cNvPr id="5361" name="GIN005002_10"/>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C7D6EE"/>
          </a:solidFill>
          <a:ln w="9525">
            <a:solidFill>
              <a:schemeClr val="bg1">
                <a:lumMod val="65000"/>
              </a:schemeClr>
            </a:solidFill>
            <a:prstDash val="solid"/>
            <a:round/>
            <a:headEnd/>
            <a:tailEnd/>
          </a:ln>
        </xdr:spPr>
      </xdr:sp>
      <xdr:sp macro="" textlink="">
        <xdr:nvSpPr>
          <xdr:cNvPr id="5362" name="GIN003003_10"/>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C7D6EE"/>
          </a:solidFill>
          <a:ln w="9525">
            <a:solidFill>
              <a:schemeClr val="bg1">
                <a:lumMod val="65000"/>
              </a:schemeClr>
            </a:solidFill>
            <a:prstDash val="solid"/>
            <a:round/>
            <a:headEnd/>
            <a:tailEnd/>
          </a:ln>
        </xdr:spPr>
      </xdr:sp>
      <xdr:sp macro="" textlink="">
        <xdr:nvSpPr>
          <xdr:cNvPr id="5363" name="GIN005001_10"/>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C7D6EE"/>
          </a:solidFill>
          <a:ln w="9525">
            <a:solidFill>
              <a:schemeClr val="bg1">
                <a:lumMod val="65000"/>
              </a:schemeClr>
            </a:solidFill>
            <a:prstDash val="solid"/>
            <a:round/>
            <a:headEnd/>
            <a:tailEnd/>
          </a:ln>
        </xdr:spPr>
      </xdr:sp>
      <xdr:sp macro="" textlink="">
        <xdr:nvSpPr>
          <xdr:cNvPr id="5364" name="GIN001001_10"/>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C7D6EE"/>
          </a:solidFill>
          <a:ln w="9525">
            <a:solidFill>
              <a:schemeClr val="bg1">
                <a:lumMod val="65000"/>
              </a:schemeClr>
            </a:solidFill>
            <a:prstDash val="solid"/>
            <a:round/>
            <a:headEnd/>
            <a:tailEnd/>
          </a:ln>
        </xdr:spPr>
      </xdr:sp>
      <xdr:sp macro="" textlink="">
        <xdr:nvSpPr>
          <xdr:cNvPr id="5365" name="GIN007002_10"/>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FFFFFF"/>
          </a:solidFill>
          <a:ln w="9525">
            <a:solidFill>
              <a:schemeClr val="bg1">
                <a:lumMod val="65000"/>
              </a:schemeClr>
            </a:solidFill>
            <a:prstDash val="solid"/>
            <a:round/>
            <a:headEnd/>
            <a:tailEnd/>
          </a:ln>
        </xdr:spPr>
      </xdr:sp>
      <xdr:sp macro="" textlink="">
        <xdr:nvSpPr>
          <xdr:cNvPr id="5366" name="GIN005005_10"/>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C7D6EE"/>
          </a:solidFill>
          <a:ln w="9525">
            <a:solidFill>
              <a:schemeClr val="bg1">
                <a:lumMod val="65000"/>
              </a:schemeClr>
            </a:solidFill>
            <a:prstDash val="solid"/>
            <a:round/>
            <a:headEnd/>
            <a:tailEnd/>
          </a:ln>
        </xdr:spPr>
      </xdr:sp>
      <xdr:sp macro="" textlink="">
        <xdr:nvSpPr>
          <xdr:cNvPr id="5367" name="GIN005004_10"/>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FFFFFF"/>
          </a:solidFill>
          <a:ln w="9525">
            <a:solidFill>
              <a:schemeClr val="bg1">
                <a:lumMod val="65000"/>
              </a:schemeClr>
            </a:solidFill>
            <a:prstDash val="solid"/>
            <a:round/>
            <a:headEnd/>
            <a:tailEnd/>
          </a:ln>
        </xdr:spPr>
      </xdr:sp>
      <xdr:sp macro="" textlink="">
        <xdr:nvSpPr>
          <xdr:cNvPr id="5368" name="GIN001002_10"/>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FFFFFF"/>
          </a:solidFill>
          <a:ln w="9525">
            <a:solidFill>
              <a:schemeClr val="bg1">
                <a:lumMod val="65000"/>
              </a:schemeClr>
            </a:solidFill>
            <a:prstDash val="solid"/>
            <a:round/>
            <a:headEnd/>
            <a:tailEnd/>
          </a:ln>
        </xdr:spPr>
      </xdr:sp>
      <xdr:sp macro="" textlink="">
        <xdr:nvSpPr>
          <xdr:cNvPr id="5369" name="GIN004001_10"/>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C7D6EE"/>
          </a:solidFill>
          <a:ln w="9525">
            <a:solidFill>
              <a:schemeClr val="bg1">
                <a:lumMod val="65000"/>
              </a:schemeClr>
            </a:solidFill>
            <a:prstDash val="solid"/>
            <a:round/>
            <a:headEnd/>
            <a:tailEnd/>
          </a:ln>
        </xdr:spPr>
      </xdr:sp>
      <xdr:sp macro="" textlink="">
        <xdr:nvSpPr>
          <xdr:cNvPr id="5370" name="GIN003001_10"/>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FFFFFF"/>
          </a:solidFill>
          <a:ln w="9525">
            <a:solidFill>
              <a:schemeClr val="bg1">
                <a:lumMod val="65000"/>
              </a:schemeClr>
            </a:solidFill>
            <a:prstDash val="solid"/>
            <a:round/>
            <a:headEnd/>
            <a:tailEnd/>
          </a:ln>
        </xdr:spPr>
      </xdr:sp>
      <xdr:sp macro="" textlink="">
        <xdr:nvSpPr>
          <xdr:cNvPr id="5371" name="GIN007001_10"/>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FFFFFF"/>
          </a:solidFill>
          <a:ln w="9525">
            <a:solidFill>
              <a:schemeClr val="bg1">
                <a:lumMod val="65000"/>
              </a:schemeClr>
            </a:solidFill>
            <a:prstDash val="solid"/>
            <a:round/>
            <a:headEnd/>
            <a:tailEnd/>
          </a:ln>
        </xdr:spPr>
      </xdr:sp>
      <xdr:sp macro="" textlink="">
        <xdr:nvSpPr>
          <xdr:cNvPr id="5372" name="GIN007003_10"/>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FFFFFF"/>
          </a:solidFill>
          <a:ln w="9525">
            <a:solidFill>
              <a:schemeClr val="bg1">
                <a:lumMod val="65000"/>
              </a:schemeClr>
            </a:solidFill>
            <a:prstDash val="solid"/>
            <a:round/>
            <a:headEnd/>
            <a:tailEnd/>
          </a:ln>
        </xdr:spPr>
      </xdr:sp>
      <xdr:sp macro="" textlink="">
        <xdr:nvSpPr>
          <xdr:cNvPr id="5373" name="GIN005006_10"/>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FFFFFF"/>
          </a:solidFill>
          <a:ln w="9525">
            <a:solidFill>
              <a:schemeClr val="bg1">
                <a:lumMod val="65000"/>
              </a:schemeClr>
            </a:solidFill>
            <a:prstDash val="solid"/>
            <a:round/>
            <a:headEnd/>
            <a:tailEnd/>
          </a:ln>
        </xdr:spPr>
      </xdr:sp>
      <xdr:sp macro="" textlink="">
        <xdr:nvSpPr>
          <xdr:cNvPr id="5374" name="GIN004003_10"/>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C7D6EE"/>
          </a:solidFill>
          <a:ln w="9525">
            <a:solidFill>
              <a:schemeClr val="bg1">
                <a:lumMod val="65000"/>
              </a:schemeClr>
            </a:solidFill>
            <a:prstDash val="solid"/>
            <a:round/>
            <a:headEnd/>
            <a:tailEnd/>
          </a:ln>
        </xdr:spPr>
      </xdr:sp>
      <xdr:sp macro="" textlink="">
        <xdr:nvSpPr>
          <xdr:cNvPr id="5375" name="GIN004004_10"/>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FFFFFF"/>
          </a:solidFill>
          <a:ln w="9525">
            <a:solidFill>
              <a:schemeClr val="bg1">
                <a:lumMod val="65000"/>
              </a:schemeClr>
            </a:solidFill>
            <a:prstDash val="solid"/>
            <a:round/>
            <a:headEnd/>
            <a:tailEnd/>
          </a:ln>
        </xdr:spPr>
      </xdr:sp>
      <xdr:sp macro="" textlink="">
        <xdr:nvSpPr>
          <xdr:cNvPr id="5376" name="GIN006002_10"/>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FFFFFF"/>
          </a:solidFill>
          <a:ln w="9525">
            <a:solidFill>
              <a:schemeClr val="bg1">
                <a:lumMod val="65000"/>
              </a:schemeClr>
            </a:solidFill>
            <a:prstDash val="solid"/>
            <a:round/>
            <a:headEnd/>
            <a:tailEnd/>
          </a:ln>
        </xdr:spPr>
      </xdr:sp>
      <xdr:sp macro="" textlink="">
        <xdr:nvSpPr>
          <xdr:cNvPr id="5377" name="GIN006003_10"/>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FFFFFF"/>
          </a:solidFill>
          <a:ln w="9525">
            <a:solidFill>
              <a:schemeClr val="bg1">
                <a:lumMod val="65000"/>
              </a:schemeClr>
            </a:solidFill>
            <a:prstDash val="solid"/>
            <a:round/>
            <a:headEnd/>
            <a:tailEnd/>
          </a:ln>
        </xdr:spPr>
      </xdr:sp>
      <xdr:sp macro="" textlink="">
        <xdr:nvSpPr>
          <xdr:cNvPr id="5378" name="GIN006005_10"/>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FFFFFF"/>
          </a:solidFill>
          <a:ln w="9525">
            <a:solidFill>
              <a:schemeClr val="bg1">
                <a:lumMod val="65000"/>
              </a:schemeClr>
            </a:solidFill>
            <a:prstDash val="solid"/>
            <a:round/>
            <a:headEnd/>
            <a:tailEnd/>
          </a:ln>
        </xdr:spPr>
      </xdr:sp>
      <xdr:sp macro="" textlink="">
        <xdr:nvSpPr>
          <xdr:cNvPr id="5379" name="GIN006001_10"/>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FFFFFF"/>
          </a:solidFill>
          <a:ln w="9525">
            <a:solidFill>
              <a:schemeClr val="bg1">
                <a:lumMod val="65000"/>
              </a:schemeClr>
            </a:solidFill>
            <a:prstDash val="solid"/>
            <a:round/>
            <a:headEnd/>
            <a:tailEnd/>
          </a:ln>
        </xdr:spPr>
      </xdr:sp>
      <xdr:sp macro="" textlink="">
        <xdr:nvSpPr>
          <xdr:cNvPr id="5380" name="GIN003002_10"/>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FFFFFF"/>
          </a:solidFill>
          <a:ln w="9525">
            <a:solidFill>
              <a:schemeClr val="bg1">
                <a:lumMod val="65000"/>
              </a:schemeClr>
            </a:solidFill>
            <a:prstDash val="solid"/>
            <a:round/>
            <a:headEnd/>
            <a:tailEnd/>
          </a:ln>
        </xdr:spPr>
      </xdr:sp>
      <xdr:sp macro="" textlink="">
        <xdr:nvSpPr>
          <xdr:cNvPr id="5381" name="GIN001003_10"/>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FFFFFF"/>
          </a:solidFill>
          <a:ln w="9525">
            <a:solidFill>
              <a:schemeClr val="bg1">
                <a:lumMod val="65000"/>
              </a:schemeClr>
            </a:solidFill>
            <a:prstDash val="solid"/>
            <a:round/>
            <a:headEnd/>
            <a:tailEnd/>
          </a:ln>
        </xdr:spPr>
      </xdr:sp>
      <xdr:sp macro="" textlink="">
        <xdr:nvSpPr>
          <xdr:cNvPr id="5382" name="GIN006004_10"/>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FFFFFF"/>
          </a:solidFill>
          <a:ln w="9525">
            <a:solidFill>
              <a:schemeClr val="bg1">
                <a:lumMod val="65000"/>
              </a:schemeClr>
            </a:solidFill>
            <a:prstDash val="solid"/>
            <a:round/>
            <a:headEnd/>
            <a:tailEnd/>
          </a:ln>
        </xdr:spPr>
      </xdr:sp>
      <xdr:sp macro="" textlink="">
        <xdr:nvSpPr>
          <xdr:cNvPr id="5383" name="GIN004005_10"/>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C7D6EE"/>
          </a:solidFill>
          <a:ln w="9525">
            <a:solidFill>
              <a:schemeClr val="bg1">
                <a:lumMod val="65000"/>
              </a:schemeClr>
            </a:solidFill>
            <a:prstDash val="solid"/>
            <a:round/>
            <a:headEnd/>
            <a:tailEnd/>
          </a:ln>
        </xdr:spPr>
      </xdr:sp>
      <xdr:sp macro="" textlink="">
        <xdr:nvSpPr>
          <xdr:cNvPr id="5384" name="GIN001004_10"/>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FFFFFF"/>
          </a:solidFill>
          <a:ln w="9525">
            <a:solidFill>
              <a:schemeClr val="bg1">
                <a:lumMod val="65000"/>
              </a:schemeClr>
            </a:solidFill>
            <a:prstDash val="solid"/>
            <a:round/>
            <a:headEnd/>
            <a:tailEnd/>
          </a:ln>
        </xdr:spPr>
      </xdr:sp>
      <xdr:sp macro="" textlink="">
        <xdr:nvSpPr>
          <xdr:cNvPr id="5385" name="GIN002001_10"/>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386" name="Group 50"/>
          <xdr:cNvGrpSpPr/>
        </xdr:nvGrpSpPr>
        <xdr:grpSpPr>
          <a:xfrm>
            <a:off x="4212412" y="4930731"/>
            <a:ext cx="721252" cy="300159"/>
            <a:chOff x="2925363" y="2042423"/>
            <a:chExt cx="743166" cy="307879"/>
          </a:xfrm>
          <a:grpFill/>
        </xdr:grpSpPr>
        <xdr:cxnSp macro="">
          <xdr:nvCxnSpPr>
            <xdr:cNvPr id="5387" name="Elbow Connector 51_10"/>
            <xdr:cNvCxnSpPr>
              <a:stCxn id="5385" idx="54"/>
              <a:endCxn id="5388"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388" name="Oval 52_10"/>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24</xdr:col>
      <xdr:colOff>51954</xdr:colOff>
      <xdr:row>78</xdr:row>
      <xdr:rowOff>51955</xdr:rowOff>
    </xdr:from>
    <xdr:to>
      <xdr:col>36</xdr:col>
      <xdr:colOff>48064</xdr:colOff>
      <xdr:row>87</xdr:row>
      <xdr:rowOff>51313</xdr:rowOff>
    </xdr:to>
    <xdr:grpSp>
      <xdr:nvGrpSpPr>
        <xdr:cNvPr id="5389" name="_Map11Geometry"/>
        <xdr:cNvGrpSpPr>
          <a:grpSpLocks noChangeAspect="1"/>
        </xdr:cNvGrpSpPr>
      </xdr:nvGrpSpPr>
      <xdr:grpSpPr>
        <a:xfrm>
          <a:off x="5795529" y="13596505"/>
          <a:ext cx="2167810" cy="1628133"/>
          <a:chOff x="3565073" y="2219820"/>
          <a:chExt cx="6883977" cy="4969206"/>
        </a:xfrm>
        <a:solidFill>
          <a:schemeClr val="bg1"/>
        </a:solidFill>
      </xdr:grpSpPr>
      <xdr:sp macro="" textlink="">
        <xdr:nvSpPr>
          <xdr:cNvPr id="5390" name="GIN008006_11"/>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95B6DF"/>
          </a:solidFill>
          <a:ln w="9525">
            <a:solidFill>
              <a:schemeClr val="bg1">
                <a:lumMod val="65000"/>
              </a:schemeClr>
            </a:solidFill>
            <a:prstDash val="solid"/>
            <a:round/>
            <a:headEnd/>
            <a:tailEnd/>
          </a:ln>
        </xdr:spPr>
      </xdr:sp>
      <xdr:sp macro="" textlink="">
        <xdr:nvSpPr>
          <xdr:cNvPr id="5391" name="GIN008005_11"/>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659AD2"/>
          </a:solidFill>
          <a:ln w="9525">
            <a:solidFill>
              <a:schemeClr val="bg1">
                <a:lumMod val="65000"/>
              </a:schemeClr>
            </a:solidFill>
            <a:prstDash val="solid"/>
            <a:round/>
            <a:headEnd/>
            <a:tailEnd/>
          </a:ln>
        </xdr:spPr>
      </xdr:sp>
      <xdr:sp macro="" textlink="">
        <xdr:nvSpPr>
          <xdr:cNvPr id="5392" name="GIN008003_11"/>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95B6DF"/>
          </a:solidFill>
          <a:ln w="9525">
            <a:solidFill>
              <a:schemeClr val="bg1">
                <a:lumMod val="65000"/>
              </a:schemeClr>
            </a:solidFill>
            <a:prstDash val="solid"/>
            <a:round/>
            <a:headEnd/>
            <a:tailEnd/>
          </a:ln>
        </xdr:spPr>
      </xdr:sp>
      <xdr:sp macro="" textlink="">
        <xdr:nvSpPr>
          <xdr:cNvPr id="5393" name="GIN008002_11"/>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659AD2"/>
          </a:solidFill>
          <a:ln w="9525">
            <a:solidFill>
              <a:schemeClr val="bg1">
                <a:lumMod val="65000"/>
              </a:schemeClr>
            </a:solidFill>
            <a:prstDash val="solid"/>
            <a:round/>
            <a:headEnd/>
            <a:tailEnd/>
          </a:ln>
        </xdr:spPr>
      </xdr:sp>
      <xdr:sp macro="" textlink="">
        <xdr:nvSpPr>
          <xdr:cNvPr id="5394" name="GIN008004_11"/>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659AD2"/>
          </a:solidFill>
          <a:ln w="9525">
            <a:solidFill>
              <a:schemeClr val="bg1">
                <a:lumMod val="65000"/>
              </a:schemeClr>
            </a:solidFill>
            <a:prstDash val="solid"/>
            <a:round/>
            <a:headEnd/>
            <a:tailEnd/>
          </a:ln>
        </xdr:spPr>
      </xdr:sp>
      <xdr:sp macro="" textlink="">
        <xdr:nvSpPr>
          <xdr:cNvPr id="5395" name="GIN008001_11"/>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026CB6"/>
          </a:solidFill>
          <a:ln w="9525">
            <a:solidFill>
              <a:schemeClr val="bg1">
                <a:lumMod val="65000"/>
              </a:schemeClr>
            </a:solidFill>
            <a:prstDash val="solid"/>
            <a:round/>
            <a:headEnd/>
            <a:tailEnd/>
          </a:ln>
        </xdr:spPr>
      </xdr:sp>
      <xdr:sp macro="" textlink="">
        <xdr:nvSpPr>
          <xdr:cNvPr id="5396" name="GIN003004_11"/>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C7D6EE"/>
          </a:solidFill>
          <a:ln w="9525">
            <a:solidFill>
              <a:schemeClr val="bg1">
                <a:lumMod val="65000"/>
              </a:schemeClr>
            </a:solidFill>
            <a:prstDash val="solid"/>
            <a:round/>
            <a:headEnd/>
            <a:tailEnd/>
          </a:ln>
        </xdr:spPr>
      </xdr:sp>
      <xdr:sp macro="" textlink="">
        <xdr:nvSpPr>
          <xdr:cNvPr id="5397" name="GIN005003_11"/>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026CB6"/>
          </a:solidFill>
          <a:ln w="9525">
            <a:solidFill>
              <a:schemeClr val="bg1">
                <a:lumMod val="65000"/>
              </a:schemeClr>
            </a:solidFill>
            <a:prstDash val="solid"/>
            <a:round/>
            <a:headEnd/>
            <a:tailEnd/>
          </a:ln>
        </xdr:spPr>
      </xdr:sp>
      <xdr:sp macro="" textlink="">
        <xdr:nvSpPr>
          <xdr:cNvPr id="5398" name="GIN002001_11"/>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026CB6"/>
          </a:solidFill>
          <a:ln w="9525">
            <a:solidFill>
              <a:schemeClr val="bg1">
                <a:lumMod val="65000"/>
              </a:schemeClr>
            </a:solidFill>
            <a:prstDash val="solid"/>
            <a:round/>
            <a:headEnd/>
            <a:tailEnd/>
          </a:ln>
        </xdr:spPr>
      </xdr:sp>
      <xdr:sp macro="" textlink="">
        <xdr:nvSpPr>
          <xdr:cNvPr id="5399" name="GIN004002_11"/>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659AD2"/>
          </a:solidFill>
          <a:ln w="9525">
            <a:solidFill>
              <a:schemeClr val="bg1">
                <a:lumMod val="65000"/>
              </a:schemeClr>
            </a:solidFill>
            <a:prstDash val="solid"/>
            <a:round/>
            <a:headEnd/>
            <a:tailEnd/>
          </a:ln>
        </xdr:spPr>
      </xdr:sp>
      <xdr:sp macro="" textlink="">
        <xdr:nvSpPr>
          <xdr:cNvPr id="5400" name="GIN005002_11"/>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95B6DF"/>
          </a:solidFill>
          <a:ln w="9525">
            <a:solidFill>
              <a:schemeClr val="bg1">
                <a:lumMod val="65000"/>
              </a:schemeClr>
            </a:solidFill>
            <a:prstDash val="solid"/>
            <a:round/>
            <a:headEnd/>
            <a:tailEnd/>
          </a:ln>
        </xdr:spPr>
      </xdr:sp>
      <xdr:sp macro="" textlink="">
        <xdr:nvSpPr>
          <xdr:cNvPr id="5401" name="GIN003003_11"/>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95B6DF"/>
          </a:solidFill>
          <a:ln w="9525">
            <a:solidFill>
              <a:schemeClr val="bg1">
                <a:lumMod val="65000"/>
              </a:schemeClr>
            </a:solidFill>
            <a:prstDash val="solid"/>
            <a:round/>
            <a:headEnd/>
            <a:tailEnd/>
          </a:ln>
        </xdr:spPr>
      </xdr:sp>
      <xdr:sp macro="" textlink="">
        <xdr:nvSpPr>
          <xdr:cNvPr id="5402" name="GIN005001_11"/>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659AD2"/>
          </a:solidFill>
          <a:ln w="9525">
            <a:solidFill>
              <a:schemeClr val="bg1">
                <a:lumMod val="65000"/>
              </a:schemeClr>
            </a:solidFill>
            <a:prstDash val="solid"/>
            <a:round/>
            <a:headEnd/>
            <a:tailEnd/>
          </a:ln>
        </xdr:spPr>
      </xdr:sp>
      <xdr:sp macro="" textlink="">
        <xdr:nvSpPr>
          <xdr:cNvPr id="5403" name="GIN001001_11"/>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C7D6EE"/>
          </a:solidFill>
          <a:ln w="9525">
            <a:solidFill>
              <a:schemeClr val="bg1">
                <a:lumMod val="65000"/>
              </a:schemeClr>
            </a:solidFill>
            <a:prstDash val="solid"/>
            <a:round/>
            <a:headEnd/>
            <a:tailEnd/>
          </a:ln>
        </xdr:spPr>
      </xdr:sp>
      <xdr:sp macro="" textlink="">
        <xdr:nvSpPr>
          <xdr:cNvPr id="5404" name="GIN007002_11"/>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C7D6EE"/>
          </a:solidFill>
          <a:ln w="9525">
            <a:solidFill>
              <a:schemeClr val="bg1">
                <a:lumMod val="65000"/>
              </a:schemeClr>
            </a:solidFill>
            <a:prstDash val="solid"/>
            <a:round/>
            <a:headEnd/>
            <a:tailEnd/>
          </a:ln>
        </xdr:spPr>
      </xdr:sp>
      <xdr:sp macro="" textlink="">
        <xdr:nvSpPr>
          <xdr:cNvPr id="5405" name="GIN005005_11"/>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95B6DF"/>
          </a:solidFill>
          <a:ln w="9525">
            <a:solidFill>
              <a:schemeClr val="bg1">
                <a:lumMod val="65000"/>
              </a:schemeClr>
            </a:solidFill>
            <a:prstDash val="solid"/>
            <a:round/>
            <a:headEnd/>
            <a:tailEnd/>
          </a:ln>
        </xdr:spPr>
      </xdr:sp>
      <xdr:sp macro="" textlink="">
        <xdr:nvSpPr>
          <xdr:cNvPr id="5406" name="GIN005004_11"/>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C7D6EE"/>
          </a:solidFill>
          <a:ln w="9525">
            <a:solidFill>
              <a:schemeClr val="bg1">
                <a:lumMod val="65000"/>
              </a:schemeClr>
            </a:solidFill>
            <a:prstDash val="solid"/>
            <a:round/>
            <a:headEnd/>
            <a:tailEnd/>
          </a:ln>
        </xdr:spPr>
      </xdr:sp>
      <xdr:sp macro="" textlink="">
        <xdr:nvSpPr>
          <xdr:cNvPr id="5407" name="GIN001002_11"/>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95B6DF"/>
          </a:solidFill>
          <a:ln w="9525">
            <a:solidFill>
              <a:schemeClr val="bg1">
                <a:lumMod val="65000"/>
              </a:schemeClr>
            </a:solidFill>
            <a:prstDash val="solid"/>
            <a:round/>
            <a:headEnd/>
            <a:tailEnd/>
          </a:ln>
        </xdr:spPr>
      </xdr:sp>
      <xdr:sp macro="" textlink="">
        <xdr:nvSpPr>
          <xdr:cNvPr id="5408" name="GIN004001_11"/>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659AD2"/>
          </a:solidFill>
          <a:ln w="9525">
            <a:solidFill>
              <a:schemeClr val="bg1">
                <a:lumMod val="65000"/>
              </a:schemeClr>
            </a:solidFill>
            <a:prstDash val="solid"/>
            <a:round/>
            <a:headEnd/>
            <a:tailEnd/>
          </a:ln>
        </xdr:spPr>
      </xdr:sp>
      <xdr:sp macro="" textlink="">
        <xdr:nvSpPr>
          <xdr:cNvPr id="5409" name="GIN003001_11"/>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C7D6EE"/>
          </a:solidFill>
          <a:ln w="9525">
            <a:solidFill>
              <a:schemeClr val="bg1">
                <a:lumMod val="65000"/>
              </a:schemeClr>
            </a:solidFill>
            <a:prstDash val="solid"/>
            <a:round/>
            <a:headEnd/>
            <a:tailEnd/>
          </a:ln>
        </xdr:spPr>
      </xdr:sp>
      <xdr:sp macro="" textlink="">
        <xdr:nvSpPr>
          <xdr:cNvPr id="5410" name="GIN007001_11"/>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659AD2"/>
          </a:solidFill>
          <a:ln w="9525">
            <a:solidFill>
              <a:schemeClr val="bg1">
                <a:lumMod val="65000"/>
              </a:schemeClr>
            </a:solidFill>
            <a:prstDash val="solid"/>
            <a:round/>
            <a:headEnd/>
            <a:tailEnd/>
          </a:ln>
        </xdr:spPr>
      </xdr:sp>
      <xdr:sp macro="" textlink="">
        <xdr:nvSpPr>
          <xdr:cNvPr id="5411" name="GIN007003_11"/>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659AD2"/>
          </a:solidFill>
          <a:ln w="9525">
            <a:solidFill>
              <a:schemeClr val="bg1">
                <a:lumMod val="65000"/>
              </a:schemeClr>
            </a:solidFill>
            <a:prstDash val="solid"/>
            <a:round/>
            <a:headEnd/>
            <a:tailEnd/>
          </a:ln>
        </xdr:spPr>
      </xdr:sp>
      <xdr:sp macro="" textlink="">
        <xdr:nvSpPr>
          <xdr:cNvPr id="5412" name="GIN005006_11"/>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C7D6EE"/>
          </a:solidFill>
          <a:ln w="9525">
            <a:solidFill>
              <a:schemeClr val="bg1">
                <a:lumMod val="65000"/>
              </a:schemeClr>
            </a:solidFill>
            <a:prstDash val="solid"/>
            <a:round/>
            <a:headEnd/>
            <a:tailEnd/>
          </a:ln>
        </xdr:spPr>
      </xdr:sp>
      <xdr:sp macro="" textlink="">
        <xdr:nvSpPr>
          <xdr:cNvPr id="5413" name="GIN004003_11"/>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659AD2"/>
          </a:solidFill>
          <a:ln w="9525">
            <a:solidFill>
              <a:schemeClr val="bg1">
                <a:lumMod val="65000"/>
              </a:schemeClr>
            </a:solidFill>
            <a:prstDash val="solid"/>
            <a:round/>
            <a:headEnd/>
            <a:tailEnd/>
          </a:ln>
        </xdr:spPr>
      </xdr:sp>
      <xdr:sp macro="" textlink="">
        <xdr:nvSpPr>
          <xdr:cNvPr id="5414" name="GIN004004_11"/>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415" name="GIN006002_11"/>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659AD2"/>
          </a:solidFill>
          <a:ln w="9525">
            <a:solidFill>
              <a:schemeClr val="bg1">
                <a:lumMod val="65000"/>
              </a:schemeClr>
            </a:solidFill>
            <a:prstDash val="solid"/>
            <a:round/>
            <a:headEnd/>
            <a:tailEnd/>
          </a:ln>
        </xdr:spPr>
      </xdr:sp>
      <xdr:sp macro="" textlink="">
        <xdr:nvSpPr>
          <xdr:cNvPr id="5416" name="GIN006003_11"/>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C7D6EE"/>
          </a:solidFill>
          <a:ln w="9525">
            <a:solidFill>
              <a:schemeClr val="bg1">
                <a:lumMod val="65000"/>
              </a:schemeClr>
            </a:solidFill>
            <a:prstDash val="solid"/>
            <a:round/>
            <a:headEnd/>
            <a:tailEnd/>
          </a:ln>
        </xdr:spPr>
      </xdr:sp>
      <xdr:sp macro="" textlink="">
        <xdr:nvSpPr>
          <xdr:cNvPr id="5417" name="GIN006005_11"/>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C7D6EE"/>
          </a:solidFill>
          <a:ln w="9525">
            <a:solidFill>
              <a:schemeClr val="bg1">
                <a:lumMod val="65000"/>
              </a:schemeClr>
            </a:solidFill>
            <a:prstDash val="solid"/>
            <a:round/>
            <a:headEnd/>
            <a:tailEnd/>
          </a:ln>
        </xdr:spPr>
      </xdr:sp>
      <xdr:sp macro="" textlink="">
        <xdr:nvSpPr>
          <xdr:cNvPr id="5418" name="GIN006001_11"/>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C7D6EE"/>
          </a:solidFill>
          <a:ln w="9525">
            <a:solidFill>
              <a:schemeClr val="bg1">
                <a:lumMod val="65000"/>
              </a:schemeClr>
            </a:solidFill>
            <a:prstDash val="solid"/>
            <a:round/>
            <a:headEnd/>
            <a:tailEnd/>
          </a:ln>
        </xdr:spPr>
      </xdr:sp>
      <xdr:sp macro="" textlink="">
        <xdr:nvSpPr>
          <xdr:cNvPr id="5419" name="GIN003002_11"/>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C7D6EE"/>
          </a:solidFill>
          <a:ln w="9525">
            <a:solidFill>
              <a:schemeClr val="bg1">
                <a:lumMod val="65000"/>
              </a:schemeClr>
            </a:solidFill>
            <a:prstDash val="solid"/>
            <a:round/>
            <a:headEnd/>
            <a:tailEnd/>
          </a:ln>
        </xdr:spPr>
      </xdr:sp>
      <xdr:sp macro="" textlink="">
        <xdr:nvSpPr>
          <xdr:cNvPr id="5420" name="GIN001003_11"/>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C7D6EE"/>
          </a:solidFill>
          <a:ln w="9525">
            <a:solidFill>
              <a:schemeClr val="bg1">
                <a:lumMod val="65000"/>
              </a:schemeClr>
            </a:solidFill>
            <a:prstDash val="solid"/>
            <a:round/>
            <a:headEnd/>
            <a:tailEnd/>
          </a:ln>
        </xdr:spPr>
      </xdr:sp>
      <xdr:sp macro="" textlink="">
        <xdr:nvSpPr>
          <xdr:cNvPr id="5421" name="GIN006004_11"/>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C7D6EE"/>
          </a:solidFill>
          <a:ln w="9525">
            <a:solidFill>
              <a:schemeClr val="bg1">
                <a:lumMod val="65000"/>
              </a:schemeClr>
            </a:solidFill>
            <a:prstDash val="solid"/>
            <a:round/>
            <a:headEnd/>
            <a:tailEnd/>
          </a:ln>
        </xdr:spPr>
      </xdr:sp>
      <xdr:sp macro="" textlink="">
        <xdr:nvSpPr>
          <xdr:cNvPr id="5422" name="GIN004005_11"/>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659AD2"/>
          </a:solidFill>
          <a:ln w="9525">
            <a:solidFill>
              <a:schemeClr val="bg1">
                <a:lumMod val="65000"/>
              </a:schemeClr>
            </a:solidFill>
            <a:prstDash val="solid"/>
            <a:round/>
            <a:headEnd/>
            <a:tailEnd/>
          </a:ln>
        </xdr:spPr>
      </xdr:sp>
      <xdr:sp macro="" textlink="">
        <xdr:nvSpPr>
          <xdr:cNvPr id="5423" name="GIN001004_11"/>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C7D6EE"/>
          </a:solidFill>
          <a:ln w="9525">
            <a:solidFill>
              <a:schemeClr val="bg1">
                <a:lumMod val="65000"/>
              </a:schemeClr>
            </a:solidFill>
            <a:prstDash val="solid"/>
            <a:round/>
            <a:headEnd/>
            <a:tailEnd/>
          </a:ln>
        </xdr:spPr>
      </xdr:sp>
      <xdr:sp macro="" textlink="">
        <xdr:nvSpPr>
          <xdr:cNvPr id="5424" name="GIN002001_11"/>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425" name="Group 50"/>
          <xdr:cNvGrpSpPr/>
        </xdr:nvGrpSpPr>
        <xdr:grpSpPr>
          <a:xfrm>
            <a:off x="4212412" y="4930731"/>
            <a:ext cx="721252" cy="300159"/>
            <a:chOff x="2925363" y="2042423"/>
            <a:chExt cx="743166" cy="307879"/>
          </a:xfrm>
          <a:grpFill/>
        </xdr:grpSpPr>
        <xdr:cxnSp macro="">
          <xdr:nvCxnSpPr>
            <xdr:cNvPr id="5426" name="Elbow Connector 51_11"/>
            <xdr:cNvCxnSpPr>
              <a:stCxn id="5424" idx="54"/>
              <a:endCxn id="5427"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427" name="Oval 52_11"/>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editAs="oneCell">
    <xdr:from>
      <xdr:col>41</xdr:col>
      <xdr:colOff>51955</xdr:colOff>
      <xdr:row>78</xdr:row>
      <xdr:rowOff>51955</xdr:rowOff>
    </xdr:from>
    <xdr:to>
      <xdr:col>53</xdr:col>
      <xdr:colOff>48064</xdr:colOff>
      <xdr:row>87</xdr:row>
      <xdr:rowOff>51313</xdr:rowOff>
    </xdr:to>
    <xdr:grpSp>
      <xdr:nvGrpSpPr>
        <xdr:cNvPr id="5428" name="_Map12Geometry"/>
        <xdr:cNvGrpSpPr>
          <a:grpSpLocks noChangeAspect="1"/>
        </xdr:cNvGrpSpPr>
      </xdr:nvGrpSpPr>
      <xdr:grpSpPr>
        <a:xfrm>
          <a:off x="8872105" y="13596505"/>
          <a:ext cx="2167809" cy="1628133"/>
          <a:chOff x="3565073" y="2219820"/>
          <a:chExt cx="6883977" cy="4969206"/>
        </a:xfrm>
        <a:solidFill>
          <a:schemeClr val="bg1"/>
        </a:solidFill>
      </xdr:grpSpPr>
      <xdr:sp macro="" textlink="">
        <xdr:nvSpPr>
          <xdr:cNvPr id="5429" name="GIN008006_12"/>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solidFill>
            <a:srgbClr val="FFFFFF"/>
          </a:solidFill>
          <a:ln w="9525">
            <a:solidFill>
              <a:schemeClr val="bg1">
                <a:lumMod val="65000"/>
              </a:schemeClr>
            </a:solidFill>
            <a:prstDash val="solid"/>
            <a:round/>
            <a:headEnd/>
            <a:tailEnd/>
          </a:ln>
        </xdr:spPr>
      </xdr:sp>
      <xdr:sp macro="" textlink="">
        <xdr:nvSpPr>
          <xdr:cNvPr id="5430" name="GIN008005_12"/>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431" name="GIN008003_12"/>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solidFill>
            <a:srgbClr val="FFFFFF"/>
          </a:solidFill>
          <a:ln w="9525">
            <a:solidFill>
              <a:schemeClr val="bg1">
                <a:lumMod val="65000"/>
              </a:schemeClr>
            </a:solidFill>
            <a:prstDash val="solid"/>
            <a:round/>
            <a:headEnd/>
            <a:tailEnd/>
          </a:ln>
        </xdr:spPr>
      </xdr:sp>
      <xdr:sp macro="" textlink="">
        <xdr:nvSpPr>
          <xdr:cNvPr id="5432" name="GIN008002_12"/>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solidFill>
            <a:srgbClr val="C7D6EE"/>
          </a:solidFill>
          <a:ln w="9525">
            <a:solidFill>
              <a:schemeClr val="bg1">
                <a:lumMod val="65000"/>
              </a:schemeClr>
            </a:solidFill>
            <a:prstDash val="solid"/>
            <a:round/>
            <a:headEnd/>
            <a:tailEnd/>
          </a:ln>
        </xdr:spPr>
      </xdr:sp>
      <xdr:sp macro="" textlink="">
        <xdr:nvSpPr>
          <xdr:cNvPr id="5433" name="GIN008004_12"/>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solidFill>
            <a:srgbClr val="C7D6EE"/>
          </a:solidFill>
          <a:ln w="9525">
            <a:solidFill>
              <a:schemeClr val="bg1">
                <a:lumMod val="65000"/>
              </a:schemeClr>
            </a:solidFill>
            <a:prstDash val="solid"/>
            <a:round/>
            <a:headEnd/>
            <a:tailEnd/>
          </a:ln>
        </xdr:spPr>
      </xdr:sp>
      <xdr:sp macro="" textlink="">
        <xdr:nvSpPr>
          <xdr:cNvPr id="5434" name="GIN008001_12"/>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solidFill>
            <a:srgbClr val="FFFFFF"/>
          </a:solidFill>
          <a:ln w="9525">
            <a:solidFill>
              <a:schemeClr val="bg1">
                <a:lumMod val="65000"/>
              </a:schemeClr>
            </a:solidFill>
            <a:prstDash val="solid"/>
            <a:round/>
            <a:headEnd/>
            <a:tailEnd/>
          </a:ln>
        </xdr:spPr>
      </xdr:sp>
      <xdr:sp macro="" textlink="">
        <xdr:nvSpPr>
          <xdr:cNvPr id="5435" name="GIN003004_12"/>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solidFill>
            <a:srgbClr val="FFFFFF"/>
          </a:solidFill>
          <a:ln w="9525">
            <a:solidFill>
              <a:schemeClr val="bg1">
                <a:lumMod val="65000"/>
              </a:schemeClr>
            </a:solidFill>
            <a:prstDash val="solid"/>
            <a:round/>
            <a:headEnd/>
            <a:tailEnd/>
          </a:ln>
        </xdr:spPr>
      </xdr:sp>
      <xdr:sp macro="" textlink="">
        <xdr:nvSpPr>
          <xdr:cNvPr id="5436" name="GIN005003_12"/>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solidFill>
            <a:srgbClr val="FFFFFF"/>
          </a:solidFill>
          <a:ln w="9525">
            <a:solidFill>
              <a:schemeClr val="bg1">
                <a:lumMod val="65000"/>
              </a:schemeClr>
            </a:solidFill>
            <a:prstDash val="solid"/>
            <a:round/>
            <a:headEnd/>
            <a:tailEnd/>
          </a:ln>
        </xdr:spPr>
      </xdr:sp>
      <xdr:sp macro="" textlink="">
        <xdr:nvSpPr>
          <xdr:cNvPr id="5437" name="GIN002001_12"/>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solidFill>
            <a:srgbClr val="95B6DF"/>
          </a:solidFill>
          <a:ln w="9525">
            <a:solidFill>
              <a:schemeClr val="bg1">
                <a:lumMod val="65000"/>
              </a:schemeClr>
            </a:solidFill>
            <a:prstDash val="solid"/>
            <a:round/>
            <a:headEnd/>
            <a:tailEnd/>
          </a:ln>
        </xdr:spPr>
      </xdr:sp>
      <xdr:sp macro="" textlink="">
        <xdr:nvSpPr>
          <xdr:cNvPr id="5438" name="GIN004002_12"/>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solidFill>
            <a:srgbClr val="C7D6EE"/>
          </a:solidFill>
          <a:ln w="9525">
            <a:solidFill>
              <a:schemeClr val="bg1">
                <a:lumMod val="65000"/>
              </a:schemeClr>
            </a:solidFill>
            <a:prstDash val="solid"/>
            <a:round/>
            <a:headEnd/>
            <a:tailEnd/>
          </a:ln>
        </xdr:spPr>
      </xdr:sp>
      <xdr:sp macro="" textlink="">
        <xdr:nvSpPr>
          <xdr:cNvPr id="5439" name="GIN005002_12"/>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solidFill>
            <a:srgbClr val="FFFFFF"/>
          </a:solidFill>
          <a:ln w="9525">
            <a:solidFill>
              <a:schemeClr val="bg1">
                <a:lumMod val="65000"/>
              </a:schemeClr>
            </a:solidFill>
            <a:prstDash val="solid"/>
            <a:round/>
            <a:headEnd/>
            <a:tailEnd/>
          </a:ln>
        </xdr:spPr>
      </xdr:sp>
      <xdr:sp macro="" textlink="">
        <xdr:nvSpPr>
          <xdr:cNvPr id="5440" name="GIN003003_12"/>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solidFill>
            <a:srgbClr val="FFFFFF"/>
          </a:solidFill>
          <a:ln w="9525">
            <a:solidFill>
              <a:schemeClr val="bg1">
                <a:lumMod val="65000"/>
              </a:schemeClr>
            </a:solidFill>
            <a:prstDash val="solid"/>
            <a:round/>
            <a:headEnd/>
            <a:tailEnd/>
          </a:ln>
        </xdr:spPr>
      </xdr:sp>
      <xdr:sp macro="" textlink="">
        <xdr:nvSpPr>
          <xdr:cNvPr id="5441" name="GIN005001_12"/>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solidFill>
            <a:srgbClr val="C7D6EE"/>
          </a:solidFill>
          <a:ln w="9525">
            <a:solidFill>
              <a:schemeClr val="bg1">
                <a:lumMod val="65000"/>
              </a:schemeClr>
            </a:solidFill>
            <a:prstDash val="solid"/>
            <a:round/>
            <a:headEnd/>
            <a:tailEnd/>
          </a:ln>
        </xdr:spPr>
      </xdr:sp>
      <xdr:sp macro="" textlink="">
        <xdr:nvSpPr>
          <xdr:cNvPr id="5442" name="GIN001001_12"/>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solidFill>
            <a:srgbClr val="FFFFFF"/>
          </a:solidFill>
          <a:ln w="9525">
            <a:solidFill>
              <a:schemeClr val="bg1">
                <a:lumMod val="65000"/>
              </a:schemeClr>
            </a:solidFill>
            <a:prstDash val="solid"/>
            <a:round/>
            <a:headEnd/>
            <a:tailEnd/>
          </a:ln>
        </xdr:spPr>
      </xdr:sp>
      <xdr:sp macro="" textlink="">
        <xdr:nvSpPr>
          <xdr:cNvPr id="5443" name="GIN007002_12"/>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solidFill>
            <a:srgbClr val="FFFFFF"/>
          </a:solidFill>
          <a:ln w="9525">
            <a:solidFill>
              <a:schemeClr val="bg1">
                <a:lumMod val="65000"/>
              </a:schemeClr>
            </a:solidFill>
            <a:prstDash val="solid"/>
            <a:round/>
            <a:headEnd/>
            <a:tailEnd/>
          </a:ln>
        </xdr:spPr>
      </xdr:sp>
      <xdr:sp macro="" textlink="">
        <xdr:nvSpPr>
          <xdr:cNvPr id="5444" name="GIN005005_12"/>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solidFill>
            <a:srgbClr val="FFFFFF"/>
          </a:solidFill>
          <a:ln w="9525">
            <a:solidFill>
              <a:schemeClr val="bg1">
                <a:lumMod val="65000"/>
              </a:schemeClr>
            </a:solidFill>
            <a:prstDash val="solid"/>
            <a:round/>
            <a:headEnd/>
            <a:tailEnd/>
          </a:ln>
        </xdr:spPr>
      </xdr:sp>
      <xdr:sp macro="" textlink="">
        <xdr:nvSpPr>
          <xdr:cNvPr id="5445" name="GIN005004_12"/>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solidFill>
            <a:srgbClr val="FFFFFF"/>
          </a:solidFill>
          <a:ln w="9525">
            <a:solidFill>
              <a:schemeClr val="bg1">
                <a:lumMod val="65000"/>
              </a:schemeClr>
            </a:solidFill>
            <a:prstDash val="solid"/>
            <a:round/>
            <a:headEnd/>
            <a:tailEnd/>
          </a:ln>
        </xdr:spPr>
      </xdr:sp>
      <xdr:sp macro="" textlink="">
        <xdr:nvSpPr>
          <xdr:cNvPr id="5446" name="GIN001002_12"/>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solidFill>
            <a:srgbClr val="FFFFFF"/>
          </a:solidFill>
          <a:ln w="9525">
            <a:solidFill>
              <a:schemeClr val="bg1">
                <a:lumMod val="65000"/>
              </a:schemeClr>
            </a:solidFill>
            <a:prstDash val="solid"/>
            <a:round/>
            <a:headEnd/>
            <a:tailEnd/>
          </a:ln>
        </xdr:spPr>
      </xdr:sp>
      <xdr:sp macro="" textlink="">
        <xdr:nvSpPr>
          <xdr:cNvPr id="5447" name="GIN004001_12"/>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solidFill>
            <a:srgbClr val="C7D6EE"/>
          </a:solidFill>
          <a:ln w="9525">
            <a:solidFill>
              <a:schemeClr val="bg1">
                <a:lumMod val="65000"/>
              </a:schemeClr>
            </a:solidFill>
            <a:prstDash val="solid"/>
            <a:round/>
            <a:headEnd/>
            <a:tailEnd/>
          </a:ln>
        </xdr:spPr>
      </xdr:sp>
      <xdr:sp macro="" textlink="">
        <xdr:nvSpPr>
          <xdr:cNvPr id="5448" name="GIN003001_12"/>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solidFill>
            <a:srgbClr val="FFFFFF"/>
          </a:solidFill>
          <a:ln w="9525">
            <a:solidFill>
              <a:schemeClr val="bg1">
                <a:lumMod val="65000"/>
              </a:schemeClr>
            </a:solidFill>
            <a:prstDash val="solid"/>
            <a:round/>
            <a:headEnd/>
            <a:tailEnd/>
          </a:ln>
        </xdr:spPr>
      </xdr:sp>
      <xdr:sp macro="" textlink="">
        <xdr:nvSpPr>
          <xdr:cNvPr id="5449" name="GIN007001_12"/>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solidFill>
            <a:srgbClr val="FFFFFF"/>
          </a:solidFill>
          <a:ln w="9525">
            <a:solidFill>
              <a:schemeClr val="bg1">
                <a:lumMod val="65000"/>
              </a:schemeClr>
            </a:solidFill>
            <a:prstDash val="solid"/>
            <a:round/>
            <a:headEnd/>
            <a:tailEnd/>
          </a:ln>
        </xdr:spPr>
      </xdr:sp>
      <xdr:sp macro="" textlink="">
        <xdr:nvSpPr>
          <xdr:cNvPr id="5450" name="GIN007003_12"/>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solidFill>
            <a:srgbClr val="FFFFFF"/>
          </a:solidFill>
          <a:ln w="9525">
            <a:solidFill>
              <a:schemeClr val="bg1">
                <a:lumMod val="65000"/>
              </a:schemeClr>
            </a:solidFill>
            <a:prstDash val="solid"/>
            <a:round/>
            <a:headEnd/>
            <a:tailEnd/>
          </a:ln>
        </xdr:spPr>
      </xdr:sp>
      <xdr:sp macro="" textlink="">
        <xdr:nvSpPr>
          <xdr:cNvPr id="5451" name="GIN005006_12"/>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solidFill>
            <a:srgbClr val="FFFFFF"/>
          </a:solidFill>
          <a:ln w="9525">
            <a:solidFill>
              <a:schemeClr val="bg1">
                <a:lumMod val="65000"/>
              </a:schemeClr>
            </a:solidFill>
            <a:prstDash val="solid"/>
            <a:round/>
            <a:headEnd/>
            <a:tailEnd/>
          </a:ln>
        </xdr:spPr>
      </xdr:sp>
      <xdr:sp macro="" textlink="">
        <xdr:nvSpPr>
          <xdr:cNvPr id="5452" name="GIN004003_12"/>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solidFill>
            <a:srgbClr val="FFFFFF"/>
          </a:solidFill>
          <a:ln w="9525">
            <a:solidFill>
              <a:schemeClr val="bg1">
                <a:lumMod val="65000"/>
              </a:schemeClr>
            </a:solidFill>
            <a:prstDash val="solid"/>
            <a:round/>
            <a:headEnd/>
            <a:tailEnd/>
          </a:ln>
        </xdr:spPr>
      </xdr:sp>
      <xdr:sp macro="" textlink="">
        <xdr:nvSpPr>
          <xdr:cNvPr id="5453" name="GIN004004_12"/>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solidFill>
            <a:srgbClr val="C7D6EE"/>
          </a:solidFill>
          <a:ln w="9525">
            <a:solidFill>
              <a:schemeClr val="bg1">
                <a:lumMod val="65000"/>
              </a:schemeClr>
            </a:solidFill>
            <a:prstDash val="solid"/>
            <a:round/>
            <a:headEnd/>
            <a:tailEnd/>
          </a:ln>
        </xdr:spPr>
      </xdr:sp>
      <xdr:sp macro="" textlink="">
        <xdr:nvSpPr>
          <xdr:cNvPr id="5454" name="GIN006002_12"/>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solidFill>
            <a:srgbClr val="FFFFFF"/>
          </a:solidFill>
          <a:ln w="9525">
            <a:solidFill>
              <a:schemeClr val="bg1">
                <a:lumMod val="65000"/>
              </a:schemeClr>
            </a:solidFill>
            <a:prstDash val="solid"/>
            <a:round/>
            <a:headEnd/>
            <a:tailEnd/>
          </a:ln>
        </xdr:spPr>
      </xdr:sp>
      <xdr:sp macro="" textlink="">
        <xdr:nvSpPr>
          <xdr:cNvPr id="5455" name="GIN006003_12"/>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solidFill>
            <a:srgbClr val="FFFFFF"/>
          </a:solidFill>
          <a:ln w="9525">
            <a:solidFill>
              <a:schemeClr val="bg1">
                <a:lumMod val="65000"/>
              </a:schemeClr>
            </a:solidFill>
            <a:prstDash val="solid"/>
            <a:round/>
            <a:headEnd/>
            <a:tailEnd/>
          </a:ln>
        </xdr:spPr>
      </xdr:sp>
      <xdr:sp macro="" textlink="">
        <xdr:nvSpPr>
          <xdr:cNvPr id="5456" name="GIN006005_12"/>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solidFill>
            <a:srgbClr val="FFFFFF"/>
          </a:solidFill>
          <a:ln w="9525">
            <a:solidFill>
              <a:schemeClr val="bg1">
                <a:lumMod val="65000"/>
              </a:schemeClr>
            </a:solidFill>
            <a:prstDash val="solid"/>
            <a:round/>
            <a:headEnd/>
            <a:tailEnd/>
          </a:ln>
        </xdr:spPr>
      </xdr:sp>
      <xdr:sp macro="" textlink="">
        <xdr:nvSpPr>
          <xdr:cNvPr id="5457" name="GIN006001_12"/>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solidFill>
            <a:srgbClr val="FFFFFF"/>
          </a:solidFill>
          <a:ln w="9525">
            <a:solidFill>
              <a:schemeClr val="bg1">
                <a:lumMod val="65000"/>
              </a:schemeClr>
            </a:solidFill>
            <a:prstDash val="solid"/>
            <a:round/>
            <a:headEnd/>
            <a:tailEnd/>
          </a:ln>
        </xdr:spPr>
      </xdr:sp>
      <xdr:sp macro="" textlink="">
        <xdr:nvSpPr>
          <xdr:cNvPr id="5458" name="GIN003002_12"/>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solidFill>
            <a:srgbClr val="FFFFFF"/>
          </a:solidFill>
          <a:ln w="9525">
            <a:solidFill>
              <a:schemeClr val="bg1">
                <a:lumMod val="65000"/>
              </a:schemeClr>
            </a:solidFill>
            <a:prstDash val="solid"/>
            <a:round/>
            <a:headEnd/>
            <a:tailEnd/>
          </a:ln>
        </xdr:spPr>
      </xdr:sp>
      <xdr:sp macro="" textlink="">
        <xdr:nvSpPr>
          <xdr:cNvPr id="5459" name="GIN001003_12"/>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solidFill>
            <a:srgbClr val="FFFFFF"/>
          </a:solidFill>
          <a:ln w="9525">
            <a:solidFill>
              <a:schemeClr val="bg1">
                <a:lumMod val="65000"/>
              </a:schemeClr>
            </a:solidFill>
            <a:prstDash val="solid"/>
            <a:round/>
            <a:headEnd/>
            <a:tailEnd/>
          </a:ln>
        </xdr:spPr>
      </xdr:sp>
      <xdr:sp macro="" textlink="">
        <xdr:nvSpPr>
          <xdr:cNvPr id="5460" name="GIN006004_12"/>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solidFill>
            <a:srgbClr val="FFFFFF"/>
          </a:solidFill>
          <a:ln w="9525">
            <a:solidFill>
              <a:schemeClr val="bg1">
                <a:lumMod val="65000"/>
              </a:schemeClr>
            </a:solidFill>
            <a:prstDash val="solid"/>
            <a:round/>
            <a:headEnd/>
            <a:tailEnd/>
          </a:ln>
        </xdr:spPr>
      </xdr:sp>
      <xdr:sp macro="" textlink="">
        <xdr:nvSpPr>
          <xdr:cNvPr id="5461" name="GIN004005_12"/>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solidFill>
            <a:srgbClr val="FFFFFF"/>
          </a:solidFill>
          <a:ln w="9525">
            <a:solidFill>
              <a:schemeClr val="bg1">
                <a:lumMod val="65000"/>
              </a:schemeClr>
            </a:solidFill>
            <a:prstDash val="solid"/>
            <a:round/>
            <a:headEnd/>
            <a:tailEnd/>
          </a:ln>
        </xdr:spPr>
      </xdr:sp>
      <xdr:sp macro="" textlink="">
        <xdr:nvSpPr>
          <xdr:cNvPr id="5462" name="GIN001004_12"/>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solidFill>
            <a:srgbClr val="FFFFFF"/>
          </a:solidFill>
          <a:ln w="9525">
            <a:solidFill>
              <a:schemeClr val="bg1">
                <a:lumMod val="65000"/>
              </a:schemeClr>
            </a:solidFill>
            <a:prstDash val="solid"/>
            <a:round/>
            <a:headEnd/>
            <a:tailEnd/>
          </a:ln>
        </xdr:spPr>
      </xdr:sp>
      <xdr:sp macro="" textlink="">
        <xdr:nvSpPr>
          <xdr:cNvPr id="5463" name="GIN002001_12"/>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5464" name="Group 50"/>
          <xdr:cNvGrpSpPr/>
        </xdr:nvGrpSpPr>
        <xdr:grpSpPr>
          <a:xfrm>
            <a:off x="4212412" y="4930731"/>
            <a:ext cx="721252" cy="300159"/>
            <a:chOff x="2925363" y="2042423"/>
            <a:chExt cx="743166" cy="307879"/>
          </a:xfrm>
          <a:grpFill/>
        </xdr:grpSpPr>
        <xdr:cxnSp macro="">
          <xdr:nvCxnSpPr>
            <xdr:cNvPr id="5465" name="Elbow Connector 51_12"/>
            <xdr:cNvCxnSpPr>
              <a:stCxn id="5463" idx="54"/>
              <a:endCxn id="5466"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466" name="Oval 52_12"/>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oneCellAnchor>
    <xdr:from>
      <xdr:col>5</xdr:col>
      <xdr:colOff>0</xdr:colOff>
      <xdr:row>17</xdr:row>
      <xdr:rowOff>114300</xdr:rowOff>
    </xdr:from>
    <xdr:ext cx="454731" cy="117917"/>
    <xdr:sp macro="" textlink="">
      <xdr:nvSpPr>
        <xdr:cNvPr id="5467" name="TextBox 483"/>
        <xdr:cNvSpPr txBox="1"/>
      </xdr:nvSpPr>
      <xdr:spPr>
        <a:xfrm>
          <a:off x="2305050" y="3248025"/>
          <a:ext cx="454731" cy="117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36000" tIns="0" rIns="36000" bIns="0" rtlCol="0" anchor="t">
          <a:spAutoFit/>
        </a:bodyPr>
        <a:lstStyle/>
        <a:p>
          <a:r>
            <a:rPr lang="en-GB" sz="800">
              <a:solidFill>
                <a:schemeClr val="tx1">
                  <a:lumMod val="50000"/>
                  <a:lumOff val="50000"/>
                </a:schemeClr>
              </a:solidFill>
              <a:latin typeface="Arial" panose="020B0604020202020204" pitchFamily="34" charset="0"/>
              <a:cs typeface="Arial" panose="020B0604020202020204" pitchFamily="34" charset="0"/>
            </a:rPr>
            <a:t>Conkary</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22</xdr:col>
      <xdr:colOff>370817</xdr:colOff>
      <xdr:row>0</xdr:row>
      <xdr:rowOff>215103</xdr:rowOff>
    </xdr:from>
    <xdr:to>
      <xdr:col>29</xdr:col>
      <xdr:colOff>73347</xdr:colOff>
      <xdr:row>9</xdr:row>
      <xdr:rowOff>0</xdr:rowOff>
    </xdr:to>
    <xdr:sp macro="" textlink="">
      <xdr:nvSpPr>
        <xdr:cNvPr id="8" name="Rectangle à coins arrondis 7"/>
        <xdr:cNvSpPr/>
      </xdr:nvSpPr>
      <xdr:spPr>
        <a:xfrm>
          <a:off x="19892926" y="215103"/>
          <a:ext cx="3992921" cy="4837774"/>
        </a:xfrm>
        <a:prstGeom prst="roundRect">
          <a:avLst>
            <a:gd name="adj" fmla="val 9197"/>
          </a:avLst>
        </a:prstGeom>
      </xdr:spPr>
      <xdr:style>
        <a:lnRef idx="3">
          <a:schemeClr val="lt1"/>
        </a:lnRef>
        <a:fillRef idx="1">
          <a:schemeClr val="accent6"/>
        </a:fillRef>
        <a:effectRef idx="1">
          <a:schemeClr val="accent6"/>
        </a:effectRef>
        <a:fontRef idx="minor">
          <a:schemeClr val="lt1"/>
        </a:fontRef>
      </xdr:style>
      <xdr:txBody>
        <a:bodyPr tIns="0" rtlCol="0" anchor="ctr"/>
        <a:lstStyle/>
        <a:p>
          <a:pPr algn="ctr"/>
          <a:r>
            <a:rPr lang="en-US" sz="1800" b="1"/>
            <a:t>INSTRUCTIONS</a:t>
          </a:r>
        </a:p>
        <a:p>
          <a:pPr algn="ctr"/>
          <a:endParaRPr lang="en-US" sz="1100"/>
        </a:p>
        <a:p>
          <a:pPr algn="l"/>
          <a:r>
            <a:rPr lang="en-US" sz="1100"/>
            <a:t>1. In the "Acronym"</a:t>
          </a:r>
          <a:r>
            <a:rPr lang="en-US" sz="1100" baseline="0"/>
            <a:t> column, choose an existing acronym. </a:t>
          </a:r>
          <a:r>
            <a:rPr lang="en-US" sz="1100"/>
            <a:t> </a:t>
          </a:r>
          <a:r>
            <a:rPr lang="en-US" sz="1100" baseline="0"/>
            <a:t>If you don't find the organisation you are looking for, click "Add a new Organisation"</a:t>
          </a:r>
          <a:endParaRPr lang="en-US" sz="300" baseline="0"/>
        </a:p>
        <a:p>
          <a:pPr algn="l"/>
          <a:r>
            <a:rPr lang="en-US" sz="1100" baseline="0"/>
            <a:t>2. The name and the organization type will be added automatically. Do not modify the cells in these columns. </a:t>
          </a:r>
          <a:endParaRPr lang="en-US" sz="300" baseline="0"/>
        </a:p>
        <a:p>
          <a:pPr algn="l"/>
          <a:r>
            <a:rPr lang="en-US" sz="1100" baseline="0"/>
            <a:t>3. Choose Sector and Activity Type and Admin Unit Name from the drop-down menu.</a:t>
          </a:r>
          <a:endParaRPr lang="en-US" sz="300" baseline="0"/>
        </a:p>
        <a:p>
          <a:pPr algn="l"/>
          <a:endParaRPr lang="en-US" sz="1100" baseline="0"/>
        </a:p>
        <a:p>
          <a:pPr algn="ctr"/>
          <a:r>
            <a:rPr lang="en-US" sz="1400" b="1" baseline="0"/>
            <a:t>ATTENTION</a:t>
          </a:r>
        </a:p>
        <a:p>
          <a:pPr algn="ctr"/>
          <a:endParaRPr lang="en-US" sz="300" baseline="0"/>
        </a:p>
        <a:p>
          <a:pPr algn="l"/>
          <a:r>
            <a:rPr lang="en-US" sz="1100" baseline="0"/>
            <a:t>No cell in the table can be empty.</a:t>
          </a:r>
        </a:p>
        <a:p>
          <a:pPr algn="l"/>
          <a:r>
            <a:rPr lang="en-US" sz="1100" baseline="0"/>
            <a:t>No line in the table can be empty.</a:t>
          </a:r>
        </a:p>
        <a:p>
          <a:pPr algn="l"/>
          <a:r>
            <a:rPr lang="en-US" sz="1100" baseline="0"/>
            <a:t>Verify that the last line of the table is not empty.</a:t>
          </a:r>
        </a:p>
        <a:p>
          <a:pPr algn="l"/>
          <a:r>
            <a:rPr lang="en-US" sz="1100" baseline="0"/>
            <a:t>Don't change the column titles.</a:t>
          </a:r>
        </a:p>
        <a:p>
          <a:pPr algn="l"/>
          <a:r>
            <a:rPr lang="en-US" sz="1100" baseline="0"/>
            <a:t>Don't delete entire rows.</a:t>
          </a:r>
        </a:p>
        <a:p>
          <a:pPr algn="l"/>
          <a:r>
            <a:rPr lang="en-US" sz="1100" baseline="0"/>
            <a:t>If the table has blanks rows at the bottom, resize using the small handle at the bottom right of the table.</a:t>
          </a:r>
        </a:p>
        <a:p>
          <a:pPr algn="l"/>
          <a:r>
            <a:rPr lang="en-US" sz="1100" baseline="0"/>
            <a:t>You can table rows by selecting a cell&gt;right click&gt;delete&gt;table rows.</a:t>
          </a:r>
          <a:endParaRPr lang="en-US" sz="1100"/>
        </a:p>
      </xdr:txBody>
    </xdr:sp>
    <xdr:clientData/>
  </xdr:twoCellAnchor>
  <xdr:twoCellAnchor editAs="oneCell">
    <xdr:from>
      <xdr:col>7</xdr:col>
      <xdr:colOff>208431</xdr:colOff>
      <xdr:row>0</xdr:row>
      <xdr:rowOff>100853</xdr:rowOff>
    </xdr:from>
    <xdr:to>
      <xdr:col>10</xdr:col>
      <xdr:colOff>672353</xdr:colOff>
      <xdr:row>2</xdr:row>
      <xdr:rowOff>22411</xdr:rowOff>
    </xdr:to>
    <xdr:grpSp>
      <xdr:nvGrpSpPr>
        <xdr:cNvPr id="11" name="Group 10"/>
        <xdr:cNvGrpSpPr>
          <a:grpSpLocks noChangeAspect="1"/>
        </xdr:cNvGrpSpPr>
      </xdr:nvGrpSpPr>
      <xdr:grpSpPr>
        <a:xfrm>
          <a:off x="9438156" y="100853"/>
          <a:ext cx="2568947" cy="559733"/>
          <a:chOff x="8646460" y="100853"/>
          <a:chExt cx="2570628" cy="560293"/>
        </a:xfrm>
      </xdr:grpSpPr>
      <xdr:grpSp>
        <xdr:nvGrpSpPr>
          <xdr:cNvPr id="5" name="Group 4"/>
          <xdr:cNvGrpSpPr/>
        </xdr:nvGrpSpPr>
        <xdr:grpSpPr>
          <a:xfrm>
            <a:off x="8646460" y="100853"/>
            <a:ext cx="2237815" cy="517813"/>
            <a:chOff x="8825754" y="78441"/>
            <a:chExt cx="2237815" cy="517813"/>
          </a:xfrm>
        </xdr:grpSpPr>
        <xdr:sp macro="" textlink="">
          <xdr:nvSpPr>
            <xdr:cNvPr id="2" name="Oval 1"/>
            <xdr:cNvSpPr/>
          </xdr:nvSpPr>
          <xdr:spPr>
            <a:xfrm>
              <a:off x="10917892" y="134470"/>
              <a:ext cx="145677" cy="145677"/>
            </a:xfrm>
            <a:prstGeom prst="ellipse">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GB" sz="1100"/>
            </a:p>
          </xdr:txBody>
        </xdr:sp>
        <xdr:sp macro="" textlink="">
          <xdr:nvSpPr>
            <xdr:cNvPr id="4" name="Oval 3"/>
            <xdr:cNvSpPr/>
          </xdr:nvSpPr>
          <xdr:spPr>
            <a:xfrm>
              <a:off x="10917892" y="398929"/>
              <a:ext cx="145677" cy="145677"/>
            </a:xfrm>
            <a:prstGeom prst="ellipse">
              <a:avLst/>
            </a:prstGeom>
            <a:solidFill>
              <a:srgbClr val="FF00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GB" sz="1100"/>
            </a:p>
          </xdr:txBody>
        </xdr:sp>
        <xdr:sp macro="" textlink="">
          <xdr:nvSpPr>
            <xdr:cNvPr id="3" name="TextBox 2"/>
            <xdr:cNvSpPr txBox="1"/>
          </xdr:nvSpPr>
          <xdr:spPr>
            <a:xfrm>
              <a:off x="9587437" y="78441"/>
              <a:ext cx="13547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not duplicated entry</a:t>
              </a:r>
            </a:p>
          </xdr:txBody>
        </xdr:sp>
        <xdr:sp macro="" textlink="">
          <xdr:nvSpPr>
            <xdr:cNvPr id="6" name="TextBox 5"/>
            <xdr:cNvSpPr txBox="1"/>
          </xdr:nvSpPr>
          <xdr:spPr>
            <a:xfrm>
              <a:off x="8825754" y="331694"/>
              <a:ext cx="211641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duplicated entry, check your data</a:t>
              </a:r>
            </a:p>
          </xdr:txBody>
        </xdr:sp>
      </xdr:grpSp>
      <xdr:cxnSp macro="">
        <xdr:nvCxnSpPr>
          <xdr:cNvPr id="9" name="Elbow Connector 8"/>
          <xdr:cNvCxnSpPr/>
        </xdr:nvCxnSpPr>
        <xdr:spPr>
          <a:xfrm rot="16200000" flipH="1">
            <a:off x="10953750" y="397808"/>
            <a:ext cx="280147" cy="246529"/>
          </a:xfrm>
          <a:prstGeom prst="bentConnector3">
            <a:avLst>
              <a:gd name="adj1" fmla="val 2000"/>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11</xdr:col>
      <xdr:colOff>761997</xdr:colOff>
      <xdr:row>0</xdr:row>
      <xdr:rowOff>0</xdr:rowOff>
    </xdr:from>
    <xdr:ext cx="3552825" cy="361950"/>
    <xdr:sp macro="" textlink="">
      <xdr:nvSpPr>
        <xdr:cNvPr id="3" name="TextBox 2"/>
        <xdr:cNvSpPr txBox="1"/>
      </xdr:nvSpPr>
      <xdr:spPr>
        <a:xfrm flipH="1">
          <a:off x="6210297" y="0"/>
          <a:ext cx="3552825" cy="36195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GB" sz="1100">
              <a:solidFill>
                <a:srgbClr val="FF0000"/>
              </a:solidFill>
            </a:rPr>
            <a:t>DO NOT ADD</a:t>
          </a:r>
          <a:r>
            <a:rPr lang="en-GB" sz="1100" baseline="0">
              <a:solidFill>
                <a:srgbClr val="FF0000"/>
              </a:solidFill>
            </a:rPr>
            <a:t> OR MOVE COLUMNS </a:t>
          </a:r>
          <a:endParaRPr lang="en-GB" sz="1100">
            <a:solidFill>
              <a:srgbClr val="FF0000"/>
            </a:solidFill>
          </a:endParaRP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10</xdr:col>
      <xdr:colOff>6916</xdr:colOff>
      <xdr:row>0</xdr:row>
      <xdr:rowOff>65810</xdr:rowOff>
    </xdr:from>
    <xdr:to>
      <xdr:col>13</xdr:col>
      <xdr:colOff>225136</xdr:colOff>
      <xdr:row>9</xdr:row>
      <xdr:rowOff>60615</xdr:rowOff>
    </xdr:to>
    <xdr:sp macro="" textlink="">
      <xdr:nvSpPr>
        <xdr:cNvPr id="30" name="Rectangle 29"/>
        <xdr:cNvSpPr/>
      </xdr:nvSpPr>
      <xdr:spPr>
        <a:xfrm>
          <a:off x="6864916" y="65810"/>
          <a:ext cx="2036629" cy="163137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79652</xdr:colOff>
      <xdr:row>0</xdr:row>
      <xdr:rowOff>77932</xdr:rowOff>
    </xdr:from>
    <xdr:to>
      <xdr:col>9</xdr:col>
      <xdr:colOff>571500</xdr:colOff>
      <xdr:row>9</xdr:row>
      <xdr:rowOff>72737</xdr:rowOff>
    </xdr:to>
    <xdr:sp macro="" textlink="">
      <xdr:nvSpPr>
        <xdr:cNvPr id="29" name="Rectangle 28"/>
        <xdr:cNvSpPr/>
      </xdr:nvSpPr>
      <xdr:spPr>
        <a:xfrm>
          <a:off x="5725379" y="77932"/>
          <a:ext cx="1097985" cy="163137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602673</xdr:colOff>
      <xdr:row>0</xdr:row>
      <xdr:rowOff>77932</xdr:rowOff>
    </xdr:from>
    <xdr:to>
      <xdr:col>8</xdr:col>
      <xdr:colOff>34637</xdr:colOff>
      <xdr:row>9</xdr:row>
      <xdr:rowOff>72737</xdr:rowOff>
    </xdr:to>
    <xdr:sp macro="" textlink="">
      <xdr:nvSpPr>
        <xdr:cNvPr id="28" name="Rectangle 27"/>
        <xdr:cNvSpPr/>
      </xdr:nvSpPr>
      <xdr:spPr>
        <a:xfrm>
          <a:off x="4429991" y="77932"/>
          <a:ext cx="1250373" cy="163137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100445</xdr:colOff>
      <xdr:row>4</xdr:row>
      <xdr:rowOff>100446</xdr:rowOff>
    </xdr:from>
    <xdr:to>
      <xdr:col>5</xdr:col>
      <xdr:colOff>568036</xdr:colOff>
      <xdr:row>9</xdr:row>
      <xdr:rowOff>65810</xdr:rowOff>
    </xdr:to>
    <xdr:sp macro="" textlink="">
      <xdr:nvSpPr>
        <xdr:cNvPr id="10" name="Rectangle 9"/>
        <xdr:cNvSpPr/>
      </xdr:nvSpPr>
      <xdr:spPr>
        <a:xfrm>
          <a:off x="1503218" y="931719"/>
          <a:ext cx="2892136" cy="78797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95250</xdr:colOff>
      <xdr:row>0</xdr:row>
      <xdr:rowOff>77932</xdr:rowOff>
    </xdr:from>
    <xdr:to>
      <xdr:col>5</xdr:col>
      <xdr:colOff>562841</xdr:colOff>
      <xdr:row>4</xdr:row>
      <xdr:rowOff>34636</xdr:rowOff>
    </xdr:to>
    <xdr:sp macro="" textlink="">
      <xdr:nvSpPr>
        <xdr:cNvPr id="2" name="Rectangle 1"/>
        <xdr:cNvSpPr/>
      </xdr:nvSpPr>
      <xdr:spPr>
        <a:xfrm>
          <a:off x="1498023" y="77932"/>
          <a:ext cx="2892136" cy="77065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0</xdr:colOff>
          <xdr:row>1</xdr:row>
          <xdr:rowOff>314325</xdr:rowOff>
        </xdr:from>
        <xdr:to>
          <xdr:col>5</xdr:col>
          <xdr:colOff>476250</xdr:colOff>
          <xdr:row>3</xdr:row>
          <xdr:rowOff>133350</xdr:rowOff>
        </xdr:to>
        <xdr:sp macro="" textlink="">
          <xdr:nvSpPr>
            <xdr:cNvPr id="3073" name="Button 1" descr="Rename Polys"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800000"/>
                  </a:solidFill>
                  <a:latin typeface="Arial"/>
                  <a:cs typeface="Arial"/>
                </a:rPr>
                <a:t>Rename Polys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85725</xdr:colOff>
          <xdr:row>3</xdr:row>
          <xdr:rowOff>95250</xdr:rowOff>
        </xdr:from>
        <xdr:to>
          <xdr:col>7</xdr:col>
          <xdr:colOff>552450</xdr:colOff>
          <xdr:row>5</xdr:row>
          <xdr:rowOff>66675</xdr:rowOff>
        </xdr:to>
        <xdr:sp macro="" textlink="">
          <xdr:nvSpPr>
            <xdr:cNvPr id="3145" name="Button 73" hidden="1">
              <a:extLst>
                <a:ext uri="{63B3BB69-23CF-44E3-9099-C40C66FF867C}">
                  <a14:compatExt spid="_x0000_s3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800000"/>
                  </a:solidFill>
                  <a:latin typeface="Arial"/>
                  <a:cs typeface="Arial"/>
                </a:rPr>
                <a:t>Generate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xdr:row>
          <xdr:rowOff>314325</xdr:rowOff>
        </xdr:from>
        <xdr:to>
          <xdr:col>3</xdr:col>
          <xdr:colOff>390525</xdr:colOff>
          <xdr:row>3</xdr:row>
          <xdr:rowOff>123825</xdr:rowOff>
        </xdr:to>
        <xdr:sp macro="" textlink="">
          <xdr:nvSpPr>
            <xdr:cNvPr id="3267" name="Button 195" hidden="1">
              <a:extLst>
                <a:ext uri="{63B3BB69-23CF-44E3-9099-C40C66FF867C}">
                  <a14:compatExt spid="_x0000_s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800000"/>
                  </a:solidFill>
                  <a:latin typeface="Arial"/>
                  <a:cs typeface="Arial"/>
                </a:rPr>
                <a:t>Set "ActiveRows"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xdr:row>
          <xdr:rowOff>104775</xdr:rowOff>
        </xdr:from>
        <xdr:to>
          <xdr:col>9</xdr:col>
          <xdr:colOff>485775</xdr:colOff>
          <xdr:row>5</xdr:row>
          <xdr:rowOff>38100</xdr:rowOff>
        </xdr:to>
        <xdr:sp macro="" textlink="">
          <xdr:nvSpPr>
            <xdr:cNvPr id="3268" name="Button 196" hidden="1">
              <a:extLst>
                <a:ext uri="{63B3BB69-23CF-44E3-9099-C40C66FF867C}">
                  <a14:compatExt spid="_x0000_s3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800000"/>
                  </a:solidFill>
                  <a:latin typeface="Arial"/>
                  <a:cs typeface="Arial"/>
                </a:rPr>
                <a:t>Build Gears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6</xdr:row>
          <xdr:rowOff>114300</xdr:rowOff>
        </xdr:from>
        <xdr:to>
          <xdr:col>4</xdr:col>
          <xdr:colOff>514350</xdr:colOff>
          <xdr:row>8</xdr:row>
          <xdr:rowOff>104775</xdr:rowOff>
        </xdr:to>
        <xdr:sp macro="" textlink="">
          <xdr:nvSpPr>
            <xdr:cNvPr id="3269" name="Button 197" hidden="1">
              <a:extLst>
                <a:ext uri="{63B3BB69-23CF-44E3-9099-C40C66FF867C}">
                  <a14:compatExt spid="_x0000_s32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800000"/>
                  </a:solidFill>
                  <a:latin typeface="Arial"/>
                  <a:cs typeface="Arial"/>
                </a:rPr>
                <a:t>Rename Polys 1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3</xdr:row>
          <xdr:rowOff>104775</xdr:rowOff>
        </xdr:from>
        <xdr:to>
          <xdr:col>13</xdr:col>
          <xdr:colOff>133350</xdr:colOff>
          <xdr:row>5</xdr:row>
          <xdr:rowOff>57150</xdr:rowOff>
        </xdr:to>
        <xdr:sp macro="" textlink="">
          <xdr:nvSpPr>
            <xdr:cNvPr id="3270" name="Button 198" hidden="1">
              <a:extLst>
                <a:ext uri="{63B3BB69-23CF-44E3-9099-C40C66FF867C}">
                  <a14:compatExt spid="_x0000_s3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800000"/>
                  </a:solidFill>
                  <a:latin typeface="Arial"/>
                  <a:cs typeface="Arial"/>
                </a:rPr>
                <a:t>Hide Unnecessary Worksheets</a:t>
              </a:r>
            </a:p>
          </xdr:txBody>
        </xdr:sp>
        <xdr:clientData fPrintsWithSheet="0"/>
      </xdr:twoCellAnchor>
    </mc:Choice>
    <mc:Fallback/>
  </mc:AlternateContent>
  <xdr:twoCellAnchor>
    <xdr:from>
      <xdr:col>1</xdr:col>
      <xdr:colOff>233795</xdr:colOff>
      <xdr:row>0</xdr:row>
      <xdr:rowOff>164523</xdr:rowOff>
    </xdr:from>
    <xdr:to>
      <xdr:col>5</xdr:col>
      <xdr:colOff>415637</xdr:colOff>
      <xdr:row>1</xdr:row>
      <xdr:rowOff>233795</xdr:rowOff>
    </xdr:to>
    <xdr:sp macro="" textlink="">
      <xdr:nvSpPr>
        <xdr:cNvPr id="3" name="TextBox 2"/>
        <xdr:cNvSpPr txBox="1"/>
      </xdr:nvSpPr>
      <xdr:spPr>
        <a:xfrm>
          <a:off x="1636568" y="164523"/>
          <a:ext cx="2606387" cy="242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GB" sz="1100">
              <a:solidFill>
                <a:srgbClr val="C00000"/>
              </a:solidFill>
            </a:rPr>
            <a:t>Preparing the Geometry: </a:t>
          </a:r>
          <a:r>
            <a:rPr lang="en-GB" sz="1100" b="1">
              <a:solidFill>
                <a:srgbClr val="C00000"/>
              </a:solidFill>
            </a:rPr>
            <a:t>Batc</a:t>
          </a:r>
          <a:r>
            <a:rPr lang="en-GB" sz="1100" b="1" baseline="0">
              <a:solidFill>
                <a:srgbClr val="C00000"/>
              </a:solidFill>
            </a:rPr>
            <a:t>h Method</a:t>
          </a:r>
          <a:endParaRPr lang="en-GB" sz="1100" b="1">
            <a:solidFill>
              <a:srgbClr val="C00000"/>
            </a:solidFill>
          </a:endParaRPr>
        </a:p>
      </xdr:txBody>
    </xdr:sp>
    <xdr:clientData/>
  </xdr:twoCellAnchor>
  <xdr:twoCellAnchor>
    <xdr:from>
      <xdr:col>1</xdr:col>
      <xdr:colOff>121227</xdr:colOff>
      <xdr:row>4</xdr:row>
      <xdr:rowOff>126416</xdr:rowOff>
    </xdr:from>
    <xdr:to>
      <xdr:col>5</xdr:col>
      <xdr:colOff>545523</xdr:colOff>
      <xdr:row>6</xdr:row>
      <xdr:rowOff>39825</xdr:rowOff>
    </xdr:to>
    <xdr:sp macro="" textlink="">
      <xdr:nvSpPr>
        <xdr:cNvPr id="11" name="TextBox 10"/>
        <xdr:cNvSpPr txBox="1"/>
      </xdr:nvSpPr>
      <xdr:spPr>
        <a:xfrm>
          <a:off x="1524000" y="957689"/>
          <a:ext cx="2848841" cy="242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GB" sz="1100">
              <a:solidFill>
                <a:srgbClr val="C00000"/>
              </a:solidFill>
            </a:rPr>
            <a:t>Preparing the Geometry: </a:t>
          </a:r>
          <a:r>
            <a:rPr lang="en-GB" sz="1100" b="1">
              <a:solidFill>
                <a:srgbClr val="C00000"/>
              </a:solidFill>
            </a:rPr>
            <a:t>One by One Method</a:t>
          </a:r>
        </a:p>
      </xdr:txBody>
    </xdr:sp>
    <xdr:clientData/>
  </xdr:twoCellAnchor>
  <xdr:twoCellAnchor editAs="oneCell">
    <xdr:from>
      <xdr:col>3</xdr:col>
      <xdr:colOff>0</xdr:colOff>
      <xdr:row>13</xdr:row>
      <xdr:rowOff>0</xdr:rowOff>
    </xdr:from>
    <xdr:to>
      <xdr:col>14</xdr:col>
      <xdr:colOff>235279</xdr:colOff>
      <xdr:row>45</xdr:row>
      <xdr:rowOff>25113</xdr:rowOff>
    </xdr:to>
    <xdr:grpSp>
      <xdr:nvGrpSpPr>
        <xdr:cNvPr id="182" name="SourceMap"/>
        <xdr:cNvGrpSpPr>
          <a:grpSpLocks noChangeAspect="1"/>
        </xdr:cNvGrpSpPr>
      </xdr:nvGrpSpPr>
      <xdr:grpSpPr>
        <a:xfrm>
          <a:off x="2619375" y="2428875"/>
          <a:ext cx="6940879" cy="5206713"/>
          <a:chOff x="3565073" y="2219820"/>
          <a:chExt cx="6883977" cy="4969206"/>
        </a:xfrm>
        <a:solidFill>
          <a:schemeClr val="bg1"/>
        </a:solidFill>
      </xdr:grpSpPr>
      <xdr:sp macro="" textlink="">
        <xdr:nvSpPr>
          <xdr:cNvPr id="183" name="GIN008006"/>
          <xdr:cNvSpPr>
            <a:spLocks noChangeAspect="1"/>
          </xdr:cNvSpPr>
        </xdr:nvSpPr>
        <xdr:spPr bwMode="auto">
          <a:xfrm>
            <a:off x="8743580" y="6573117"/>
            <a:ext cx="631989" cy="615909"/>
          </a:xfrm>
          <a:custGeom>
            <a:avLst/>
            <a:gdLst>
              <a:gd name="T0" fmla="*/ 39 w 67"/>
              <a:gd name="T1" fmla="*/ 0 h 67"/>
              <a:gd name="T2" fmla="*/ 42 w 67"/>
              <a:gd name="T3" fmla="*/ 3 h 67"/>
              <a:gd name="T4" fmla="*/ 42 w 67"/>
              <a:gd name="T5" fmla="*/ 7 h 67"/>
              <a:gd name="T6" fmla="*/ 43 w 67"/>
              <a:gd name="T7" fmla="*/ 9 h 67"/>
              <a:gd name="T8" fmla="*/ 48 w 67"/>
              <a:gd name="T9" fmla="*/ 10 h 67"/>
              <a:gd name="T10" fmla="*/ 51 w 67"/>
              <a:gd name="T11" fmla="*/ 12 h 67"/>
              <a:gd name="T12" fmla="*/ 52 w 67"/>
              <a:gd name="T13" fmla="*/ 15 h 67"/>
              <a:gd name="T14" fmla="*/ 52 w 67"/>
              <a:gd name="T15" fmla="*/ 18 h 67"/>
              <a:gd name="T16" fmla="*/ 53 w 67"/>
              <a:gd name="T17" fmla="*/ 22 h 67"/>
              <a:gd name="T18" fmla="*/ 56 w 67"/>
              <a:gd name="T19" fmla="*/ 26 h 67"/>
              <a:gd name="T20" fmla="*/ 58 w 67"/>
              <a:gd name="T21" fmla="*/ 29 h 67"/>
              <a:gd name="T22" fmla="*/ 60 w 67"/>
              <a:gd name="T23" fmla="*/ 31 h 67"/>
              <a:gd name="T24" fmla="*/ 63 w 67"/>
              <a:gd name="T25" fmla="*/ 35 h 67"/>
              <a:gd name="T26" fmla="*/ 67 w 67"/>
              <a:gd name="T27" fmla="*/ 38 h 67"/>
              <a:gd name="T28" fmla="*/ 66 w 67"/>
              <a:gd name="T29" fmla="*/ 42 h 67"/>
              <a:gd name="T30" fmla="*/ 66 w 67"/>
              <a:gd name="T31" fmla="*/ 46 h 67"/>
              <a:gd name="T32" fmla="*/ 66 w 67"/>
              <a:gd name="T33" fmla="*/ 47 h 67"/>
              <a:gd name="T34" fmla="*/ 62 w 67"/>
              <a:gd name="T35" fmla="*/ 53 h 67"/>
              <a:gd name="T36" fmla="*/ 64 w 67"/>
              <a:gd name="T37" fmla="*/ 56 h 67"/>
              <a:gd name="T38" fmla="*/ 64 w 67"/>
              <a:gd name="T39" fmla="*/ 59 h 67"/>
              <a:gd name="T40" fmla="*/ 56 w 67"/>
              <a:gd name="T41" fmla="*/ 60 h 67"/>
              <a:gd name="T42" fmla="*/ 54 w 67"/>
              <a:gd name="T43" fmla="*/ 58 h 67"/>
              <a:gd name="T44" fmla="*/ 53 w 67"/>
              <a:gd name="T45" fmla="*/ 60 h 67"/>
              <a:gd name="T46" fmla="*/ 51 w 67"/>
              <a:gd name="T47" fmla="*/ 61 h 67"/>
              <a:gd name="T48" fmla="*/ 48 w 67"/>
              <a:gd name="T49" fmla="*/ 62 h 67"/>
              <a:gd name="T50" fmla="*/ 44 w 67"/>
              <a:gd name="T51" fmla="*/ 64 h 67"/>
              <a:gd name="T52" fmla="*/ 38 w 67"/>
              <a:gd name="T53" fmla="*/ 67 h 67"/>
              <a:gd name="T54" fmla="*/ 38 w 67"/>
              <a:gd name="T55" fmla="*/ 64 h 67"/>
              <a:gd name="T56" fmla="*/ 36 w 67"/>
              <a:gd name="T57" fmla="*/ 62 h 67"/>
              <a:gd name="T58" fmla="*/ 34 w 67"/>
              <a:gd name="T59" fmla="*/ 60 h 67"/>
              <a:gd name="T60" fmla="*/ 28 w 67"/>
              <a:gd name="T61" fmla="*/ 55 h 67"/>
              <a:gd name="T62" fmla="*/ 27 w 67"/>
              <a:gd name="T63" fmla="*/ 51 h 67"/>
              <a:gd name="T64" fmla="*/ 25 w 67"/>
              <a:gd name="T65" fmla="*/ 48 h 67"/>
              <a:gd name="T66" fmla="*/ 19 w 67"/>
              <a:gd name="T67" fmla="*/ 48 h 67"/>
              <a:gd name="T68" fmla="*/ 17 w 67"/>
              <a:gd name="T69" fmla="*/ 44 h 67"/>
              <a:gd name="T70" fmla="*/ 13 w 67"/>
              <a:gd name="T71" fmla="*/ 44 h 67"/>
              <a:gd name="T72" fmla="*/ 11 w 67"/>
              <a:gd name="T73" fmla="*/ 47 h 67"/>
              <a:gd name="T74" fmla="*/ 8 w 67"/>
              <a:gd name="T75" fmla="*/ 48 h 67"/>
              <a:gd name="T76" fmla="*/ 7 w 67"/>
              <a:gd name="T77" fmla="*/ 45 h 67"/>
              <a:gd name="T78" fmla="*/ 1 w 67"/>
              <a:gd name="T79" fmla="*/ 50 h 67"/>
              <a:gd name="T80" fmla="*/ 2 w 67"/>
              <a:gd name="T81" fmla="*/ 45 h 67"/>
              <a:gd name="T82" fmla="*/ 5 w 67"/>
              <a:gd name="T83" fmla="*/ 41 h 67"/>
              <a:gd name="T84" fmla="*/ 8 w 67"/>
              <a:gd name="T85" fmla="*/ 35 h 67"/>
              <a:gd name="T86" fmla="*/ 12 w 67"/>
              <a:gd name="T87" fmla="*/ 25 h 67"/>
              <a:gd name="T88" fmla="*/ 11 w 67"/>
              <a:gd name="T89" fmla="*/ 23 h 67"/>
              <a:gd name="T90" fmla="*/ 12 w 67"/>
              <a:gd name="T91" fmla="*/ 17 h 67"/>
              <a:gd name="T92" fmla="*/ 13 w 67"/>
              <a:gd name="T93" fmla="*/ 12 h 67"/>
              <a:gd name="T94" fmla="*/ 17 w 67"/>
              <a:gd name="T95" fmla="*/ 11 h 67"/>
              <a:gd name="T96" fmla="*/ 19 w 67"/>
              <a:gd name="T97" fmla="*/ 6 h 67"/>
              <a:gd name="T98" fmla="*/ 26 w 67"/>
              <a:gd name="T99" fmla="*/ 2 h 67"/>
              <a:gd name="T100" fmla="*/ 28 w 67"/>
              <a:gd name="T101" fmla="*/ 1 h 67"/>
              <a:gd name="T102" fmla="*/ 31 w 67"/>
              <a:gd name="T103" fmla="*/ 0 h 67"/>
              <a:gd name="T104" fmla="*/ 34 w 67"/>
              <a:gd name="T105" fmla="*/ 0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7" h="67">
                <a:moveTo>
                  <a:pt x="37" y="0"/>
                </a:moveTo>
                <a:lnTo>
                  <a:pt x="37" y="0"/>
                </a:lnTo>
                <a:lnTo>
                  <a:pt x="38" y="0"/>
                </a:lnTo>
                <a:lnTo>
                  <a:pt x="39" y="0"/>
                </a:lnTo>
                <a:lnTo>
                  <a:pt x="39" y="0"/>
                </a:lnTo>
                <a:lnTo>
                  <a:pt x="40" y="1"/>
                </a:lnTo>
                <a:lnTo>
                  <a:pt x="40" y="2"/>
                </a:lnTo>
                <a:lnTo>
                  <a:pt x="41" y="2"/>
                </a:lnTo>
                <a:lnTo>
                  <a:pt x="42" y="3"/>
                </a:lnTo>
                <a:lnTo>
                  <a:pt x="42" y="3"/>
                </a:lnTo>
                <a:lnTo>
                  <a:pt x="42" y="4"/>
                </a:lnTo>
                <a:lnTo>
                  <a:pt x="42" y="5"/>
                </a:lnTo>
                <a:lnTo>
                  <a:pt x="42" y="6"/>
                </a:lnTo>
                <a:lnTo>
                  <a:pt x="42" y="7"/>
                </a:lnTo>
                <a:lnTo>
                  <a:pt x="42" y="7"/>
                </a:lnTo>
                <a:lnTo>
                  <a:pt x="42" y="8"/>
                </a:lnTo>
                <a:lnTo>
                  <a:pt x="41" y="9"/>
                </a:lnTo>
                <a:lnTo>
                  <a:pt x="41" y="9"/>
                </a:lnTo>
                <a:lnTo>
                  <a:pt x="42" y="9"/>
                </a:lnTo>
                <a:lnTo>
                  <a:pt x="43" y="9"/>
                </a:lnTo>
                <a:lnTo>
                  <a:pt x="44" y="9"/>
                </a:lnTo>
                <a:lnTo>
                  <a:pt x="46" y="9"/>
                </a:lnTo>
                <a:lnTo>
                  <a:pt x="47" y="10"/>
                </a:lnTo>
                <a:lnTo>
                  <a:pt x="47" y="10"/>
                </a:lnTo>
                <a:lnTo>
                  <a:pt x="48" y="10"/>
                </a:lnTo>
                <a:lnTo>
                  <a:pt x="49" y="10"/>
                </a:lnTo>
                <a:lnTo>
                  <a:pt x="50" y="10"/>
                </a:lnTo>
                <a:lnTo>
                  <a:pt x="50" y="11"/>
                </a:lnTo>
                <a:lnTo>
                  <a:pt x="51" y="11"/>
                </a:lnTo>
                <a:lnTo>
                  <a:pt x="51" y="12"/>
                </a:lnTo>
                <a:lnTo>
                  <a:pt x="52" y="12"/>
                </a:lnTo>
                <a:lnTo>
                  <a:pt x="52" y="13"/>
                </a:lnTo>
                <a:lnTo>
                  <a:pt x="52" y="13"/>
                </a:lnTo>
                <a:lnTo>
                  <a:pt x="52" y="14"/>
                </a:lnTo>
                <a:lnTo>
                  <a:pt x="52" y="15"/>
                </a:lnTo>
                <a:lnTo>
                  <a:pt x="52" y="15"/>
                </a:lnTo>
                <a:lnTo>
                  <a:pt x="52" y="16"/>
                </a:lnTo>
                <a:lnTo>
                  <a:pt x="52" y="16"/>
                </a:lnTo>
                <a:lnTo>
                  <a:pt x="52" y="17"/>
                </a:lnTo>
                <a:lnTo>
                  <a:pt x="52" y="18"/>
                </a:lnTo>
                <a:lnTo>
                  <a:pt x="52" y="19"/>
                </a:lnTo>
                <a:lnTo>
                  <a:pt x="52" y="20"/>
                </a:lnTo>
                <a:lnTo>
                  <a:pt x="52" y="21"/>
                </a:lnTo>
                <a:lnTo>
                  <a:pt x="53" y="21"/>
                </a:lnTo>
                <a:lnTo>
                  <a:pt x="53" y="22"/>
                </a:lnTo>
                <a:lnTo>
                  <a:pt x="54" y="22"/>
                </a:lnTo>
                <a:lnTo>
                  <a:pt x="54" y="23"/>
                </a:lnTo>
                <a:lnTo>
                  <a:pt x="55" y="24"/>
                </a:lnTo>
                <a:lnTo>
                  <a:pt x="56" y="25"/>
                </a:lnTo>
                <a:lnTo>
                  <a:pt x="56" y="26"/>
                </a:lnTo>
                <a:lnTo>
                  <a:pt x="57" y="27"/>
                </a:lnTo>
                <a:lnTo>
                  <a:pt x="57" y="27"/>
                </a:lnTo>
                <a:lnTo>
                  <a:pt x="58" y="28"/>
                </a:lnTo>
                <a:lnTo>
                  <a:pt x="58" y="28"/>
                </a:lnTo>
                <a:lnTo>
                  <a:pt x="58" y="29"/>
                </a:lnTo>
                <a:lnTo>
                  <a:pt x="59" y="29"/>
                </a:lnTo>
                <a:lnTo>
                  <a:pt x="59" y="29"/>
                </a:lnTo>
                <a:lnTo>
                  <a:pt x="59" y="30"/>
                </a:lnTo>
                <a:lnTo>
                  <a:pt x="60" y="30"/>
                </a:lnTo>
                <a:lnTo>
                  <a:pt x="60" y="31"/>
                </a:lnTo>
                <a:lnTo>
                  <a:pt x="61" y="32"/>
                </a:lnTo>
                <a:lnTo>
                  <a:pt x="61" y="32"/>
                </a:lnTo>
                <a:lnTo>
                  <a:pt x="62" y="33"/>
                </a:lnTo>
                <a:lnTo>
                  <a:pt x="63" y="34"/>
                </a:lnTo>
                <a:lnTo>
                  <a:pt x="63" y="35"/>
                </a:lnTo>
                <a:lnTo>
                  <a:pt x="64" y="35"/>
                </a:lnTo>
                <a:lnTo>
                  <a:pt x="65" y="36"/>
                </a:lnTo>
                <a:lnTo>
                  <a:pt x="65" y="37"/>
                </a:lnTo>
                <a:lnTo>
                  <a:pt x="66" y="37"/>
                </a:lnTo>
                <a:lnTo>
                  <a:pt x="67" y="38"/>
                </a:lnTo>
                <a:lnTo>
                  <a:pt x="67" y="39"/>
                </a:lnTo>
                <a:lnTo>
                  <a:pt x="67" y="39"/>
                </a:lnTo>
                <a:lnTo>
                  <a:pt x="67" y="41"/>
                </a:lnTo>
                <a:lnTo>
                  <a:pt x="67" y="42"/>
                </a:lnTo>
                <a:lnTo>
                  <a:pt x="66" y="42"/>
                </a:lnTo>
                <a:lnTo>
                  <a:pt x="66" y="43"/>
                </a:lnTo>
                <a:lnTo>
                  <a:pt x="66" y="43"/>
                </a:lnTo>
                <a:lnTo>
                  <a:pt x="66" y="44"/>
                </a:lnTo>
                <a:lnTo>
                  <a:pt x="66" y="45"/>
                </a:lnTo>
                <a:lnTo>
                  <a:pt x="66" y="46"/>
                </a:lnTo>
                <a:lnTo>
                  <a:pt x="66" y="46"/>
                </a:lnTo>
                <a:lnTo>
                  <a:pt x="66" y="47"/>
                </a:lnTo>
                <a:lnTo>
                  <a:pt x="66" y="46"/>
                </a:lnTo>
                <a:lnTo>
                  <a:pt x="66" y="47"/>
                </a:lnTo>
                <a:lnTo>
                  <a:pt x="66" y="47"/>
                </a:lnTo>
                <a:lnTo>
                  <a:pt x="66" y="47"/>
                </a:lnTo>
                <a:lnTo>
                  <a:pt x="65" y="48"/>
                </a:lnTo>
                <a:lnTo>
                  <a:pt x="63" y="51"/>
                </a:lnTo>
                <a:lnTo>
                  <a:pt x="63" y="52"/>
                </a:lnTo>
                <a:lnTo>
                  <a:pt x="62" y="53"/>
                </a:lnTo>
                <a:lnTo>
                  <a:pt x="63" y="54"/>
                </a:lnTo>
                <a:lnTo>
                  <a:pt x="63" y="54"/>
                </a:lnTo>
                <a:lnTo>
                  <a:pt x="63" y="55"/>
                </a:lnTo>
                <a:lnTo>
                  <a:pt x="64" y="56"/>
                </a:lnTo>
                <a:lnTo>
                  <a:pt x="64" y="56"/>
                </a:lnTo>
                <a:lnTo>
                  <a:pt x="63" y="57"/>
                </a:lnTo>
                <a:lnTo>
                  <a:pt x="63" y="57"/>
                </a:lnTo>
                <a:lnTo>
                  <a:pt x="63" y="58"/>
                </a:lnTo>
                <a:lnTo>
                  <a:pt x="64" y="58"/>
                </a:lnTo>
                <a:lnTo>
                  <a:pt x="64" y="59"/>
                </a:lnTo>
                <a:lnTo>
                  <a:pt x="62" y="61"/>
                </a:lnTo>
                <a:lnTo>
                  <a:pt x="61" y="61"/>
                </a:lnTo>
                <a:lnTo>
                  <a:pt x="57" y="61"/>
                </a:lnTo>
                <a:lnTo>
                  <a:pt x="56" y="61"/>
                </a:lnTo>
                <a:lnTo>
                  <a:pt x="56" y="60"/>
                </a:lnTo>
                <a:lnTo>
                  <a:pt x="56" y="60"/>
                </a:lnTo>
                <a:lnTo>
                  <a:pt x="56" y="58"/>
                </a:lnTo>
                <a:lnTo>
                  <a:pt x="55" y="58"/>
                </a:lnTo>
                <a:lnTo>
                  <a:pt x="55" y="58"/>
                </a:lnTo>
                <a:lnTo>
                  <a:pt x="54" y="58"/>
                </a:lnTo>
                <a:lnTo>
                  <a:pt x="53" y="58"/>
                </a:lnTo>
                <a:lnTo>
                  <a:pt x="53" y="59"/>
                </a:lnTo>
                <a:lnTo>
                  <a:pt x="54" y="60"/>
                </a:lnTo>
                <a:lnTo>
                  <a:pt x="53" y="60"/>
                </a:lnTo>
                <a:lnTo>
                  <a:pt x="53" y="60"/>
                </a:lnTo>
                <a:lnTo>
                  <a:pt x="53" y="61"/>
                </a:lnTo>
                <a:lnTo>
                  <a:pt x="53" y="61"/>
                </a:lnTo>
                <a:lnTo>
                  <a:pt x="52" y="60"/>
                </a:lnTo>
                <a:lnTo>
                  <a:pt x="52" y="60"/>
                </a:lnTo>
                <a:lnTo>
                  <a:pt x="51" y="61"/>
                </a:lnTo>
                <a:lnTo>
                  <a:pt x="51" y="61"/>
                </a:lnTo>
                <a:lnTo>
                  <a:pt x="51" y="61"/>
                </a:lnTo>
                <a:lnTo>
                  <a:pt x="51" y="62"/>
                </a:lnTo>
                <a:lnTo>
                  <a:pt x="50" y="62"/>
                </a:lnTo>
                <a:lnTo>
                  <a:pt x="48" y="62"/>
                </a:lnTo>
                <a:lnTo>
                  <a:pt x="47" y="63"/>
                </a:lnTo>
                <a:lnTo>
                  <a:pt x="47" y="63"/>
                </a:lnTo>
                <a:lnTo>
                  <a:pt x="46" y="62"/>
                </a:lnTo>
                <a:lnTo>
                  <a:pt x="44" y="64"/>
                </a:lnTo>
                <a:lnTo>
                  <a:pt x="44" y="64"/>
                </a:lnTo>
                <a:lnTo>
                  <a:pt x="43" y="65"/>
                </a:lnTo>
                <a:lnTo>
                  <a:pt x="42" y="66"/>
                </a:lnTo>
                <a:lnTo>
                  <a:pt x="41" y="67"/>
                </a:lnTo>
                <a:lnTo>
                  <a:pt x="39" y="67"/>
                </a:lnTo>
                <a:lnTo>
                  <a:pt x="38" y="67"/>
                </a:lnTo>
                <a:lnTo>
                  <a:pt x="37" y="67"/>
                </a:lnTo>
                <a:lnTo>
                  <a:pt x="37" y="67"/>
                </a:lnTo>
                <a:lnTo>
                  <a:pt x="37" y="66"/>
                </a:lnTo>
                <a:lnTo>
                  <a:pt x="38" y="65"/>
                </a:lnTo>
                <a:lnTo>
                  <a:pt x="38" y="64"/>
                </a:lnTo>
                <a:lnTo>
                  <a:pt x="38" y="64"/>
                </a:lnTo>
                <a:lnTo>
                  <a:pt x="37" y="63"/>
                </a:lnTo>
                <a:lnTo>
                  <a:pt x="37" y="63"/>
                </a:lnTo>
                <a:lnTo>
                  <a:pt x="37" y="62"/>
                </a:lnTo>
                <a:lnTo>
                  <a:pt x="36" y="62"/>
                </a:lnTo>
                <a:lnTo>
                  <a:pt x="36" y="61"/>
                </a:lnTo>
                <a:lnTo>
                  <a:pt x="36" y="61"/>
                </a:lnTo>
                <a:lnTo>
                  <a:pt x="36" y="60"/>
                </a:lnTo>
                <a:lnTo>
                  <a:pt x="35" y="59"/>
                </a:lnTo>
                <a:lnTo>
                  <a:pt x="34" y="60"/>
                </a:lnTo>
                <a:lnTo>
                  <a:pt x="32" y="60"/>
                </a:lnTo>
                <a:lnTo>
                  <a:pt x="31" y="59"/>
                </a:lnTo>
                <a:lnTo>
                  <a:pt x="29" y="57"/>
                </a:lnTo>
                <a:lnTo>
                  <a:pt x="28" y="57"/>
                </a:lnTo>
                <a:lnTo>
                  <a:pt x="28" y="55"/>
                </a:lnTo>
                <a:lnTo>
                  <a:pt x="28" y="53"/>
                </a:lnTo>
                <a:lnTo>
                  <a:pt x="28" y="53"/>
                </a:lnTo>
                <a:lnTo>
                  <a:pt x="27" y="52"/>
                </a:lnTo>
                <a:lnTo>
                  <a:pt x="27" y="51"/>
                </a:lnTo>
                <a:lnTo>
                  <a:pt x="27" y="51"/>
                </a:lnTo>
                <a:lnTo>
                  <a:pt x="27" y="51"/>
                </a:lnTo>
                <a:lnTo>
                  <a:pt x="28" y="49"/>
                </a:lnTo>
                <a:lnTo>
                  <a:pt x="27" y="49"/>
                </a:lnTo>
                <a:lnTo>
                  <a:pt x="26" y="48"/>
                </a:lnTo>
                <a:lnTo>
                  <a:pt x="25" y="48"/>
                </a:lnTo>
                <a:lnTo>
                  <a:pt x="22" y="49"/>
                </a:lnTo>
                <a:lnTo>
                  <a:pt x="21" y="49"/>
                </a:lnTo>
                <a:lnTo>
                  <a:pt x="20" y="49"/>
                </a:lnTo>
                <a:lnTo>
                  <a:pt x="19" y="48"/>
                </a:lnTo>
                <a:lnTo>
                  <a:pt x="19" y="48"/>
                </a:lnTo>
                <a:lnTo>
                  <a:pt x="19" y="47"/>
                </a:lnTo>
                <a:lnTo>
                  <a:pt x="19" y="46"/>
                </a:lnTo>
                <a:lnTo>
                  <a:pt x="18" y="45"/>
                </a:lnTo>
                <a:lnTo>
                  <a:pt x="18" y="45"/>
                </a:lnTo>
                <a:lnTo>
                  <a:pt x="17" y="44"/>
                </a:lnTo>
                <a:lnTo>
                  <a:pt x="16" y="44"/>
                </a:lnTo>
                <a:lnTo>
                  <a:pt x="15" y="45"/>
                </a:lnTo>
                <a:lnTo>
                  <a:pt x="15" y="45"/>
                </a:lnTo>
                <a:lnTo>
                  <a:pt x="14" y="45"/>
                </a:lnTo>
                <a:lnTo>
                  <a:pt x="13" y="44"/>
                </a:lnTo>
                <a:lnTo>
                  <a:pt x="13" y="44"/>
                </a:lnTo>
                <a:lnTo>
                  <a:pt x="13" y="44"/>
                </a:lnTo>
                <a:lnTo>
                  <a:pt x="12" y="45"/>
                </a:lnTo>
                <a:lnTo>
                  <a:pt x="12" y="46"/>
                </a:lnTo>
                <a:lnTo>
                  <a:pt x="11" y="47"/>
                </a:lnTo>
                <a:lnTo>
                  <a:pt x="10" y="48"/>
                </a:lnTo>
                <a:lnTo>
                  <a:pt x="9" y="48"/>
                </a:lnTo>
                <a:lnTo>
                  <a:pt x="9" y="48"/>
                </a:lnTo>
                <a:lnTo>
                  <a:pt x="8" y="48"/>
                </a:lnTo>
                <a:lnTo>
                  <a:pt x="8" y="48"/>
                </a:lnTo>
                <a:lnTo>
                  <a:pt x="8" y="46"/>
                </a:lnTo>
                <a:lnTo>
                  <a:pt x="8" y="46"/>
                </a:lnTo>
                <a:lnTo>
                  <a:pt x="7" y="45"/>
                </a:lnTo>
                <a:lnTo>
                  <a:pt x="7" y="45"/>
                </a:lnTo>
                <a:lnTo>
                  <a:pt x="7" y="45"/>
                </a:lnTo>
                <a:lnTo>
                  <a:pt x="6" y="45"/>
                </a:lnTo>
                <a:lnTo>
                  <a:pt x="3" y="47"/>
                </a:lnTo>
                <a:lnTo>
                  <a:pt x="2" y="48"/>
                </a:lnTo>
                <a:lnTo>
                  <a:pt x="2" y="49"/>
                </a:lnTo>
                <a:lnTo>
                  <a:pt x="1" y="50"/>
                </a:lnTo>
                <a:lnTo>
                  <a:pt x="0" y="51"/>
                </a:lnTo>
                <a:lnTo>
                  <a:pt x="0" y="49"/>
                </a:lnTo>
                <a:lnTo>
                  <a:pt x="0" y="49"/>
                </a:lnTo>
                <a:lnTo>
                  <a:pt x="1" y="48"/>
                </a:lnTo>
                <a:lnTo>
                  <a:pt x="2" y="45"/>
                </a:lnTo>
                <a:lnTo>
                  <a:pt x="2" y="44"/>
                </a:lnTo>
                <a:lnTo>
                  <a:pt x="3" y="43"/>
                </a:lnTo>
                <a:lnTo>
                  <a:pt x="4" y="42"/>
                </a:lnTo>
                <a:lnTo>
                  <a:pt x="5" y="42"/>
                </a:lnTo>
                <a:lnTo>
                  <a:pt x="5" y="41"/>
                </a:lnTo>
                <a:lnTo>
                  <a:pt x="6" y="40"/>
                </a:lnTo>
                <a:lnTo>
                  <a:pt x="7" y="36"/>
                </a:lnTo>
                <a:lnTo>
                  <a:pt x="8" y="35"/>
                </a:lnTo>
                <a:lnTo>
                  <a:pt x="8" y="35"/>
                </a:lnTo>
                <a:lnTo>
                  <a:pt x="8" y="35"/>
                </a:lnTo>
                <a:lnTo>
                  <a:pt x="10" y="31"/>
                </a:lnTo>
                <a:lnTo>
                  <a:pt x="10" y="30"/>
                </a:lnTo>
                <a:lnTo>
                  <a:pt x="10" y="29"/>
                </a:lnTo>
                <a:lnTo>
                  <a:pt x="12" y="26"/>
                </a:lnTo>
                <a:lnTo>
                  <a:pt x="12" y="25"/>
                </a:lnTo>
                <a:lnTo>
                  <a:pt x="12" y="25"/>
                </a:lnTo>
                <a:lnTo>
                  <a:pt x="11" y="25"/>
                </a:lnTo>
                <a:lnTo>
                  <a:pt x="11" y="24"/>
                </a:lnTo>
                <a:lnTo>
                  <a:pt x="11" y="24"/>
                </a:lnTo>
                <a:lnTo>
                  <a:pt x="11" y="23"/>
                </a:lnTo>
                <a:lnTo>
                  <a:pt x="11" y="21"/>
                </a:lnTo>
                <a:lnTo>
                  <a:pt x="11" y="19"/>
                </a:lnTo>
                <a:lnTo>
                  <a:pt x="11" y="18"/>
                </a:lnTo>
                <a:lnTo>
                  <a:pt x="11" y="17"/>
                </a:lnTo>
                <a:lnTo>
                  <a:pt x="12" y="17"/>
                </a:lnTo>
                <a:lnTo>
                  <a:pt x="13" y="16"/>
                </a:lnTo>
                <a:lnTo>
                  <a:pt x="13" y="14"/>
                </a:lnTo>
                <a:lnTo>
                  <a:pt x="13" y="13"/>
                </a:lnTo>
                <a:lnTo>
                  <a:pt x="13" y="13"/>
                </a:lnTo>
                <a:lnTo>
                  <a:pt x="13" y="12"/>
                </a:lnTo>
                <a:lnTo>
                  <a:pt x="14" y="12"/>
                </a:lnTo>
                <a:lnTo>
                  <a:pt x="14" y="13"/>
                </a:lnTo>
                <a:lnTo>
                  <a:pt x="15" y="13"/>
                </a:lnTo>
                <a:lnTo>
                  <a:pt x="16" y="13"/>
                </a:lnTo>
                <a:lnTo>
                  <a:pt x="17" y="11"/>
                </a:lnTo>
                <a:lnTo>
                  <a:pt x="17" y="10"/>
                </a:lnTo>
                <a:lnTo>
                  <a:pt x="17" y="9"/>
                </a:lnTo>
                <a:lnTo>
                  <a:pt x="17" y="8"/>
                </a:lnTo>
                <a:lnTo>
                  <a:pt x="17" y="8"/>
                </a:lnTo>
                <a:lnTo>
                  <a:pt x="19" y="6"/>
                </a:lnTo>
                <a:lnTo>
                  <a:pt x="21" y="5"/>
                </a:lnTo>
                <a:lnTo>
                  <a:pt x="22" y="4"/>
                </a:lnTo>
                <a:lnTo>
                  <a:pt x="23" y="3"/>
                </a:lnTo>
                <a:lnTo>
                  <a:pt x="25" y="3"/>
                </a:lnTo>
                <a:lnTo>
                  <a:pt x="26" y="2"/>
                </a:lnTo>
                <a:lnTo>
                  <a:pt x="26" y="1"/>
                </a:lnTo>
                <a:lnTo>
                  <a:pt x="27" y="1"/>
                </a:lnTo>
                <a:lnTo>
                  <a:pt x="27" y="1"/>
                </a:lnTo>
                <a:lnTo>
                  <a:pt x="28" y="1"/>
                </a:lnTo>
                <a:lnTo>
                  <a:pt x="28" y="1"/>
                </a:lnTo>
                <a:lnTo>
                  <a:pt x="29" y="1"/>
                </a:lnTo>
                <a:lnTo>
                  <a:pt x="30" y="1"/>
                </a:lnTo>
                <a:lnTo>
                  <a:pt x="30" y="1"/>
                </a:lnTo>
                <a:lnTo>
                  <a:pt x="31" y="1"/>
                </a:lnTo>
                <a:lnTo>
                  <a:pt x="31" y="0"/>
                </a:lnTo>
                <a:lnTo>
                  <a:pt x="31" y="0"/>
                </a:lnTo>
                <a:lnTo>
                  <a:pt x="32" y="0"/>
                </a:lnTo>
                <a:lnTo>
                  <a:pt x="33" y="0"/>
                </a:lnTo>
                <a:lnTo>
                  <a:pt x="34" y="0"/>
                </a:lnTo>
                <a:lnTo>
                  <a:pt x="34" y="0"/>
                </a:lnTo>
                <a:lnTo>
                  <a:pt x="35" y="0"/>
                </a:lnTo>
                <a:lnTo>
                  <a:pt x="36" y="0"/>
                </a:lnTo>
                <a:lnTo>
                  <a:pt x="37" y="0"/>
                </a:lnTo>
              </a:path>
            </a:pathLst>
          </a:custGeom>
          <a:grpFill/>
          <a:ln w="9525">
            <a:solidFill>
              <a:schemeClr val="bg1">
                <a:lumMod val="65000"/>
              </a:schemeClr>
            </a:solidFill>
            <a:prstDash val="solid"/>
            <a:round/>
            <a:headEnd/>
            <a:tailEnd/>
          </a:ln>
        </xdr:spPr>
      </xdr:sp>
      <xdr:sp macro="" textlink="">
        <xdr:nvSpPr>
          <xdr:cNvPr id="184" name="GIN008005"/>
          <xdr:cNvSpPr>
            <a:spLocks noChangeAspect="1"/>
          </xdr:cNvSpPr>
        </xdr:nvSpPr>
        <xdr:spPr bwMode="auto">
          <a:xfrm>
            <a:off x="8991230" y="6125255"/>
            <a:ext cx="705344" cy="888114"/>
          </a:xfrm>
          <a:custGeom>
            <a:avLst/>
            <a:gdLst>
              <a:gd name="T0" fmla="*/ 59 w 76"/>
              <a:gd name="T1" fmla="*/ 3 h 96"/>
              <a:gd name="T2" fmla="*/ 63 w 76"/>
              <a:gd name="T3" fmla="*/ 10 h 96"/>
              <a:gd name="T4" fmla="*/ 66 w 76"/>
              <a:gd name="T5" fmla="*/ 12 h 96"/>
              <a:gd name="T6" fmla="*/ 72 w 76"/>
              <a:gd name="T7" fmla="*/ 11 h 96"/>
              <a:gd name="T8" fmla="*/ 76 w 76"/>
              <a:gd name="T9" fmla="*/ 14 h 96"/>
              <a:gd name="T10" fmla="*/ 71 w 76"/>
              <a:gd name="T11" fmla="*/ 17 h 96"/>
              <a:gd name="T12" fmla="*/ 63 w 76"/>
              <a:gd name="T13" fmla="*/ 21 h 96"/>
              <a:gd name="T14" fmla="*/ 64 w 76"/>
              <a:gd name="T15" fmla="*/ 26 h 96"/>
              <a:gd name="T16" fmla="*/ 66 w 76"/>
              <a:gd name="T17" fmla="*/ 33 h 96"/>
              <a:gd name="T18" fmla="*/ 62 w 76"/>
              <a:gd name="T19" fmla="*/ 44 h 96"/>
              <a:gd name="T20" fmla="*/ 62 w 76"/>
              <a:gd name="T21" fmla="*/ 50 h 96"/>
              <a:gd name="T22" fmla="*/ 60 w 76"/>
              <a:gd name="T23" fmla="*/ 56 h 96"/>
              <a:gd name="T24" fmla="*/ 64 w 76"/>
              <a:gd name="T25" fmla="*/ 62 h 96"/>
              <a:gd name="T26" fmla="*/ 55 w 76"/>
              <a:gd name="T27" fmla="*/ 67 h 96"/>
              <a:gd name="T28" fmla="*/ 51 w 76"/>
              <a:gd name="T29" fmla="*/ 72 h 96"/>
              <a:gd name="T30" fmla="*/ 50 w 76"/>
              <a:gd name="T31" fmla="*/ 76 h 96"/>
              <a:gd name="T32" fmla="*/ 50 w 76"/>
              <a:gd name="T33" fmla="*/ 82 h 96"/>
              <a:gd name="T34" fmla="*/ 48 w 76"/>
              <a:gd name="T35" fmla="*/ 87 h 96"/>
              <a:gd name="T36" fmla="*/ 43 w 76"/>
              <a:gd name="T37" fmla="*/ 92 h 96"/>
              <a:gd name="T38" fmla="*/ 40 w 76"/>
              <a:gd name="T39" fmla="*/ 96 h 96"/>
              <a:gd name="T40" fmla="*/ 40 w 76"/>
              <a:gd name="T41" fmla="*/ 93 h 96"/>
              <a:gd name="T42" fmla="*/ 41 w 76"/>
              <a:gd name="T43" fmla="*/ 88 h 96"/>
              <a:gd name="T44" fmla="*/ 38 w 76"/>
              <a:gd name="T45" fmla="*/ 84 h 96"/>
              <a:gd name="T46" fmla="*/ 34 w 76"/>
              <a:gd name="T47" fmla="*/ 80 h 96"/>
              <a:gd name="T48" fmla="*/ 32 w 76"/>
              <a:gd name="T49" fmla="*/ 77 h 96"/>
              <a:gd name="T50" fmla="*/ 29 w 76"/>
              <a:gd name="T51" fmla="*/ 73 h 96"/>
              <a:gd name="T52" fmla="*/ 26 w 76"/>
              <a:gd name="T53" fmla="*/ 69 h 96"/>
              <a:gd name="T54" fmla="*/ 26 w 76"/>
              <a:gd name="T55" fmla="*/ 64 h 96"/>
              <a:gd name="T56" fmla="*/ 25 w 76"/>
              <a:gd name="T57" fmla="*/ 61 h 96"/>
              <a:gd name="T58" fmla="*/ 21 w 76"/>
              <a:gd name="T59" fmla="*/ 59 h 96"/>
              <a:gd name="T60" fmla="*/ 15 w 76"/>
              <a:gd name="T61" fmla="*/ 58 h 96"/>
              <a:gd name="T62" fmla="*/ 16 w 76"/>
              <a:gd name="T63" fmla="*/ 54 h 96"/>
              <a:gd name="T64" fmla="*/ 14 w 76"/>
              <a:gd name="T65" fmla="*/ 50 h 96"/>
              <a:gd name="T66" fmla="*/ 10 w 76"/>
              <a:gd name="T67" fmla="*/ 49 h 96"/>
              <a:gd name="T68" fmla="*/ 5 w 76"/>
              <a:gd name="T69" fmla="*/ 49 h 96"/>
              <a:gd name="T70" fmla="*/ 2 w 76"/>
              <a:gd name="T71" fmla="*/ 50 h 96"/>
              <a:gd name="T72" fmla="*/ 2 w 76"/>
              <a:gd name="T73" fmla="*/ 49 h 96"/>
              <a:gd name="T74" fmla="*/ 6 w 76"/>
              <a:gd name="T75" fmla="*/ 43 h 96"/>
              <a:gd name="T76" fmla="*/ 8 w 76"/>
              <a:gd name="T77" fmla="*/ 40 h 96"/>
              <a:gd name="T78" fmla="*/ 13 w 76"/>
              <a:gd name="T79" fmla="*/ 34 h 96"/>
              <a:gd name="T80" fmla="*/ 16 w 76"/>
              <a:gd name="T81" fmla="*/ 30 h 96"/>
              <a:gd name="T82" fmla="*/ 19 w 76"/>
              <a:gd name="T83" fmla="*/ 29 h 96"/>
              <a:gd name="T84" fmla="*/ 20 w 76"/>
              <a:gd name="T85" fmla="*/ 26 h 96"/>
              <a:gd name="T86" fmla="*/ 23 w 76"/>
              <a:gd name="T87" fmla="*/ 23 h 96"/>
              <a:gd name="T88" fmla="*/ 23 w 76"/>
              <a:gd name="T89" fmla="*/ 19 h 96"/>
              <a:gd name="T90" fmla="*/ 25 w 76"/>
              <a:gd name="T91" fmla="*/ 15 h 96"/>
              <a:gd name="T92" fmla="*/ 27 w 76"/>
              <a:gd name="T93" fmla="*/ 12 h 96"/>
              <a:gd name="T94" fmla="*/ 30 w 76"/>
              <a:gd name="T95" fmla="*/ 12 h 96"/>
              <a:gd name="T96" fmla="*/ 35 w 76"/>
              <a:gd name="T97" fmla="*/ 13 h 96"/>
              <a:gd name="T98" fmla="*/ 40 w 76"/>
              <a:gd name="T99" fmla="*/ 12 h 96"/>
              <a:gd name="T100" fmla="*/ 43 w 76"/>
              <a:gd name="T101" fmla="*/ 7 h 96"/>
              <a:gd name="T102" fmla="*/ 45 w 76"/>
              <a:gd name="T103" fmla="*/ 4 h 96"/>
              <a:gd name="T104" fmla="*/ 49 w 76"/>
              <a:gd name="T105" fmla="*/ 1 h 9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76" h="96">
                <a:moveTo>
                  <a:pt x="53" y="0"/>
                </a:moveTo>
                <a:lnTo>
                  <a:pt x="55" y="1"/>
                </a:lnTo>
                <a:lnTo>
                  <a:pt x="56" y="1"/>
                </a:lnTo>
                <a:lnTo>
                  <a:pt x="57" y="1"/>
                </a:lnTo>
                <a:lnTo>
                  <a:pt x="59" y="2"/>
                </a:lnTo>
                <a:lnTo>
                  <a:pt x="59" y="3"/>
                </a:lnTo>
                <a:lnTo>
                  <a:pt x="60" y="4"/>
                </a:lnTo>
                <a:lnTo>
                  <a:pt x="61" y="4"/>
                </a:lnTo>
                <a:lnTo>
                  <a:pt x="62" y="6"/>
                </a:lnTo>
                <a:lnTo>
                  <a:pt x="62" y="7"/>
                </a:lnTo>
                <a:lnTo>
                  <a:pt x="63" y="8"/>
                </a:lnTo>
                <a:lnTo>
                  <a:pt x="63" y="10"/>
                </a:lnTo>
                <a:lnTo>
                  <a:pt x="63" y="11"/>
                </a:lnTo>
                <a:lnTo>
                  <a:pt x="64" y="12"/>
                </a:lnTo>
                <a:lnTo>
                  <a:pt x="64" y="12"/>
                </a:lnTo>
                <a:lnTo>
                  <a:pt x="65" y="12"/>
                </a:lnTo>
                <a:lnTo>
                  <a:pt x="65" y="11"/>
                </a:lnTo>
                <a:lnTo>
                  <a:pt x="66" y="12"/>
                </a:lnTo>
                <a:lnTo>
                  <a:pt x="67" y="11"/>
                </a:lnTo>
                <a:lnTo>
                  <a:pt x="67" y="11"/>
                </a:lnTo>
                <a:lnTo>
                  <a:pt x="68" y="12"/>
                </a:lnTo>
                <a:lnTo>
                  <a:pt x="69" y="13"/>
                </a:lnTo>
                <a:lnTo>
                  <a:pt x="71" y="12"/>
                </a:lnTo>
                <a:lnTo>
                  <a:pt x="72" y="11"/>
                </a:lnTo>
                <a:lnTo>
                  <a:pt x="73" y="11"/>
                </a:lnTo>
                <a:lnTo>
                  <a:pt x="74" y="11"/>
                </a:lnTo>
                <a:lnTo>
                  <a:pt x="74" y="11"/>
                </a:lnTo>
                <a:lnTo>
                  <a:pt x="76" y="12"/>
                </a:lnTo>
                <a:lnTo>
                  <a:pt x="76" y="13"/>
                </a:lnTo>
                <a:lnTo>
                  <a:pt x="76" y="14"/>
                </a:lnTo>
                <a:lnTo>
                  <a:pt x="76" y="14"/>
                </a:lnTo>
                <a:lnTo>
                  <a:pt x="76" y="15"/>
                </a:lnTo>
                <a:lnTo>
                  <a:pt x="76" y="16"/>
                </a:lnTo>
                <a:lnTo>
                  <a:pt x="74" y="17"/>
                </a:lnTo>
                <a:lnTo>
                  <a:pt x="72" y="17"/>
                </a:lnTo>
                <a:lnTo>
                  <a:pt x="71" y="17"/>
                </a:lnTo>
                <a:lnTo>
                  <a:pt x="69" y="17"/>
                </a:lnTo>
                <a:lnTo>
                  <a:pt x="67" y="17"/>
                </a:lnTo>
                <a:lnTo>
                  <a:pt x="66" y="19"/>
                </a:lnTo>
                <a:lnTo>
                  <a:pt x="64" y="19"/>
                </a:lnTo>
                <a:lnTo>
                  <a:pt x="64" y="20"/>
                </a:lnTo>
                <a:lnTo>
                  <a:pt x="63" y="21"/>
                </a:lnTo>
                <a:lnTo>
                  <a:pt x="63" y="22"/>
                </a:lnTo>
                <a:lnTo>
                  <a:pt x="63" y="23"/>
                </a:lnTo>
                <a:lnTo>
                  <a:pt x="63" y="24"/>
                </a:lnTo>
                <a:lnTo>
                  <a:pt x="63" y="25"/>
                </a:lnTo>
                <a:lnTo>
                  <a:pt x="64" y="26"/>
                </a:lnTo>
                <a:lnTo>
                  <a:pt x="64" y="26"/>
                </a:lnTo>
                <a:lnTo>
                  <a:pt x="63" y="27"/>
                </a:lnTo>
                <a:lnTo>
                  <a:pt x="62" y="28"/>
                </a:lnTo>
                <a:lnTo>
                  <a:pt x="63" y="29"/>
                </a:lnTo>
                <a:lnTo>
                  <a:pt x="64" y="30"/>
                </a:lnTo>
                <a:lnTo>
                  <a:pt x="66" y="31"/>
                </a:lnTo>
                <a:lnTo>
                  <a:pt x="66" y="33"/>
                </a:lnTo>
                <a:lnTo>
                  <a:pt x="67" y="34"/>
                </a:lnTo>
                <a:lnTo>
                  <a:pt x="65" y="36"/>
                </a:lnTo>
                <a:lnTo>
                  <a:pt x="64" y="39"/>
                </a:lnTo>
                <a:lnTo>
                  <a:pt x="63" y="40"/>
                </a:lnTo>
                <a:lnTo>
                  <a:pt x="63" y="42"/>
                </a:lnTo>
                <a:lnTo>
                  <a:pt x="62" y="44"/>
                </a:lnTo>
                <a:lnTo>
                  <a:pt x="63" y="45"/>
                </a:lnTo>
                <a:lnTo>
                  <a:pt x="64" y="46"/>
                </a:lnTo>
                <a:lnTo>
                  <a:pt x="64" y="47"/>
                </a:lnTo>
                <a:lnTo>
                  <a:pt x="64" y="49"/>
                </a:lnTo>
                <a:lnTo>
                  <a:pt x="63" y="49"/>
                </a:lnTo>
                <a:lnTo>
                  <a:pt x="62" y="50"/>
                </a:lnTo>
                <a:lnTo>
                  <a:pt x="62" y="51"/>
                </a:lnTo>
                <a:lnTo>
                  <a:pt x="62" y="51"/>
                </a:lnTo>
                <a:lnTo>
                  <a:pt x="62" y="52"/>
                </a:lnTo>
                <a:lnTo>
                  <a:pt x="62" y="52"/>
                </a:lnTo>
                <a:lnTo>
                  <a:pt x="60" y="54"/>
                </a:lnTo>
                <a:lnTo>
                  <a:pt x="60" y="56"/>
                </a:lnTo>
                <a:lnTo>
                  <a:pt x="60" y="57"/>
                </a:lnTo>
                <a:lnTo>
                  <a:pt x="61" y="58"/>
                </a:lnTo>
                <a:lnTo>
                  <a:pt x="63" y="58"/>
                </a:lnTo>
                <a:lnTo>
                  <a:pt x="64" y="59"/>
                </a:lnTo>
                <a:lnTo>
                  <a:pt x="64" y="61"/>
                </a:lnTo>
                <a:lnTo>
                  <a:pt x="64" y="62"/>
                </a:lnTo>
                <a:lnTo>
                  <a:pt x="64" y="63"/>
                </a:lnTo>
                <a:lnTo>
                  <a:pt x="64" y="67"/>
                </a:lnTo>
                <a:lnTo>
                  <a:pt x="64" y="67"/>
                </a:lnTo>
                <a:lnTo>
                  <a:pt x="64" y="67"/>
                </a:lnTo>
                <a:lnTo>
                  <a:pt x="60" y="67"/>
                </a:lnTo>
                <a:lnTo>
                  <a:pt x="55" y="67"/>
                </a:lnTo>
                <a:lnTo>
                  <a:pt x="54" y="67"/>
                </a:lnTo>
                <a:lnTo>
                  <a:pt x="54" y="68"/>
                </a:lnTo>
                <a:lnTo>
                  <a:pt x="53" y="70"/>
                </a:lnTo>
                <a:lnTo>
                  <a:pt x="52" y="71"/>
                </a:lnTo>
                <a:lnTo>
                  <a:pt x="51" y="72"/>
                </a:lnTo>
                <a:lnTo>
                  <a:pt x="51" y="72"/>
                </a:lnTo>
                <a:lnTo>
                  <a:pt x="50" y="72"/>
                </a:lnTo>
                <a:lnTo>
                  <a:pt x="50" y="73"/>
                </a:lnTo>
                <a:lnTo>
                  <a:pt x="50" y="74"/>
                </a:lnTo>
                <a:lnTo>
                  <a:pt x="50" y="74"/>
                </a:lnTo>
                <a:lnTo>
                  <a:pt x="50" y="75"/>
                </a:lnTo>
                <a:lnTo>
                  <a:pt x="50" y="76"/>
                </a:lnTo>
                <a:lnTo>
                  <a:pt x="50" y="78"/>
                </a:lnTo>
                <a:lnTo>
                  <a:pt x="49" y="81"/>
                </a:lnTo>
                <a:lnTo>
                  <a:pt x="49" y="82"/>
                </a:lnTo>
                <a:lnTo>
                  <a:pt x="49" y="82"/>
                </a:lnTo>
                <a:lnTo>
                  <a:pt x="50" y="82"/>
                </a:lnTo>
                <a:lnTo>
                  <a:pt x="50" y="82"/>
                </a:lnTo>
                <a:lnTo>
                  <a:pt x="50" y="83"/>
                </a:lnTo>
                <a:lnTo>
                  <a:pt x="50" y="83"/>
                </a:lnTo>
                <a:lnTo>
                  <a:pt x="50" y="85"/>
                </a:lnTo>
                <a:lnTo>
                  <a:pt x="50" y="85"/>
                </a:lnTo>
                <a:lnTo>
                  <a:pt x="49" y="86"/>
                </a:lnTo>
                <a:lnTo>
                  <a:pt x="48" y="87"/>
                </a:lnTo>
                <a:lnTo>
                  <a:pt x="46" y="89"/>
                </a:lnTo>
                <a:lnTo>
                  <a:pt x="45" y="91"/>
                </a:lnTo>
                <a:lnTo>
                  <a:pt x="43" y="91"/>
                </a:lnTo>
                <a:lnTo>
                  <a:pt x="43" y="91"/>
                </a:lnTo>
                <a:lnTo>
                  <a:pt x="43" y="92"/>
                </a:lnTo>
                <a:lnTo>
                  <a:pt x="43" y="92"/>
                </a:lnTo>
                <a:lnTo>
                  <a:pt x="43" y="95"/>
                </a:lnTo>
                <a:lnTo>
                  <a:pt x="43" y="95"/>
                </a:lnTo>
                <a:lnTo>
                  <a:pt x="42" y="95"/>
                </a:lnTo>
                <a:lnTo>
                  <a:pt x="42" y="95"/>
                </a:lnTo>
                <a:lnTo>
                  <a:pt x="41" y="95"/>
                </a:lnTo>
                <a:lnTo>
                  <a:pt x="40" y="96"/>
                </a:lnTo>
                <a:lnTo>
                  <a:pt x="40" y="95"/>
                </a:lnTo>
                <a:lnTo>
                  <a:pt x="40" y="96"/>
                </a:lnTo>
                <a:lnTo>
                  <a:pt x="40" y="95"/>
                </a:lnTo>
                <a:lnTo>
                  <a:pt x="40" y="95"/>
                </a:lnTo>
                <a:lnTo>
                  <a:pt x="40" y="94"/>
                </a:lnTo>
                <a:lnTo>
                  <a:pt x="40" y="93"/>
                </a:lnTo>
                <a:lnTo>
                  <a:pt x="40" y="92"/>
                </a:lnTo>
                <a:lnTo>
                  <a:pt x="40" y="92"/>
                </a:lnTo>
                <a:lnTo>
                  <a:pt x="40" y="91"/>
                </a:lnTo>
                <a:lnTo>
                  <a:pt x="41" y="91"/>
                </a:lnTo>
                <a:lnTo>
                  <a:pt x="41" y="90"/>
                </a:lnTo>
                <a:lnTo>
                  <a:pt x="41" y="88"/>
                </a:lnTo>
                <a:lnTo>
                  <a:pt x="41" y="88"/>
                </a:lnTo>
                <a:lnTo>
                  <a:pt x="41" y="87"/>
                </a:lnTo>
                <a:lnTo>
                  <a:pt x="40" y="86"/>
                </a:lnTo>
                <a:lnTo>
                  <a:pt x="39" y="86"/>
                </a:lnTo>
                <a:lnTo>
                  <a:pt x="39" y="85"/>
                </a:lnTo>
                <a:lnTo>
                  <a:pt x="38" y="84"/>
                </a:lnTo>
                <a:lnTo>
                  <a:pt x="37" y="84"/>
                </a:lnTo>
                <a:lnTo>
                  <a:pt x="37" y="83"/>
                </a:lnTo>
                <a:lnTo>
                  <a:pt x="36" y="82"/>
                </a:lnTo>
                <a:lnTo>
                  <a:pt x="35" y="81"/>
                </a:lnTo>
                <a:lnTo>
                  <a:pt x="35" y="81"/>
                </a:lnTo>
                <a:lnTo>
                  <a:pt x="34" y="80"/>
                </a:lnTo>
                <a:lnTo>
                  <a:pt x="34" y="79"/>
                </a:lnTo>
                <a:lnTo>
                  <a:pt x="33" y="79"/>
                </a:lnTo>
                <a:lnTo>
                  <a:pt x="33" y="78"/>
                </a:lnTo>
                <a:lnTo>
                  <a:pt x="33" y="78"/>
                </a:lnTo>
                <a:lnTo>
                  <a:pt x="32" y="78"/>
                </a:lnTo>
                <a:lnTo>
                  <a:pt x="32" y="77"/>
                </a:lnTo>
                <a:lnTo>
                  <a:pt x="32" y="77"/>
                </a:lnTo>
                <a:lnTo>
                  <a:pt x="31" y="76"/>
                </a:lnTo>
                <a:lnTo>
                  <a:pt x="31" y="76"/>
                </a:lnTo>
                <a:lnTo>
                  <a:pt x="30" y="75"/>
                </a:lnTo>
                <a:lnTo>
                  <a:pt x="30" y="74"/>
                </a:lnTo>
                <a:lnTo>
                  <a:pt x="29" y="73"/>
                </a:lnTo>
                <a:lnTo>
                  <a:pt x="28" y="72"/>
                </a:lnTo>
                <a:lnTo>
                  <a:pt x="28" y="71"/>
                </a:lnTo>
                <a:lnTo>
                  <a:pt x="27" y="71"/>
                </a:lnTo>
                <a:lnTo>
                  <a:pt x="27" y="70"/>
                </a:lnTo>
                <a:lnTo>
                  <a:pt x="26" y="70"/>
                </a:lnTo>
                <a:lnTo>
                  <a:pt x="26" y="69"/>
                </a:lnTo>
                <a:lnTo>
                  <a:pt x="26" y="68"/>
                </a:lnTo>
                <a:lnTo>
                  <a:pt x="26" y="67"/>
                </a:lnTo>
                <a:lnTo>
                  <a:pt x="26" y="66"/>
                </a:lnTo>
                <a:lnTo>
                  <a:pt x="26" y="65"/>
                </a:lnTo>
                <a:lnTo>
                  <a:pt x="26" y="65"/>
                </a:lnTo>
                <a:lnTo>
                  <a:pt x="26" y="64"/>
                </a:lnTo>
                <a:lnTo>
                  <a:pt x="26" y="64"/>
                </a:lnTo>
                <a:lnTo>
                  <a:pt x="26" y="63"/>
                </a:lnTo>
                <a:lnTo>
                  <a:pt x="26" y="62"/>
                </a:lnTo>
                <a:lnTo>
                  <a:pt x="26" y="62"/>
                </a:lnTo>
                <a:lnTo>
                  <a:pt x="26" y="61"/>
                </a:lnTo>
                <a:lnTo>
                  <a:pt x="25" y="61"/>
                </a:lnTo>
                <a:lnTo>
                  <a:pt x="25" y="60"/>
                </a:lnTo>
                <a:lnTo>
                  <a:pt x="24" y="60"/>
                </a:lnTo>
                <a:lnTo>
                  <a:pt x="24" y="59"/>
                </a:lnTo>
                <a:lnTo>
                  <a:pt x="23" y="59"/>
                </a:lnTo>
                <a:lnTo>
                  <a:pt x="22" y="59"/>
                </a:lnTo>
                <a:lnTo>
                  <a:pt x="21" y="59"/>
                </a:lnTo>
                <a:lnTo>
                  <a:pt x="21" y="59"/>
                </a:lnTo>
                <a:lnTo>
                  <a:pt x="20" y="58"/>
                </a:lnTo>
                <a:lnTo>
                  <a:pt x="18" y="58"/>
                </a:lnTo>
                <a:lnTo>
                  <a:pt x="17" y="58"/>
                </a:lnTo>
                <a:lnTo>
                  <a:pt x="16" y="58"/>
                </a:lnTo>
                <a:lnTo>
                  <a:pt x="15" y="58"/>
                </a:lnTo>
                <a:lnTo>
                  <a:pt x="15" y="58"/>
                </a:lnTo>
                <a:lnTo>
                  <a:pt x="16" y="57"/>
                </a:lnTo>
                <a:lnTo>
                  <a:pt x="16" y="56"/>
                </a:lnTo>
                <a:lnTo>
                  <a:pt x="16" y="56"/>
                </a:lnTo>
                <a:lnTo>
                  <a:pt x="16" y="55"/>
                </a:lnTo>
                <a:lnTo>
                  <a:pt x="16" y="54"/>
                </a:lnTo>
                <a:lnTo>
                  <a:pt x="16" y="53"/>
                </a:lnTo>
                <a:lnTo>
                  <a:pt x="16" y="52"/>
                </a:lnTo>
                <a:lnTo>
                  <a:pt x="16" y="52"/>
                </a:lnTo>
                <a:lnTo>
                  <a:pt x="15" y="51"/>
                </a:lnTo>
                <a:lnTo>
                  <a:pt x="14" y="51"/>
                </a:lnTo>
                <a:lnTo>
                  <a:pt x="14" y="50"/>
                </a:lnTo>
                <a:lnTo>
                  <a:pt x="13" y="49"/>
                </a:lnTo>
                <a:lnTo>
                  <a:pt x="13" y="49"/>
                </a:lnTo>
                <a:lnTo>
                  <a:pt x="12" y="49"/>
                </a:lnTo>
                <a:lnTo>
                  <a:pt x="11" y="49"/>
                </a:lnTo>
                <a:lnTo>
                  <a:pt x="11" y="49"/>
                </a:lnTo>
                <a:lnTo>
                  <a:pt x="10" y="49"/>
                </a:lnTo>
                <a:lnTo>
                  <a:pt x="9" y="49"/>
                </a:lnTo>
                <a:lnTo>
                  <a:pt x="8" y="49"/>
                </a:lnTo>
                <a:lnTo>
                  <a:pt x="8" y="49"/>
                </a:lnTo>
                <a:lnTo>
                  <a:pt x="7" y="49"/>
                </a:lnTo>
                <a:lnTo>
                  <a:pt x="6" y="49"/>
                </a:lnTo>
                <a:lnTo>
                  <a:pt x="5" y="49"/>
                </a:lnTo>
                <a:lnTo>
                  <a:pt x="5" y="49"/>
                </a:lnTo>
                <a:lnTo>
                  <a:pt x="5" y="50"/>
                </a:lnTo>
                <a:lnTo>
                  <a:pt x="4" y="50"/>
                </a:lnTo>
                <a:lnTo>
                  <a:pt x="4" y="50"/>
                </a:lnTo>
                <a:lnTo>
                  <a:pt x="3" y="50"/>
                </a:lnTo>
                <a:lnTo>
                  <a:pt x="2" y="50"/>
                </a:lnTo>
                <a:lnTo>
                  <a:pt x="2" y="50"/>
                </a:lnTo>
                <a:lnTo>
                  <a:pt x="1" y="50"/>
                </a:lnTo>
                <a:lnTo>
                  <a:pt x="1" y="50"/>
                </a:lnTo>
                <a:lnTo>
                  <a:pt x="0" y="50"/>
                </a:lnTo>
                <a:lnTo>
                  <a:pt x="1" y="49"/>
                </a:lnTo>
                <a:lnTo>
                  <a:pt x="2" y="49"/>
                </a:lnTo>
                <a:lnTo>
                  <a:pt x="3" y="47"/>
                </a:lnTo>
                <a:lnTo>
                  <a:pt x="3" y="47"/>
                </a:lnTo>
                <a:lnTo>
                  <a:pt x="4" y="46"/>
                </a:lnTo>
                <a:lnTo>
                  <a:pt x="4" y="45"/>
                </a:lnTo>
                <a:lnTo>
                  <a:pt x="5" y="44"/>
                </a:lnTo>
                <a:lnTo>
                  <a:pt x="6" y="43"/>
                </a:lnTo>
                <a:lnTo>
                  <a:pt x="7" y="43"/>
                </a:lnTo>
                <a:lnTo>
                  <a:pt x="7" y="42"/>
                </a:lnTo>
                <a:lnTo>
                  <a:pt x="7" y="42"/>
                </a:lnTo>
                <a:lnTo>
                  <a:pt x="7" y="41"/>
                </a:lnTo>
                <a:lnTo>
                  <a:pt x="8" y="40"/>
                </a:lnTo>
                <a:lnTo>
                  <a:pt x="8" y="40"/>
                </a:lnTo>
                <a:lnTo>
                  <a:pt x="9" y="40"/>
                </a:lnTo>
                <a:lnTo>
                  <a:pt x="11" y="37"/>
                </a:lnTo>
                <a:lnTo>
                  <a:pt x="11" y="37"/>
                </a:lnTo>
                <a:lnTo>
                  <a:pt x="11" y="36"/>
                </a:lnTo>
                <a:lnTo>
                  <a:pt x="12" y="35"/>
                </a:lnTo>
                <a:lnTo>
                  <a:pt x="13" y="34"/>
                </a:lnTo>
                <a:lnTo>
                  <a:pt x="14" y="33"/>
                </a:lnTo>
                <a:lnTo>
                  <a:pt x="14" y="33"/>
                </a:lnTo>
                <a:lnTo>
                  <a:pt x="14" y="32"/>
                </a:lnTo>
                <a:lnTo>
                  <a:pt x="14" y="32"/>
                </a:lnTo>
                <a:lnTo>
                  <a:pt x="15" y="31"/>
                </a:lnTo>
                <a:lnTo>
                  <a:pt x="16" y="30"/>
                </a:lnTo>
                <a:lnTo>
                  <a:pt x="16" y="30"/>
                </a:lnTo>
                <a:lnTo>
                  <a:pt x="17" y="30"/>
                </a:lnTo>
                <a:lnTo>
                  <a:pt x="17" y="30"/>
                </a:lnTo>
                <a:lnTo>
                  <a:pt x="18" y="30"/>
                </a:lnTo>
                <a:lnTo>
                  <a:pt x="18" y="30"/>
                </a:lnTo>
                <a:lnTo>
                  <a:pt x="19" y="29"/>
                </a:lnTo>
                <a:lnTo>
                  <a:pt x="20" y="29"/>
                </a:lnTo>
                <a:lnTo>
                  <a:pt x="20" y="29"/>
                </a:lnTo>
                <a:lnTo>
                  <a:pt x="21" y="28"/>
                </a:lnTo>
                <a:lnTo>
                  <a:pt x="21" y="27"/>
                </a:lnTo>
                <a:lnTo>
                  <a:pt x="21" y="27"/>
                </a:lnTo>
                <a:lnTo>
                  <a:pt x="20" y="26"/>
                </a:lnTo>
                <a:lnTo>
                  <a:pt x="20" y="25"/>
                </a:lnTo>
                <a:lnTo>
                  <a:pt x="21" y="26"/>
                </a:lnTo>
                <a:lnTo>
                  <a:pt x="21" y="26"/>
                </a:lnTo>
                <a:lnTo>
                  <a:pt x="22" y="25"/>
                </a:lnTo>
                <a:lnTo>
                  <a:pt x="23" y="24"/>
                </a:lnTo>
                <a:lnTo>
                  <a:pt x="23" y="23"/>
                </a:lnTo>
                <a:lnTo>
                  <a:pt x="23" y="23"/>
                </a:lnTo>
                <a:lnTo>
                  <a:pt x="24" y="22"/>
                </a:lnTo>
                <a:lnTo>
                  <a:pt x="24" y="21"/>
                </a:lnTo>
                <a:lnTo>
                  <a:pt x="24" y="21"/>
                </a:lnTo>
                <a:lnTo>
                  <a:pt x="23" y="20"/>
                </a:lnTo>
                <a:lnTo>
                  <a:pt x="23" y="19"/>
                </a:lnTo>
                <a:lnTo>
                  <a:pt x="23" y="19"/>
                </a:lnTo>
                <a:lnTo>
                  <a:pt x="24" y="18"/>
                </a:lnTo>
                <a:lnTo>
                  <a:pt x="24" y="17"/>
                </a:lnTo>
                <a:lnTo>
                  <a:pt x="24" y="16"/>
                </a:lnTo>
                <a:lnTo>
                  <a:pt x="25" y="16"/>
                </a:lnTo>
                <a:lnTo>
                  <a:pt x="25" y="15"/>
                </a:lnTo>
                <a:lnTo>
                  <a:pt x="25" y="14"/>
                </a:lnTo>
                <a:lnTo>
                  <a:pt x="26" y="14"/>
                </a:lnTo>
                <a:lnTo>
                  <a:pt x="26" y="13"/>
                </a:lnTo>
                <a:lnTo>
                  <a:pt x="26" y="13"/>
                </a:lnTo>
                <a:lnTo>
                  <a:pt x="27" y="12"/>
                </a:lnTo>
                <a:lnTo>
                  <a:pt x="27" y="12"/>
                </a:lnTo>
                <a:lnTo>
                  <a:pt x="28" y="12"/>
                </a:lnTo>
                <a:lnTo>
                  <a:pt x="28" y="12"/>
                </a:lnTo>
                <a:lnTo>
                  <a:pt x="28" y="12"/>
                </a:lnTo>
                <a:lnTo>
                  <a:pt x="29" y="12"/>
                </a:lnTo>
                <a:lnTo>
                  <a:pt x="30" y="12"/>
                </a:lnTo>
                <a:lnTo>
                  <a:pt x="30" y="12"/>
                </a:lnTo>
                <a:lnTo>
                  <a:pt x="31" y="13"/>
                </a:lnTo>
                <a:lnTo>
                  <a:pt x="32" y="12"/>
                </a:lnTo>
                <a:lnTo>
                  <a:pt x="34" y="12"/>
                </a:lnTo>
                <a:lnTo>
                  <a:pt x="34" y="13"/>
                </a:lnTo>
                <a:lnTo>
                  <a:pt x="35" y="13"/>
                </a:lnTo>
                <a:lnTo>
                  <a:pt x="35" y="13"/>
                </a:lnTo>
                <a:lnTo>
                  <a:pt x="36" y="13"/>
                </a:lnTo>
                <a:lnTo>
                  <a:pt x="37" y="14"/>
                </a:lnTo>
                <a:lnTo>
                  <a:pt x="37" y="14"/>
                </a:lnTo>
                <a:lnTo>
                  <a:pt x="39" y="14"/>
                </a:lnTo>
                <a:lnTo>
                  <a:pt x="40" y="13"/>
                </a:lnTo>
                <a:lnTo>
                  <a:pt x="40" y="12"/>
                </a:lnTo>
                <a:lnTo>
                  <a:pt x="41" y="11"/>
                </a:lnTo>
                <a:lnTo>
                  <a:pt x="40" y="9"/>
                </a:lnTo>
                <a:lnTo>
                  <a:pt x="40" y="8"/>
                </a:lnTo>
                <a:lnTo>
                  <a:pt x="41" y="8"/>
                </a:lnTo>
                <a:lnTo>
                  <a:pt x="42" y="8"/>
                </a:lnTo>
                <a:lnTo>
                  <a:pt x="43" y="7"/>
                </a:lnTo>
                <a:lnTo>
                  <a:pt x="42" y="6"/>
                </a:lnTo>
                <a:lnTo>
                  <a:pt x="42" y="5"/>
                </a:lnTo>
                <a:lnTo>
                  <a:pt x="43" y="5"/>
                </a:lnTo>
                <a:lnTo>
                  <a:pt x="43" y="5"/>
                </a:lnTo>
                <a:lnTo>
                  <a:pt x="44" y="4"/>
                </a:lnTo>
                <a:lnTo>
                  <a:pt x="45" y="4"/>
                </a:lnTo>
                <a:lnTo>
                  <a:pt x="45" y="4"/>
                </a:lnTo>
                <a:lnTo>
                  <a:pt x="46" y="3"/>
                </a:lnTo>
                <a:lnTo>
                  <a:pt x="47" y="3"/>
                </a:lnTo>
                <a:lnTo>
                  <a:pt x="48" y="4"/>
                </a:lnTo>
                <a:lnTo>
                  <a:pt x="48" y="3"/>
                </a:lnTo>
                <a:lnTo>
                  <a:pt x="49" y="1"/>
                </a:lnTo>
                <a:lnTo>
                  <a:pt x="50" y="1"/>
                </a:lnTo>
                <a:lnTo>
                  <a:pt x="50" y="0"/>
                </a:lnTo>
                <a:lnTo>
                  <a:pt x="52" y="0"/>
                </a:lnTo>
                <a:lnTo>
                  <a:pt x="53" y="0"/>
                </a:lnTo>
              </a:path>
            </a:pathLst>
          </a:custGeom>
          <a:grpFill/>
          <a:ln w="9525">
            <a:solidFill>
              <a:schemeClr val="bg1">
                <a:lumMod val="65000"/>
              </a:schemeClr>
            </a:solidFill>
            <a:prstDash val="solid"/>
            <a:round/>
            <a:headEnd/>
            <a:tailEnd/>
          </a:ln>
        </xdr:spPr>
      </xdr:sp>
      <xdr:sp macro="" textlink="">
        <xdr:nvSpPr>
          <xdr:cNvPr id="185" name="GIN008003"/>
          <xdr:cNvSpPr>
            <a:spLocks noChangeAspect="1"/>
          </xdr:cNvSpPr>
        </xdr:nvSpPr>
        <xdr:spPr bwMode="auto">
          <a:xfrm>
            <a:off x="9556544" y="6021779"/>
            <a:ext cx="612941" cy="860342"/>
          </a:xfrm>
          <a:custGeom>
            <a:avLst/>
            <a:gdLst>
              <a:gd name="T0" fmla="*/ 27 w 65"/>
              <a:gd name="T1" fmla="*/ 1 h 95"/>
              <a:gd name="T2" fmla="*/ 31 w 65"/>
              <a:gd name="T3" fmla="*/ 4 h 95"/>
              <a:gd name="T4" fmla="*/ 35 w 65"/>
              <a:gd name="T5" fmla="*/ 5 h 95"/>
              <a:gd name="T6" fmla="*/ 36 w 65"/>
              <a:gd name="T7" fmla="*/ 9 h 95"/>
              <a:gd name="T8" fmla="*/ 37 w 65"/>
              <a:gd name="T9" fmla="*/ 14 h 95"/>
              <a:gd name="T10" fmla="*/ 36 w 65"/>
              <a:gd name="T11" fmla="*/ 18 h 95"/>
              <a:gd name="T12" fmla="*/ 37 w 65"/>
              <a:gd name="T13" fmla="*/ 22 h 95"/>
              <a:gd name="T14" fmla="*/ 35 w 65"/>
              <a:gd name="T15" fmla="*/ 26 h 95"/>
              <a:gd name="T16" fmla="*/ 38 w 65"/>
              <a:gd name="T17" fmla="*/ 26 h 95"/>
              <a:gd name="T18" fmla="*/ 41 w 65"/>
              <a:gd name="T19" fmla="*/ 29 h 95"/>
              <a:gd name="T20" fmla="*/ 49 w 65"/>
              <a:gd name="T21" fmla="*/ 31 h 95"/>
              <a:gd name="T22" fmla="*/ 51 w 65"/>
              <a:gd name="T23" fmla="*/ 33 h 95"/>
              <a:gd name="T24" fmla="*/ 55 w 65"/>
              <a:gd name="T25" fmla="*/ 29 h 95"/>
              <a:gd name="T26" fmla="*/ 57 w 65"/>
              <a:gd name="T27" fmla="*/ 31 h 95"/>
              <a:gd name="T28" fmla="*/ 59 w 65"/>
              <a:gd name="T29" fmla="*/ 30 h 95"/>
              <a:gd name="T30" fmla="*/ 60 w 65"/>
              <a:gd name="T31" fmla="*/ 32 h 95"/>
              <a:gd name="T32" fmla="*/ 59 w 65"/>
              <a:gd name="T33" fmla="*/ 36 h 95"/>
              <a:gd name="T34" fmla="*/ 58 w 65"/>
              <a:gd name="T35" fmla="*/ 39 h 95"/>
              <a:gd name="T36" fmla="*/ 61 w 65"/>
              <a:gd name="T37" fmla="*/ 41 h 95"/>
              <a:gd name="T38" fmla="*/ 65 w 65"/>
              <a:gd name="T39" fmla="*/ 45 h 95"/>
              <a:gd name="T40" fmla="*/ 65 w 65"/>
              <a:gd name="T41" fmla="*/ 48 h 95"/>
              <a:gd name="T42" fmla="*/ 63 w 65"/>
              <a:gd name="T43" fmla="*/ 48 h 95"/>
              <a:gd name="T44" fmla="*/ 61 w 65"/>
              <a:gd name="T45" fmla="*/ 47 h 95"/>
              <a:gd name="T46" fmla="*/ 60 w 65"/>
              <a:gd name="T47" fmla="*/ 46 h 95"/>
              <a:gd name="T48" fmla="*/ 57 w 65"/>
              <a:gd name="T49" fmla="*/ 46 h 95"/>
              <a:gd name="T50" fmla="*/ 55 w 65"/>
              <a:gd name="T51" fmla="*/ 46 h 95"/>
              <a:gd name="T52" fmla="*/ 54 w 65"/>
              <a:gd name="T53" fmla="*/ 49 h 95"/>
              <a:gd name="T54" fmla="*/ 51 w 65"/>
              <a:gd name="T55" fmla="*/ 58 h 95"/>
              <a:gd name="T56" fmla="*/ 48 w 65"/>
              <a:gd name="T57" fmla="*/ 62 h 95"/>
              <a:gd name="T58" fmla="*/ 51 w 65"/>
              <a:gd name="T59" fmla="*/ 67 h 95"/>
              <a:gd name="T60" fmla="*/ 51 w 65"/>
              <a:gd name="T61" fmla="*/ 72 h 95"/>
              <a:gd name="T62" fmla="*/ 48 w 65"/>
              <a:gd name="T63" fmla="*/ 77 h 95"/>
              <a:gd name="T64" fmla="*/ 45 w 65"/>
              <a:gd name="T65" fmla="*/ 83 h 95"/>
              <a:gd name="T66" fmla="*/ 43 w 65"/>
              <a:gd name="T67" fmla="*/ 87 h 95"/>
              <a:gd name="T68" fmla="*/ 39 w 65"/>
              <a:gd name="T69" fmla="*/ 95 h 95"/>
              <a:gd name="T70" fmla="*/ 34 w 65"/>
              <a:gd name="T71" fmla="*/ 92 h 95"/>
              <a:gd name="T72" fmla="*/ 30 w 65"/>
              <a:gd name="T73" fmla="*/ 89 h 95"/>
              <a:gd name="T74" fmla="*/ 25 w 65"/>
              <a:gd name="T75" fmla="*/ 90 h 95"/>
              <a:gd name="T76" fmla="*/ 22 w 65"/>
              <a:gd name="T77" fmla="*/ 89 h 95"/>
              <a:gd name="T78" fmla="*/ 20 w 65"/>
              <a:gd name="T79" fmla="*/ 87 h 95"/>
              <a:gd name="T80" fmla="*/ 15 w 65"/>
              <a:gd name="T81" fmla="*/ 91 h 95"/>
              <a:gd name="T82" fmla="*/ 5 w 65"/>
              <a:gd name="T83" fmla="*/ 87 h 95"/>
              <a:gd name="T84" fmla="*/ 5 w 65"/>
              <a:gd name="T85" fmla="*/ 81 h 95"/>
              <a:gd name="T86" fmla="*/ 4 w 65"/>
              <a:gd name="T87" fmla="*/ 79 h 95"/>
              <a:gd name="T88" fmla="*/ 4 w 65"/>
              <a:gd name="T89" fmla="*/ 75 h 95"/>
              <a:gd name="T90" fmla="*/ 3 w 65"/>
              <a:gd name="T91" fmla="*/ 70 h 95"/>
              <a:gd name="T92" fmla="*/ 0 w 65"/>
              <a:gd name="T93" fmla="*/ 66 h 95"/>
              <a:gd name="T94" fmla="*/ 2 w 65"/>
              <a:gd name="T95" fmla="*/ 63 h 95"/>
              <a:gd name="T96" fmla="*/ 4 w 65"/>
              <a:gd name="T97" fmla="*/ 59 h 95"/>
              <a:gd name="T98" fmla="*/ 3 w 65"/>
              <a:gd name="T99" fmla="*/ 54 h 95"/>
              <a:gd name="T100" fmla="*/ 7 w 65"/>
              <a:gd name="T101" fmla="*/ 46 h 95"/>
              <a:gd name="T102" fmla="*/ 3 w 65"/>
              <a:gd name="T103" fmla="*/ 41 h 95"/>
              <a:gd name="T104" fmla="*/ 4 w 65"/>
              <a:gd name="T105" fmla="*/ 38 h 95"/>
              <a:gd name="T106" fmla="*/ 3 w 65"/>
              <a:gd name="T107" fmla="*/ 34 h 95"/>
              <a:gd name="T108" fmla="*/ 6 w 65"/>
              <a:gd name="T109" fmla="*/ 31 h 95"/>
              <a:gd name="T110" fmla="*/ 12 w 65"/>
              <a:gd name="T111" fmla="*/ 29 h 95"/>
              <a:gd name="T112" fmla="*/ 16 w 65"/>
              <a:gd name="T113" fmla="*/ 26 h 95"/>
              <a:gd name="T114" fmla="*/ 14 w 65"/>
              <a:gd name="T115" fmla="*/ 23 h 95"/>
              <a:gd name="T116" fmla="*/ 10 w 65"/>
              <a:gd name="T117" fmla="*/ 15 h 95"/>
              <a:gd name="T118" fmla="*/ 10 w 65"/>
              <a:gd name="T119" fmla="*/ 11 h 95"/>
              <a:gd name="T120" fmla="*/ 13 w 65"/>
              <a:gd name="T121" fmla="*/ 5 h 95"/>
              <a:gd name="T122" fmla="*/ 20 w 65"/>
              <a:gd name="T123" fmla="*/ 2 h 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5" h="95">
                <a:moveTo>
                  <a:pt x="23" y="1"/>
                </a:moveTo>
                <a:lnTo>
                  <a:pt x="24" y="1"/>
                </a:lnTo>
                <a:lnTo>
                  <a:pt x="26" y="1"/>
                </a:lnTo>
                <a:lnTo>
                  <a:pt x="27" y="1"/>
                </a:lnTo>
                <a:lnTo>
                  <a:pt x="28" y="2"/>
                </a:lnTo>
                <a:lnTo>
                  <a:pt x="28" y="3"/>
                </a:lnTo>
                <a:lnTo>
                  <a:pt x="29" y="4"/>
                </a:lnTo>
                <a:lnTo>
                  <a:pt x="31" y="4"/>
                </a:lnTo>
                <a:lnTo>
                  <a:pt x="32" y="5"/>
                </a:lnTo>
                <a:lnTo>
                  <a:pt x="33" y="6"/>
                </a:lnTo>
                <a:lnTo>
                  <a:pt x="34" y="5"/>
                </a:lnTo>
                <a:lnTo>
                  <a:pt x="35" y="5"/>
                </a:lnTo>
                <a:lnTo>
                  <a:pt x="35" y="6"/>
                </a:lnTo>
                <a:lnTo>
                  <a:pt x="35" y="6"/>
                </a:lnTo>
                <a:lnTo>
                  <a:pt x="36" y="7"/>
                </a:lnTo>
                <a:lnTo>
                  <a:pt x="36" y="9"/>
                </a:lnTo>
                <a:lnTo>
                  <a:pt x="36" y="9"/>
                </a:lnTo>
                <a:lnTo>
                  <a:pt x="36" y="10"/>
                </a:lnTo>
                <a:lnTo>
                  <a:pt x="37" y="14"/>
                </a:lnTo>
                <a:lnTo>
                  <a:pt x="37" y="14"/>
                </a:lnTo>
                <a:lnTo>
                  <a:pt x="37" y="15"/>
                </a:lnTo>
                <a:lnTo>
                  <a:pt x="37" y="15"/>
                </a:lnTo>
                <a:lnTo>
                  <a:pt x="36" y="17"/>
                </a:lnTo>
                <a:lnTo>
                  <a:pt x="36" y="18"/>
                </a:lnTo>
                <a:lnTo>
                  <a:pt x="37" y="20"/>
                </a:lnTo>
                <a:lnTo>
                  <a:pt x="37" y="21"/>
                </a:lnTo>
                <a:lnTo>
                  <a:pt x="37" y="22"/>
                </a:lnTo>
                <a:lnTo>
                  <a:pt x="37" y="22"/>
                </a:lnTo>
                <a:lnTo>
                  <a:pt x="35" y="24"/>
                </a:lnTo>
                <a:lnTo>
                  <a:pt x="35" y="24"/>
                </a:lnTo>
                <a:lnTo>
                  <a:pt x="35" y="24"/>
                </a:lnTo>
                <a:lnTo>
                  <a:pt x="35" y="26"/>
                </a:lnTo>
                <a:lnTo>
                  <a:pt x="35" y="26"/>
                </a:lnTo>
                <a:lnTo>
                  <a:pt x="35" y="27"/>
                </a:lnTo>
                <a:lnTo>
                  <a:pt x="37" y="27"/>
                </a:lnTo>
                <a:lnTo>
                  <a:pt x="38" y="26"/>
                </a:lnTo>
                <a:lnTo>
                  <a:pt x="38" y="26"/>
                </a:lnTo>
                <a:lnTo>
                  <a:pt x="38" y="26"/>
                </a:lnTo>
                <a:lnTo>
                  <a:pt x="39" y="27"/>
                </a:lnTo>
                <a:lnTo>
                  <a:pt x="41" y="29"/>
                </a:lnTo>
                <a:lnTo>
                  <a:pt x="42" y="29"/>
                </a:lnTo>
                <a:lnTo>
                  <a:pt x="43" y="30"/>
                </a:lnTo>
                <a:lnTo>
                  <a:pt x="47" y="30"/>
                </a:lnTo>
                <a:lnTo>
                  <a:pt x="49" y="31"/>
                </a:lnTo>
                <a:lnTo>
                  <a:pt x="49" y="31"/>
                </a:lnTo>
                <a:lnTo>
                  <a:pt x="50" y="32"/>
                </a:lnTo>
                <a:lnTo>
                  <a:pt x="50" y="32"/>
                </a:lnTo>
                <a:lnTo>
                  <a:pt x="51" y="33"/>
                </a:lnTo>
                <a:lnTo>
                  <a:pt x="53" y="33"/>
                </a:lnTo>
                <a:lnTo>
                  <a:pt x="53" y="33"/>
                </a:lnTo>
                <a:lnTo>
                  <a:pt x="54" y="32"/>
                </a:lnTo>
                <a:lnTo>
                  <a:pt x="55" y="29"/>
                </a:lnTo>
                <a:lnTo>
                  <a:pt x="56" y="29"/>
                </a:lnTo>
                <a:lnTo>
                  <a:pt x="56" y="29"/>
                </a:lnTo>
                <a:lnTo>
                  <a:pt x="57" y="30"/>
                </a:lnTo>
                <a:lnTo>
                  <a:pt x="57" y="31"/>
                </a:lnTo>
                <a:lnTo>
                  <a:pt x="58" y="31"/>
                </a:lnTo>
                <a:lnTo>
                  <a:pt x="58" y="30"/>
                </a:lnTo>
                <a:lnTo>
                  <a:pt x="59" y="30"/>
                </a:lnTo>
                <a:lnTo>
                  <a:pt x="59" y="30"/>
                </a:lnTo>
                <a:lnTo>
                  <a:pt x="60" y="30"/>
                </a:lnTo>
                <a:lnTo>
                  <a:pt x="60" y="30"/>
                </a:lnTo>
                <a:lnTo>
                  <a:pt x="60" y="31"/>
                </a:lnTo>
                <a:lnTo>
                  <a:pt x="60" y="32"/>
                </a:lnTo>
                <a:lnTo>
                  <a:pt x="59" y="33"/>
                </a:lnTo>
                <a:lnTo>
                  <a:pt x="59" y="34"/>
                </a:lnTo>
                <a:lnTo>
                  <a:pt x="59" y="35"/>
                </a:lnTo>
                <a:lnTo>
                  <a:pt x="59" y="36"/>
                </a:lnTo>
                <a:lnTo>
                  <a:pt x="58" y="37"/>
                </a:lnTo>
                <a:lnTo>
                  <a:pt x="58" y="37"/>
                </a:lnTo>
                <a:lnTo>
                  <a:pt x="59" y="38"/>
                </a:lnTo>
                <a:lnTo>
                  <a:pt x="58" y="39"/>
                </a:lnTo>
                <a:lnTo>
                  <a:pt x="58" y="40"/>
                </a:lnTo>
                <a:lnTo>
                  <a:pt x="60" y="41"/>
                </a:lnTo>
                <a:lnTo>
                  <a:pt x="61" y="41"/>
                </a:lnTo>
                <a:lnTo>
                  <a:pt x="61" y="41"/>
                </a:lnTo>
                <a:lnTo>
                  <a:pt x="63" y="43"/>
                </a:lnTo>
                <a:lnTo>
                  <a:pt x="63" y="45"/>
                </a:lnTo>
                <a:lnTo>
                  <a:pt x="64" y="45"/>
                </a:lnTo>
                <a:lnTo>
                  <a:pt x="65" y="45"/>
                </a:lnTo>
                <a:lnTo>
                  <a:pt x="65" y="45"/>
                </a:lnTo>
                <a:lnTo>
                  <a:pt x="64" y="46"/>
                </a:lnTo>
                <a:lnTo>
                  <a:pt x="65" y="47"/>
                </a:lnTo>
                <a:lnTo>
                  <a:pt x="65" y="48"/>
                </a:lnTo>
                <a:lnTo>
                  <a:pt x="65" y="48"/>
                </a:lnTo>
                <a:lnTo>
                  <a:pt x="65" y="49"/>
                </a:lnTo>
                <a:lnTo>
                  <a:pt x="64" y="49"/>
                </a:lnTo>
                <a:lnTo>
                  <a:pt x="63" y="48"/>
                </a:lnTo>
                <a:lnTo>
                  <a:pt x="62" y="48"/>
                </a:lnTo>
                <a:lnTo>
                  <a:pt x="61" y="48"/>
                </a:lnTo>
                <a:lnTo>
                  <a:pt x="61" y="48"/>
                </a:lnTo>
                <a:lnTo>
                  <a:pt x="61" y="47"/>
                </a:lnTo>
                <a:lnTo>
                  <a:pt x="60" y="48"/>
                </a:lnTo>
                <a:lnTo>
                  <a:pt x="60" y="47"/>
                </a:lnTo>
                <a:lnTo>
                  <a:pt x="61" y="46"/>
                </a:lnTo>
                <a:lnTo>
                  <a:pt x="60" y="46"/>
                </a:lnTo>
                <a:lnTo>
                  <a:pt x="60" y="45"/>
                </a:lnTo>
                <a:lnTo>
                  <a:pt x="59" y="45"/>
                </a:lnTo>
                <a:lnTo>
                  <a:pt x="59" y="46"/>
                </a:lnTo>
                <a:lnTo>
                  <a:pt x="57" y="46"/>
                </a:lnTo>
                <a:lnTo>
                  <a:pt x="57" y="46"/>
                </a:lnTo>
                <a:lnTo>
                  <a:pt x="57" y="46"/>
                </a:lnTo>
                <a:lnTo>
                  <a:pt x="56" y="46"/>
                </a:lnTo>
                <a:lnTo>
                  <a:pt x="55" y="46"/>
                </a:lnTo>
                <a:lnTo>
                  <a:pt x="54" y="47"/>
                </a:lnTo>
                <a:lnTo>
                  <a:pt x="54" y="48"/>
                </a:lnTo>
                <a:lnTo>
                  <a:pt x="53" y="48"/>
                </a:lnTo>
                <a:lnTo>
                  <a:pt x="54" y="49"/>
                </a:lnTo>
                <a:lnTo>
                  <a:pt x="54" y="52"/>
                </a:lnTo>
                <a:lnTo>
                  <a:pt x="53" y="53"/>
                </a:lnTo>
                <a:lnTo>
                  <a:pt x="52" y="55"/>
                </a:lnTo>
                <a:lnTo>
                  <a:pt x="51" y="58"/>
                </a:lnTo>
                <a:lnTo>
                  <a:pt x="50" y="59"/>
                </a:lnTo>
                <a:lnTo>
                  <a:pt x="49" y="61"/>
                </a:lnTo>
                <a:lnTo>
                  <a:pt x="49" y="61"/>
                </a:lnTo>
                <a:lnTo>
                  <a:pt x="48" y="62"/>
                </a:lnTo>
                <a:lnTo>
                  <a:pt x="48" y="63"/>
                </a:lnTo>
                <a:lnTo>
                  <a:pt x="48" y="64"/>
                </a:lnTo>
                <a:lnTo>
                  <a:pt x="51" y="67"/>
                </a:lnTo>
                <a:lnTo>
                  <a:pt x="51" y="67"/>
                </a:lnTo>
                <a:lnTo>
                  <a:pt x="52" y="68"/>
                </a:lnTo>
                <a:lnTo>
                  <a:pt x="53" y="69"/>
                </a:lnTo>
                <a:lnTo>
                  <a:pt x="53" y="70"/>
                </a:lnTo>
                <a:lnTo>
                  <a:pt x="51" y="72"/>
                </a:lnTo>
                <a:lnTo>
                  <a:pt x="51" y="74"/>
                </a:lnTo>
                <a:lnTo>
                  <a:pt x="50" y="77"/>
                </a:lnTo>
                <a:lnTo>
                  <a:pt x="50" y="77"/>
                </a:lnTo>
                <a:lnTo>
                  <a:pt x="48" y="77"/>
                </a:lnTo>
                <a:lnTo>
                  <a:pt x="47" y="77"/>
                </a:lnTo>
                <a:lnTo>
                  <a:pt x="46" y="79"/>
                </a:lnTo>
                <a:lnTo>
                  <a:pt x="45" y="82"/>
                </a:lnTo>
                <a:lnTo>
                  <a:pt x="45" y="83"/>
                </a:lnTo>
                <a:lnTo>
                  <a:pt x="45" y="84"/>
                </a:lnTo>
                <a:lnTo>
                  <a:pt x="44" y="84"/>
                </a:lnTo>
                <a:lnTo>
                  <a:pt x="43" y="87"/>
                </a:lnTo>
                <a:lnTo>
                  <a:pt x="43" y="87"/>
                </a:lnTo>
                <a:lnTo>
                  <a:pt x="43" y="90"/>
                </a:lnTo>
                <a:lnTo>
                  <a:pt x="42" y="92"/>
                </a:lnTo>
                <a:lnTo>
                  <a:pt x="41" y="94"/>
                </a:lnTo>
                <a:lnTo>
                  <a:pt x="39" y="95"/>
                </a:lnTo>
                <a:lnTo>
                  <a:pt x="38" y="95"/>
                </a:lnTo>
                <a:lnTo>
                  <a:pt x="37" y="93"/>
                </a:lnTo>
                <a:lnTo>
                  <a:pt x="36" y="93"/>
                </a:lnTo>
                <a:lnTo>
                  <a:pt x="34" y="92"/>
                </a:lnTo>
                <a:lnTo>
                  <a:pt x="31" y="91"/>
                </a:lnTo>
                <a:lnTo>
                  <a:pt x="31" y="90"/>
                </a:lnTo>
                <a:lnTo>
                  <a:pt x="30" y="90"/>
                </a:lnTo>
                <a:lnTo>
                  <a:pt x="30" y="89"/>
                </a:lnTo>
                <a:lnTo>
                  <a:pt x="30" y="89"/>
                </a:lnTo>
                <a:lnTo>
                  <a:pt x="30" y="88"/>
                </a:lnTo>
                <a:lnTo>
                  <a:pt x="28" y="89"/>
                </a:lnTo>
                <a:lnTo>
                  <a:pt x="25" y="90"/>
                </a:lnTo>
                <a:lnTo>
                  <a:pt x="25" y="91"/>
                </a:lnTo>
                <a:lnTo>
                  <a:pt x="23" y="91"/>
                </a:lnTo>
                <a:lnTo>
                  <a:pt x="22" y="90"/>
                </a:lnTo>
                <a:lnTo>
                  <a:pt x="22" y="89"/>
                </a:lnTo>
                <a:lnTo>
                  <a:pt x="22" y="89"/>
                </a:lnTo>
                <a:lnTo>
                  <a:pt x="22" y="88"/>
                </a:lnTo>
                <a:lnTo>
                  <a:pt x="21" y="87"/>
                </a:lnTo>
                <a:lnTo>
                  <a:pt x="20" y="87"/>
                </a:lnTo>
                <a:lnTo>
                  <a:pt x="20" y="87"/>
                </a:lnTo>
                <a:lnTo>
                  <a:pt x="19" y="88"/>
                </a:lnTo>
                <a:lnTo>
                  <a:pt x="16" y="90"/>
                </a:lnTo>
                <a:lnTo>
                  <a:pt x="15" y="91"/>
                </a:lnTo>
                <a:lnTo>
                  <a:pt x="13" y="93"/>
                </a:lnTo>
                <a:lnTo>
                  <a:pt x="12" y="91"/>
                </a:lnTo>
                <a:lnTo>
                  <a:pt x="6" y="88"/>
                </a:lnTo>
                <a:lnTo>
                  <a:pt x="5" y="87"/>
                </a:lnTo>
                <a:lnTo>
                  <a:pt x="5" y="87"/>
                </a:lnTo>
                <a:lnTo>
                  <a:pt x="4" y="86"/>
                </a:lnTo>
                <a:lnTo>
                  <a:pt x="5" y="84"/>
                </a:lnTo>
                <a:lnTo>
                  <a:pt x="5" y="81"/>
                </a:lnTo>
                <a:lnTo>
                  <a:pt x="5" y="80"/>
                </a:lnTo>
                <a:lnTo>
                  <a:pt x="5" y="80"/>
                </a:lnTo>
                <a:lnTo>
                  <a:pt x="5" y="79"/>
                </a:lnTo>
                <a:lnTo>
                  <a:pt x="4" y="79"/>
                </a:lnTo>
                <a:lnTo>
                  <a:pt x="4" y="79"/>
                </a:lnTo>
                <a:lnTo>
                  <a:pt x="4" y="79"/>
                </a:lnTo>
                <a:lnTo>
                  <a:pt x="4" y="79"/>
                </a:lnTo>
                <a:lnTo>
                  <a:pt x="4" y="75"/>
                </a:lnTo>
                <a:lnTo>
                  <a:pt x="4" y="74"/>
                </a:lnTo>
                <a:lnTo>
                  <a:pt x="4" y="73"/>
                </a:lnTo>
                <a:lnTo>
                  <a:pt x="4" y="71"/>
                </a:lnTo>
                <a:lnTo>
                  <a:pt x="3" y="70"/>
                </a:lnTo>
                <a:lnTo>
                  <a:pt x="1" y="70"/>
                </a:lnTo>
                <a:lnTo>
                  <a:pt x="0" y="69"/>
                </a:lnTo>
                <a:lnTo>
                  <a:pt x="0" y="68"/>
                </a:lnTo>
                <a:lnTo>
                  <a:pt x="0" y="66"/>
                </a:lnTo>
                <a:lnTo>
                  <a:pt x="2" y="64"/>
                </a:lnTo>
                <a:lnTo>
                  <a:pt x="2" y="64"/>
                </a:lnTo>
                <a:lnTo>
                  <a:pt x="2" y="63"/>
                </a:lnTo>
                <a:lnTo>
                  <a:pt x="2" y="63"/>
                </a:lnTo>
                <a:lnTo>
                  <a:pt x="2" y="62"/>
                </a:lnTo>
                <a:lnTo>
                  <a:pt x="3" y="61"/>
                </a:lnTo>
                <a:lnTo>
                  <a:pt x="4" y="61"/>
                </a:lnTo>
                <a:lnTo>
                  <a:pt x="4" y="59"/>
                </a:lnTo>
                <a:lnTo>
                  <a:pt x="4" y="58"/>
                </a:lnTo>
                <a:lnTo>
                  <a:pt x="3" y="57"/>
                </a:lnTo>
                <a:lnTo>
                  <a:pt x="2" y="56"/>
                </a:lnTo>
                <a:lnTo>
                  <a:pt x="3" y="54"/>
                </a:lnTo>
                <a:lnTo>
                  <a:pt x="3" y="52"/>
                </a:lnTo>
                <a:lnTo>
                  <a:pt x="4" y="51"/>
                </a:lnTo>
                <a:lnTo>
                  <a:pt x="5" y="48"/>
                </a:lnTo>
                <a:lnTo>
                  <a:pt x="7" y="46"/>
                </a:lnTo>
                <a:lnTo>
                  <a:pt x="6" y="45"/>
                </a:lnTo>
                <a:lnTo>
                  <a:pt x="6" y="43"/>
                </a:lnTo>
                <a:lnTo>
                  <a:pt x="4" y="42"/>
                </a:lnTo>
                <a:lnTo>
                  <a:pt x="3" y="41"/>
                </a:lnTo>
                <a:lnTo>
                  <a:pt x="2" y="40"/>
                </a:lnTo>
                <a:lnTo>
                  <a:pt x="3" y="39"/>
                </a:lnTo>
                <a:lnTo>
                  <a:pt x="4" y="38"/>
                </a:lnTo>
                <a:lnTo>
                  <a:pt x="4" y="38"/>
                </a:lnTo>
                <a:lnTo>
                  <a:pt x="3" y="37"/>
                </a:lnTo>
                <a:lnTo>
                  <a:pt x="3" y="36"/>
                </a:lnTo>
                <a:lnTo>
                  <a:pt x="3" y="35"/>
                </a:lnTo>
                <a:lnTo>
                  <a:pt x="3" y="34"/>
                </a:lnTo>
                <a:lnTo>
                  <a:pt x="3" y="33"/>
                </a:lnTo>
                <a:lnTo>
                  <a:pt x="4" y="32"/>
                </a:lnTo>
                <a:lnTo>
                  <a:pt x="4" y="31"/>
                </a:lnTo>
                <a:lnTo>
                  <a:pt x="6" y="31"/>
                </a:lnTo>
                <a:lnTo>
                  <a:pt x="7" y="29"/>
                </a:lnTo>
                <a:lnTo>
                  <a:pt x="9" y="29"/>
                </a:lnTo>
                <a:lnTo>
                  <a:pt x="11" y="29"/>
                </a:lnTo>
                <a:lnTo>
                  <a:pt x="12" y="29"/>
                </a:lnTo>
                <a:lnTo>
                  <a:pt x="14" y="29"/>
                </a:lnTo>
                <a:lnTo>
                  <a:pt x="16" y="28"/>
                </a:lnTo>
                <a:lnTo>
                  <a:pt x="16" y="27"/>
                </a:lnTo>
                <a:lnTo>
                  <a:pt x="16" y="26"/>
                </a:lnTo>
                <a:lnTo>
                  <a:pt x="16" y="26"/>
                </a:lnTo>
                <a:lnTo>
                  <a:pt x="16" y="25"/>
                </a:lnTo>
                <a:lnTo>
                  <a:pt x="16" y="24"/>
                </a:lnTo>
                <a:lnTo>
                  <a:pt x="14" y="23"/>
                </a:lnTo>
                <a:lnTo>
                  <a:pt x="12" y="20"/>
                </a:lnTo>
                <a:lnTo>
                  <a:pt x="12" y="19"/>
                </a:lnTo>
                <a:lnTo>
                  <a:pt x="11" y="17"/>
                </a:lnTo>
                <a:lnTo>
                  <a:pt x="10" y="15"/>
                </a:lnTo>
                <a:lnTo>
                  <a:pt x="9" y="14"/>
                </a:lnTo>
                <a:lnTo>
                  <a:pt x="9" y="13"/>
                </a:lnTo>
                <a:lnTo>
                  <a:pt x="10" y="12"/>
                </a:lnTo>
                <a:lnTo>
                  <a:pt x="10" y="11"/>
                </a:lnTo>
                <a:lnTo>
                  <a:pt x="11" y="10"/>
                </a:lnTo>
                <a:lnTo>
                  <a:pt x="11" y="10"/>
                </a:lnTo>
                <a:lnTo>
                  <a:pt x="12" y="7"/>
                </a:lnTo>
                <a:lnTo>
                  <a:pt x="13" y="5"/>
                </a:lnTo>
                <a:lnTo>
                  <a:pt x="14" y="4"/>
                </a:lnTo>
                <a:lnTo>
                  <a:pt x="16" y="3"/>
                </a:lnTo>
                <a:lnTo>
                  <a:pt x="17" y="3"/>
                </a:lnTo>
                <a:lnTo>
                  <a:pt x="20" y="2"/>
                </a:lnTo>
                <a:lnTo>
                  <a:pt x="21" y="1"/>
                </a:lnTo>
                <a:lnTo>
                  <a:pt x="22" y="0"/>
                </a:lnTo>
                <a:lnTo>
                  <a:pt x="23" y="1"/>
                </a:lnTo>
              </a:path>
            </a:pathLst>
          </a:custGeom>
          <a:grpFill/>
          <a:ln w="9525">
            <a:solidFill>
              <a:schemeClr val="bg1">
                <a:lumMod val="65000"/>
              </a:schemeClr>
            </a:solidFill>
            <a:prstDash val="solid"/>
            <a:round/>
            <a:headEnd/>
            <a:tailEnd/>
          </a:ln>
        </xdr:spPr>
      </xdr:sp>
      <xdr:sp macro="" textlink="">
        <xdr:nvSpPr>
          <xdr:cNvPr id="186" name="GIN008002"/>
          <xdr:cNvSpPr>
            <a:spLocks noChangeAspect="1"/>
          </xdr:cNvSpPr>
        </xdr:nvSpPr>
        <xdr:spPr bwMode="auto">
          <a:xfrm>
            <a:off x="7593899" y="5432343"/>
            <a:ext cx="803440" cy="801088"/>
          </a:xfrm>
          <a:custGeom>
            <a:avLst/>
            <a:gdLst>
              <a:gd name="T0" fmla="*/ 26 w 85"/>
              <a:gd name="T1" fmla="*/ 8 h 83"/>
              <a:gd name="T2" fmla="*/ 28 w 85"/>
              <a:gd name="T3" fmla="*/ 13 h 83"/>
              <a:gd name="T4" fmla="*/ 33 w 85"/>
              <a:gd name="T5" fmla="*/ 11 h 83"/>
              <a:gd name="T6" fmla="*/ 37 w 85"/>
              <a:gd name="T7" fmla="*/ 9 h 83"/>
              <a:gd name="T8" fmla="*/ 40 w 85"/>
              <a:gd name="T9" fmla="*/ 4 h 83"/>
              <a:gd name="T10" fmla="*/ 43 w 85"/>
              <a:gd name="T11" fmla="*/ 9 h 83"/>
              <a:gd name="T12" fmla="*/ 44 w 85"/>
              <a:gd name="T13" fmla="*/ 15 h 83"/>
              <a:gd name="T14" fmla="*/ 48 w 85"/>
              <a:gd name="T15" fmla="*/ 16 h 83"/>
              <a:gd name="T16" fmla="*/ 52 w 85"/>
              <a:gd name="T17" fmla="*/ 19 h 83"/>
              <a:gd name="T18" fmla="*/ 54 w 85"/>
              <a:gd name="T19" fmla="*/ 22 h 83"/>
              <a:gd name="T20" fmla="*/ 59 w 85"/>
              <a:gd name="T21" fmla="*/ 18 h 83"/>
              <a:gd name="T22" fmla="*/ 60 w 85"/>
              <a:gd name="T23" fmla="*/ 21 h 83"/>
              <a:gd name="T24" fmla="*/ 64 w 85"/>
              <a:gd name="T25" fmla="*/ 23 h 83"/>
              <a:gd name="T26" fmla="*/ 69 w 85"/>
              <a:gd name="T27" fmla="*/ 19 h 83"/>
              <a:gd name="T28" fmla="*/ 71 w 85"/>
              <a:gd name="T29" fmla="*/ 19 h 83"/>
              <a:gd name="T30" fmla="*/ 71 w 85"/>
              <a:gd name="T31" fmla="*/ 26 h 83"/>
              <a:gd name="T32" fmla="*/ 75 w 85"/>
              <a:gd name="T33" fmla="*/ 29 h 83"/>
              <a:gd name="T34" fmla="*/ 81 w 85"/>
              <a:gd name="T35" fmla="*/ 27 h 83"/>
              <a:gd name="T36" fmla="*/ 85 w 85"/>
              <a:gd name="T37" fmla="*/ 27 h 83"/>
              <a:gd name="T38" fmla="*/ 83 w 85"/>
              <a:gd name="T39" fmla="*/ 31 h 83"/>
              <a:gd name="T40" fmla="*/ 78 w 85"/>
              <a:gd name="T41" fmla="*/ 39 h 83"/>
              <a:gd name="T42" fmla="*/ 79 w 85"/>
              <a:gd name="T43" fmla="*/ 46 h 83"/>
              <a:gd name="T44" fmla="*/ 82 w 85"/>
              <a:gd name="T45" fmla="*/ 51 h 83"/>
              <a:gd name="T46" fmla="*/ 81 w 85"/>
              <a:gd name="T47" fmla="*/ 57 h 83"/>
              <a:gd name="T48" fmla="*/ 81 w 85"/>
              <a:gd name="T49" fmla="*/ 60 h 83"/>
              <a:gd name="T50" fmla="*/ 74 w 85"/>
              <a:gd name="T51" fmla="*/ 63 h 83"/>
              <a:gd name="T52" fmla="*/ 70 w 85"/>
              <a:gd name="T53" fmla="*/ 66 h 83"/>
              <a:gd name="T54" fmla="*/ 65 w 85"/>
              <a:gd name="T55" fmla="*/ 68 h 83"/>
              <a:gd name="T56" fmla="*/ 66 w 85"/>
              <a:gd name="T57" fmla="*/ 61 h 83"/>
              <a:gd name="T58" fmla="*/ 61 w 85"/>
              <a:gd name="T59" fmla="*/ 59 h 83"/>
              <a:gd name="T60" fmla="*/ 56 w 85"/>
              <a:gd name="T61" fmla="*/ 58 h 83"/>
              <a:gd name="T62" fmla="*/ 51 w 85"/>
              <a:gd name="T63" fmla="*/ 61 h 83"/>
              <a:gd name="T64" fmla="*/ 48 w 85"/>
              <a:gd name="T65" fmla="*/ 61 h 83"/>
              <a:gd name="T66" fmla="*/ 45 w 85"/>
              <a:gd name="T67" fmla="*/ 61 h 83"/>
              <a:gd name="T68" fmla="*/ 38 w 85"/>
              <a:gd name="T69" fmla="*/ 60 h 83"/>
              <a:gd name="T70" fmla="*/ 32 w 85"/>
              <a:gd name="T71" fmla="*/ 62 h 83"/>
              <a:gd name="T72" fmla="*/ 27 w 85"/>
              <a:gd name="T73" fmla="*/ 70 h 83"/>
              <a:gd name="T74" fmla="*/ 21 w 85"/>
              <a:gd name="T75" fmla="*/ 76 h 83"/>
              <a:gd name="T76" fmla="*/ 13 w 85"/>
              <a:gd name="T77" fmla="*/ 77 h 83"/>
              <a:gd name="T78" fmla="*/ 3 w 85"/>
              <a:gd name="T79" fmla="*/ 77 h 83"/>
              <a:gd name="T80" fmla="*/ 0 w 85"/>
              <a:gd name="T81" fmla="*/ 82 h 83"/>
              <a:gd name="T82" fmla="*/ 3 w 85"/>
              <a:gd name="T83" fmla="*/ 73 h 83"/>
              <a:gd name="T84" fmla="*/ 7 w 85"/>
              <a:gd name="T85" fmla="*/ 70 h 83"/>
              <a:gd name="T86" fmla="*/ 7 w 85"/>
              <a:gd name="T87" fmla="*/ 62 h 83"/>
              <a:gd name="T88" fmla="*/ 9 w 85"/>
              <a:gd name="T89" fmla="*/ 61 h 83"/>
              <a:gd name="T90" fmla="*/ 11 w 85"/>
              <a:gd name="T91" fmla="*/ 56 h 83"/>
              <a:gd name="T92" fmla="*/ 14 w 85"/>
              <a:gd name="T93" fmla="*/ 51 h 83"/>
              <a:gd name="T94" fmla="*/ 19 w 85"/>
              <a:gd name="T95" fmla="*/ 49 h 83"/>
              <a:gd name="T96" fmla="*/ 24 w 85"/>
              <a:gd name="T97" fmla="*/ 47 h 83"/>
              <a:gd name="T98" fmla="*/ 24 w 85"/>
              <a:gd name="T99" fmla="*/ 42 h 83"/>
              <a:gd name="T100" fmla="*/ 21 w 85"/>
              <a:gd name="T101" fmla="*/ 37 h 83"/>
              <a:gd name="T102" fmla="*/ 16 w 85"/>
              <a:gd name="T103" fmla="*/ 31 h 83"/>
              <a:gd name="T104" fmla="*/ 13 w 85"/>
              <a:gd name="T105" fmla="*/ 30 h 83"/>
              <a:gd name="T106" fmla="*/ 13 w 85"/>
              <a:gd name="T107" fmla="*/ 20 h 83"/>
              <a:gd name="T108" fmla="*/ 12 w 85"/>
              <a:gd name="T109" fmla="*/ 13 h 83"/>
              <a:gd name="T110" fmla="*/ 13 w 85"/>
              <a:gd name="T111" fmla="*/ 7 h 83"/>
              <a:gd name="T112" fmla="*/ 16 w 85"/>
              <a:gd name="T113" fmla="*/ 5 h 83"/>
              <a:gd name="T114" fmla="*/ 25 w 85"/>
              <a:gd name="T115" fmla="*/ 3 h 83"/>
              <a:gd name="T116" fmla="*/ 28 w 85"/>
              <a:gd name="T117" fmla="*/ 4 h 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5" h="83">
                <a:moveTo>
                  <a:pt x="28" y="4"/>
                </a:moveTo>
                <a:lnTo>
                  <a:pt x="28" y="5"/>
                </a:lnTo>
                <a:lnTo>
                  <a:pt x="28" y="6"/>
                </a:lnTo>
                <a:lnTo>
                  <a:pt x="28" y="6"/>
                </a:lnTo>
                <a:lnTo>
                  <a:pt x="28" y="7"/>
                </a:lnTo>
                <a:lnTo>
                  <a:pt x="27" y="7"/>
                </a:lnTo>
                <a:lnTo>
                  <a:pt x="26" y="8"/>
                </a:lnTo>
                <a:lnTo>
                  <a:pt x="25" y="10"/>
                </a:lnTo>
                <a:lnTo>
                  <a:pt x="25" y="10"/>
                </a:lnTo>
                <a:lnTo>
                  <a:pt x="25" y="11"/>
                </a:lnTo>
                <a:lnTo>
                  <a:pt x="25" y="13"/>
                </a:lnTo>
                <a:lnTo>
                  <a:pt x="26" y="13"/>
                </a:lnTo>
                <a:lnTo>
                  <a:pt x="27" y="13"/>
                </a:lnTo>
                <a:lnTo>
                  <a:pt x="28" y="13"/>
                </a:lnTo>
                <a:lnTo>
                  <a:pt x="28" y="13"/>
                </a:lnTo>
                <a:lnTo>
                  <a:pt x="29" y="12"/>
                </a:lnTo>
                <a:lnTo>
                  <a:pt x="29" y="12"/>
                </a:lnTo>
                <a:lnTo>
                  <a:pt x="30" y="12"/>
                </a:lnTo>
                <a:lnTo>
                  <a:pt x="31" y="12"/>
                </a:lnTo>
                <a:lnTo>
                  <a:pt x="32" y="12"/>
                </a:lnTo>
                <a:lnTo>
                  <a:pt x="33" y="11"/>
                </a:lnTo>
                <a:lnTo>
                  <a:pt x="33" y="11"/>
                </a:lnTo>
                <a:lnTo>
                  <a:pt x="34" y="11"/>
                </a:lnTo>
                <a:lnTo>
                  <a:pt x="35" y="11"/>
                </a:lnTo>
                <a:lnTo>
                  <a:pt x="35" y="11"/>
                </a:lnTo>
                <a:lnTo>
                  <a:pt x="37" y="10"/>
                </a:lnTo>
                <a:lnTo>
                  <a:pt x="37" y="10"/>
                </a:lnTo>
                <a:lnTo>
                  <a:pt x="37" y="9"/>
                </a:lnTo>
                <a:lnTo>
                  <a:pt x="37" y="8"/>
                </a:lnTo>
                <a:lnTo>
                  <a:pt x="37" y="7"/>
                </a:lnTo>
                <a:lnTo>
                  <a:pt x="37" y="7"/>
                </a:lnTo>
                <a:lnTo>
                  <a:pt x="38" y="6"/>
                </a:lnTo>
                <a:lnTo>
                  <a:pt x="38" y="5"/>
                </a:lnTo>
                <a:lnTo>
                  <a:pt x="39" y="4"/>
                </a:lnTo>
                <a:lnTo>
                  <a:pt x="40" y="4"/>
                </a:lnTo>
                <a:lnTo>
                  <a:pt x="42" y="5"/>
                </a:lnTo>
                <a:lnTo>
                  <a:pt x="42" y="6"/>
                </a:lnTo>
                <a:lnTo>
                  <a:pt x="43" y="7"/>
                </a:lnTo>
                <a:lnTo>
                  <a:pt x="43" y="8"/>
                </a:lnTo>
                <a:lnTo>
                  <a:pt x="43" y="8"/>
                </a:lnTo>
                <a:lnTo>
                  <a:pt x="44" y="9"/>
                </a:lnTo>
                <a:lnTo>
                  <a:pt x="43" y="9"/>
                </a:lnTo>
                <a:lnTo>
                  <a:pt x="43" y="10"/>
                </a:lnTo>
                <a:lnTo>
                  <a:pt x="44" y="11"/>
                </a:lnTo>
                <a:lnTo>
                  <a:pt x="44" y="12"/>
                </a:lnTo>
                <a:lnTo>
                  <a:pt x="43" y="13"/>
                </a:lnTo>
                <a:lnTo>
                  <a:pt x="43" y="13"/>
                </a:lnTo>
                <a:lnTo>
                  <a:pt x="44" y="14"/>
                </a:lnTo>
                <a:lnTo>
                  <a:pt x="44" y="15"/>
                </a:lnTo>
                <a:lnTo>
                  <a:pt x="44" y="15"/>
                </a:lnTo>
                <a:lnTo>
                  <a:pt x="44" y="15"/>
                </a:lnTo>
                <a:lnTo>
                  <a:pt x="45" y="15"/>
                </a:lnTo>
                <a:lnTo>
                  <a:pt x="46" y="16"/>
                </a:lnTo>
                <a:lnTo>
                  <a:pt x="46" y="16"/>
                </a:lnTo>
                <a:lnTo>
                  <a:pt x="47" y="16"/>
                </a:lnTo>
                <a:lnTo>
                  <a:pt x="48" y="16"/>
                </a:lnTo>
                <a:lnTo>
                  <a:pt x="49" y="16"/>
                </a:lnTo>
                <a:lnTo>
                  <a:pt x="49" y="16"/>
                </a:lnTo>
                <a:lnTo>
                  <a:pt x="50" y="17"/>
                </a:lnTo>
                <a:lnTo>
                  <a:pt x="50" y="18"/>
                </a:lnTo>
                <a:lnTo>
                  <a:pt x="50" y="19"/>
                </a:lnTo>
                <a:lnTo>
                  <a:pt x="51" y="19"/>
                </a:lnTo>
                <a:lnTo>
                  <a:pt x="52" y="19"/>
                </a:lnTo>
                <a:lnTo>
                  <a:pt x="53" y="19"/>
                </a:lnTo>
                <a:lnTo>
                  <a:pt x="53" y="20"/>
                </a:lnTo>
                <a:lnTo>
                  <a:pt x="53" y="21"/>
                </a:lnTo>
                <a:lnTo>
                  <a:pt x="53" y="22"/>
                </a:lnTo>
                <a:lnTo>
                  <a:pt x="53" y="22"/>
                </a:lnTo>
                <a:lnTo>
                  <a:pt x="53" y="22"/>
                </a:lnTo>
                <a:lnTo>
                  <a:pt x="54" y="22"/>
                </a:lnTo>
                <a:lnTo>
                  <a:pt x="55" y="22"/>
                </a:lnTo>
                <a:lnTo>
                  <a:pt x="56" y="21"/>
                </a:lnTo>
                <a:lnTo>
                  <a:pt x="56" y="20"/>
                </a:lnTo>
                <a:lnTo>
                  <a:pt x="56" y="19"/>
                </a:lnTo>
                <a:lnTo>
                  <a:pt x="58" y="19"/>
                </a:lnTo>
                <a:lnTo>
                  <a:pt x="58" y="19"/>
                </a:lnTo>
                <a:lnTo>
                  <a:pt x="59" y="18"/>
                </a:lnTo>
                <a:lnTo>
                  <a:pt x="59" y="18"/>
                </a:lnTo>
                <a:lnTo>
                  <a:pt x="60" y="18"/>
                </a:lnTo>
                <a:lnTo>
                  <a:pt x="60" y="18"/>
                </a:lnTo>
                <a:lnTo>
                  <a:pt x="60" y="18"/>
                </a:lnTo>
                <a:lnTo>
                  <a:pt x="60" y="19"/>
                </a:lnTo>
                <a:lnTo>
                  <a:pt x="60" y="20"/>
                </a:lnTo>
                <a:lnTo>
                  <a:pt x="60" y="21"/>
                </a:lnTo>
                <a:lnTo>
                  <a:pt x="60" y="22"/>
                </a:lnTo>
                <a:lnTo>
                  <a:pt x="60" y="23"/>
                </a:lnTo>
                <a:lnTo>
                  <a:pt x="61" y="23"/>
                </a:lnTo>
                <a:lnTo>
                  <a:pt x="62" y="23"/>
                </a:lnTo>
                <a:lnTo>
                  <a:pt x="63" y="23"/>
                </a:lnTo>
                <a:lnTo>
                  <a:pt x="63" y="24"/>
                </a:lnTo>
                <a:lnTo>
                  <a:pt x="64" y="23"/>
                </a:lnTo>
                <a:lnTo>
                  <a:pt x="65" y="23"/>
                </a:lnTo>
                <a:lnTo>
                  <a:pt x="66" y="22"/>
                </a:lnTo>
                <a:lnTo>
                  <a:pt x="68" y="22"/>
                </a:lnTo>
                <a:lnTo>
                  <a:pt x="68" y="21"/>
                </a:lnTo>
                <a:lnTo>
                  <a:pt x="68" y="20"/>
                </a:lnTo>
                <a:lnTo>
                  <a:pt x="69" y="19"/>
                </a:lnTo>
                <a:lnTo>
                  <a:pt x="69" y="19"/>
                </a:lnTo>
                <a:lnTo>
                  <a:pt x="69" y="18"/>
                </a:lnTo>
                <a:lnTo>
                  <a:pt x="69" y="17"/>
                </a:lnTo>
                <a:lnTo>
                  <a:pt x="69" y="16"/>
                </a:lnTo>
                <a:lnTo>
                  <a:pt x="70" y="16"/>
                </a:lnTo>
                <a:lnTo>
                  <a:pt x="71" y="16"/>
                </a:lnTo>
                <a:lnTo>
                  <a:pt x="72" y="17"/>
                </a:lnTo>
                <a:lnTo>
                  <a:pt x="71" y="19"/>
                </a:lnTo>
                <a:lnTo>
                  <a:pt x="71" y="20"/>
                </a:lnTo>
                <a:lnTo>
                  <a:pt x="71" y="21"/>
                </a:lnTo>
                <a:lnTo>
                  <a:pt x="71" y="22"/>
                </a:lnTo>
                <a:lnTo>
                  <a:pt x="71" y="23"/>
                </a:lnTo>
                <a:lnTo>
                  <a:pt x="72" y="24"/>
                </a:lnTo>
                <a:lnTo>
                  <a:pt x="71" y="25"/>
                </a:lnTo>
                <a:lnTo>
                  <a:pt x="71" y="26"/>
                </a:lnTo>
                <a:lnTo>
                  <a:pt x="72" y="26"/>
                </a:lnTo>
                <a:lnTo>
                  <a:pt x="72" y="28"/>
                </a:lnTo>
                <a:lnTo>
                  <a:pt x="72" y="29"/>
                </a:lnTo>
                <a:lnTo>
                  <a:pt x="73" y="29"/>
                </a:lnTo>
                <a:lnTo>
                  <a:pt x="74" y="30"/>
                </a:lnTo>
                <a:lnTo>
                  <a:pt x="74" y="29"/>
                </a:lnTo>
                <a:lnTo>
                  <a:pt x="75" y="29"/>
                </a:lnTo>
                <a:lnTo>
                  <a:pt x="76" y="30"/>
                </a:lnTo>
                <a:lnTo>
                  <a:pt x="77" y="29"/>
                </a:lnTo>
                <a:lnTo>
                  <a:pt x="77" y="29"/>
                </a:lnTo>
                <a:lnTo>
                  <a:pt x="78" y="29"/>
                </a:lnTo>
                <a:lnTo>
                  <a:pt x="79" y="28"/>
                </a:lnTo>
                <a:lnTo>
                  <a:pt x="80" y="28"/>
                </a:lnTo>
                <a:lnTo>
                  <a:pt x="81" y="27"/>
                </a:lnTo>
                <a:lnTo>
                  <a:pt x="81" y="26"/>
                </a:lnTo>
                <a:lnTo>
                  <a:pt x="82" y="26"/>
                </a:lnTo>
                <a:lnTo>
                  <a:pt x="83" y="26"/>
                </a:lnTo>
                <a:lnTo>
                  <a:pt x="83" y="26"/>
                </a:lnTo>
                <a:lnTo>
                  <a:pt x="84" y="27"/>
                </a:lnTo>
                <a:lnTo>
                  <a:pt x="85" y="27"/>
                </a:lnTo>
                <a:lnTo>
                  <a:pt x="85" y="27"/>
                </a:lnTo>
                <a:lnTo>
                  <a:pt x="85" y="27"/>
                </a:lnTo>
                <a:lnTo>
                  <a:pt x="85" y="27"/>
                </a:lnTo>
                <a:lnTo>
                  <a:pt x="85" y="28"/>
                </a:lnTo>
                <a:lnTo>
                  <a:pt x="84" y="28"/>
                </a:lnTo>
                <a:lnTo>
                  <a:pt x="84" y="29"/>
                </a:lnTo>
                <a:lnTo>
                  <a:pt x="83" y="30"/>
                </a:lnTo>
                <a:lnTo>
                  <a:pt x="83" y="31"/>
                </a:lnTo>
                <a:lnTo>
                  <a:pt x="82" y="32"/>
                </a:lnTo>
                <a:lnTo>
                  <a:pt x="81" y="33"/>
                </a:lnTo>
                <a:lnTo>
                  <a:pt x="81" y="34"/>
                </a:lnTo>
                <a:lnTo>
                  <a:pt x="80" y="35"/>
                </a:lnTo>
                <a:lnTo>
                  <a:pt x="79" y="36"/>
                </a:lnTo>
                <a:lnTo>
                  <a:pt x="78" y="38"/>
                </a:lnTo>
                <a:lnTo>
                  <a:pt x="78" y="39"/>
                </a:lnTo>
                <a:lnTo>
                  <a:pt x="78" y="40"/>
                </a:lnTo>
                <a:lnTo>
                  <a:pt x="77" y="42"/>
                </a:lnTo>
                <a:lnTo>
                  <a:pt x="77" y="43"/>
                </a:lnTo>
                <a:lnTo>
                  <a:pt x="77" y="44"/>
                </a:lnTo>
                <a:lnTo>
                  <a:pt x="77" y="45"/>
                </a:lnTo>
                <a:lnTo>
                  <a:pt x="78" y="46"/>
                </a:lnTo>
                <a:lnTo>
                  <a:pt x="79" y="46"/>
                </a:lnTo>
                <a:lnTo>
                  <a:pt x="79" y="47"/>
                </a:lnTo>
                <a:lnTo>
                  <a:pt x="80" y="47"/>
                </a:lnTo>
                <a:lnTo>
                  <a:pt x="81" y="48"/>
                </a:lnTo>
                <a:lnTo>
                  <a:pt x="81" y="48"/>
                </a:lnTo>
                <a:lnTo>
                  <a:pt x="82" y="49"/>
                </a:lnTo>
                <a:lnTo>
                  <a:pt x="82" y="50"/>
                </a:lnTo>
                <a:lnTo>
                  <a:pt x="82" y="51"/>
                </a:lnTo>
                <a:lnTo>
                  <a:pt x="82" y="52"/>
                </a:lnTo>
                <a:lnTo>
                  <a:pt x="82" y="54"/>
                </a:lnTo>
                <a:lnTo>
                  <a:pt x="82" y="55"/>
                </a:lnTo>
                <a:lnTo>
                  <a:pt x="81" y="55"/>
                </a:lnTo>
                <a:lnTo>
                  <a:pt x="80" y="55"/>
                </a:lnTo>
                <a:lnTo>
                  <a:pt x="80" y="56"/>
                </a:lnTo>
                <a:lnTo>
                  <a:pt x="81" y="57"/>
                </a:lnTo>
                <a:lnTo>
                  <a:pt x="81" y="57"/>
                </a:lnTo>
                <a:lnTo>
                  <a:pt x="82" y="58"/>
                </a:lnTo>
                <a:lnTo>
                  <a:pt x="81" y="58"/>
                </a:lnTo>
                <a:lnTo>
                  <a:pt x="81" y="59"/>
                </a:lnTo>
                <a:lnTo>
                  <a:pt x="81" y="59"/>
                </a:lnTo>
                <a:lnTo>
                  <a:pt x="81" y="59"/>
                </a:lnTo>
                <a:lnTo>
                  <a:pt x="81" y="60"/>
                </a:lnTo>
                <a:lnTo>
                  <a:pt x="81" y="60"/>
                </a:lnTo>
                <a:lnTo>
                  <a:pt x="81" y="60"/>
                </a:lnTo>
                <a:lnTo>
                  <a:pt x="79" y="60"/>
                </a:lnTo>
                <a:lnTo>
                  <a:pt x="77" y="61"/>
                </a:lnTo>
                <a:lnTo>
                  <a:pt x="77" y="62"/>
                </a:lnTo>
                <a:lnTo>
                  <a:pt x="76" y="62"/>
                </a:lnTo>
                <a:lnTo>
                  <a:pt x="74" y="63"/>
                </a:lnTo>
                <a:lnTo>
                  <a:pt x="73" y="64"/>
                </a:lnTo>
                <a:lnTo>
                  <a:pt x="73" y="64"/>
                </a:lnTo>
                <a:lnTo>
                  <a:pt x="72" y="65"/>
                </a:lnTo>
                <a:lnTo>
                  <a:pt x="71" y="66"/>
                </a:lnTo>
                <a:lnTo>
                  <a:pt x="71" y="66"/>
                </a:lnTo>
                <a:lnTo>
                  <a:pt x="71" y="66"/>
                </a:lnTo>
                <a:lnTo>
                  <a:pt x="70" y="66"/>
                </a:lnTo>
                <a:lnTo>
                  <a:pt x="70" y="66"/>
                </a:lnTo>
                <a:lnTo>
                  <a:pt x="69" y="66"/>
                </a:lnTo>
                <a:lnTo>
                  <a:pt x="69" y="67"/>
                </a:lnTo>
                <a:lnTo>
                  <a:pt x="68" y="67"/>
                </a:lnTo>
                <a:lnTo>
                  <a:pt x="67" y="67"/>
                </a:lnTo>
                <a:lnTo>
                  <a:pt x="66" y="68"/>
                </a:lnTo>
                <a:lnTo>
                  <a:pt x="65" y="68"/>
                </a:lnTo>
                <a:lnTo>
                  <a:pt x="64" y="67"/>
                </a:lnTo>
                <a:lnTo>
                  <a:pt x="64" y="67"/>
                </a:lnTo>
                <a:lnTo>
                  <a:pt x="65" y="65"/>
                </a:lnTo>
                <a:lnTo>
                  <a:pt x="65" y="64"/>
                </a:lnTo>
                <a:lnTo>
                  <a:pt x="65" y="64"/>
                </a:lnTo>
                <a:lnTo>
                  <a:pt x="66" y="61"/>
                </a:lnTo>
                <a:lnTo>
                  <a:pt x="66" y="61"/>
                </a:lnTo>
                <a:lnTo>
                  <a:pt x="66" y="61"/>
                </a:lnTo>
                <a:lnTo>
                  <a:pt x="65" y="60"/>
                </a:lnTo>
                <a:lnTo>
                  <a:pt x="63" y="59"/>
                </a:lnTo>
                <a:lnTo>
                  <a:pt x="63" y="59"/>
                </a:lnTo>
                <a:lnTo>
                  <a:pt x="63" y="58"/>
                </a:lnTo>
                <a:lnTo>
                  <a:pt x="62" y="58"/>
                </a:lnTo>
                <a:lnTo>
                  <a:pt x="61" y="59"/>
                </a:lnTo>
                <a:lnTo>
                  <a:pt x="60" y="58"/>
                </a:lnTo>
                <a:lnTo>
                  <a:pt x="60" y="58"/>
                </a:lnTo>
                <a:lnTo>
                  <a:pt x="59" y="58"/>
                </a:lnTo>
                <a:lnTo>
                  <a:pt x="59" y="58"/>
                </a:lnTo>
                <a:lnTo>
                  <a:pt x="57" y="58"/>
                </a:lnTo>
                <a:lnTo>
                  <a:pt x="57" y="58"/>
                </a:lnTo>
                <a:lnTo>
                  <a:pt x="56" y="58"/>
                </a:lnTo>
                <a:lnTo>
                  <a:pt x="55" y="58"/>
                </a:lnTo>
                <a:lnTo>
                  <a:pt x="55" y="58"/>
                </a:lnTo>
                <a:lnTo>
                  <a:pt x="55" y="59"/>
                </a:lnTo>
                <a:lnTo>
                  <a:pt x="54" y="59"/>
                </a:lnTo>
                <a:lnTo>
                  <a:pt x="54" y="59"/>
                </a:lnTo>
                <a:lnTo>
                  <a:pt x="52" y="60"/>
                </a:lnTo>
                <a:lnTo>
                  <a:pt x="51" y="61"/>
                </a:lnTo>
                <a:lnTo>
                  <a:pt x="51" y="61"/>
                </a:lnTo>
                <a:lnTo>
                  <a:pt x="50" y="62"/>
                </a:lnTo>
                <a:lnTo>
                  <a:pt x="50" y="62"/>
                </a:lnTo>
                <a:lnTo>
                  <a:pt x="49" y="62"/>
                </a:lnTo>
                <a:lnTo>
                  <a:pt x="48" y="62"/>
                </a:lnTo>
                <a:lnTo>
                  <a:pt x="48" y="61"/>
                </a:lnTo>
                <a:lnTo>
                  <a:pt x="48" y="61"/>
                </a:lnTo>
                <a:lnTo>
                  <a:pt x="48" y="61"/>
                </a:lnTo>
                <a:lnTo>
                  <a:pt x="48" y="60"/>
                </a:lnTo>
                <a:lnTo>
                  <a:pt x="47" y="61"/>
                </a:lnTo>
                <a:lnTo>
                  <a:pt x="47" y="61"/>
                </a:lnTo>
                <a:lnTo>
                  <a:pt x="46" y="61"/>
                </a:lnTo>
                <a:lnTo>
                  <a:pt x="46" y="61"/>
                </a:lnTo>
                <a:lnTo>
                  <a:pt x="45" y="61"/>
                </a:lnTo>
                <a:lnTo>
                  <a:pt x="44" y="61"/>
                </a:lnTo>
                <a:lnTo>
                  <a:pt x="44" y="61"/>
                </a:lnTo>
                <a:lnTo>
                  <a:pt x="43" y="61"/>
                </a:lnTo>
                <a:lnTo>
                  <a:pt x="41" y="61"/>
                </a:lnTo>
                <a:lnTo>
                  <a:pt x="39" y="60"/>
                </a:lnTo>
                <a:lnTo>
                  <a:pt x="38" y="60"/>
                </a:lnTo>
                <a:lnTo>
                  <a:pt x="38" y="60"/>
                </a:lnTo>
                <a:lnTo>
                  <a:pt x="37" y="61"/>
                </a:lnTo>
                <a:lnTo>
                  <a:pt x="36" y="61"/>
                </a:lnTo>
                <a:lnTo>
                  <a:pt x="35" y="61"/>
                </a:lnTo>
                <a:lnTo>
                  <a:pt x="34" y="61"/>
                </a:lnTo>
                <a:lnTo>
                  <a:pt x="33" y="61"/>
                </a:lnTo>
                <a:lnTo>
                  <a:pt x="33" y="61"/>
                </a:lnTo>
                <a:lnTo>
                  <a:pt x="32" y="62"/>
                </a:lnTo>
                <a:lnTo>
                  <a:pt x="32" y="63"/>
                </a:lnTo>
                <a:lnTo>
                  <a:pt x="31" y="64"/>
                </a:lnTo>
                <a:lnTo>
                  <a:pt x="31" y="65"/>
                </a:lnTo>
                <a:lnTo>
                  <a:pt x="30" y="66"/>
                </a:lnTo>
                <a:lnTo>
                  <a:pt x="29" y="66"/>
                </a:lnTo>
                <a:lnTo>
                  <a:pt x="28" y="67"/>
                </a:lnTo>
                <a:lnTo>
                  <a:pt x="27" y="70"/>
                </a:lnTo>
                <a:lnTo>
                  <a:pt x="26" y="70"/>
                </a:lnTo>
                <a:lnTo>
                  <a:pt x="25" y="71"/>
                </a:lnTo>
                <a:lnTo>
                  <a:pt x="25" y="71"/>
                </a:lnTo>
                <a:lnTo>
                  <a:pt x="24" y="72"/>
                </a:lnTo>
                <a:lnTo>
                  <a:pt x="23" y="73"/>
                </a:lnTo>
                <a:lnTo>
                  <a:pt x="23" y="74"/>
                </a:lnTo>
                <a:lnTo>
                  <a:pt x="21" y="76"/>
                </a:lnTo>
                <a:lnTo>
                  <a:pt x="20" y="77"/>
                </a:lnTo>
                <a:lnTo>
                  <a:pt x="17" y="79"/>
                </a:lnTo>
                <a:lnTo>
                  <a:pt x="16" y="79"/>
                </a:lnTo>
                <a:lnTo>
                  <a:pt x="15" y="79"/>
                </a:lnTo>
                <a:lnTo>
                  <a:pt x="14" y="79"/>
                </a:lnTo>
                <a:lnTo>
                  <a:pt x="14" y="79"/>
                </a:lnTo>
                <a:lnTo>
                  <a:pt x="13" y="77"/>
                </a:lnTo>
                <a:lnTo>
                  <a:pt x="13" y="77"/>
                </a:lnTo>
                <a:lnTo>
                  <a:pt x="12" y="77"/>
                </a:lnTo>
                <a:lnTo>
                  <a:pt x="9" y="76"/>
                </a:lnTo>
                <a:lnTo>
                  <a:pt x="6" y="76"/>
                </a:lnTo>
                <a:lnTo>
                  <a:pt x="6" y="76"/>
                </a:lnTo>
                <a:lnTo>
                  <a:pt x="5" y="76"/>
                </a:lnTo>
                <a:lnTo>
                  <a:pt x="3" y="77"/>
                </a:lnTo>
                <a:lnTo>
                  <a:pt x="3" y="79"/>
                </a:lnTo>
                <a:lnTo>
                  <a:pt x="2" y="80"/>
                </a:lnTo>
                <a:lnTo>
                  <a:pt x="2" y="80"/>
                </a:lnTo>
                <a:lnTo>
                  <a:pt x="2" y="82"/>
                </a:lnTo>
                <a:lnTo>
                  <a:pt x="1" y="83"/>
                </a:lnTo>
                <a:lnTo>
                  <a:pt x="0" y="83"/>
                </a:lnTo>
                <a:lnTo>
                  <a:pt x="0" y="82"/>
                </a:lnTo>
                <a:lnTo>
                  <a:pt x="1" y="81"/>
                </a:lnTo>
                <a:lnTo>
                  <a:pt x="1" y="79"/>
                </a:lnTo>
                <a:lnTo>
                  <a:pt x="2" y="77"/>
                </a:lnTo>
                <a:lnTo>
                  <a:pt x="2" y="77"/>
                </a:lnTo>
                <a:lnTo>
                  <a:pt x="2" y="75"/>
                </a:lnTo>
                <a:lnTo>
                  <a:pt x="2" y="74"/>
                </a:lnTo>
                <a:lnTo>
                  <a:pt x="3" y="73"/>
                </a:lnTo>
                <a:lnTo>
                  <a:pt x="5" y="73"/>
                </a:lnTo>
                <a:lnTo>
                  <a:pt x="5" y="72"/>
                </a:lnTo>
                <a:lnTo>
                  <a:pt x="6" y="72"/>
                </a:lnTo>
                <a:lnTo>
                  <a:pt x="6" y="71"/>
                </a:lnTo>
                <a:lnTo>
                  <a:pt x="7" y="71"/>
                </a:lnTo>
                <a:lnTo>
                  <a:pt x="7" y="71"/>
                </a:lnTo>
                <a:lnTo>
                  <a:pt x="7" y="70"/>
                </a:lnTo>
                <a:lnTo>
                  <a:pt x="7" y="68"/>
                </a:lnTo>
                <a:lnTo>
                  <a:pt x="6" y="67"/>
                </a:lnTo>
                <a:lnTo>
                  <a:pt x="7" y="65"/>
                </a:lnTo>
                <a:lnTo>
                  <a:pt x="7" y="64"/>
                </a:lnTo>
                <a:lnTo>
                  <a:pt x="7" y="64"/>
                </a:lnTo>
                <a:lnTo>
                  <a:pt x="7" y="64"/>
                </a:lnTo>
                <a:lnTo>
                  <a:pt x="7" y="62"/>
                </a:lnTo>
                <a:lnTo>
                  <a:pt x="7" y="62"/>
                </a:lnTo>
                <a:lnTo>
                  <a:pt x="8" y="62"/>
                </a:lnTo>
                <a:lnTo>
                  <a:pt x="8" y="62"/>
                </a:lnTo>
                <a:lnTo>
                  <a:pt x="8" y="61"/>
                </a:lnTo>
                <a:lnTo>
                  <a:pt x="8" y="61"/>
                </a:lnTo>
                <a:lnTo>
                  <a:pt x="8" y="61"/>
                </a:lnTo>
                <a:lnTo>
                  <a:pt x="9" y="61"/>
                </a:lnTo>
                <a:lnTo>
                  <a:pt x="9" y="61"/>
                </a:lnTo>
                <a:lnTo>
                  <a:pt x="9" y="60"/>
                </a:lnTo>
                <a:lnTo>
                  <a:pt x="9" y="59"/>
                </a:lnTo>
                <a:lnTo>
                  <a:pt x="10" y="57"/>
                </a:lnTo>
                <a:lnTo>
                  <a:pt x="10" y="56"/>
                </a:lnTo>
                <a:lnTo>
                  <a:pt x="10" y="56"/>
                </a:lnTo>
                <a:lnTo>
                  <a:pt x="11" y="56"/>
                </a:lnTo>
                <a:lnTo>
                  <a:pt x="12" y="55"/>
                </a:lnTo>
                <a:lnTo>
                  <a:pt x="12" y="54"/>
                </a:lnTo>
                <a:lnTo>
                  <a:pt x="13" y="53"/>
                </a:lnTo>
                <a:lnTo>
                  <a:pt x="14" y="53"/>
                </a:lnTo>
                <a:lnTo>
                  <a:pt x="14" y="53"/>
                </a:lnTo>
                <a:lnTo>
                  <a:pt x="14" y="51"/>
                </a:lnTo>
                <a:lnTo>
                  <a:pt x="14" y="51"/>
                </a:lnTo>
                <a:lnTo>
                  <a:pt x="14" y="51"/>
                </a:lnTo>
                <a:lnTo>
                  <a:pt x="15" y="51"/>
                </a:lnTo>
                <a:lnTo>
                  <a:pt x="16" y="50"/>
                </a:lnTo>
                <a:lnTo>
                  <a:pt x="17" y="50"/>
                </a:lnTo>
                <a:lnTo>
                  <a:pt x="17" y="50"/>
                </a:lnTo>
                <a:lnTo>
                  <a:pt x="18" y="49"/>
                </a:lnTo>
                <a:lnTo>
                  <a:pt x="19" y="49"/>
                </a:lnTo>
                <a:lnTo>
                  <a:pt x="19" y="49"/>
                </a:lnTo>
                <a:lnTo>
                  <a:pt x="19" y="49"/>
                </a:lnTo>
                <a:lnTo>
                  <a:pt x="20" y="49"/>
                </a:lnTo>
                <a:lnTo>
                  <a:pt x="20" y="48"/>
                </a:lnTo>
                <a:lnTo>
                  <a:pt x="21" y="48"/>
                </a:lnTo>
                <a:lnTo>
                  <a:pt x="22" y="47"/>
                </a:lnTo>
                <a:lnTo>
                  <a:pt x="24" y="47"/>
                </a:lnTo>
                <a:lnTo>
                  <a:pt x="24" y="46"/>
                </a:lnTo>
                <a:lnTo>
                  <a:pt x="24" y="46"/>
                </a:lnTo>
                <a:lnTo>
                  <a:pt x="24" y="45"/>
                </a:lnTo>
                <a:lnTo>
                  <a:pt x="24" y="45"/>
                </a:lnTo>
                <a:lnTo>
                  <a:pt x="25" y="43"/>
                </a:lnTo>
                <a:lnTo>
                  <a:pt x="24" y="42"/>
                </a:lnTo>
                <a:lnTo>
                  <a:pt x="24" y="42"/>
                </a:lnTo>
                <a:lnTo>
                  <a:pt x="23" y="42"/>
                </a:lnTo>
                <a:lnTo>
                  <a:pt x="22" y="40"/>
                </a:lnTo>
                <a:lnTo>
                  <a:pt x="21" y="39"/>
                </a:lnTo>
                <a:lnTo>
                  <a:pt x="21" y="39"/>
                </a:lnTo>
                <a:lnTo>
                  <a:pt x="21" y="38"/>
                </a:lnTo>
                <a:lnTo>
                  <a:pt x="20" y="38"/>
                </a:lnTo>
                <a:lnTo>
                  <a:pt x="21" y="37"/>
                </a:lnTo>
                <a:lnTo>
                  <a:pt x="21" y="37"/>
                </a:lnTo>
                <a:lnTo>
                  <a:pt x="20" y="37"/>
                </a:lnTo>
                <a:lnTo>
                  <a:pt x="19" y="36"/>
                </a:lnTo>
                <a:lnTo>
                  <a:pt x="19" y="35"/>
                </a:lnTo>
                <a:lnTo>
                  <a:pt x="19" y="35"/>
                </a:lnTo>
                <a:lnTo>
                  <a:pt x="18" y="33"/>
                </a:lnTo>
                <a:lnTo>
                  <a:pt x="16" y="31"/>
                </a:lnTo>
                <a:lnTo>
                  <a:pt x="15" y="31"/>
                </a:lnTo>
                <a:lnTo>
                  <a:pt x="15" y="30"/>
                </a:lnTo>
                <a:lnTo>
                  <a:pt x="14" y="31"/>
                </a:lnTo>
                <a:lnTo>
                  <a:pt x="14" y="31"/>
                </a:lnTo>
                <a:lnTo>
                  <a:pt x="14" y="30"/>
                </a:lnTo>
                <a:lnTo>
                  <a:pt x="14" y="30"/>
                </a:lnTo>
                <a:lnTo>
                  <a:pt x="13" y="30"/>
                </a:lnTo>
                <a:lnTo>
                  <a:pt x="13" y="29"/>
                </a:lnTo>
                <a:lnTo>
                  <a:pt x="14" y="29"/>
                </a:lnTo>
                <a:lnTo>
                  <a:pt x="13" y="27"/>
                </a:lnTo>
                <a:lnTo>
                  <a:pt x="13" y="27"/>
                </a:lnTo>
                <a:lnTo>
                  <a:pt x="13" y="23"/>
                </a:lnTo>
                <a:lnTo>
                  <a:pt x="12" y="22"/>
                </a:lnTo>
                <a:lnTo>
                  <a:pt x="13" y="20"/>
                </a:lnTo>
                <a:lnTo>
                  <a:pt x="13" y="19"/>
                </a:lnTo>
                <a:lnTo>
                  <a:pt x="13" y="18"/>
                </a:lnTo>
                <a:lnTo>
                  <a:pt x="13" y="18"/>
                </a:lnTo>
                <a:lnTo>
                  <a:pt x="12" y="17"/>
                </a:lnTo>
                <a:lnTo>
                  <a:pt x="12" y="15"/>
                </a:lnTo>
                <a:lnTo>
                  <a:pt x="12" y="15"/>
                </a:lnTo>
                <a:lnTo>
                  <a:pt x="12" y="13"/>
                </a:lnTo>
                <a:lnTo>
                  <a:pt x="12" y="11"/>
                </a:lnTo>
                <a:lnTo>
                  <a:pt x="13" y="10"/>
                </a:lnTo>
                <a:lnTo>
                  <a:pt x="13" y="10"/>
                </a:lnTo>
                <a:lnTo>
                  <a:pt x="13" y="10"/>
                </a:lnTo>
                <a:lnTo>
                  <a:pt x="13" y="8"/>
                </a:lnTo>
                <a:lnTo>
                  <a:pt x="14" y="7"/>
                </a:lnTo>
                <a:lnTo>
                  <a:pt x="13" y="7"/>
                </a:lnTo>
                <a:lnTo>
                  <a:pt x="12" y="6"/>
                </a:lnTo>
                <a:lnTo>
                  <a:pt x="12" y="5"/>
                </a:lnTo>
                <a:lnTo>
                  <a:pt x="13" y="5"/>
                </a:lnTo>
                <a:lnTo>
                  <a:pt x="14" y="6"/>
                </a:lnTo>
                <a:lnTo>
                  <a:pt x="15" y="6"/>
                </a:lnTo>
                <a:lnTo>
                  <a:pt x="15" y="6"/>
                </a:lnTo>
                <a:lnTo>
                  <a:pt x="16" y="5"/>
                </a:lnTo>
                <a:lnTo>
                  <a:pt x="17" y="4"/>
                </a:lnTo>
                <a:lnTo>
                  <a:pt x="18" y="4"/>
                </a:lnTo>
                <a:lnTo>
                  <a:pt x="19" y="4"/>
                </a:lnTo>
                <a:lnTo>
                  <a:pt x="22" y="4"/>
                </a:lnTo>
                <a:lnTo>
                  <a:pt x="23" y="4"/>
                </a:lnTo>
                <a:lnTo>
                  <a:pt x="24" y="4"/>
                </a:lnTo>
                <a:lnTo>
                  <a:pt x="25" y="3"/>
                </a:lnTo>
                <a:lnTo>
                  <a:pt x="26" y="2"/>
                </a:lnTo>
                <a:lnTo>
                  <a:pt x="26" y="0"/>
                </a:lnTo>
                <a:lnTo>
                  <a:pt x="26" y="1"/>
                </a:lnTo>
                <a:lnTo>
                  <a:pt x="26" y="2"/>
                </a:lnTo>
                <a:lnTo>
                  <a:pt x="26" y="2"/>
                </a:lnTo>
                <a:lnTo>
                  <a:pt x="27" y="3"/>
                </a:lnTo>
                <a:lnTo>
                  <a:pt x="28" y="4"/>
                </a:lnTo>
              </a:path>
            </a:pathLst>
          </a:custGeom>
          <a:grpFill/>
          <a:ln w="9525">
            <a:solidFill>
              <a:schemeClr val="bg1">
                <a:lumMod val="65000"/>
              </a:schemeClr>
            </a:solidFill>
            <a:prstDash val="solid"/>
            <a:round/>
            <a:headEnd/>
            <a:tailEnd/>
          </a:ln>
        </xdr:spPr>
      </xdr:sp>
      <xdr:sp macro="" textlink="">
        <xdr:nvSpPr>
          <xdr:cNvPr id="187" name="GIN008004"/>
          <xdr:cNvSpPr>
            <a:spLocks noChangeAspect="1"/>
          </xdr:cNvSpPr>
        </xdr:nvSpPr>
        <xdr:spPr bwMode="auto">
          <a:xfrm>
            <a:off x="8321139" y="5658344"/>
            <a:ext cx="987755" cy="1046019"/>
          </a:xfrm>
          <a:custGeom>
            <a:avLst/>
            <a:gdLst>
              <a:gd name="T0" fmla="*/ 70 w 105"/>
              <a:gd name="T1" fmla="*/ 11 h 113"/>
              <a:gd name="T2" fmla="*/ 83 w 105"/>
              <a:gd name="T3" fmla="*/ 11 h 113"/>
              <a:gd name="T4" fmla="*/ 97 w 105"/>
              <a:gd name="T5" fmla="*/ 12 h 113"/>
              <a:gd name="T6" fmla="*/ 99 w 105"/>
              <a:gd name="T7" fmla="*/ 20 h 113"/>
              <a:gd name="T8" fmla="*/ 100 w 105"/>
              <a:gd name="T9" fmla="*/ 24 h 113"/>
              <a:gd name="T10" fmla="*/ 103 w 105"/>
              <a:gd name="T11" fmla="*/ 27 h 113"/>
              <a:gd name="T12" fmla="*/ 102 w 105"/>
              <a:gd name="T13" fmla="*/ 35 h 113"/>
              <a:gd name="T14" fmla="*/ 104 w 105"/>
              <a:gd name="T15" fmla="*/ 46 h 113"/>
              <a:gd name="T16" fmla="*/ 103 w 105"/>
              <a:gd name="T17" fmla="*/ 52 h 113"/>
              <a:gd name="T18" fmla="*/ 99 w 105"/>
              <a:gd name="T19" fmla="*/ 63 h 113"/>
              <a:gd name="T20" fmla="*/ 96 w 105"/>
              <a:gd name="T21" fmla="*/ 65 h 113"/>
              <a:gd name="T22" fmla="*/ 94 w 105"/>
              <a:gd name="T23" fmla="*/ 70 h 113"/>
              <a:gd name="T24" fmla="*/ 94 w 105"/>
              <a:gd name="T25" fmla="*/ 75 h 113"/>
              <a:gd name="T26" fmla="*/ 92 w 105"/>
              <a:gd name="T27" fmla="*/ 78 h 113"/>
              <a:gd name="T28" fmla="*/ 88 w 105"/>
              <a:gd name="T29" fmla="*/ 81 h 113"/>
              <a:gd name="T30" fmla="*/ 85 w 105"/>
              <a:gd name="T31" fmla="*/ 84 h 113"/>
              <a:gd name="T32" fmla="*/ 80 w 105"/>
              <a:gd name="T33" fmla="*/ 91 h 113"/>
              <a:gd name="T34" fmla="*/ 77 w 105"/>
              <a:gd name="T35" fmla="*/ 94 h 113"/>
              <a:gd name="T36" fmla="*/ 72 w 105"/>
              <a:gd name="T37" fmla="*/ 100 h 113"/>
              <a:gd name="T38" fmla="*/ 64 w 105"/>
              <a:gd name="T39" fmla="*/ 106 h 113"/>
              <a:gd name="T40" fmla="*/ 60 w 105"/>
              <a:gd name="T41" fmla="*/ 113 h 113"/>
              <a:gd name="T42" fmla="*/ 57 w 105"/>
              <a:gd name="T43" fmla="*/ 110 h 113"/>
              <a:gd name="T44" fmla="*/ 55 w 105"/>
              <a:gd name="T45" fmla="*/ 107 h 113"/>
              <a:gd name="T46" fmla="*/ 51 w 105"/>
              <a:gd name="T47" fmla="*/ 103 h 113"/>
              <a:gd name="T48" fmla="*/ 51 w 105"/>
              <a:gd name="T49" fmla="*/ 92 h 113"/>
              <a:gd name="T50" fmla="*/ 51 w 105"/>
              <a:gd name="T51" fmla="*/ 87 h 113"/>
              <a:gd name="T52" fmla="*/ 49 w 105"/>
              <a:gd name="T53" fmla="*/ 84 h 113"/>
              <a:gd name="T54" fmla="*/ 48 w 105"/>
              <a:gd name="T55" fmla="*/ 82 h 113"/>
              <a:gd name="T56" fmla="*/ 47 w 105"/>
              <a:gd name="T57" fmla="*/ 76 h 113"/>
              <a:gd name="T58" fmla="*/ 45 w 105"/>
              <a:gd name="T59" fmla="*/ 71 h 113"/>
              <a:gd name="T60" fmla="*/ 41 w 105"/>
              <a:gd name="T61" fmla="*/ 70 h 113"/>
              <a:gd name="T62" fmla="*/ 41 w 105"/>
              <a:gd name="T63" fmla="*/ 64 h 113"/>
              <a:gd name="T64" fmla="*/ 43 w 105"/>
              <a:gd name="T65" fmla="*/ 59 h 113"/>
              <a:gd name="T66" fmla="*/ 45 w 105"/>
              <a:gd name="T67" fmla="*/ 53 h 113"/>
              <a:gd name="T68" fmla="*/ 37 w 105"/>
              <a:gd name="T69" fmla="*/ 49 h 113"/>
              <a:gd name="T70" fmla="*/ 34 w 105"/>
              <a:gd name="T71" fmla="*/ 47 h 113"/>
              <a:gd name="T72" fmla="*/ 28 w 105"/>
              <a:gd name="T73" fmla="*/ 49 h 113"/>
              <a:gd name="T74" fmla="*/ 31 w 105"/>
              <a:gd name="T75" fmla="*/ 44 h 113"/>
              <a:gd name="T76" fmla="*/ 24 w 105"/>
              <a:gd name="T77" fmla="*/ 40 h 113"/>
              <a:gd name="T78" fmla="*/ 21 w 105"/>
              <a:gd name="T79" fmla="*/ 43 h 113"/>
              <a:gd name="T80" fmla="*/ 20 w 105"/>
              <a:gd name="T81" fmla="*/ 37 h 113"/>
              <a:gd name="T82" fmla="*/ 15 w 105"/>
              <a:gd name="T83" fmla="*/ 35 h 113"/>
              <a:gd name="T84" fmla="*/ 13 w 105"/>
              <a:gd name="T85" fmla="*/ 37 h 113"/>
              <a:gd name="T86" fmla="*/ 10 w 105"/>
              <a:gd name="T87" fmla="*/ 39 h 113"/>
              <a:gd name="T88" fmla="*/ 7 w 105"/>
              <a:gd name="T89" fmla="*/ 39 h 113"/>
              <a:gd name="T90" fmla="*/ 4 w 105"/>
              <a:gd name="T91" fmla="*/ 38 h 113"/>
              <a:gd name="T92" fmla="*/ 3 w 105"/>
              <a:gd name="T93" fmla="*/ 35 h 113"/>
              <a:gd name="T94" fmla="*/ 5 w 105"/>
              <a:gd name="T95" fmla="*/ 29 h 113"/>
              <a:gd name="T96" fmla="*/ 1 w 105"/>
              <a:gd name="T97" fmla="*/ 25 h 113"/>
              <a:gd name="T98" fmla="*/ 1 w 105"/>
              <a:gd name="T99" fmla="*/ 17 h 113"/>
              <a:gd name="T100" fmla="*/ 6 w 105"/>
              <a:gd name="T101" fmla="*/ 9 h 113"/>
              <a:gd name="T102" fmla="*/ 11 w 105"/>
              <a:gd name="T103" fmla="*/ 5 h 113"/>
              <a:gd name="T104" fmla="*/ 19 w 105"/>
              <a:gd name="T105" fmla="*/ 2 h 113"/>
              <a:gd name="T106" fmla="*/ 32 w 105"/>
              <a:gd name="T107" fmla="*/ 2 h 1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5" h="113">
                <a:moveTo>
                  <a:pt x="56" y="2"/>
                </a:moveTo>
                <a:lnTo>
                  <a:pt x="58" y="3"/>
                </a:lnTo>
                <a:lnTo>
                  <a:pt x="61" y="5"/>
                </a:lnTo>
                <a:lnTo>
                  <a:pt x="62" y="7"/>
                </a:lnTo>
                <a:lnTo>
                  <a:pt x="65" y="9"/>
                </a:lnTo>
                <a:lnTo>
                  <a:pt x="67" y="11"/>
                </a:lnTo>
                <a:lnTo>
                  <a:pt x="70" y="11"/>
                </a:lnTo>
                <a:lnTo>
                  <a:pt x="71" y="13"/>
                </a:lnTo>
                <a:lnTo>
                  <a:pt x="73" y="13"/>
                </a:lnTo>
                <a:lnTo>
                  <a:pt x="75" y="13"/>
                </a:lnTo>
                <a:lnTo>
                  <a:pt x="76" y="13"/>
                </a:lnTo>
                <a:lnTo>
                  <a:pt x="79" y="11"/>
                </a:lnTo>
                <a:lnTo>
                  <a:pt x="81" y="11"/>
                </a:lnTo>
                <a:lnTo>
                  <a:pt x="83" y="11"/>
                </a:lnTo>
                <a:lnTo>
                  <a:pt x="86" y="10"/>
                </a:lnTo>
                <a:lnTo>
                  <a:pt x="88" y="10"/>
                </a:lnTo>
                <a:lnTo>
                  <a:pt x="91" y="10"/>
                </a:lnTo>
                <a:lnTo>
                  <a:pt x="93" y="11"/>
                </a:lnTo>
                <a:lnTo>
                  <a:pt x="95" y="11"/>
                </a:lnTo>
                <a:lnTo>
                  <a:pt x="96" y="12"/>
                </a:lnTo>
                <a:lnTo>
                  <a:pt x="97" y="12"/>
                </a:lnTo>
                <a:lnTo>
                  <a:pt x="97" y="14"/>
                </a:lnTo>
                <a:lnTo>
                  <a:pt x="97" y="16"/>
                </a:lnTo>
                <a:lnTo>
                  <a:pt x="98" y="16"/>
                </a:lnTo>
                <a:lnTo>
                  <a:pt x="98" y="17"/>
                </a:lnTo>
                <a:lnTo>
                  <a:pt x="98" y="18"/>
                </a:lnTo>
                <a:lnTo>
                  <a:pt x="99" y="18"/>
                </a:lnTo>
                <a:lnTo>
                  <a:pt x="99" y="20"/>
                </a:lnTo>
                <a:lnTo>
                  <a:pt x="101" y="20"/>
                </a:lnTo>
                <a:lnTo>
                  <a:pt x="100" y="20"/>
                </a:lnTo>
                <a:lnTo>
                  <a:pt x="100" y="21"/>
                </a:lnTo>
                <a:lnTo>
                  <a:pt x="100" y="21"/>
                </a:lnTo>
                <a:lnTo>
                  <a:pt x="100" y="22"/>
                </a:lnTo>
                <a:lnTo>
                  <a:pt x="100" y="23"/>
                </a:lnTo>
                <a:lnTo>
                  <a:pt x="100" y="24"/>
                </a:lnTo>
                <a:lnTo>
                  <a:pt x="100" y="24"/>
                </a:lnTo>
                <a:lnTo>
                  <a:pt x="101" y="24"/>
                </a:lnTo>
                <a:lnTo>
                  <a:pt x="100" y="25"/>
                </a:lnTo>
                <a:lnTo>
                  <a:pt x="101" y="26"/>
                </a:lnTo>
                <a:lnTo>
                  <a:pt x="101" y="26"/>
                </a:lnTo>
                <a:lnTo>
                  <a:pt x="103" y="26"/>
                </a:lnTo>
                <a:lnTo>
                  <a:pt x="103" y="27"/>
                </a:lnTo>
                <a:lnTo>
                  <a:pt x="103" y="29"/>
                </a:lnTo>
                <a:lnTo>
                  <a:pt x="103" y="30"/>
                </a:lnTo>
                <a:lnTo>
                  <a:pt x="102" y="31"/>
                </a:lnTo>
                <a:lnTo>
                  <a:pt x="102" y="32"/>
                </a:lnTo>
                <a:lnTo>
                  <a:pt x="102" y="33"/>
                </a:lnTo>
                <a:lnTo>
                  <a:pt x="102" y="34"/>
                </a:lnTo>
                <a:lnTo>
                  <a:pt x="102" y="35"/>
                </a:lnTo>
                <a:lnTo>
                  <a:pt x="102" y="36"/>
                </a:lnTo>
                <a:lnTo>
                  <a:pt x="102" y="38"/>
                </a:lnTo>
                <a:lnTo>
                  <a:pt x="103" y="39"/>
                </a:lnTo>
                <a:lnTo>
                  <a:pt x="103" y="40"/>
                </a:lnTo>
                <a:lnTo>
                  <a:pt x="103" y="42"/>
                </a:lnTo>
                <a:lnTo>
                  <a:pt x="103" y="44"/>
                </a:lnTo>
                <a:lnTo>
                  <a:pt x="104" y="46"/>
                </a:lnTo>
                <a:lnTo>
                  <a:pt x="104" y="46"/>
                </a:lnTo>
                <a:lnTo>
                  <a:pt x="105" y="47"/>
                </a:lnTo>
                <a:lnTo>
                  <a:pt x="105" y="48"/>
                </a:lnTo>
                <a:lnTo>
                  <a:pt x="104" y="49"/>
                </a:lnTo>
                <a:lnTo>
                  <a:pt x="104" y="49"/>
                </a:lnTo>
                <a:lnTo>
                  <a:pt x="103" y="50"/>
                </a:lnTo>
                <a:lnTo>
                  <a:pt x="103" y="52"/>
                </a:lnTo>
                <a:lnTo>
                  <a:pt x="103" y="54"/>
                </a:lnTo>
                <a:lnTo>
                  <a:pt x="102" y="55"/>
                </a:lnTo>
                <a:lnTo>
                  <a:pt x="101" y="56"/>
                </a:lnTo>
                <a:lnTo>
                  <a:pt x="100" y="58"/>
                </a:lnTo>
                <a:lnTo>
                  <a:pt x="100" y="59"/>
                </a:lnTo>
                <a:lnTo>
                  <a:pt x="99" y="62"/>
                </a:lnTo>
                <a:lnTo>
                  <a:pt x="99" y="63"/>
                </a:lnTo>
                <a:lnTo>
                  <a:pt x="99" y="63"/>
                </a:lnTo>
                <a:lnTo>
                  <a:pt x="98" y="63"/>
                </a:lnTo>
                <a:lnTo>
                  <a:pt x="98" y="63"/>
                </a:lnTo>
                <a:lnTo>
                  <a:pt x="97" y="64"/>
                </a:lnTo>
                <a:lnTo>
                  <a:pt x="97" y="64"/>
                </a:lnTo>
                <a:lnTo>
                  <a:pt x="97" y="65"/>
                </a:lnTo>
                <a:lnTo>
                  <a:pt x="96" y="65"/>
                </a:lnTo>
                <a:lnTo>
                  <a:pt x="96" y="66"/>
                </a:lnTo>
                <a:lnTo>
                  <a:pt x="96" y="67"/>
                </a:lnTo>
                <a:lnTo>
                  <a:pt x="95" y="67"/>
                </a:lnTo>
                <a:lnTo>
                  <a:pt x="95" y="68"/>
                </a:lnTo>
                <a:lnTo>
                  <a:pt x="95" y="69"/>
                </a:lnTo>
                <a:lnTo>
                  <a:pt x="94" y="70"/>
                </a:lnTo>
                <a:lnTo>
                  <a:pt x="94" y="70"/>
                </a:lnTo>
                <a:lnTo>
                  <a:pt x="94" y="71"/>
                </a:lnTo>
                <a:lnTo>
                  <a:pt x="95" y="72"/>
                </a:lnTo>
                <a:lnTo>
                  <a:pt x="95" y="72"/>
                </a:lnTo>
                <a:lnTo>
                  <a:pt x="95" y="73"/>
                </a:lnTo>
                <a:lnTo>
                  <a:pt x="94" y="74"/>
                </a:lnTo>
                <a:lnTo>
                  <a:pt x="94" y="74"/>
                </a:lnTo>
                <a:lnTo>
                  <a:pt x="94" y="75"/>
                </a:lnTo>
                <a:lnTo>
                  <a:pt x="93" y="76"/>
                </a:lnTo>
                <a:lnTo>
                  <a:pt x="92" y="77"/>
                </a:lnTo>
                <a:lnTo>
                  <a:pt x="92" y="77"/>
                </a:lnTo>
                <a:lnTo>
                  <a:pt x="91" y="76"/>
                </a:lnTo>
                <a:lnTo>
                  <a:pt x="91" y="77"/>
                </a:lnTo>
                <a:lnTo>
                  <a:pt x="92" y="78"/>
                </a:lnTo>
                <a:lnTo>
                  <a:pt x="92" y="78"/>
                </a:lnTo>
                <a:lnTo>
                  <a:pt x="92" y="79"/>
                </a:lnTo>
                <a:lnTo>
                  <a:pt x="91" y="80"/>
                </a:lnTo>
                <a:lnTo>
                  <a:pt x="91" y="80"/>
                </a:lnTo>
                <a:lnTo>
                  <a:pt x="90" y="80"/>
                </a:lnTo>
                <a:lnTo>
                  <a:pt x="89" y="81"/>
                </a:lnTo>
                <a:lnTo>
                  <a:pt x="89" y="81"/>
                </a:lnTo>
                <a:lnTo>
                  <a:pt x="88" y="81"/>
                </a:lnTo>
                <a:lnTo>
                  <a:pt x="88" y="81"/>
                </a:lnTo>
                <a:lnTo>
                  <a:pt x="87" y="81"/>
                </a:lnTo>
                <a:lnTo>
                  <a:pt x="87" y="81"/>
                </a:lnTo>
                <a:lnTo>
                  <a:pt x="86" y="82"/>
                </a:lnTo>
                <a:lnTo>
                  <a:pt x="85" y="83"/>
                </a:lnTo>
                <a:lnTo>
                  <a:pt x="85" y="83"/>
                </a:lnTo>
                <a:lnTo>
                  <a:pt x="85" y="84"/>
                </a:lnTo>
                <a:lnTo>
                  <a:pt x="85" y="84"/>
                </a:lnTo>
                <a:lnTo>
                  <a:pt x="84" y="85"/>
                </a:lnTo>
                <a:lnTo>
                  <a:pt x="83" y="86"/>
                </a:lnTo>
                <a:lnTo>
                  <a:pt x="82" y="87"/>
                </a:lnTo>
                <a:lnTo>
                  <a:pt x="82" y="88"/>
                </a:lnTo>
                <a:lnTo>
                  <a:pt x="82" y="88"/>
                </a:lnTo>
                <a:lnTo>
                  <a:pt x="80" y="91"/>
                </a:lnTo>
                <a:lnTo>
                  <a:pt x="79" y="91"/>
                </a:lnTo>
                <a:lnTo>
                  <a:pt x="79" y="91"/>
                </a:lnTo>
                <a:lnTo>
                  <a:pt x="78" y="92"/>
                </a:lnTo>
                <a:lnTo>
                  <a:pt x="78" y="93"/>
                </a:lnTo>
                <a:lnTo>
                  <a:pt x="78" y="93"/>
                </a:lnTo>
                <a:lnTo>
                  <a:pt x="78" y="94"/>
                </a:lnTo>
                <a:lnTo>
                  <a:pt x="77" y="94"/>
                </a:lnTo>
                <a:lnTo>
                  <a:pt x="76" y="95"/>
                </a:lnTo>
                <a:lnTo>
                  <a:pt x="75" y="96"/>
                </a:lnTo>
                <a:lnTo>
                  <a:pt x="75" y="97"/>
                </a:lnTo>
                <a:lnTo>
                  <a:pt x="74" y="98"/>
                </a:lnTo>
                <a:lnTo>
                  <a:pt x="74" y="98"/>
                </a:lnTo>
                <a:lnTo>
                  <a:pt x="73" y="100"/>
                </a:lnTo>
                <a:lnTo>
                  <a:pt x="72" y="100"/>
                </a:lnTo>
                <a:lnTo>
                  <a:pt x="71" y="101"/>
                </a:lnTo>
                <a:lnTo>
                  <a:pt x="71" y="102"/>
                </a:lnTo>
                <a:lnTo>
                  <a:pt x="70" y="103"/>
                </a:lnTo>
                <a:lnTo>
                  <a:pt x="68" y="103"/>
                </a:lnTo>
                <a:lnTo>
                  <a:pt x="67" y="104"/>
                </a:lnTo>
                <a:lnTo>
                  <a:pt x="66" y="105"/>
                </a:lnTo>
                <a:lnTo>
                  <a:pt x="64" y="106"/>
                </a:lnTo>
                <a:lnTo>
                  <a:pt x="62" y="108"/>
                </a:lnTo>
                <a:lnTo>
                  <a:pt x="62" y="108"/>
                </a:lnTo>
                <a:lnTo>
                  <a:pt x="62" y="109"/>
                </a:lnTo>
                <a:lnTo>
                  <a:pt x="62" y="110"/>
                </a:lnTo>
                <a:lnTo>
                  <a:pt x="62" y="111"/>
                </a:lnTo>
                <a:lnTo>
                  <a:pt x="61" y="113"/>
                </a:lnTo>
                <a:lnTo>
                  <a:pt x="60" y="113"/>
                </a:lnTo>
                <a:lnTo>
                  <a:pt x="59" y="113"/>
                </a:lnTo>
                <a:lnTo>
                  <a:pt x="59" y="112"/>
                </a:lnTo>
                <a:lnTo>
                  <a:pt x="58" y="112"/>
                </a:lnTo>
                <a:lnTo>
                  <a:pt x="58" y="112"/>
                </a:lnTo>
                <a:lnTo>
                  <a:pt x="58" y="111"/>
                </a:lnTo>
                <a:lnTo>
                  <a:pt x="58" y="110"/>
                </a:lnTo>
                <a:lnTo>
                  <a:pt x="57" y="110"/>
                </a:lnTo>
                <a:lnTo>
                  <a:pt x="57" y="110"/>
                </a:lnTo>
                <a:lnTo>
                  <a:pt x="57" y="110"/>
                </a:lnTo>
                <a:lnTo>
                  <a:pt x="57" y="110"/>
                </a:lnTo>
                <a:lnTo>
                  <a:pt x="57" y="110"/>
                </a:lnTo>
                <a:lnTo>
                  <a:pt x="57" y="108"/>
                </a:lnTo>
                <a:lnTo>
                  <a:pt x="56" y="107"/>
                </a:lnTo>
                <a:lnTo>
                  <a:pt x="55" y="107"/>
                </a:lnTo>
                <a:lnTo>
                  <a:pt x="55" y="107"/>
                </a:lnTo>
                <a:lnTo>
                  <a:pt x="54" y="107"/>
                </a:lnTo>
                <a:lnTo>
                  <a:pt x="54" y="107"/>
                </a:lnTo>
                <a:lnTo>
                  <a:pt x="53" y="105"/>
                </a:lnTo>
                <a:lnTo>
                  <a:pt x="52" y="104"/>
                </a:lnTo>
                <a:lnTo>
                  <a:pt x="52" y="103"/>
                </a:lnTo>
                <a:lnTo>
                  <a:pt x="51" y="103"/>
                </a:lnTo>
                <a:lnTo>
                  <a:pt x="50" y="102"/>
                </a:lnTo>
                <a:lnTo>
                  <a:pt x="50" y="101"/>
                </a:lnTo>
                <a:lnTo>
                  <a:pt x="50" y="98"/>
                </a:lnTo>
                <a:lnTo>
                  <a:pt x="50" y="97"/>
                </a:lnTo>
                <a:lnTo>
                  <a:pt x="50" y="96"/>
                </a:lnTo>
                <a:lnTo>
                  <a:pt x="50" y="93"/>
                </a:lnTo>
                <a:lnTo>
                  <a:pt x="51" y="92"/>
                </a:lnTo>
                <a:lnTo>
                  <a:pt x="52" y="91"/>
                </a:lnTo>
                <a:lnTo>
                  <a:pt x="52" y="91"/>
                </a:lnTo>
                <a:lnTo>
                  <a:pt x="52" y="90"/>
                </a:lnTo>
                <a:lnTo>
                  <a:pt x="52" y="90"/>
                </a:lnTo>
                <a:lnTo>
                  <a:pt x="51" y="88"/>
                </a:lnTo>
                <a:lnTo>
                  <a:pt x="51" y="87"/>
                </a:lnTo>
                <a:lnTo>
                  <a:pt x="51" y="87"/>
                </a:lnTo>
                <a:lnTo>
                  <a:pt x="50" y="86"/>
                </a:lnTo>
                <a:lnTo>
                  <a:pt x="50" y="86"/>
                </a:lnTo>
                <a:lnTo>
                  <a:pt x="50" y="84"/>
                </a:lnTo>
                <a:lnTo>
                  <a:pt x="50" y="84"/>
                </a:lnTo>
                <a:lnTo>
                  <a:pt x="50" y="84"/>
                </a:lnTo>
                <a:lnTo>
                  <a:pt x="50" y="84"/>
                </a:lnTo>
                <a:lnTo>
                  <a:pt x="49" y="84"/>
                </a:lnTo>
                <a:lnTo>
                  <a:pt x="48" y="85"/>
                </a:lnTo>
                <a:lnTo>
                  <a:pt x="47" y="85"/>
                </a:lnTo>
                <a:lnTo>
                  <a:pt x="47" y="85"/>
                </a:lnTo>
                <a:lnTo>
                  <a:pt x="47" y="84"/>
                </a:lnTo>
                <a:lnTo>
                  <a:pt x="47" y="84"/>
                </a:lnTo>
                <a:lnTo>
                  <a:pt x="47" y="83"/>
                </a:lnTo>
                <a:lnTo>
                  <a:pt x="48" y="82"/>
                </a:lnTo>
                <a:lnTo>
                  <a:pt x="49" y="81"/>
                </a:lnTo>
                <a:lnTo>
                  <a:pt x="49" y="81"/>
                </a:lnTo>
                <a:lnTo>
                  <a:pt x="48" y="80"/>
                </a:lnTo>
                <a:lnTo>
                  <a:pt x="48" y="80"/>
                </a:lnTo>
                <a:lnTo>
                  <a:pt x="47" y="79"/>
                </a:lnTo>
                <a:lnTo>
                  <a:pt x="47" y="78"/>
                </a:lnTo>
                <a:lnTo>
                  <a:pt x="47" y="76"/>
                </a:lnTo>
                <a:lnTo>
                  <a:pt x="47" y="75"/>
                </a:lnTo>
                <a:lnTo>
                  <a:pt x="47" y="75"/>
                </a:lnTo>
                <a:lnTo>
                  <a:pt x="47" y="73"/>
                </a:lnTo>
                <a:lnTo>
                  <a:pt x="47" y="72"/>
                </a:lnTo>
                <a:lnTo>
                  <a:pt x="47" y="72"/>
                </a:lnTo>
                <a:lnTo>
                  <a:pt x="46" y="72"/>
                </a:lnTo>
                <a:lnTo>
                  <a:pt x="45" y="71"/>
                </a:lnTo>
                <a:lnTo>
                  <a:pt x="44" y="72"/>
                </a:lnTo>
                <a:lnTo>
                  <a:pt x="44" y="72"/>
                </a:lnTo>
                <a:lnTo>
                  <a:pt x="43" y="71"/>
                </a:lnTo>
                <a:lnTo>
                  <a:pt x="43" y="71"/>
                </a:lnTo>
                <a:lnTo>
                  <a:pt x="42" y="71"/>
                </a:lnTo>
                <a:lnTo>
                  <a:pt x="41" y="71"/>
                </a:lnTo>
                <a:lnTo>
                  <a:pt x="41" y="70"/>
                </a:lnTo>
                <a:lnTo>
                  <a:pt x="41" y="69"/>
                </a:lnTo>
                <a:lnTo>
                  <a:pt x="42" y="68"/>
                </a:lnTo>
                <a:lnTo>
                  <a:pt x="42" y="68"/>
                </a:lnTo>
                <a:lnTo>
                  <a:pt x="42" y="65"/>
                </a:lnTo>
                <a:lnTo>
                  <a:pt x="41" y="65"/>
                </a:lnTo>
                <a:lnTo>
                  <a:pt x="41" y="65"/>
                </a:lnTo>
                <a:lnTo>
                  <a:pt x="41" y="64"/>
                </a:lnTo>
                <a:lnTo>
                  <a:pt x="44" y="62"/>
                </a:lnTo>
                <a:lnTo>
                  <a:pt x="44" y="62"/>
                </a:lnTo>
                <a:lnTo>
                  <a:pt x="44" y="61"/>
                </a:lnTo>
                <a:lnTo>
                  <a:pt x="43" y="61"/>
                </a:lnTo>
                <a:lnTo>
                  <a:pt x="43" y="60"/>
                </a:lnTo>
                <a:lnTo>
                  <a:pt x="43" y="60"/>
                </a:lnTo>
                <a:lnTo>
                  <a:pt x="43" y="59"/>
                </a:lnTo>
                <a:lnTo>
                  <a:pt x="43" y="58"/>
                </a:lnTo>
                <a:lnTo>
                  <a:pt x="42" y="57"/>
                </a:lnTo>
                <a:lnTo>
                  <a:pt x="41" y="56"/>
                </a:lnTo>
                <a:lnTo>
                  <a:pt x="42" y="56"/>
                </a:lnTo>
                <a:lnTo>
                  <a:pt x="44" y="54"/>
                </a:lnTo>
                <a:lnTo>
                  <a:pt x="44" y="54"/>
                </a:lnTo>
                <a:lnTo>
                  <a:pt x="45" y="53"/>
                </a:lnTo>
                <a:lnTo>
                  <a:pt x="45" y="52"/>
                </a:lnTo>
                <a:lnTo>
                  <a:pt x="45" y="52"/>
                </a:lnTo>
                <a:lnTo>
                  <a:pt x="45" y="51"/>
                </a:lnTo>
                <a:lnTo>
                  <a:pt x="44" y="51"/>
                </a:lnTo>
                <a:lnTo>
                  <a:pt x="40" y="51"/>
                </a:lnTo>
                <a:lnTo>
                  <a:pt x="39" y="50"/>
                </a:lnTo>
                <a:lnTo>
                  <a:pt x="37" y="49"/>
                </a:lnTo>
                <a:lnTo>
                  <a:pt x="37" y="48"/>
                </a:lnTo>
                <a:lnTo>
                  <a:pt x="36" y="48"/>
                </a:lnTo>
                <a:lnTo>
                  <a:pt x="36" y="46"/>
                </a:lnTo>
                <a:lnTo>
                  <a:pt x="36" y="46"/>
                </a:lnTo>
                <a:lnTo>
                  <a:pt x="35" y="46"/>
                </a:lnTo>
                <a:lnTo>
                  <a:pt x="35" y="46"/>
                </a:lnTo>
                <a:lnTo>
                  <a:pt x="34" y="47"/>
                </a:lnTo>
                <a:lnTo>
                  <a:pt x="34" y="48"/>
                </a:lnTo>
                <a:lnTo>
                  <a:pt x="33" y="48"/>
                </a:lnTo>
                <a:lnTo>
                  <a:pt x="31" y="48"/>
                </a:lnTo>
                <a:lnTo>
                  <a:pt x="30" y="48"/>
                </a:lnTo>
                <a:lnTo>
                  <a:pt x="30" y="48"/>
                </a:lnTo>
                <a:lnTo>
                  <a:pt x="29" y="49"/>
                </a:lnTo>
                <a:lnTo>
                  <a:pt x="28" y="49"/>
                </a:lnTo>
                <a:lnTo>
                  <a:pt x="28" y="49"/>
                </a:lnTo>
                <a:lnTo>
                  <a:pt x="28" y="48"/>
                </a:lnTo>
                <a:lnTo>
                  <a:pt x="28" y="47"/>
                </a:lnTo>
                <a:lnTo>
                  <a:pt x="29" y="46"/>
                </a:lnTo>
                <a:lnTo>
                  <a:pt x="30" y="45"/>
                </a:lnTo>
                <a:lnTo>
                  <a:pt x="30" y="45"/>
                </a:lnTo>
                <a:lnTo>
                  <a:pt x="31" y="44"/>
                </a:lnTo>
                <a:lnTo>
                  <a:pt x="31" y="43"/>
                </a:lnTo>
                <a:lnTo>
                  <a:pt x="30" y="43"/>
                </a:lnTo>
                <a:lnTo>
                  <a:pt x="28" y="41"/>
                </a:lnTo>
                <a:lnTo>
                  <a:pt x="27" y="40"/>
                </a:lnTo>
                <a:lnTo>
                  <a:pt x="26" y="40"/>
                </a:lnTo>
                <a:lnTo>
                  <a:pt x="24" y="40"/>
                </a:lnTo>
                <a:lnTo>
                  <a:pt x="24" y="40"/>
                </a:lnTo>
                <a:lnTo>
                  <a:pt x="23" y="41"/>
                </a:lnTo>
                <a:lnTo>
                  <a:pt x="23" y="42"/>
                </a:lnTo>
                <a:lnTo>
                  <a:pt x="23" y="44"/>
                </a:lnTo>
                <a:lnTo>
                  <a:pt x="22" y="45"/>
                </a:lnTo>
                <a:lnTo>
                  <a:pt x="22" y="45"/>
                </a:lnTo>
                <a:lnTo>
                  <a:pt x="21" y="44"/>
                </a:lnTo>
                <a:lnTo>
                  <a:pt x="21" y="43"/>
                </a:lnTo>
                <a:lnTo>
                  <a:pt x="19" y="40"/>
                </a:lnTo>
                <a:lnTo>
                  <a:pt x="19" y="40"/>
                </a:lnTo>
                <a:lnTo>
                  <a:pt x="19" y="38"/>
                </a:lnTo>
                <a:lnTo>
                  <a:pt x="20" y="37"/>
                </a:lnTo>
                <a:lnTo>
                  <a:pt x="20" y="37"/>
                </a:lnTo>
                <a:lnTo>
                  <a:pt x="20" y="37"/>
                </a:lnTo>
                <a:lnTo>
                  <a:pt x="20" y="37"/>
                </a:lnTo>
                <a:lnTo>
                  <a:pt x="20" y="37"/>
                </a:lnTo>
                <a:lnTo>
                  <a:pt x="19" y="36"/>
                </a:lnTo>
                <a:lnTo>
                  <a:pt x="18" y="35"/>
                </a:lnTo>
                <a:lnTo>
                  <a:pt x="18" y="34"/>
                </a:lnTo>
                <a:lnTo>
                  <a:pt x="16" y="34"/>
                </a:lnTo>
                <a:lnTo>
                  <a:pt x="16" y="34"/>
                </a:lnTo>
                <a:lnTo>
                  <a:pt x="15" y="35"/>
                </a:lnTo>
                <a:lnTo>
                  <a:pt x="15" y="36"/>
                </a:lnTo>
                <a:lnTo>
                  <a:pt x="14" y="36"/>
                </a:lnTo>
                <a:lnTo>
                  <a:pt x="14" y="36"/>
                </a:lnTo>
                <a:lnTo>
                  <a:pt x="14" y="36"/>
                </a:lnTo>
                <a:lnTo>
                  <a:pt x="14" y="36"/>
                </a:lnTo>
                <a:lnTo>
                  <a:pt x="13" y="37"/>
                </a:lnTo>
                <a:lnTo>
                  <a:pt x="13" y="37"/>
                </a:lnTo>
                <a:lnTo>
                  <a:pt x="14" y="37"/>
                </a:lnTo>
                <a:lnTo>
                  <a:pt x="14" y="37"/>
                </a:lnTo>
                <a:lnTo>
                  <a:pt x="14" y="37"/>
                </a:lnTo>
                <a:lnTo>
                  <a:pt x="14" y="38"/>
                </a:lnTo>
                <a:lnTo>
                  <a:pt x="14" y="38"/>
                </a:lnTo>
                <a:lnTo>
                  <a:pt x="13" y="39"/>
                </a:lnTo>
                <a:lnTo>
                  <a:pt x="10" y="39"/>
                </a:lnTo>
                <a:lnTo>
                  <a:pt x="10" y="39"/>
                </a:lnTo>
                <a:lnTo>
                  <a:pt x="10" y="39"/>
                </a:lnTo>
                <a:lnTo>
                  <a:pt x="9" y="40"/>
                </a:lnTo>
                <a:lnTo>
                  <a:pt x="9" y="40"/>
                </a:lnTo>
                <a:lnTo>
                  <a:pt x="9" y="40"/>
                </a:lnTo>
                <a:lnTo>
                  <a:pt x="8" y="39"/>
                </a:lnTo>
                <a:lnTo>
                  <a:pt x="7" y="39"/>
                </a:lnTo>
                <a:lnTo>
                  <a:pt x="7" y="39"/>
                </a:lnTo>
                <a:lnTo>
                  <a:pt x="6" y="40"/>
                </a:lnTo>
                <a:lnTo>
                  <a:pt x="5" y="40"/>
                </a:lnTo>
                <a:lnTo>
                  <a:pt x="5" y="40"/>
                </a:lnTo>
                <a:lnTo>
                  <a:pt x="5" y="39"/>
                </a:lnTo>
                <a:lnTo>
                  <a:pt x="4" y="39"/>
                </a:lnTo>
                <a:lnTo>
                  <a:pt x="4" y="38"/>
                </a:lnTo>
                <a:lnTo>
                  <a:pt x="4" y="38"/>
                </a:lnTo>
                <a:lnTo>
                  <a:pt x="4" y="38"/>
                </a:lnTo>
                <a:lnTo>
                  <a:pt x="4" y="37"/>
                </a:lnTo>
                <a:lnTo>
                  <a:pt x="5" y="37"/>
                </a:lnTo>
                <a:lnTo>
                  <a:pt x="4" y="36"/>
                </a:lnTo>
                <a:lnTo>
                  <a:pt x="4" y="36"/>
                </a:lnTo>
                <a:lnTo>
                  <a:pt x="3" y="35"/>
                </a:lnTo>
                <a:lnTo>
                  <a:pt x="3" y="34"/>
                </a:lnTo>
                <a:lnTo>
                  <a:pt x="4" y="34"/>
                </a:lnTo>
                <a:lnTo>
                  <a:pt x="5" y="34"/>
                </a:lnTo>
                <a:lnTo>
                  <a:pt x="5" y="33"/>
                </a:lnTo>
                <a:lnTo>
                  <a:pt x="5" y="31"/>
                </a:lnTo>
                <a:lnTo>
                  <a:pt x="5" y="30"/>
                </a:lnTo>
                <a:lnTo>
                  <a:pt x="5" y="29"/>
                </a:lnTo>
                <a:lnTo>
                  <a:pt x="5" y="28"/>
                </a:lnTo>
                <a:lnTo>
                  <a:pt x="4" y="27"/>
                </a:lnTo>
                <a:lnTo>
                  <a:pt x="4" y="27"/>
                </a:lnTo>
                <a:lnTo>
                  <a:pt x="3" y="26"/>
                </a:lnTo>
                <a:lnTo>
                  <a:pt x="2" y="26"/>
                </a:lnTo>
                <a:lnTo>
                  <a:pt x="2" y="25"/>
                </a:lnTo>
                <a:lnTo>
                  <a:pt x="1" y="25"/>
                </a:lnTo>
                <a:lnTo>
                  <a:pt x="0" y="24"/>
                </a:lnTo>
                <a:lnTo>
                  <a:pt x="0" y="23"/>
                </a:lnTo>
                <a:lnTo>
                  <a:pt x="0" y="22"/>
                </a:lnTo>
                <a:lnTo>
                  <a:pt x="0" y="21"/>
                </a:lnTo>
                <a:lnTo>
                  <a:pt x="1" y="19"/>
                </a:lnTo>
                <a:lnTo>
                  <a:pt x="1" y="18"/>
                </a:lnTo>
                <a:lnTo>
                  <a:pt x="1" y="17"/>
                </a:lnTo>
                <a:lnTo>
                  <a:pt x="2" y="15"/>
                </a:lnTo>
                <a:lnTo>
                  <a:pt x="3" y="14"/>
                </a:lnTo>
                <a:lnTo>
                  <a:pt x="4" y="13"/>
                </a:lnTo>
                <a:lnTo>
                  <a:pt x="4" y="12"/>
                </a:lnTo>
                <a:lnTo>
                  <a:pt x="5" y="11"/>
                </a:lnTo>
                <a:lnTo>
                  <a:pt x="6" y="10"/>
                </a:lnTo>
                <a:lnTo>
                  <a:pt x="6" y="9"/>
                </a:lnTo>
                <a:lnTo>
                  <a:pt x="7" y="8"/>
                </a:lnTo>
                <a:lnTo>
                  <a:pt x="7" y="7"/>
                </a:lnTo>
                <a:lnTo>
                  <a:pt x="8" y="7"/>
                </a:lnTo>
                <a:lnTo>
                  <a:pt x="8" y="6"/>
                </a:lnTo>
                <a:lnTo>
                  <a:pt x="8" y="6"/>
                </a:lnTo>
                <a:lnTo>
                  <a:pt x="9" y="6"/>
                </a:lnTo>
                <a:lnTo>
                  <a:pt x="11" y="5"/>
                </a:lnTo>
                <a:lnTo>
                  <a:pt x="11" y="5"/>
                </a:lnTo>
                <a:lnTo>
                  <a:pt x="13" y="5"/>
                </a:lnTo>
                <a:lnTo>
                  <a:pt x="13" y="5"/>
                </a:lnTo>
                <a:lnTo>
                  <a:pt x="14" y="3"/>
                </a:lnTo>
                <a:lnTo>
                  <a:pt x="15" y="2"/>
                </a:lnTo>
                <a:lnTo>
                  <a:pt x="17" y="1"/>
                </a:lnTo>
                <a:lnTo>
                  <a:pt x="19" y="2"/>
                </a:lnTo>
                <a:lnTo>
                  <a:pt x="21" y="2"/>
                </a:lnTo>
                <a:lnTo>
                  <a:pt x="22" y="2"/>
                </a:lnTo>
                <a:lnTo>
                  <a:pt x="22" y="2"/>
                </a:lnTo>
                <a:lnTo>
                  <a:pt x="24" y="1"/>
                </a:lnTo>
                <a:lnTo>
                  <a:pt x="27" y="1"/>
                </a:lnTo>
                <a:lnTo>
                  <a:pt x="28" y="1"/>
                </a:lnTo>
                <a:lnTo>
                  <a:pt x="32" y="2"/>
                </a:lnTo>
                <a:lnTo>
                  <a:pt x="37" y="3"/>
                </a:lnTo>
                <a:lnTo>
                  <a:pt x="40" y="3"/>
                </a:lnTo>
                <a:lnTo>
                  <a:pt x="45" y="2"/>
                </a:lnTo>
                <a:lnTo>
                  <a:pt x="50" y="0"/>
                </a:lnTo>
                <a:lnTo>
                  <a:pt x="53" y="0"/>
                </a:lnTo>
                <a:lnTo>
                  <a:pt x="56" y="2"/>
                </a:lnTo>
              </a:path>
            </a:pathLst>
          </a:custGeom>
          <a:grpFill/>
          <a:ln w="9525">
            <a:solidFill>
              <a:schemeClr val="bg1">
                <a:lumMod val="65000"/>
              </a:schemeClr>
            </a:solidFill>
            <a:prstDash val="solid"/>
            <a:round/>
            <a:headEnd/>
            <a:tailEnd/>
          </a:ln>
        </xdr:spPr>
      </xdr:sp>
      <xdr:sp macro="" textlink="">
        <xdr:nvSpPr>
          <xdr:cNvPr id="188" name="GIN008001"/>
          <xdr:cNvSpPr>
            <a:spLocks noChangeAspect="1"/>
          </xdr:cNvSpPr>
        </xdr:nvSpPr>
        <xdr:spPr bwMode="auto">
          <a:xfrm>
            <a:off x="9216985" y="5000131"/>
            <a:ext cx="1232065" cy="1254453"/>
          </a:xfrm>
          <a:custGeom>
            <a:avLst/>
            <a:gdLst>
              <a:gd name="T0" fmla="*/ 80 w 130"/>
              <a:gd name="T1" fmla="*/ 5 h 133"/>
              <a:gd name="T2" fmla="*/ 81 w 130"/>
              <a:gd name="T3" fmla="*/ 9 h 133"/>
              <a:gd name="T4" fmla="*/ 84 w 130"/>
              <a:gd name="T5" fmla="*/ 12 h 133"/>
              <a:gd name="T6" fmla="*/ 90 w 130"/>
              <a:gd name="T7" fmla="*/ 19 h 133"/>
              <a:gd name="T8" fmla="*/ 103 w 130"/>
              <a:gd name="T9" fmla="*/ 17 h 133"/>
              <a:gd name="T10" fmla="*/ 108 w 130"/>
              <a:gd name="T11" fmla="*/ 15 h 133"/>
              <a:gd name="T12" fmla="*/ 109 w 130"/>
              <a:gd name="T13" fmla="*/ 18 h 133"/>
              <a:gd name="T14" fmla="*/ 105 w 130"/>
              <a:gd name="T15" fmla="*/ 24 h 133"/>
              <a:gd name="T16" fmla="*/ 104 w 130"/>
              <a:gd name="T17" fmla="*/ 32 h 133"/>
              <a:gd name="T18" fmla="*/ 103 w 130"/>
              <a:gd name="T19" fmla="*/ 41 h 133"/>
              <a:gd name="T20" fmla="*/ 110 w 130"/>
              <a:gd name="T21" fmla="*/ 43 h 133"/>
              <a:gd name="T22" fmla="*/ 115 w 130"/>
              <a:gd name="T23" fmla="*/ 47 h 133"/>
              <a:gd name="T24" fmla="*/ 119 w 130"/>
              <a:gd name="T25" fmla="*/ 51 h 133"/>
              <a:gd name="T26" fmla="*/ 109 w 130"/>
              <a:gd name="T27" fmla="*/ 52 h 133"/>
              <a:gd name="T28" fmla="*/ 103 w 130"/>
              <a:gd name="T29" fmla="*/ 61 h 133"/>
              <a:gd name="T30" fmla="*/ 100 w 130"/>
              <a:gd name="T31" fmla="*/ 79 h 133"/>
              <a:gd name="T32" fmla="*/ 110 w 130"/>
              <a:gd name="T33" fmla="*/ 80 h 133"/>
              <a:gd name="T34" fmla="*/ 118 w 130"/>
              <a:gd name="T35" fmla="*/ 82 h 133"/>
              <a:gd name="T36" fmla="*/ 122 w 130"/>
              <a:gd name="T37" fmla="*/ 92 h 133"/>
              <a:gd name="T38" fmla="*/ 126 w 130"/>
              <a:gd name="T39" fmla="*/ 103 h 133"/>
              <a:gd name="T40" fmla="*/ 127 w 130"/>
              <a:gd name="T41" fmla="*/ 110 h 133"/>
              <a:gd name="T42" fmla="*/ 129 w 130"/>
              <a:gd name="T43" fmla="*/ 117 h 133"/>
              <a:gd name="T44" fmla="*/ 124 w 130"/>
              <a:gd name="T45" fmla="*/ 120 h 133"/>
              <a:gd name="T46" fmla="*/ 115 w 130"/>
              <a:gd name="T47" fmla="*/ 110 h 133"/>
              <a:gd name="T48" fmla="*/ 111 w 130"/>
              <a:gd name="T49" fmla="*/ 109 h 133"/>
              <a:gd name="T50" fmla="*/ 105 w 130"/>
              <a:gd name="T51" fmla="*/ 115 h 133"/>
              <a:gd name="T52" fmla="*/ 102 w 130"/>
              <a:gd name="T53" fmla="*/ 112 h 133"/>
              <a:gd name="T54" fmla="*/ 102 w 130"/>
              <a:gd name="T55" fmla="*/ 109 h 133"/>
              <a:gd name="T56" fmla="*/ 98 w 130"/>
              <a:gd name="T57" fmla="*/ 108 h 133"/>
              <a:gd name="T58" fmla="*/ 94 w 130"/>
              <a:gd name="T59" fmla="*/ 108 h 133"/>
              <a:gd name="T60" fmla="*/ 89 w 130"/>
              <a:gd name="T61" fmla="*/ 107 h 133"/>
              <a:gd name="T62" fmla="*/ 83 w 130"/>
              <a:gd name="T63" fmla="*/ 109 h 133"/>
              <a:gd name="T64" fmla="*/ 80 w 130"/>
              <a:gd name="T65" fmla="*/ 108 h 133"/>
              <a:gd name="T66" fmla="*/ 77 w 130"/>
              <a:gd name="T67" fmla="*/ 107 h 133"/>
              <a:gd name="T68" fmla="*/ 73 w 130"/>
              <a:gd name="T69" fmla="*/ 110 h 133"/>
              <a:gd name="T70" fmla="*/ 71 w 130"/>
              <a:gd name="T71" fmla="*/ 111 h 133"/>
              <a:gd name="T72" fmla="*/ 70 w 130"/>
              <a:gd name="T73" fmla="*/ 112 h 133"/>
              <a:gd name="T74" fmla="*/ 62 w 130"/>
              <a:gd name="T75" fmla="*/ 108 h 133"/>
              <a:gd name="T76" fmla="*/ 51 w 130"/>
              <a:gd name="T77" fmla="*/ 110 h 133"/>
              <a:gd name="T78" fmla="*/ 44 w 130"/>
              <a:gd name="T79" fmla="*/ 120 h 133"/>
              <a:gd name="T80" fmla="*/ 48 w 130"/>
              <a:gd name="T81" fmla="*/ 130 h 133"/>
              <a:gd name="T82" fmla="*/ 40 w 130"/>
              <a:gd name="T83" fmla="*/ 130 h 133"/>
              <a:gd name="T84" fmla="*/ 37 w 130"/>
              <a:gd name="T85" fmla="*/ 125 h 133"/>
              <a:gd name="T86" fmla="*/ 28 w 130"/>
              <a:gd name="T87" fmla="*/ 119 h 133"/>
              <a:gd name="T88" fmla="*/ 21 w 130"/>
              <a:gd name="T89" fmla="*/ 122 h 133"/>
              <a:gd name="T90" fmla="*/ 18 w 130"/>
              <a:gd name="T91" fmla="*/ 126 h 133"/>
              <a:gd name="T92" fmla="*/ 14 w 130"/>
              <a:gd name="T93" fmla="*/ 133 h 133"/>
              <a:gd name="T94" fmla="*/ 7 w 130"/>
              <a:gd name="T95" fmla="*/ 131 h 133"/>
              <a:gd name="T96" fmla="*/ 3 w 130"/>
              <a:gd name="T97" fmla="*/ 130 h 133"/>
              <a:gd name="T98" fmla="*/ 8 w 130"/>
              <a:gd name="T99" fmla="*/ 117 h 133"/>
              <a:gd name="T100" fmla="*/ 7 w 130"/>
              <a:gd name="T101" fmla="*/ 108 h 133"/>
              <a:gd name="T102" fmla="*/ 6 w 130"/>
              <a:gd name="T103" fmla="*/ 99 h 133"/>
              <a:gd name="T104" fmla="*/ 5 w 130"/>
              <a:gd name="T105" fmla="*/ 92 h 133"/>
              <a:gd name="T106" fmla="*/ 5 w 130"/>
              <a:gd name="T107" fmla="*/ 88 h 133"/>
              <a:gd name="T108" fmla="*/ 1 w 130"/>
              <a:gd name="T109" fmla="*/ 80 h 133"/>
              <a:gd name="T110" fmla="*/ 10 w 130"/>
              <a:gd name="T111" fmla="*/ 74 h 133"/>
              <a:gd name="T112" fmla="*/ 24 w 130"/>
              <a:gd name="T113" fmla="*/ 64 h 133"/>
              <a:gd name="T114" fmla="*/ 24 w 130"/>
              <a:gd name="T115" fmla="*/ 48 h 133"/>
              <a:gd name="T116" fmla="*/ 32 w 130"/>
              <a:gd name="T117" fmla="*/ 30 h 133"/>
              <a:gd name="T118" fmla="*/ 32 w 130"/>
              <a:gd name="T119" fmla="*/ 15 h 133"/>
              <a:gd name="T120" fmla="*/ 37 w 130"/>
              <a:gd name="T121" fmla="*/ 13 h 133"/>
              <a:gd name="T122" fmla="*/ 44 w 130"/>
              <a:gd name="T123" fmla="*/ 9 h 133"/>
              <a:gd name="T124" fmla="*/ 56 w 130"/>
              <a:gd name="T125" fmla="*/ 2 h 1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30" h="133">
                <a:moveTo>
                  <a:pt x="80" y="1"/>
                </a:moveTo>
                <a:lnTo>
                  <a:pt x="80" y="2"/>
                </a:lnTo>
                <a:lnTo>
                  <a:pt x="80" y="2"/>
                </a:lnTo>
                <a:lnTo>
                  <a:pt x="80" y="2"/>
                </a:lnTo>
                <a:lnTo>
                  <a:pt x="79" y="3"/>
                </a:lnTo>
                <a:lnTo>
                  <a:pt x="80" y="3"/>
                </a:lnTo>
                <a:lnTo>
                  <a:pt x="79" y="3"/>
                </a:lnTo>
                <a:lnTo>
                  <a:pt x="80" y="5"/>
                </a:lnTo>
                <a:lnTo>
                  <a:pt x="80" y="5"/>
                </a:lnTo>
                <a:lnTo>
                  <a:pt x="80" y="6"/>
                </a:lnTo>
                <a:lnTo>
                  <a:pt x="80" y="6"/>
                </a:lnTo>
                <a:lnTo>
                  <a:pt x="82" y="6"/>
                </a:lnTo>
                <a:lnTo>
                  <a:pt x="81" y="7"/>
                </a:lnTo>
                <a:lnTo>
                  <a:pt x="81" y="7"/>
                </a:lnTo>
                <a:lnTo>
                  <a:pt x="81" y="8"/>
                </a:lnTo>
                <a:lnTo>
                  <a:pt x="81" y="9"/>
                </a:lnTo>
                <a:lnTo>
                  <a:pt x="82" y="9"/>
                </a:lnTo>
                <a:lnTo>
                  <a:pt x="82" y="10"/>
                </a:lnTo>
                <a:lnTo>
                  <a:pt x="82" y="10"/>
                </a:lnTo>
                <a:lnTo>
                  <a:pt x="83" y="11"/>
                </a:lnTo>
                <a:lnTo>
                  <a:pt x="83" y="11"/>
                </a:lnTo>
                <a:lnTo>
                  <a:pt x="83" y="12"/>
                </a:lnTo>
                <a:lnTo>
                  <a:pt x="83" y="12"/>
                </a:lnTo>
                <a:lnTo>
                  <a:pt x="84" y="12"/>
                </a:lnTo>
                <a:lnTo>
                  <a:pt x="84" y="13"/>
                </a:lnTo>
                <a:lnTo>
                  <a:pt x="85" y="13"/>
                </a:lnTo>
                <a:lnTo>
                  <a:pt x="85" y="14"/>
                </a:lnTo>
                <a:lnTo>
                  <a:pt x="86" y="16"/>
                </a:lnTo>
                <a:lnTo>
                  <a:pt x="86" y="16"/>
                </a:lnTo>
                <a:lnTo>
                  <a:pt x="87" y="17"/>
                </a:lnTo>
                <a:lnTo>
                  <a:pt x="89" y="19"/>
                </a:lnTo>
                <a:lnTo>
                  <a:pt x="90" y="19"/>
                </a:lnTo>
                <a:lnTo>
                  <a:pt x="93" y="19"/>
                </a:lnTo>
                <a:lnTo>
                  <a:pt x="95" y="19"/>
                </a:lnTo>
                <a:lnTo>
                  <a:pt x="96" y="19"/>
                </a:lnTo>
                <a:lnTo>
                  <a:pt x="96" y="19"/>
                </a:lnTo>
                <a:lnTo>
                  <a:pt x="98" y="19"/>
                </a:lnTo>
                <a:lnTo>
                  <a:pt x="100" y="18"/>
                </a:lnTo>
                <a:lnTo>
                  <a:pt x="101" y="18"/>
                </a:lnTo>
                <a:lnTo>
                  <a:pt x="103" y="17"/>
                </a:lnTo>
                <a:lnTo>
                  <a:pt x="105" y="17"/>
                </a:lnTo>
                <a:lnTo>
                  <a:pt x="105" y="17"/>
                </a:lnTo>
                <a:lnTo>
                  <a:pt x="106" y="16"/>
                </a:lnTo>
                <a:lnTo>
                  <a:pt x="106" y="15"/>
                </a:lnTo>
                <a:lnTo>
                  <a:pt x="106" y="15"/>
                </a:lnTo>
                <a:lnTo>
                  <a:pt x="107" y="15"/>
                </a:lnTo>
                <a:lnTo>
                  <a:pt x="108" y="15"/>
                </a:lnTo>
                <a:lnTo>
                  <a:pt x="108" y="15"/>
                </a:lnTo>
                <a:lnTo>
                  <a:pt x="109" y="15"/>
                </a:lnTo>
                <a:lnTo>
                  <a:pt x="109" y="16"/>
                </a:lnTo>
                <a:lnTo>
                  <a:pt x="109" y="16"/>
                </a:lnTo>
                <a:lnTo>
                  <a:pt x="109" y="16"/>
                </a:lnTo>
                <a:lnTo>
                  <a:pt x="109" y="17"/>
                </a:lnTo>
                <a:lnTo>
                  <a:pt x="109" y="17"/>
                </a:lnTo>
                <a:lnTo>
                  <a:pt x="108" y="17"/>
                </a:lnTo>
                <a:lnTo>
                  <a:pt x="109" y="18"/>
                </a:lnTo>
                <a:lnTo>
                  <a:pt x="108" y="18"/>
                </a:lnTo>
                <a:lnTo>
                  <a:pt x="108" y="19"/>
                </a:lnTo>
                <a:lnTo>
                  <a:pt x="108" y="19"/>
                </a:lnTo>
                <a:lnTo>
                  <a:pt x="108" y="21"/>
                </a:lnTo>
                <a:lnTo>
                  <a:pt x="107" y="22"/>
                </a:lnTo>
                <a:lnTo>
                  <a:pt x="106" y="23"/>
                </a:lnTo>
                <a:lnTo>
                  <a:pt x="106" y="24"/>
                </a:lnTo>
                <a:lnTo>
                  <a:pt x="105" y="24"/>
                </a:lnTo>
                <a:lnTo>
                  <a:pt x="105" y="24"/>
                </a:lnTo>
                <a:lnTo>
                  <a:pt x="106" y="25"/>
                </a:lnTo>
                <a:lnTo>
                  <a:pt x="106" y="27"/>
                </a:lnTo>
                <a:lnTo>
                  <a:pt x="106" y="28"/>
                </a:lnTo>
                <a:lnTo>
                  <a:pt x="105" y="29"/>
                </a:lnTo>
                <a:lnTo>
                  <a:pt x="105" y="30"/>
                </a:lnTo>
                <a:lnTo>
                  <a:pt x="105" y="31"/>
                </a:lnTo>
                <a:lnTo>
                  <a:pt x="104" y="32"/>
                </a:lnTo>
                <a:lnTo>
                  <a:pt x="104" y="33"/>
                </a:lnTo>
                <a:lnTo>
                  <a:pt x="103" y="35"/>
                </a:lnTo>
                <a:lnTo>
                  <a:pt x="102" y="37"/>
                </a:lnTo>
                <a:lnTo>
                  <a:pt x="102" y="37"/>
                </a:lnTo>
                <a:lnTo>
                  <a:pt x="102" y="38"/>
                </a:lnTo>
                <a:lnTo>
                  <a:pt x="102" y="40"/>
                </a:lnTo>
                <a:lnTo>
                  <a:pt x="103" y="40"/>
                </a:lnTo>
                <a:lnTo>
                  <a:pt x="103" y="41"/>
                </a:lnTo>
                <a:lnTo>
                  <a:pt x="104" y="41"/>
                </a:lnTo>
                <a:lnTo>
                  <a:pt x="106" y="42"/>
                </a:lnTo>
                <a:lnTo>
                  <a:pt x="107" y="41"/>
                </a:lnTo>
                <a:lnTo>
                  <a:pt x="109" y="41"/>
                </a:lnTo>
                <a:lnTo>
                  <a:pt x="110" y="41"/>
                </a:lnTo>
                <a:lnTo>
                  <a:pt x="111" y="41"/>
                </a:lnTo>
                <a:lnTo>
                  <a:pt x="111" y="41"/>
                </a:lnTo>
                <a:lnTo>
                  <a:pt x="110" y="43"/>
                </a:lnTo>
                <a:lnTo>
                  <a:pt x="111" y="43"/>
                </a:lnTo>
                <a:lnTo>
                  <a:pt x="111" y="43"/>
                </a:lnTo>
                <a:lnTo>
                  <a:pt x="113" y="44"/>
                </a:lnTo>
                <a:lnTo>
                  <a:pt x="113" y="44"/>
                </a:lnTo>
                <a:lnTo>
                  <a:pt x="113" y="45"/>
                </a:lnTo>
                <a:lnTo>
                  <a:pt x="113" y="46"/>
                </a:lnTo>
                <a:lnTo>
                  <a:pt x="114" y="46"/>
                </a:lnTo>
                <a:lnTo>
                  <a:pt x="115" y="47"/>
                </a:lnTo>
                <a:lnTo>
                  <a:pt x="116" y="48"/>
                </a:lnTo>
                <a:lnTo>
                  <a:pt x="117" y="48"/>
                </a:lnTo>
                <a:lnTo>
                  <a:pt x="118" y="48"/>
                </a:lnTo>
                <a:lnTo>
                  <a:pt x="119" y="49"/>
                </a:lnTo>
                <a:lnTo>
                  <a:pt x="120" y="50"/>
                </a:lnTo>
                <a:lnTo>
                  <a:pt x="121" y="50"/>
                </a:lnTo>
                <a:lnTo>
                  <a:pt x="120" y="50"/>
                </a:lnTo>
                <a:lnTo>
                  <a:pt x="119" y="51"/>
                </a:lnTo>
                <a:lnTo>
                  <a:pt x="118" y="51"/>
                </a:lnTo>
                <a:lnTo>
                  <a:pt x="116" y="51"/>
                </a:lnTo>
                <a:lnTo>
                  <a:pt x="115" y="51"/>
                </a:lnTo>
                <a:lnTo>
                  <a:pt x="114" y="50"/>
                </a:lnTo>
                <a:lnTo>
                  <a:pt x="114" y="50"/>
                </a:lnTo>
                <a:lnTo>
                  <a:pt x="113" y="50"/>
                </a:lnTo>
                <a:lnTo>
                  <a:pt x="110" y="51"/>
                </a:lnTo>
                <a:lnTo>
                  <a:pt x="109" y="52"/>
                </a:lnTo>
                <a:lnTo>
                  <a:pt x="109" y="52"/>
                </a:lnTo>
                <a:lnTo>
                  <a:pt x="108" y="54"/>
                </a:lnTo>
                <a:lnTo>
                  <a:pt x="105" y="55"/>
                </a:lnTo>
                <a:lnTo>
                  <a:pt x="104" y="56"/>
                </a:lnTo>
                <a:lnTo>
                  <a:pt x="103" y="57"/>
                </a:lnTo>
                <a:lnTo>
                  <a:pt x="102" y="57"/>
                </a:lnTo>
                <a:lnTo>
                  <a:pt x="102" y="59"/>
                </a:lnTo>
                <a:lnTo>
                  <a:pt x="103" y="61"/>
                </a:lnTo>
                <a:lnTo>
                  <a:pt x="103" y="61"/>
                </a:lnTo>
                <a:lnTo>
                  <a:pt x="101" y="64"/>
                </a:lnTo>
                <a:lnTo>
                  <a:pt x="100" y="68"/>
                </a:lnTo>
                <a:lnTo>
                  <a:pt x="99" y="71"/>
                </a:lnTo>
                <a:lnTo>
                  <a:pt x="99" y="73"/>
                </a:lnTo>
                <a:lnTo>
                  <a:pt x="98" y="76"/>
                </a:lnTo>
                <a:lnTo>
                  <a:pt x="98" y="77"/>
                </a:lnTo>
                <a:lnTo>
                  <a:pt x="100" y="79"/>
                </a:lnTo>
                <a:lnTo>
                  <a:pt x="100" y="80"/>
                </a:lnTo>
                <a:lnTo>
                  <a:pt x="102" y="81"/>
                </a:lnTo>
                <a:lnTo>
                  <a:pt x="103" y="81"/>
                </a:lnTo>
                <a:lnTo>
                  <a:pt x="104" y="81"/>
                </a:lnTo>
                <a:lnTo>
                  <a:pt x="105" y="81"/>
                </a:lnTo>
                <a:lnTo>
                  <a:pt x="107" y="80"/>
                </a:lnTo>
                <a:lnTo>
                  <a:pt x="108" y="80"/>
                </a:lnTo>
                <a:lnTo>
                  <a:pt x="110" y="80"/>
                </a:lnTo>
                <a:lnTo>
                  <a:pt x="112" y="81"/>
                </a:lnTo>
                <a:lnTo>
                  <a:pt x="113" y="81"/>
                </a:lnTo>
                <a:lnTo>
                  <a:pt x="115" y="80"/>
                </a:lnTo>
                <a:lnTo>
                  <a:pt x="116" y="80"/>
                </a:lnTo>
                <a:lnTo>
                  <a:pt x="117" y="81"/>
                </a:lnTo>
                <a:lnTo>
                  <a:pt x="117" y="81"/>
                </a:lnTo>
                <a:lnTo>
                  <a:pt x="117" y="81"/>
                </a:lnTo>
                <a:lnTo>
                  <a:pt x="118" y="82"/>
                </a:lnTo>
                <a:lnTo>
                  <a:pt x="118" y="83"/>
                </a:lnTo>
                <a:lnTo>
                  <a:pt x="118" y="84"/>
                </a:lnTo>
                <a:lnTo>
                  <a:pt x="119" y="85"/>
                </a:lnTo>
                <a:lnTo>
                  <a:pt x="119" y="86"/>
                </a:lnTo>
                <a:lnTo>
                  <a:pt x="120" y="89"/>
                </a:lnTo>
                <a:lnTo>
                  <a:pt x="121" y="89"/>
                </a:lnTo>
                <a:lnTo>
                  <a:pt x="121" y="91"/>
                </a:lnTo>
                <a:lnTo>
                  <a:pt x="122" y="92"/>
                </a:lnTo>
                <a:lnTo>
                  <a:pt x="122" y="92"/>
                </a:lnTo>
                <a:lnTo>
                  <a:pt x="123" y="95"/>
                </a:lnTo>
                <a:lnTo>
                  <a:pt x="123" y="95"/>
                </a:lnTo>
                <a:lnTo>
                  <a:pt x="124" y="97"/>
                </a:lnTo>
                <a:lnTo>
                  <a:pt x="124" y="98"/>
                </a:lnTo>
                <a:lnTo>
                  <a:pt x="124" y="99"/>
                </a:lnTo>
                <a:lnTo>
                  <a:pt x="125" y="103"/>
                </a:lnTo>
                <a:lnTo>
                  <a:pt x="126" y="103"/>
                </a:lnTo>
                <a:lnTo>
                  <a:pt x="126" y="103"/>
                </a:lnTo>
                <a:lnTo>
                  <a:pt x="126" y="104"/>
                </a:lnTo>
                <a:lnTo>
                  <a:pt x="127" y="105"/>
                </a:lnTo>
                <a:lnTo>
                  <a:pt x="128" y="107"/>
                </a:lnTo>
                <a:lnTo>
                  <a:pt x="128" y="108"/>
                </a:lnTo>
                <a:lnTo>
                  <a:pt x="128" y="108"/>
                </a:lnTo>
                <a:lnTo>
                  <a:pt x="127" y="109"/>
                </a:lnTo>
                <a:lnTo>
                  <a:pt x="127" y="110"/>
                </a:lnTo>
                <a:lnTo>
                  <a:pt x="126" y="111"/>
                </a:lnTo>
                <a:lnTo>
                  <a:pt x="126" y="111"/>
                </a:lnTo>
                <a:lnTo>
                  <a:pt x="126" y="112"/>
                </a:lnTo>
                <a:lnTo>
                  <a:pt x="126" y="113"/>
                </a:lnTo>
                <a:lnTo>
                  <a:pt x="127" y="114"/>
                </a:lnTo>
                <a:lnTo>
                  <a:pt x="127" y="116"/>
                </a:lnTo>
                <a:lnTo>
                  <a:pt x="128" y="117"/>
                </a:lnTo>
                <a:lnTo>
                  <a:pt x="129" y="117"/>
                </a:lnTo>
                <a:lnTo>
                  <a:pt x="129" y="118"/>
                </a:lnTo>
                <a:lnTo>
                  <a:pt x="130" y="119"/>
                </a:lnTo>
                <a:lnTo>
                  <a:pt x="129" y="119"/>
                </a:lnTo>
                <a:lnTo>
                  <a:pt x="128" y="119"/>
                </a:lnTo>
                <a:lnTo>
                  <a:pt x="126" y="119"/>
                </a:lnTo>
                <a:lnTo>
                  <a:pt x="126" y="120"/>
                </a:lnTo>
                <a:lnTo>
                  <a:pt x="125" y="120"/>
                </a:lnTo>
                <a:lnTo>
                  <a:pt x="124" y="120"/>
                </a:lnTo>
                <a:lnTo>
                  <a:pt x="122" y="119"/>
                </a:lnTo>
                <a:lnTo>
                  <a:pt x="120" y="120"/>
                </a:lnTo>
                <a:lnTo>
                  <a:pt x="119" y="119"/>
                </a:lnTo>
                <a:lnTo>
                  <a:pt x="119" y="118"/>
                </a:lnTo>
                <a:lnTo>
                  <a:pt x="118" y="116"/>
                </a:lnTo>
                <a:lnTo>
                  <a:pt x="116" y="113"/>
                </a:lnTo>
                <a:lnTo>
                  <a:pt x="115" y="111"/>
                </a:lnTo>
                <a:lnTo>
                  <a:pt x="115" y="110"/>
                </a:lnTo>
                <a:lnTo>
                  <a:pt x="114" y="110"/>
                </a:lnTo>
                <a:lnTo>
                  <a:pt x="114" y="109"/>
                </a:lnTo>
                <a:lnTo>
                  <a:pt x="113" y="109"/>
                </a:lnTo>
                <a:lnTo>
                  <a:pt x="113" y="109"/>
                </a:lnTo>
                <a:lnTo>
                  <a:pt x="112" y="109"/>
                </a:lnTo>
                <a:lnTo>
                  <a:pt x="111" y="108"/>
                </a:lnTo>
                <a:lnTo>
                  <a:pt x="111" y="108"/>
                </a:lnTo>
                <a:lnTo>
                  <a:pt x="111" y="109"/>
                </a:lnTo>
                <a:lnTo>
                  <a:pt x="111" y="110"/>
                </a:lnTo>
                <a:lnTo>
                  <a:pt x="111" y="113"/>
                </a:lnTo>
                <a:lnTo>
                  <a:pt x="111" y="114"/>
                </a:lnTo>
                <a:lnTo>
                  <a:pt x="109" y="115"/>
                </a:lnTo>
                <a:lnTo>
                  <a:pt x="109" y="115"/>
                </a:lnTo>
                <a:lnTo>
                  <a:pt x="107" y="115"/>
                </a:lnTo>
                <a:lnTo>
                  <a:pt x="106" y="115"/>
                </a:lnTo>
                <a:lnTo>
                  <a:pt x="105" y="115"/>
                </a:lnTo>
                <a:lnTo>
                  <a:pt x="106" y="114"/>
                </a:lnTo>
                <a:lnTo>
                  <a:pt x="106" y="114"/>
                </a:lnTo>
                <a:lnTo>
                  <a:pt x="105" y="114"/>
                </a:lnTo>
                <a:lnTo>
                  <a:pt x="105" y="114"/>
                </a:lnTo>
                <a:lnTo>
                  <a:pt x="103" y="113"/>
                </a:lnTo>
                <a:lnTo>
                  <a:pt x="103" y="112"/>
                </a:lnTo>
                <a:lnTo>
                  <a:pt x="103" y="112"/>
                </a:lnTo>
                <a:lnTo>
                  <a:pt x="102" y="112"/>
                </a:lnTo>
                <a:lnTo>
                  <a:pt x="102" y="112"/>
                </a:lnTo>
                <a:lnTo>
                  <a:pt x="102" y="111"/>
                </a:lnTo>
                <a:lnTo>
                  <a:pt x="103" y="111"/>
                </a:lnTo>
                <a:lnTo>
                  <a:pt x="103" y="111"/>
                </a:lnTo>
                <a:lnTo>
                  <a:pt x="103" y="111"/>
                </a:lnTo>
                <a:lnTo>
                  <a:pt x="103" y="111"/>
                </a:lnTo>
                <a:lnTo>
                  <a:pt x="102" y="109"/>
                </a:lnTo>
                <a:lnTo>
                  <a:pt x="102" y="109"/>
                </a:lnTo>
                <a:lnTo>
                  <a:pt x="103" y="109"/>
                </a:lnTo>
                <a:lnTo>
                  <a:pt x="103" y="108"/>
                </a:lnTo>
                <a:lnTo>
                  <a:pt x="102" y="108"/>
                </a:lnTo>
                <a:lnTo>
                  <a:pt x="101" y="107"/>
                </a:lnTo>
                <a:lnTo>
                  <a:pt x="100" y="107"/>
                </a:lnTo>
                <a:lnTo>
                  <a:pt x="99" y="108"/>
                </a:lnTo>
                <a:lnTo>
                  <a:pt x="99" y="108"/>
                </a:lnTo>
                <a:lnTo>
                  <a:pt x="98" y="108"/>
                </a:lnTo>
                <a:lnTo>
                  <a:pt x="98" y="107"/>
                </a:lnTo>
                <a:lnTo>
                  <a:pt x="97" y="107"/>
                </a:lnTo>
                <a:lnTo>
                  <a:pt x="97" y="108"/>
                </a:lnTo>
                <a:lnTo>
                  <a:pt x="96" y="108"/>
                </a:lnTo>
                <a:lnTo>
                  <a:pt x="96" y="109"/>
                </a:lnTo>
                <a:lnTo>
                  <a:pt x="95" y="108"/>
                </a:lnTo>
                <a:lnTo>
                  <a:pt x="95" y="108"/>
                </a:lnTo>
                <a:lnTo>
                  <a:pt x="94" y="108"/>
                </a:lnTo>
                <a:lnTo>
                  <a:pt x="94" y="108"/>
                </a:lnTo>
                <a:lnTo>
                  <a:pt x="92" y="108"/>
                </a:lnTo>
                <a:lnTo>
                  <a:pt x="92" y="108"/>
                </a:lnTo>
                <a:lnTo>
                  <a:pt x="91" y="108"/>
                </a:lnTo>
                <a:lnTo>
                  <a:pt x="90" y="108"/>
                </a:lnTo>
                <a:lnTo>
                  <a:pt x="89" y="107"/>
                </a:lnTo>
                <a:lnTo>
                  <a:pt x="89" y="107"/>
                </a:lnTo>
                <a:lnTo>
                  <a:pt x="89" y="107"/>
                </a:lnTo>
                <a:lnTo>
                  <a:pt x="88" y="106"/>
                </a:lnTo>
                <a:lnTo>
                  <a:pt x="88" y="107"/>
                </a:lnTo>
                <a:lnTo>
                  <a:pt x="87" y="107"/>
                </a:lnTo>
                <a:lnTo>
                  <a:pt x="86" y="107"/>
                </a:lnTo>
                <a:lnTo>
                  <a:pt x="85" y="107"/>
                </a:lnTo>
                <a:lnTo>
                  <a:pt x="85" y="107"/>
                </a:lnTo>
                <a:lnTo>
                  <a:pt x="84" y="108"/>
                </a:lnTo>
                <a:lnTo>
                  <a:pt x="83" y="109"/>
                </a:lnTo>
                <a:lnTo>
                  <a:pt x="82" y="108"/>
                </a:lnTo>
                <a:lnTo>
                  <a:pt x="82" y="108"/>
                </a:lnTo>
                <a:lnTo>
                  <a:pt x="82" y="108"/>
                </a:lnTo>
                <a:lnTo>
                  <a:pt x="81" y="108"/>
                </a:lnTo>
                <a:lnTo>
                  <a:pt x="81" y="108"/>
                </a:lnTo>
                <a:lnTo>
                  <a:pt x="80" y="108"/>
                </a:lnTo>
                <a:lnTo>
                  <a:pt x="80" y="108"/>
                </a:lnTo>
                <a:lnTo>
                  <a:pt x="80" y="108"/>
                </a:lnTo>
                <a:lnTo>
                  <a:pt x="79" y="109"/>
                </a:lnTo>
                <a:lnTo>
                  <a:pt x="79" y="108"/>
                </a:lnTo>
                <a:lnTo>
                  <a:pt x="79" y="108"/>
                </a:lnTo>
                <a:lnTo>
                  <a:pt x="79" y="108"/>
                </a:lnTo>
                <a:lnTo>
                  <a:pt x="79" y="108"/>
                </a:lnTo>
                <a:lnTo>
                  <a:pt x="79" y="108"/>
                </a:lnTo>
                <a:lnTo>
                  <a:pt x="78" y="108"/>
                </a:lnTo>
                <a:lnTo>
                  <a:pt x="77" y="107"/>
                </a:lnTo>
                <a:lnTo>
                  <a:pt x="77" y="107"/>
                </a:lnTo>
                <a:lnTo>
                  <a:pt x="76" y="107"/>
                </a:lnTo>
                <a:lnTo>
                  <a:pt x="76" y="107"/>
                </a:lnTo>
                <a:lnTo>
                  <a:pt x="75" y="107"/>
                </a:lnTo>
                <a:lnTo>
                  <a:pt x="75" y="107"/>
                </a:lnTo>
                <a:lnTo>
                  <a:pt x="75" y="108"/>
                </a:lnTo>
                <a:lnTo>
                  <a:pt x="74" y="109"/>
                </a:lnTo>
                <a:lnTo>
                  <a:pt x="73" y="110"/>
                </a:lnTo>
                <a:lnTo>
                  <a:pt x="73" y="110"/>
                </a:lnTo>
                <a:lnTo>
                  <a:pt x="73" y="110"/>
                </a:lnTo>
                <a:lnTo>
                  <a:pt x="73" y="111"/>
                </a:lnTo>
                <a:lnTo>
                  <a:pt x="73" y="111"/>
                </a:lnTo>
                <a:lnTo>
                  <a:pt x="72" y="111"/>
                </a:lnTo>
                <a:lnTo>
                  <a:pt x="72" y="111"/>
                </a:lnTo>
                <a:lnTo>
                  <a:pt x="72" y="111"/>
                </a:lnTo>
                <a:lnTo>
                  <a:pt x="71" y="111"/>
                </a:lnTo>
                <a:lnTo>
                  <a:pt x="71" y="111"/>
                </a:lnTo>
                <a:lnTo>
                  <a:pt x="71" y="111"/>
                </a:lnTo>
                <a:lnTo>
                  <a:pt x="71" y="112"/>
                </a:lnTo>
                <a:lnTo>
                  <a:pt x="71" y="112"/>
                </a:lnTo>
                <a:lnTo>
                  <a:pt x="71" y="113"/>
                </a:lnTo>
                <a:lnTo>
                  <a:pt x="70" y="113"/>
                </a:lnTo>
                <a:lnTo>
                  <a:pt x="70" y="113"/>
                </a:lnTo>
                <a:lnTo>
                  <a:pt x="70" y="112"/>
                </a:lnTo>
                <a:lnTo>
                  <a:pt x="69" y="112"/>
                </a:lnTo>
                <a:lnTo>
                  <a:pt x="68" y="113"/>
                </a:lnTo>
                <a:lnTo>
                  <a:pt x="67" y="112"/>
                </a:lnTo>
                <a:lnTo>
                  <a:pt x="66" y="111"/>
                </a:lnTo>
                <a:lnTo>
                  <a:pt x="64" y="111"/>
                </a:lnTo>
                <a:lnTo>
                  <a:pt x="63" y="110"/>
                </a:lnTo>
                <a:lnTo>
                  <a:pt x="63" y="109"/>
                </a:lnTo>
                <a:lnTo>
                  <a:pt x="62" y="108"/>
                </a:lnTo>
                <a:lnTo>
                  <a:pt x="61" y="108"/>
                </a:lnTo>
                <a:lnTo>
                  <a:pt x="59" y="108"/>
                </a:lnTo>
                <a:lnTo>
                  <a:pt x="58" y="108"/>
                </a:lnTo>
                <a:lnTo>
                  <a:pt x="57" y="107"/>
                </a:lnTo>
                <a:lnTo>
                  <a:pt x="56" y="108"/>
                </a:lnTo>
                <a:lnTo>
                  <a:pt x="55" y="109"/>
                </a:lnTo>
                <a:lnTo>
                  <a:pt x="52" y="110"/>
                </a:lnTo>
                <a:lnTo>
                  <a:pt x="51" y="110"/>
                </a:lnTo>
                <a:lnTo>
                  <a:pt x="49" y="111"/>
                </a:lnTo>
                <a:lnTo>
                  <a:pt x="48" y="112"/>
                </a:lnTo>
                <a:lnTo>
                  <a:pt x="47" y="114"/>
                </a:lnTo>
                <a:lnTo>
                  <a:pt x="46" y="117"/>
                </a:lnTo>
                <a:lnTo>
                  <a:pt x="46" y="117"/>
                </a:lnTo>
                <a:lnTo>
                  <a:pt x="45" y="118"/>
                </a:lnTo>
                <a:lnTo>
                  <a:pt x="45" y="119"/>
                </a:lnTo>
                <a:lnTo>
                  <a:pt x="44" y="120"/>
                </a:lnTo>
                <a:lnTo>
                  <a:pt x="44" y="121"/>
                </a:lnTo>
                <a:lnTo>
                  <a:pt x="45" y="122"/>
                </a:lnTo>
                <a:lnTo>
                  <a:pt x="46" y="124"/>
                </a:lnTo>
                <a:lnTo>
                  <a:pt x="47" y="126"/>
                </a:lnTo>
                <a:lnTo>
                  <a:pt x="47" y="127"/>
                </a:lnTo>
                <a:lnTo>
                  <a:pt x="49" y="130"/>
                </a:lnTo>
                <a:lnTo>
                  <a:pt x="49" y="130"/>
                </a:lnTo>
                <a:lnTo>
                  <a:pt x="48" y="130"/>
                </a:lnTo>
                <a:lnTo>
                  <a:pt x="47" y="130"/>
                </a:lnTo>
                <a:lnTo>
                  <a:pt x="46" y="131"/>
                </a:lnTo>
                <a:lnTo>
                  <a:pt x="44" y="132"/>
                </a:lnTo>
                <a:lnTo>
                  <a:pt x="43" y="131"/>
                </a:lnTo>
                <a:lnTo>
                  <a:pt x="42" y="130"/>
                </a:lnTo>
                <a:lnTo>
                  <a:pt x="42" y="130"/>
                </a:lnTo>
                <a:lnTo>
                  <a:pt x="41" y="131"/>
                </a:lnTo>
                <a:lnTo>
                  <a:pt x="40" y="130"/>
                </a:lnTo>
                <a:lnTo>
                  <a:pt x="40" y="131"/>
                </a:lnTo>
                <a:lnTo>
                  <a:pt x="39" y="131"/>
                </a:lnTo>
                <a:lnTo>
                  <a:pt x="39" y="131"/>
                </a:lnTo>
                <a:lnTo>
                  <a:pt x="38" y="130"/>
                </a:lnTo>
                <a:lnTo>
                  <a:pt x="38" y="129"/>
                </a:lnTo>
                <a:lnTo>
                  <a:pt x="38" y="127"/>
                </a:lnTo>
                <a:lnTo>
                  <a:pt x="37" y="126"/>
                </a:lnTo>
                <a:lnTo>
                  <a:pt x="37" y="125"/>
                </a:lnTo>
                <a:lnTo>
                  <a:pt x="36" y="123"/>
                </a:lnTo>
                <a:lnTo>
                  <a:pt x="35" y="123"/>
                </a:lnTo>
                <a:lnTo>
                  <a:pt x="34" y="122"/>
                </a:lnTo>
                <a:lnTo>
                  <a:pt x="34" y="121"/>
                </a:lnTo>
                <a:lnTo>
                  <a:pt x="32" y="120"/>
                </a:lnTo>
                <a:lnTo>
                  <a:pt x="31" y="120"/>
                </a:lnTo>
                <a:lnTo>
                  <a:pt x="30" y="120"/>
                </a:lnTo>
                <a:lnTo>
                  <a:pt x="28" y="119"/>
                </a:lnTo>
                <a:lnTo>
                  <a:pt x="27" y="119"/>
                </a:lnTo>
                <a:lnTo>
                  <a:pt x="25" y="119"/>
                </a:lnTo>
                <a:lnTo>
                  <a:pt x="25" y="120"/>
                </a:lnTo>
                <a:lnTo>
                  <a:pt x="24" y="120"/>
                </a:lnTo>
                <a:lnTo>
                  <a:pt x="23" y="122"/>
                </a:lnTo>
                <a:lnTo>
                  <a:pt x="23" y="123"/>
                </a:lnTo>
                <a:lnTo>
                  <a:pt x="22" y="122"/>
                </a:lnTo>
                <a:lnTo>
                  <a:pt x="21" y="122"/>
                </a:lnTo>
                <a:lnTo>
                  <a:pt x="20" y="123"/>
                </a:lnTo>
                <a:lnTo>
                  <a:pt x="20" y="123"/>
                </a:lnTo>
                <a:lnTo>
                  <a:pt x="19" y="123"/>
                </a:lnTo>
                <a:lnTo>
                  <a:pt x="18" y="124"/>
                </a:lnTo>
                <a:lnTo>
                  <a:pt x="18" y="124"/>
                </a:lnTo>
                <a:lnTo>
                  <a:pt x="17" y="124"/>
                </a:lnTo>
                <a:lnTo>
                  <a:pt x="17" y="125"/>
                </a:lnTo>
                <a:lnTo>
                  <a:pt x="18" y="126"/>
                </a:lnTo>
                <a:lnTo>
                  <a:pt x="17" y="127"/>
                </a:lnTo>
                <a:lnTo>
                  <a:pt x="16" y="127"/>
                </a:lnTo>
                <a:lnTo>
                  <a:pt x="15" y="127"/>
                </a:lnTo>
                <a:lnTo>
                  <a:pt x="15" y="128"/>
                </a:lnTo>
                <a:lnTo>
                  <a:pt x="16" y="130"/>
                </a:lnTo>
                <a:lnTo>
                  <a:pt x="15" y="131"/>
                </a:lnTo>
                <a:lnTo>
                  <a:pt x="15" y="132"/>
                </a:lnTo>
                <a:lnTo>
                  <a:pt x="14" y="133"/>
                </a:lnTo>
                <a:lnTo>
                  <a:pt x="12" y="133"/>
                </a:lnTo>
                <a:lnTo>
                  <a:pt x="12" y="133"/>
                </a:lnTo>
                <a:lnTo>
                  <a:pt x="11" y="132"/>
                </a:lnTo>
                <a:lnTo>
                  <a:pt x="10" y="132"/>
                </a:lnTo>
                <a:lnTo>
                  <a:pt x="10" y="132"/>
                </a:lnTo>
                <a:lnTo>
                  <a:pt x="9" y="132"/>
                </a:lnTo>
                <a:lnTo>
                  <a:pt x="9" y="131"/>
                </a:lnTo>
                <a:lnTo>
                  <a:pt x="7" y="131"/>
                </a:lnTo>
                <a:lnTo>
                  <a:pt x="6" y="132"/>
                </a:lnTo>
                <a:lnTo>
                  <a:pt x="5" y="131"/>
                </a:lnTo>
                <a:lnTo>
                  <a:pt x="5" y="131"/>
                </a:lnTo>
                <a:lnTo>
                  <a:pt x="4" y="131"/>
                </a:lnTo>
                <a:lnTo>
                  <a:pt x="3" y="131"/>
                </a:lnTo>
                <a:lnTo>
                  <a:pt x="3" y="131"/>
                </a:lnTo>
                <a:lnTo>
                  <a:pt x="3" y="131"/>
                </a:lnTo>
                <a:lnTo>
                  <a:pt x="3" y="130"/>
                </a:lnTo>
                <a:lnTo>
                  <a:pt x="4" y="127"/>
                </a:lnTo>
                <a:lnTo>
                  <a:pt x="4" y="126"/>
                </a:lnTo>
                <a:lnTo>
                  <a:pt x="5" y="124"/>
                </a:lnTo>
                <a:lnTo>
                  <a:pt x="6" y="123"/>
                </a:lnTo>
                <a:lnTo>
                  <a:pt x="7" y="122"/>
                </a:lnTo>
                <a:lnTo>
                  <a:pt x="7" y="120"/>
                </a:lnTo>
                <a:lnTo>
                  <a:pt x="7" y="118"/>
                </a:lnTo>
                <a:lnTo>
                  <a:pt x="8" y="117"/>
                </a:lnTo>
                <a:lnTo>
                  <a:pt x="8" y="117"/>
                </a:lnTo>
                <a:lnTo>
                  <a:pt x="9" y="116"/>
                </a:lnTo>
                <a:lnTo>
                  <a:pt x="9" y="115"/>
                </a:lnTo>
                <a:lnTo>
                  <a:pt x="8" y="114"/>
                </a:lnTo>
                <a:lnTo>
                  <a:pt x="8" y="114"/>
                </a:lnTo>
                <a:lnTo>
                  <a:pt x="7" y="112"/>
                </a:lnTo>
                <a:lnTo>
                  <a:pt x="7" y="110"/>
                </a:lnTo>
                <a:lnTo>
                  <a:pt x="7" y="108"/>
                </a:lnTo>
                <a:lnTo>
                  <a:pt x="7" y="107"/>
                </a:lnTo>
                <a:lnTo>
                  <a:pt x="6" y="106"/>
                </a:lnTo>
                <a:lnTo>
                  <a:pt x="6" y="104"/>
                </a:lnTo>
                <a:lnTo>
                  <a:pt x="6" y="103"/>
                </a:lnTo>
                <a:lnTo>
                  <a:pt x="6" y="102"/>
                </a:lnTo>
                <a:lnTo>
                  <a:pt x="6" y="101"/>
                </a:lnTo>
                <a:lnTo>
                  <a:pt x="6" y="100"/>
                </a:lnTo>
                <a:lnTo>
                  <a:pt x="6" y="99"/>
                </a:lnTo>
                <a:lnTo>
                  <a:pt x="7" y="98"/>
                </a:lnTo>
                <a:lnTo>
                  <a:pt x="7" y="97"/>
                </a:lnTo>
                <a:lnTo>
                  <a:pt x="7" y="95"/>
                </a:lnTo>
                <a:lnTo>
                  <a:pt x="7" y="94"/>
                </a:lnTo>
                <a:lnTo>
                  <a:pt x="5" y="94"/>
                </a:lnTo>
                <a:lnTo>
                  <a:pt x="5" y="94"/>
                </a:lnTo>
                <a:lnTo>
                  <a:pt x="4" y="93"/>
                </a:lnTo>
                <a:lnTo>
                  <a:pt x="5" y="92"/>
                </a:lnTo>
                <a:lnTo>
                  <a:pt x="4" y="92"/>
                </a:lnTo>
                <a:lnTo>
                  <a:pt x="4" y="92"/>
                </a:lnTo>
                <a:lnTo>
                  <a:pt x="4" y="91"/>
                </a:lnTo>
                <a:lnTo>
                  <a:pt x="4" y="90"/>
                </a:lnTo>
                <a:lnTo>
                  <a:pt x="4" y="89"/>
                </a:lnTo>
                <a:lnTo>
                  <a:pt x="4" y="89"/>
                </a:lnTo>
                <a:lnTo>
                  <a:pt x="4" y="88"/>
                </a:lnTo>
                <a:lnTo>
                  <a:pt x="5" y="88"/>
                </a:lnTo>
                <a:lnTo>
                  <a:pt x="3" y="88"/>
                </a:lnTo>
                <a:lnTo>
                  <a:pt x="3" y="86"/>
                </a:lnTo>
                <a:lnTo>
                  <a:pt x="2" y="86"/>
                </a:lnTo>
                <a:lnTo>
                  <a:pt x="2" y="85"/>
                </a:lnTo>
                <a:lnTo>
                  <a:pt x="2" y="84"/>
                </a:lnTo>
                <a:lnTo>
                  <a:pt x="1" y="84"/>
                </a:lnTo>
                <a:lnTo>
                  <a:pt x="1" y="82"/>
                </a:lnTo>
                <a:lnTo>
                  <a:pt x="1" y="80"/>
                </a:lnTo>
                <a:lnTo>
                  <a:pt x="0" y="80"/>
                </a:lnTo>
                <a:lnTo>
                  <a:pt x="1" y="80"/>
                </a:lnTo>
                <a:lnTo>
                  <a:pt x="2" y="80"/>
                </a:lnTo>
                <a:lnTo>
                  <a:pt x="2" y="80"/>
                </a:lnTo>
                <a:lnTo>
                  <a:pt x="3" y="79"/>
                </a:lnTo>
                <a:lnTo>
                  <a:pt x="8" y="76"/>
                </a:lnTo>
                <a:lnTo>
                  <a:pt x="9" y="75"/>
                </a:lnTo>
                <a:lnTo>
                  <a:pt x="10" y="74"/>
                </a:lnTo>
                <a:lnTo>
                  <a:pt x="12" y="73"/>
                </a:lnTo>
                <a:lnTo>
                  <a:pt x="12" y="73"/>
                </a:lnTo>
                <a:lnTo>
                  <a:pt x="13" y="72"/>
                </a:lnTo>
                <a:lnTo>
                  <a:pt x="14" y="69"/>
                </a:lnTo>
                <a:lnTo>
                  <a:pt x="16" y="67"/>
                </a:lnTo>
                <a:lnTo>
                  <a:pt x="16" y="66"/>
                </a:lnTo>
                <a:lnTo>
                  <a:pt x="19" y="65"/>
                </a:lnTo>
                <a:lnTo>
                  <a:pt x="24" y="64"/>
                </a:lnTo>
                <a:lnTo>
                  <a:pt x="25" y="62"/>
                </a:lnTo>
                <a:lnTo>
                  <a:pt x="26" y="62"/>
                </a:lnTo>
                <a:lnTo>
                  <a:pt x="25" y="59"/>
                </a:lnTo>
                <a:lnTo>
                  <a:pt x="23" y="57"/>
                </a:lnTo>
                <a:lnTo>
                  <a:pt x="23" y="54"/>
                </a:lnTo>
                <a:lnTo>
                  <a:pt x="23" y="51"/>
                </a:lnTo>
                <a:lnTo>
                  <a:pt x="24" y="49"/>
                </a:lnTo>
                <a:lnTo>
                  <a:pt x="24" y="48"/>
                </a:lnTo>
                <a:lnTo>
                  <a:pt x="24" y="47"/>
                </a:lnTo>
                <a:lnTo>
                  <a:pt x="25" y="44"/>
                </a:lnTo>
                <a:lnTo>
                  <a:pt x="26" y="42"/>
                </a:lnTo>
                <a:lnTo>
                  <a:pt x="27" y="42"/>
                </a:lnTo>
                <a:lnTo>
                  <a:pt x="29" y="40"/>
                </a:lnTo>
                <a:lnTo>
                  <a:pt x="29" y="36"/>
                </a:lnTo>
                <a:lnTo>
                  <a:pt x="31" y="34"/>
                </a:lnTo>
                <a:lnTo>
                  <a:pt x="32" y="30"/>
                </a:lnTo>
                <a:lnTo>
                  <a:pt x="33" y="28"/>
                </a:lnTo>
                <a:lnTo>
                  <a:pt x="33" y="27"/>
                </a:lnTo>
                <a:lnTo>
                  <a:pt x="34" y="25"/>
                </a:lnTo>
                <a:lnTo>
                  <a:pt x="34" y="23"/>
                </a:lnTo>
                <a:lnTo>
                  <a:pt x="33" y="21"/>
                </a:lnTo>
                <a:lnTo>
                  <a:pt x="33" y="19"/>
                </a:lnTo>
                <a:lnTo>
                  <a:pt x="32" y="17"/>
                </a:lnTo>
                <a:lnTo>
                  <a:pt x="32" y="15"/>
                </a:lnTo>
                <a:lnTo>
                  <a:pt x="32" y="13"/>
                </a:lnTo>
                <a:lnTo>
                  <a:pt x="32" y="12"/>
                </a:lnTo>
                <a:lnTo>
                  <a:pt x="33" y="11"/>
                </a:lnTo>
                <a:lnTo>
                  <a:pt x="34" y="9"/>
                </a:lnTo>
                <a:lnTo>
                  <a:pt x="34" y="9"/>
                </a:lnTo>
                <a:lnTo>
                  <a:pt x="34" y="10"/>
                </a:lnTo>
                <a:lnTo>
                  <a:pt x="35" y="13"/>
                </a:lnTo>
                <a:lnTo>
                  <a:pt x="37" y="13"/>
                </a:lnTo>
                <a:lnTo>
                  <a:pt x="37" y="15"/>
                </a:lnTo>
                <a:lnTo>
                  <a:pt x="38" y="15"/>
                </a:lnTo>
                <a:lnTo>
                  <a:pt x="40" y="14"/>
                </a:lnTo>
                <a:lnTo>
                  <a:pt x="40" y="11"/>
                </a:lnTo>
                <a:lnTo>
                  <a:pt x="41" y="10"/>
                </a:lnTo>
                <a:lnTo>
                  <a:pt x="42" y="12"/>
                </a:lnTo>
                <a:lnTo>
                  <a:pt x="43" y="10"/>
                </a:lnTo>
                <a:lnTo>
                  <a:pt x="44" y="9"/>
                </a:lnTo>
                <a:lnTo>
                  <a:pt x="46" y="10"/>
                </a:lnTo>
                <a:lnTo>
                  <a:pt x="47" y="8"/>
                </a:lnTo>
                <a:lnTo>
                  <a:pt x="46" y="6"/>
                </a:lnTo>
                <a:lnTo>
                  <a:pt x="47" y="5"/>
                </a:lnTo>
                <a:lnTo>
                  <a:pt x="49" y="5"/>
                </a:lnTo>
                <a:lnTo>
                  <a:pt x="51" y="6"/>
                </a:lnTo>
                <a:lnTo>
                  <a:pt x="53" y="5"/>
                </a:lnTo>
                <a:lnTo>
                  <a:pt x="56" y="2"/>
                </a:lnTo>
                <a:lnTo>
                  <a:pt x="60" y="1"/>
                </a:lnTo>
                <a:lnTo>
                  <a:pt x="71" y="0"/>
                </a:lnTo>
                <a:lnTo>
                  <a:pt x="80" y="1"/>
                </a:lnTo>
              </a:path>
            </a:pathLst>
          </a:custGeom>
          <a:grpFill/>
          <a:ln w="9525">
            <a:solidFill>
              <a:schemeClr val="bg1">
                <a:lumMod val="65000"/>
              </a:schemeClr>
            </a:solidFill>
            <a:prstDash val="solid"/>
            <a:round/>
            <a:headEnd/>
            <a:tailEnd/>
          </a:ln>
        </xdr:spPr>
      </xdr:sp>
      <xdr:sp macro="" textlink="">
        <xdr:nvSpPr>
          <xdr:cNvPr id="189" name="GIN003004"/>
          <xdr:cNvSpPr>
            <a:spLocks noChangeAspect="1"/>
          </xdr:cNvSpPr>
        </xdr:nvSpPr>
        <xdr:spPr bwMode="auto">
          <a:xfrm>
            <a:off x="7825841" y="4898757"/>
            <a:ext cx="812964" cy="845312"/>
          </a:xfrm>
          <a:custGeom>
            <a:avLst/>
            <a:gdLst>
              <a:gd name="T0" fmla="*/ 36 w 86"/>
              <a:gd name="T1" fmla="*/ 5 h 88"/>
              <a:gd name="T2" fmla="*/ 44 w 86"/>
              <a:gd name="T3" fmla="*/ 6 h 88"/>
              <a:gd name="T4" fmla="*/ 56 w 86"/>
              <a:gd name="T5" fmla="*/ 7 h 88"/>
              <a:gd name="T6" fmla="*/ 59 w 86"/>
              <a:gd name="T7" fmla="*/ 12 h 88"/>
              <a:gd name="T8" fmla="*/ 63 w 86"/>
              <a:gd name="T9" fmla="*/ 17 h 88"/>
              <a:gd name="T10" fmla="*/ 75 w 86"/>
              <a:gd name="T11" fmla="*/ 21 h 88"/>
              <a:gd name="T12" fmla="*/ 83 w 86"/>
              <a:gd name="T13" fmla="*/ 30 h 88"/>
              <a:gd name="T14" fmla="*/ 84 w 86"/>
              <a:gd name="T15" fmla="*/ 36 h 88"/>
              <a:gd name="T16" fmla="*/ 80 w 86"/>
              <a:gd name="T17" fmla="*/ 41 h 88"/>
              <a:gd name="T18" fmla="*/ 73 w 86"/>
              <a:gd name="T19" fmla="*/ 47 h 88"/>
              <a:gd name="T20" fmla="*/ 73 w 86"/>
              <a:gd name="T21" fmla="*/ 52 h 88"/>
              <a:gd name="T22" fmla="*/ 77 w 86"/>
              <a:gd name="T23" fmla="*/ 56 h 88"/>
              <a:gd name="T24" fmla="*/ 78 w 86"/>
              <a:gd name="T25" fmla="*/ 60 h 88"/>
              <a:gd name="T26" fmla="*/ 75 w 86"/>
              <a:gd name="T27" fmla="*/ 65 h 88"/>
              <a:gd name="T28" fmla="*/ 83 w 86"/>
              <a:gd name="T29" fmla="*/ 70 h 88"/>
              <a:gd name="T30" fmla="*/ 83 w 86"/>
              <a:gd name="T31" fmla="*/ 80 h 88"/>
              <a:gd name="T32" fmla="*/ 74 w 86"/>
              <a:gd name="T33" fmla="*/ 81 h 88"/>
              <a:gd name="T34" fmla="*/ 66 w 86"/>
              <a:gd name="T35" fmla="*/ 82 h 88"/>
              <a:gd name="T36" fmla="*/ 60 w 86"/>
              <a:gd name="T37" fmla="*/ 85 h 88"/>
              <a:gd name="T38" fmla="*/ 57 w 86"/>
              <a:gd name="T39" fmla="*/ 84 h 88"/>
              <a:gd name="T40" fmla="*/ 52 w 86"/>
              <a:gd name="T41" fmla="*/ 87 h 88"/>
              <a:gd name="T42" fmla="*/ 48 w 86"/>
              <a:gd name="T43" fmla="*/ 87 h 88"/>
              <a:gd name="T44" fmla="*/ 47 w 86"/>
              <a:gd name="T45" fmla="*/ 82 h 88"/>
              <a:gd name="T46" fmla="*/ 47 w 86"/>
              <a:gd name="T47" fmla="*/ 75 h 88"/>
              <a:gd name="T48" fmla="*/ 44 w 86"/>
              <a:gd name="T49" fmla="*/ 77 h 88"/>
              <a:gd name="T50" fmla="*/ 40 w 86"/>
              <a:gd name="T51" fmla="*/ 81 h 88"/>
              <a:gd name="T52" fmla="*/ 35 w 86"/>
              <a:gd name="T53" fmla="*/ 81 h 88"/>
              <a:gd name="T54" fmla="*/ 35 w 86"/>
              <a:gd name="T55" fmla="*/ 76 h 88"/>
              <a:gd name="T56" fmla="*/ 31 w 86"/>
              <a:gd name="T57" fmla="*/ 77 h 88"/>
              <a:gd name="T58" fmla="*/ 28 w 86"/>
              <a:gd name="T59" fmla="*/ 80 h 88"/>
              <a:gd name="T60" fmla="*/ 26 w 86"/>
              <a:gd name="T61" fmla="*/ 77 h 88"/>
              <a:gd name="T62" fmla="*/ 23 w 86"/>
              <a:gd name="T63" fmla="*/ 74 h 88"/>
              <a:gd name="T64" fmla="*/ 19 w 86"/>
              <a:gd name="T65" fmla="*/ 73 h 88"/>
              <a:gd name="T66" fmla="*/ 19 w 86"/>
              <a:gd name="T67" fmla="*/ 69 h 88"/>
              <a:gd name="T68" fmla="*/ 18 w 86"/>
              <a:gd name="T69" fmla="*/ 65 h 88"/>
              <a:gd name="T70" fmla="*/ 13 w 86"/>
              <a:gd name="T71" fmla="*/ 64 h 88"/>
              <a:gd name="T72" fmla="*/ 12 w 86"/>
              <a:gd name="T73" fmla="*/ 68 h 88"/>
              <a:gd name="T74" fmla="*/ 7 w 86"/>
              <a:gd name="T75" fmla="*/ 70 h 88"/>
              <a:gd name="T76" fmla="*/ 3 w 86"/>
              <a:gd name="T77" fmla="*/ 71 h 88"/>
              <a:gd name="T78" fmla="*/ 0 w 86"/>
              <a:gd name="T79" fmla="*/ 68 h 88"/>
              <a:gd name="T80" fmla="*/ 3 w 86"/>
              <a:gd name="T81" fmla="*/ 63 h 88"/>
              <a:gd name="T82" fmla="*/ 1 w 86"/>
              <a:gd name="T83" fmla="*/ 58 h 88"/>
              <a:gd name="T84" fmla="*/ 2 w 86"/>
              <a:gd name="T85" fmla="*/ 53 h 88"/>
              <a:gd name="T86" fmla="*/ 4 w 86"/>
              <a:gd name="T87" fmla="*/ 49 h 88"/>
              <a:gd name="T88" fmla="*/ 7 w 86"/>
              <a:gd name="T89" fmla="*/ 42 h 88"/>
              <a:gd name="T90" fmla="*/ 9 w 86"/>
              <a:gd name="T91" fmla="*/ 36 h 88"/>
              <a:gd name="T92" fmla="*/ 9 w 86"/>
              <a:gd name="T93" fmla="*/ 27 h 88"/>
              <a:gd name="T94" fmla="*/ 7 w 86"/>
              <a:gd name="T95" fmla="*/ 20 h 88"/>
              <a:gd name="T96" fmla="*/ 5 w 86"/>
              <a:gd name="T97" fmla="*/ 14 h 88"/>
              <a:gd name="T98" fmla="*/ 12 w 86"/>
              <a:gd name="T99" fmla="*/ 16 h 88"/>
              <a:gd name="T100" fmla="*/ 19 w 86"/>
              <a:gd name="T101" fmla="*/ 14 h 88"/>
              <a:gd name="T102" fmla="*/ 24 w 86"/>
              <a:gd name="T103" fmla="*/ 11 h 88"/>
              <a:gd name="T104" fmla="*/ 28 w 86"/>
              <a:gd name="T105" fmla="*/ 5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 h="88">
                <a:moveTo>
                  <a:pt x="33" y="1"/>
                </a:moveTo>
                <a:lnTo>
                  <a:pt x="34" y="2"/>
                </a:lnTo>
                <a:lnTo>
                  <a:pt x="34" y="2"/>
                </a:lnTo>
                <a:lnTo>
                  <a:pt x="35" y="3"/>
                </a:lnTo>
                <a:lnTo>
                  <a:pt x="36" y="4"/>
                </a:lnTo>
                <a:lnTo>
                  <a:pt x="36" y="5"/>
                </a:lnTo>
                <a:lnTo>
                  <a:pt x="36" y="7"/>
                </a:lnTo>
                <a:lnTo>
                  <a:pt x="37" y="8"/>
                </a:lnTo>
                <a:lnTo>
                  <a:pt x="38" y="8"/>
                </a:lnTo>
                <a:lnTo>
                  <a:pt x="39" y="9"/>
                </a:lnTo>
                <a:lnTo>
                  <a:pt x="41" y="8"/>
                </a:lnTo>
                <a:lnTo>
                  <a:pt x="44" y="6"/>
                </a:lnTo>
                <a:lnTo>
                  <a:pt x="45" y="4"/>
                </a:lnTo>
                <a:lnTo>
                  <a:pt x="48" y="3"/>
                </a:lnTo>
                <a:lnTo>
                  <a:pt x="51" y="4"/>
                </a:lnTo>
                <a:lnTo>
                  <a:pt x="53" y="5"/>
                </a:lnTo>
                <a:lnTo>
                  <a:pt x="55" y="6"/>
                </a:lnTo>
                <a:lnTo>
                  <a:pt x="56" y="7"/>
                </a:lnTo>
                <a:lnTo>
                  <a:pt x="56" y="7"/>
                </a:lnTo>
                <a:lnTo>
                  <a:pt x="58" y="7"/>
                </a:lnTo>
                <a:lnTo>
                  <a:pt x="59" y="9"/>
                </a:lnTo>
                <a:lnTo>
                  <a:pt x="57" y="10"/>
                </a:lnTo>
                <a:lnTo>
                  <a:pt x="57" y="11"/>
                </a:lnTo>
                <a:lnTo>
                  <a:pt x="59" y="12"/>
                </a:lnTo>
                <a:lnTo>
                  <a:pt x="60" y="14"/>
                </a:lnTo>
                <a:lnTo>
                  <a:pt x="59" y="14"/>
                </a:lnTo>
                <a:lnTo>
                  <a:pt x="59" y="14"/>
                </a:lnTo>
                <a:lnTo>
                  <a:pt x="60" y="15"/>
                </a:lnTo>
                <a:lnTo>
                  <a:pt x="61" y="16"/>
                </a:lnTo>
                <a:lnTo>
                  <a:pt x="63" y="17"/>
                </a:lnTo>
                <a:lnTo>
                  <a:pt x="64" y="18"/>
                </a:lnTo>
                <a:lnTo>
                  <a:pt x="65" y="18"/>
                </a:lnTo>
                <a:lnTo>
                  <a:pt x="67" y="19"/>
                </a:lnTo>
                <a:lnTo>
                  <a:pt x="70" y="20"/>
                </a:lnTo>
                <a:lnTo>
                  <a:pt x="72" y="20"/>
                </a:lnTo>
                <a:lnTo>
                  <a:pt x="75" y="21"/>
                </a:lnTo>
                <a:lnTo>
                  <a:pt x="78" y="23"/>
                </a:lnTo>
                <a:lnTo>
                  <a:pt x="80" y="24"/>
                </a:lnTo>
                <a:lnTo>
                  <a:pt x="81" y="26"/>
                </a:lnTo>
                <a:lnTo>
                  <a:pt x="83" y="27"/>
                </a:lnTo>
                <a:lnTo>
                  <a:pt x="83" y="29"/>
                </a:lnTo>
                <a:lnTo>
                  <a:pt x="83" y="30"/>
                </a:lnTo>
                <a:lnTo>
                  <a:pt x="84" y="31"/>
                </a:lnTo>
                <a:lnTo>
                  <a:pt x="85" y="32"/>
                </a:lnTo>
                <a:lnTo>
                  <a:pt x="85" y="32"/>
                </a:lnTo>
                <a:lnTo>
                  <a:pt x="86" y="34"/>
                </a:lnTo>
                <a:lnTo>
                  <a:pt x="85" y="36"/>
                </a:lnTo>
                <a:lnTo>
                  <a:pt x="84" y="36"/>
                </a:lnTo>
                <a:lnTo>
                  <a:pt x="82" y="37"/>
                </a:lnTo>
                <a:lnTo>
                  <a:pt x="81" y="38"/>
                </a:lnTo>
                <a:lnTo>
                  <a:pt x="81" y="39"/>
                </a:lnTo>
                <a:lnTo>
                  <a:pt x="80" y="39"/>
                </a:lnTo>
                <a:lnTo>
                  <a:pt x="80" y="40"/>
                </a:lnTo>
                <a:lnTo>
                  <a:pt x="80" y="41"/>
                </a:lnTo>
                <a:lnTo>
                  <a:pt x="80" y="44"/>
                </a:lnTo>
                <a:lnTo>
                  <a:pt x="79" y="45"/>
                </a:lnTo>
                <a:lnTo>
                  <a:pt x="77" y="45"/>
                </a:lnTo>
                <a:lnTo>
                  <a:pt x="74" y="46"/>
                </a:lnTo>
                <a:lnTo>
                  <a:pt x="73" y="46"/>
                </a:lnTo>
                <a:lnTo>
                  <a:pt x="73" y="47"/>
                </a:lnTo>
                <a:lnTo>
                  <a:pt x="72" y="47"/>
                </a:lnTo>
                <a:lnTo>
                  <a:pt x="71" y="48"/>
                </a:lnTo>
                <a:lnTo>
                  <a:pt x="71" y="49"/>
                </a:lnTo>
                <a:lnTo>
                  <a:pt x="72" y="50"/>
                </a:lnTo>
                <a:lnTo>
                  <a:pt x="72" y="51"/>
                </a:lnTo>
                <a:lnTo>
                  <a:pt x="73" y="52"/>
                </a:lnTo>
                <a:lnTo>
                  <a:pt x="73" y="53"/>
                </a:lnTo>
                <a:lnTo>
                  <a:pt x="73" y="54"/>
                </a:lnTo>
                <a:lnTo>
                  <a:pt x="73" y="55"/>
                </a:lnTo>
                <a:lnTo>
                  <a:pt x="73" y="56"/>
                </a:lnTo>
                <a:lnTo>
                  <a:pt x="76" y="56"/>
                </a:lnTo>
                <a:lnTo>
                  <a:pt x="77" y="56"/>
                </a:lnTo>
                <a:lnTo>
                  <a:pt x="78" y="57"/>
                </a:lnTo>
                <a:lnTo>
                  <a:pt x="79" y="58"/>
                </a:lnTo>
                <a:lnTo>
                  <a:pt x="79" y="59"/>
                </a:lnTo>
                <a:lnTo>
                  <a:pt x="79" y="59"/>
                </a:lnTo>
                <a:lnTo>
                  <a:pt x="79" y="59"/>
                </a:lnTo>
                <a:lnTo>
                  <a:pt x="78" y="60"/>
                </a:lnTo>
                <a:lnTo>
                  <a:pt x="76" y="61"/>
                </a:lnTo>
                <a:lnTo>
                  <a:pt x="75" y="61"/>
                </a:lnTo>
                <a:lnTo>
                  <a:pt x="73" y="62"/>
                </a:lnTo>
                <a:lnTo>
                  <a:pt x="73" y="62"/>
                </a:lnTo>
                <a:lnTo>
                  <a:pt x="74" y="64"/>
                </a:lnTo>
                <a:lnTo>
                  <a:pt x="75" y="65"/>
                </a:lnTo>
                <a:lnTo>
                  <a:pt x="75" y="65"/>
                </a:lnTo>
                <a:lnTo>
                  <a:pt x="76" y="66"/>
                </a:lnTo>
                <a:lnTo>
                  <a:pt x="77" y="66"/>
                </a:lnTo>
                <a:lnTo>
                  <a:pt x="80" y="67"/>
                </a:lnTo>
                <a:lnTo>
                  <a:pt x="81" y="68"/>
                </a:lnTo>
                <a:lnTo>
                  <a:pt x="83" y="70"/>
                </a:lnTo>
                <a:lnTo>
                  <a:pt x="83" y="71"/>
                </a:lnTo>
                <a:lnTo>
                  <a:pt x="82" y="74"/>
                </a:lnTo>
                <a:lnTo>
                  <a:pt x="81" y="75"/>
                </a:lnTo>
                <a:lnTo>
                  <a:pt x="80" y="75"/>
                </a:lnTo>
                <a:lnTo>
                  <a:pt x="80" y="76"/>
                </a:lnTo>
                <a:lnTo>
                  <a:pt x="83" y="80"/>
                </a:lnTo>
                <a:lnTo>
                  <a:pt x="84" y="81"/>
                </a:lnTo>
                <a:lnTo>
                  <a:pt x="84" y="81"/>
                </a:lnTo>
                <a:lnTo>
                  <a:pt x="80" y="80"/>
                </a:lnTo>
                <a:lnTo>
                  <a:pt x="79" y="80"/>
                </a:lnTo>
                <a:lnTo>
                  <a:pt x="76" y="80"/>
                </a:lnTo>
                <a:lnTo>
                  <a:pt x="74" y="81"/>
                </a:lnTo>
                <a:lnTo>
                  <a:pt x="74" y="81"/>
                </a:lnTo>
                <a:lnTo>
                  <a:pt x="73" y="81"/>
                </a:lnTo>
                <a:lnTo>
                  <a:pt x="71" y="81"/>
                </a:lnTo>
                <a:lnTo>
                  <a:pt x="69" y="80"/>
                </a:lnTo>
                <a:lnTo>
                  <a:pt x="67" y="81"/>
                </a:lnTo>
                <a:lnTo>
                  <a:pt x="66" y="82"/>
                </a:lnTo>
                <a:lnTo>
                  <a:pt x="65" y="84"/>
                </a:lnTo>
                <a:lnTo>
                  <a:pt x="65" y="84"/>
                </a:lnTo>
                <a:lnTo>
                  <a:pt x="63" y="84"/>
                </a:lnTo>
                <a:lnTo>
                  <a:pt x="63" y="84"/>
                </a:lnTo>
                <a:lnTo>
                  <a:pt x="61" y="85"/>
                </a:lnTo>
                <a:lnTo>
                  <a:pt x="60" y="85"/>
                </a:lnTo>
                <a:lnTo>
                  <a:pt x="60" y="85"/>
                </a:lnTo>
                <a:lnTo>
                  <a:pt x="60" y="85"/>
                </a:lnTo>
                <a:lnTo>
                  <a:pt x="59" y="85"/>
                </a:lnTo>
                <a:lnTo>
                  <a:pt x="58" y="84"/>
                </a:lnTo>
                <a:lnTo>
                  <a:pt x="58" y="84"/>
                </a:lnTo>
                <a:lnTo>
                  <a:pt x="57" y="84"/>
                </a:lnTo>
                <a:lnTo>
                  <a:pt x="56" y="84"/>
                </a:lnTo>
                <a:lnTo>
                  <a:pt x="56" y="85"/>
                </a:lnTo>
                <a:lnTo>
                  <a:pt x="55" y="86"/>
                </a:lnTo>
                <a:lnTo>
                  <a:pt x="54" y="86"/>
                </a:lnTo>
                <a:lnTo>
                  <a:pt x="53" y="87"/>
                </a:lnTo>
                <a:lnTo>
                  <a:pt x="52" y="87"/>
                </a:lnTo>
                <a:lnTo>
                  <a:pt x="52" y="87"/>
                </a:lnTo>
                <a:lnTo>
                  <a:pt x="51" y="88"/>
                </a:lnTo>
                <a:lnTo>
                  <a:pt x="50" y="87"/>
                </a:lnTo>
                <a:lnTo>
                  <a:pt x="49" y="87"/>
                </a:lnTo>
                <a:lnTo>
                  <a:pt x="49" y="88"/>
                </a:lnTo>
                <a:lnTo>
                  <a:pt x="48" y="87"/>
                </a:lnTo>
                <a:lnTo>
                  <a:pt x="47" y="87"/>
                </a:lnTo>
                <a:lnTo>
                  <a:pt x="47" y="86"/>
                </a:lnTo>
                <a:lnTo>
                  <a:pt x="47" y="84"/>
                </a:lnTo>
                <a:lnTo>
                  <a:pt x="46" y="84"/>
                </a:lnTo>
                <a:lnTo>
                  <a:pt x="46" y="83"/>
                </a:lnTo>
                <a:lnTo>
                  <a:pt x="47" y="82"/>
                </a:lnTo>
                <a:lnTo>
                  <a:pt x="46" y="81"/>
                </a:lnTo>
                <a:lnTo>
                  <a:pt x="46" y="80"/>
                </a:lnTo>
                <a:lnTo>
                  <a:pt x="46" y="79"/>
                </a:lnTo>
                <a:lnTo>
                  <a:pt x="46" y="78"/>
                </a:lnTo>
                <a:lnTo>
                  <a:pt x="46" y="77"/>
                </a:lnTo>
                <a:lnTo>
                  <a:pt x="47" y="75"/>
                </a:lnTo>
                <a:lnTo>
                  <a:pt x="46" y="74"/>
                </a:lnTo>
                <a:lnTo>
                  <a:pt x="45" y="74"/>
                </a:lnTo>
                <a:lnTo>
                  <a:pt x="44" y="74"/>
                </a:lnTo>
                <a:lnTo>
                  <a:pt x="44" y="75"/>
                </a:lnTo>
                <a:lnTo>
                  <a:pt x="44" y="76"/>
                </a:lnTo>
                <a:lnTo>
                  <a:pt x="44" y="77"/>
                </a:lnTo>
                <a:lnTo>
                  <a:pt x="44" y="77"/>
                </a:lnTo>
                <a:lnTo>
                  <a:pt x="43" y="78"/>
                </a:lnTo>
                <a:lnTo>
                  <a:pt x="43" y="79"/>
                </a:lnTo>
                <a:lnTo>
                  <a:pt x="43" y="80"/>
                </a:lnTo>
                <a:lnTo>
                  <a:pt x="41" y="80"/>
                </a:lnTo>
                <a:lnTo>
                  <a:pt x="40" y="81"/>
                </a:lnTo>
                <a:lnTo>
                  <a:pt x="39" y="81"/>
                </a:lnTo>
                <a:lnTo>
                  <a:pt x="38" y="82"/>
                </a:lnTo>
                <a:lnTo>
                  <a:pt x="38" y="81"/>
                </a:lnTo>
                <a:lnTo>
                  <a:pt x="37" y="81"/>
                </a:lnTo>
                <a:lnTo>
                  <a:pt x="36" y="81"/>
                </a:lnTo>
                <a:lnTo>
                  <a:pt x="35" y="81"/>
                </a:lnTo>
                <a:lnTo>
                  <a:pt x="35" y="80"/>
                </a:lnTo>
                <a:lnTo>
                  <a:pt x="35" y="79"/>
                </a:lnTo>
                <a:lnTo>
                  <a:pt x="35" y="78"/>
                </a:lnTo>
                <a:lnTo>
                  <a:pt x="35" y="77"/>
                </a:lnTo>
                <a:lnTo>
                  <a:pt x="35" y="76"/>
                </a:lnTo>
                <a:lnTo>
                  <a:pt x="35" y="76"/>
                </a:lnTo>
                <a:lnTo>
                  <a:pt x="35" y="76"/>
                </a:lnTo>
                <a:lnTo>
                  <a:pt x="34" y="76"/>
                </a:lnTo>
                <a:lnTo>
                  <a:pt x="34" y="76"/>
                </a:lnTo>
                <a:lnTo>
                  <a:pt x="33" y="77"/>
                </a:lnTo>
                <a:lnTo>
                  <a:pt x="33" y="77"/>
                </a:lnTo>
                <a:lnTo>
                  <a:pt x="31" y="77"/>
                </a:lnTo>
                <a:lnTo>
                  <a:pt x="31" y="78"/>
                </a:lnTo>
                <a:lnTo>
                  <a:pt x="31" y="79"/>
                </a:lnTo>
                <a:lnTo>
                  <a:pt x="30" y="80"/>
                </a:lnTo>
                <a:lnTo>
                  <a:pt x="29" y="80"/>
                </a:lnTo>
                <a:lnTo>
                  <a:pt x="28" y="80"/>
                </a:lnTo>
                <a:lnTo>
                  <a:pt x="28" y="80"/>
                </a:lnTo>
                <a:lnTo>
                  <a:pt x="28" y="80"/>
                </a:lnTo>
                <a:lnTo>
                  <a:pt x="28" y="79"/>
                </a:lnTo>
                <a:lnTo>
                  <a:pt x="28" y="78"/>
                </a:lnTo>
                <a:lnTo>
                  <a:pt x="28" y="77"/>
                </a:lnTo>
                <a:lnTo>
                  <a:pt x="27" y="77"/>
                </a:lnTo>
                <a:lnTo>
                  <a:pt x="26" y="77"/>
                </a:lnTo>
                <a:lnTo>
                  <a:pt x="25" y="77"/>
                </a:lnTo>
                <a:lnTo>
                  <a:pt x="25" y="76"/>
                </a:lnTo>
                <a:lnTo>
                  <a:pt x="25" y="75"/>
                </a:lnTo>
                <a:lnTo>
                  <a:pt x="24" y="74"/>
                </a:lnTo>
                <a:lnTo>
                  <a:pt x="24" y="74"/>
                </a:lnTo>
                <a:lnTo>
                  <a:pt x="23" y="74"/>
                </a:lnTo>
                <a:lnTo>
                  <a:pt x="22" y="74"/>
                </a:lnTo>
                <a:lnTo>
                  <a:pt x="21" y="74"/>
                </a:lnTo>
                <a:lnTo>
                  <a:pt x="21" y="74"/>
                </a:lnTo>
                <a:lnTo>
                  <a:pt x="20" y="73"/>
                </a:lnTo>
                <a:lnTo>
                  <a:pt x="19" y="73"/>
                </a:lnTo>
                <a:lnTo>
                  <a:pt x="19" y="73"/>
                </a:lnTo>
                <a:lnTo>
                  <a:pt x="19" y="73"/>
                </a:lnTo>
                <a:lnTo>
                  <a:pt x="19" y="72"/>
                </a:lnTo>
                <a:lnTo>
                  <a:pt x="18" y="71"/>
                </a:lnTo>
                <a:lnTo>
                  <a:pt x="18" y="71"/>
                </a:lnTo>
                <a:lnTo>
                  <a:pt x="19" y="70"/>
                </a:lnTo>
                <a:lnTo>
                  <a:pt x="19" y="69"/>
                </a:lnTo>
                <a:lnTo>
                  <a:pt x="18" y="68"/>
                </a:lnTo>
                <a:lnTo>
                  <a:pt x="18" y="67"/>
                </a:lnTo>
                <a:lnTo>
                  <a:pt x="19" y="67"/>
                </a:lnTo>
                <a:lnTo>
                  <a:pt x="18" y="66"/>
                </a:lnTo>
                <a:lnTo>
                  <a:pt x="18" y="66"/>
                </a:lnTo>
                <a:lnTo>
                  <a:pt x="18" y="65"/>
                </a:lnTo>
                <a:lnTo>
                  <a:pt x="17" y="64"/>
                </a:lnTo>
                <a:lnTo>
                  <a:pt x="17" y="63"/>
                </a:lnTo>
                <a:lnTo>
                  <a:pt x="15" y="62"/>
                </a:lnTo>
                <a:lnTo>
                  <a:pt x="14" y="62"/>
                </a:lnTo>
                <a:lnTo>
                  <a:pt x="13" y="63"/>
                </a:lnTo>
                <a:lnTo>
                  <a:pt x="13" y="64"/>
                </a:lnTo>
                <a:lnTo>
                  <a:pt x="12" y="65"/>
                </a:lnTo>
                <a:lnTo>
                  <a:pt x="12" y="65"/>
                </a:lnTo>
                <a:lnTo>
                  <a:pt x="12" y="66"/>
                </a:lnTo>
                <a:lnTo>
                  <a:pt x="12" y="67"/>
                </a:lnTo>
                <a:lnTo>
                  <a:pt x="12" y="68"/>
                </a:lnTo>
                <a:lnTo>
                  <a:pt x="12" y="68"/>
                </a:lnTo>
                <a:lnTo>
                  <a:pt x="10" y="69"/>
                </a:lnTo>
                <a:lnTo>
                  <a:pt x="10" y="69"/>
                </a:lnTo>
                <a:lnTo>
                  <a:pt x="9" y="69"/>
                </a:lnTo>
                <a:lnTo>
                  <a:pt x="8" y="69"/>
                </a:lnTo>
                <a:lnTo>
                  <a:pt x="8" y="69"/>
                </a:lnTo>
                <a:lnTo>
                  <a:pt x="7" y="70"/>
                </a:lnTo>
                <a:lnTo>
                  <a:pt x="6" y="70"/>
                </a:lnTo>
                <a:lnTo>
                  <a:pt x="5" y="70"/>
                </a:lnTo>
                <a:lnTo>
                  <a:pt x="4" y="70"/>
                </a:lnTo>
                <a:lnTo>
                  <a:pt x="4" y="70"/>
                </a:lnTo>
                <a:lnTo>
                  <a:pt x="3" y="71"/>
                </a:lnTo>
                <a:lnTo>
                  <a:pt x="3" y="71"/>
                </a:lnTo>
                <a:lnTo>
                  <a:pt x="2" y="71"/>
                </a:lnTo>
                <a:lnTo>
                  <a:pt x="1" y="71"/>
                </a:lnTo>
                <a:lnTo>
                  <a:pt x="0" y="71"/>
                </a:lnTo>
                <a:lnTo>
                  <a:pt x="0" y="69"/>
                </a:lnTo>
                <a:lnTo>
                  <a:pt x="0" y="68"/>
                </a:lnTo>
                <a:lnTo>
                  <a:pt x="0" y="68"/>
                </a:lnTo>
                <a:lnTo>
                  <a:pt x="1" y="66"/>
                </a:lnTo>
                <a:lnTo>
                  <a:pt x="2" y="65"/>
                </a:lnTo>
                <a:lnTo>
                  <a:pt x="3" y="65"/>
                </a:lnTo>
                <a:lnTo>
                  <a:pt x="3" y="64"/>
                </a:lnTo>
                <a:lnTo>
                  <a:pt x="3" y="64"/>
                </a:lnTo>
                <a:lnTo>
                  <a:pt x="3" y="63"/>
                </a:lnTo>
                <a:lnTo>
                  <a:pt x="3" y="62"/>
                </a:lnTo>
                <a:lnTo>
                  <a:pt x="2" y="61"/>
                </a:lnTo>
                <a:lnTo>
                  <a:pt x="1" y="60"/>
                </a:lnTo>
                <a:lnTo>
                  <a:pt x="1" y="60"/>
                </a:lnTo>
                <a:lnTo>
                  <a:pt x="1" y="59"/>
                </a:lnTo>
                <a:lnTo>
                  <a:pt x="1" y="58"/>
                </a:lnTo>
                <a:lnTo>
                  <a:pt x="2" y="58"/>
                </a:lnTo>
                <a:lnTo>
                  <a:pt x="3" y="58"/>
                </a:lnTo>
                <a:lnTo>
                  <a:pt x="3" y="57"/>
                </a:lnTo>
                <a:lnTo>
                  <a:pt x="3" y="56"/>
                </a:lnTo>
                <a:lnTo>
                  <a:pt x="4" y="54"/>
                </a:lnTo>
                <a:lnTo>
                  <a:pt x="2" y="53"/>
                </a:lnTo>
                <a:lnTo>
                  <a:pt x="2" y="52"/>
                </a:lnTo>
                <a:lnTo>
                  <a:pt x="3" y="52"/>
                </a:lnTo>
                <a:lnTo>
                  <a:pt x="3" y="51"/>
                </a:lnTo>
                <a:lnTo>
                  <a:pt x="2" y="51"/>
                </a:lnTo>
                <a:lnTo>
                  <a:pt x="3" y="49"/>
                </a:lnTo>
                <a:lnTo>
                  <a:pt x="4" y="49"/>
                </a:lnTo>
                <a:lnTo>
                  <a:pt x="4" y="48"/>
                </a:lnTo>
                <a:lnTo>
                  <a:pt x="5" y="46"/>
                </a:lnTo>
                <a:lnTo>
                  <a:pt x="5" y="45"/>
                </a:lnTo>
                <a:lnTo>
                  <a:pt x="4" y="44"/>
                </a:lnTo>
                <a:lnTo>
                  <a:pt x="6" y="43"/>
                </a:lnTo>
                <a:lnTo>
                  <a:pt x="7" y="42"/>
                </a:lnTo>
                <a:lnTo>
                  <a:pt x="7" y="42"/>
                </a:lnTo>
                <a:lnTo>
                  <a:pt x="8" y="41"/>
                </a:lnTo>
                <a:lnTo>
                  <a:pt x="7" y="40"/>
                </a:lnTo>
                <a:lnTo>
                  <a:pt x="8" y="39"/>
                </a:lnTo>
                <a:lnTo>
                  <a:pt x="9" y="38"/>
                </a:lnTo>
                <a:lnTo>
                  <a:pt x="9" y="36"/>
                </a:lnTo>
                <a:lnTo>
                  <a:pt x="9" y="34"/>
                </a:lnTo>
                <a:lnTo>
                  <a:pt x="10" y="33"/>
                </a:lnTo>
                <a:lnTo>
                  <a:pt x="10" y="31"/>
                </a:lnTo>
                <a:lnTo>
                  <a:pt x="10" y="30"/>
                </a:lnTo>
                <a:lnTo>
                  <a:pt x="9" y="28"/>
                </a:lnTo>
                <a:lnTo>
                  <a:pt x="9" y="27"/>
                </a:lnTo>
                <a:lnTo>
                  <a:pt x="9" y="25"/>
                </a:lnTo>
                <a:lnTo>
                  <a:pt x="9" y="23"/>
                </a:lnTo>
                <a:lnTo>
                  <a:pt x="9" y="23"/>
                </a:lnTo>
                <a:lnTo>
                  <a:pt x="9" y="22"/>
                </a:lnTo>
                <a:lnTo>
                  <a:pt x="8" y="20"/>
                </a:lnTo>
                <a:lnTo>
                  <a:pt x="7" y="20"/>
                </a:lnTo>
                <a:lnTo>
                  <a:pt x="6" y="18"/>
                </a:lnTo>
                <a:lnTo>
                  <a:pt x="6" y="17"/>
                </a:lnTo>
                <a:lnTo>
                  <a:pt x="6" y="16"/>
                </a:lnTo>
                <a:lnTo>
                  <a:pt x="5" y="15"/>
                </a:lnTo>
                <a:lnTo>
                  <a:pt x="5" y="14"/>
                </a:lnTo>
                <a:lnTo>
                  <a:pt x="5" y="14"/>
                </a:lnTo>
                <a:lnTo>
                  <a:pt x="6" y="13"/>
                </a:lnTo>
                <a:lnTo>
                  <a:pt x="7" y="13"/>
                </a:lnTo>
                <a:lnTo>
                  <a:pt x="8" y="14"/>
                </a:lnTo>
                <a:lnTo>
                  <a:pt x="9" y="15"/>
                </a:lnTo>
                <a:lnTo>
                  <a:pt x="10" y="15"/>
                </a:lnTo>
                <a:lnTo>
                  <a:pt x="12" y="16"/>
                </a:lnTo>
                <a:lnTo>
                  <a:pt x="13" y="15"/>
                </a:lnTo>
                <a:lnTo>
                  <a:pt x="14" y="15"/>
                </a:lnTo>
                <a:lnTo>
                  <a:pt x="16" y="15"/>
                </a:lnTo>
                <a:lnTo>
                  <a:pt x="17" y="16"/>
                </a:lnTo>
                <a:lnTo>
                  <a:pt x="18" y="15"/>
                </a:lnTo>
                <a:lnTo>
                  <a:pt x="19" y="14"/>
                </a:lnTo>
                <a:lnTo>
                  <a:pt x="20" y="14"/>
                </a:lnTo>
                <a:lnTo>
                  <a:pt x="21" y="13"/>
                </a:lnTo>
                <a:lnTo>
                  <a:pt x="22" y="13"/>
                </a:lnTo>
                <a:lnTo>
                  <a:pt x="22" y="12"/>
                </a:lnTo>
                <a:lnTo>
                  <a:pt x="23" y="12"/>
                </a:lnTo>
                <a:lnTo>
                  <a:pt x="24" y="11"/>
                </a:lnTo>
                <a:lnTo>
                  <a:pt x="24" y="10"/>
                </a:lnTo>
                <a:lnTo>
                  <a:pt x="24" y="9"/>
                </a:lnTo>
                <a:lnTo>
                  <a:pt x="25" y="8"/>
                </a:lnTo>
                <a:lnTo>
                  <a:pt x="26" y="7"/>
                </a:lnTo>
                <a:lnTo>
                  <a:pt x="27" y="6"/>
                </a:lnTo>
                <a:lnTo>
                  <a:pt x="28" y="5"/>
                </a:lnTo>
                <a:lnTo>
                  <a:pt x="29" y="3"/>
                </a:lnTo>
                <a:lnTo>
                  <a:pt x="29" y="2"/>
                </a:lnTo>
                <a:lnTo>
                  <a:pt x="30" y="0"/>
                </a:lnTo>
                <a:lnTo>
                  <a:pt x="32" y="0"/>
                </a:lnTo>
                <a:lnTo>
                  <a:pt x="33" y="1"/>
                </a:lnTo>
              </a:path>
            </a:pathLst>
          </a:custGeom>
          <a:grpFill/>
          <a:ln w="9525">
            <a:solidFill>
              <a:schemeClr val="bg1">
                <a:lumMod val="65000"/>
              </a:schemeClr>
            </a:solidFill>
            <a:prstDash val="solid"/>
            <a:round/>
            <a:headEnd/>
            <a:tailEnd/>
          </a:ln>
        </xdr:spPr>
      </xdr:sp>
      <xdr:sp macro="" textlink="">
        <xdr:nvSpPr>
          <xdr:cNvPr id="190" name="GIN005003"/>
          <xdr:cNvSpPr>
            <a:spLocks noChangeAspect="1"/>
          </xdr:cNvSpPr>
        </xdr:nvSpPr>
        <xdr:spPr bwMode="auto">
          <a:xfrm>
            <a:off x="4996420" y="4863378"/>
            <a:ext cx="860589" cy="653390"/>
          </a:xfrm>
          <a:custGeom>
            <a:avLst/>
            <a:gdLst>
              <a:gd name="T0" fmla="*/ 87 w 91"/>
              <a:gd name="T1" fmla="*/ 7 h 71"/>
              <a:gd name="T2" fmla="*/ 87 w 91"/>
              <a:gd name="T3" fmla="*/ 14 h 71"/>
              <a:gd name="T4" fmla="*/ 84 w 91"/>
              <a:gd name="T5" fmla="*/ 22 h 71"/>
              <a:gd name="T6" fmla="*/ 83 w 91"/>
              <a:gd name="T7" fmla="*/ 26 h 71"/>
              <a:gd name="T8" fmla="*/ 80 w 91"/>
              <a:gd name="T9" fmla="*/ 33 h 71"/>
              <a:gd name="T10" fmla="*/ 75 w 91"/>
              <a:gd name="T11" fmla="*/ 38 h 71"/>
              <a:gd name="T12" fmla="*/ 72 w 91"/>
              <a:gd name="T13" fmla="*/ 43 h 71"/>
              <a:gd name="T14" fmla="*/ 64 w 91"/>
              <a:gd name="T15" fmla="*/ 47 h 71"/>
              <a:gd name="T16" fmla="*/ 56 w 91"/>
              <a:gd name="T17" fmla="*/ 45 h 71"/>
              <a:gd name="T18" fmla="*/ 54 w 91"/>
              <a:gd name="T19" fmla="*/ 55 h 71"/>
              <a:gd name="T20" fmla="*/ 50 w 91"/>
              <a:gd name="T21" fmla="*/ 64 h 71"/>
              <a:gd name="T22" fmla="*/ 43 w 91"/>
              <a:gd name="T23" fmla="*/ 67 h 71"/>
              <a:gd name="T24" fmla="*/ 36 w 91"/>
              <a:gd name="T25" fmla="*/ 69 h 71"/>
              <a:gd name="T26" fmla="*/ 20 w 91"/>
              <a:gd name="T27" fmla="*/ 70 h 71"/>
              <a:gd name="T28" fmla="*/ 19 w 91"/>
              <a:gd name="T29" fmla="*/ 67 h 71"/>
              <a:gd name="T30" fmla="*/ 23 w 91"/>
              <a:gd name="T31" fmla="*/ 61 h 71"/>
              <a:gd name="T32" fmla="*/ 32 w 91"/>
              <a:gd name="T33" fmla="*/ 57 h 71"/>
              <a:gd name="T34" fmla="*/ 38 w 91"/>
              <a:gd name="T35" fmla="*/ 55 h 71"/>
              <a:gd name="T36" fmla="*/ 34 w 91"/>
              <a:gd name="T37" fmla="*/ 56 h 71"/>
              <a:gd name="T38" fmla="*/ 29 w 91"/>
              <a:gd name="T39" fmla="*/ 55 h 71"/>
              <a:gd name="T40" fmla="*/ 26 w 91"/>
              <a:gd name="T41" fmla="*/ 52 h 71"/>
              <a:gd name="T42" fmla="*/ 28 w 91"/>
              <a:gd name="T43" fmla="*/ 46 h 71"/>
              <a:gd name="T44" fmla="*/ 32 w 91"/>
              <a:gd name="T45" fmla="*/ 47 h 71"/>
              <a:gd name="T46" fmla="*/ 30 w 91"/>
              <a:gd name="T47" fmla="*/ 46 h 71"/>
              <a:gd name="T48" fmla="*/ 26 w 91"/>
              <a:gd name="T49" fmla="*/ 47 h 71"/>
              <a:gd name="T50" fmla="*/ 25 w 91"/>
              <a:gd name="T51" fmla="*/ 50 h 71"/>
              <a:gd name="T52" fmla="*/ 24 w 91"/>
              <a:gd name="T53" fmla="*/ 55 h 71"/>
              <a:gd name="T54" fmla="*/ 21 w 91"/>
              <a:gd name="T55" fmla="*/ 58 h 71"/>
              <a:gd name="T56" fmla="*/ 19 w 91"/>
              <a:gd name="T57" fmla="*/ 55 h 71"/>
              <a:gd name="T58" fmla="*/ 19 w 91"/>
              <a:gd name="T59" fmla="*/ 52 h 71"/>
              <a:gd name="T60" fmla="*/ 20 w 91"/>
              <a:gd name="T61" fmla="*/ 49 h 71"/>
              <a:gd name="T62" fmla="*/ 18 w 91"/>
              <a:gd name="T63" fmla="*/ 45 h 71"/>
              <a:gd name="T64" fmla="*/ 18 w 91"/>
              <a:gd name="T65" fmla="*/ 42 h 71"/>
              <a:gd name="T66" fmla="*/ 21 w 91"/>
              <a:gd name="T67" fmla="*/ 44 h 71"/>
              <a:gd name="T68" fmla="*/ 23 w 91"/>
              <a:gd name="T69" fmla="*/ 44 h 71"/>
              <a:gd name="T70" fmla="*/ 25 w 91"/>
              <a:gd name="T71" fmla="*/ 42 h 71"/>
              <a:gd name="T72" fmla="*/ 28 w 91"/>
              <a:gd name="T73" fmla="*/ 38 h 71"/>
              <a:gd name="T74" fmla="*/ 25 w 91"/>
              <a:gd name="T75" fmla="*/ 41 h 71"/>
              <a:gd name="T76" fmla="*/ 21 w 91"/>
              <a:gd name="T77" fmla="*/ 38 h 71"/>
              <a:gd name="T78" fmla="*/ 19 w 91"/>
              <a:gd name="T79" fmla="*/ 39 h 71"/>
              <a:gd name="T80" fmla="*/ 16 w 91"/>
              <a:gd name="T81" fmla="*/ 40 h 71"/>
              <a:gd name="T82" fmla="*/ 12 w 91"/>
              <a:gd name="T83" fmla="*/ 46 h 71"/>
              <a:gd name="T84" fmla="*/ 8 w 91"/>
              <a:gd name="T85" fmla="*/ 46 h 71"/>
              <a:gd name="T86" fmla="*/ 9 w 91"/>
              <a:gd name="T87" fmla="*/ 41 h 71"/>
              <a:gd name="T88" fmla="*/ 10 w 91"/>
              <a:gd name="T89" fmla="*/ 33 h 71"/>
              <a:gd name="T90" fmla="*/ 9 w 91"/>
              <a:gd name="T91" fmla="*/ 24 h 71"/>
              <a:gd name="T92" fmla="*/ 10 w 91"/>
              <a:gd name="T93" fmla="*/ 32 h 71"/>
              <a:gd name="T94" fmla="*/ 1 w 91"/>
              <a:gd name="T95" fmla="*/ 31 h 71"/>
              <a:gd name="T96" fmla="*/ 2 w 91"/>
              <a:gd name="T97" fmla="*/ 20 h 71"/>
              <a:gd name="T98" fmla="*/ 7 w 91"/>
              <a:gd name="T99" fmla="*/ 17 h 71"/>
              <a:gd name="T100" fmla="*/ 10 w 91"/>
              <a:gd name="T101" fmla="*/ 18 h 71"/>
              <a:gd name="T102" fmla="*/ 15 w 91"/>
              <a:gd name="T103" fmla="*/ 11 h 71"/>
              <a:gd name="T104" fmla="*/ 20 w 91"/>
              <a:gd name="T105" fmla="*/ 11 h 71"/>
              <a:gd name="T106" fmla="*/ 23 w 91"/>
              <a:gd name="T107" fmla="*/ 17 h 71"/>
              <a:gd name="T108" fmla="*/ 32 w 91"/>
              <a:gd name="T109" fmla="*/ 15 h 71"/>
              <a:gd name="T110" fmla="*/ 43 w 91"/>
              <a:gd name="T111" fmla="*/ 14 h 71"/>
              <a:gd name="T112" fmla="*/ 65 w 91"/>
              <a:gd name="T113" fmla="*/ 1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91" h="71">
                <a:moveTo>
                  <a:pt x="80" y="1"/>
                </a:moveTo>
                <a:lnTo>
                  <a:pt x="82" y="2"/>
                </a:lnTo>
                <a:lnTo>
                  <a:pt x="83" y="4"/>
                </a:lnTo>
                <a:lnTo>
                  <a:pt x="86" y="6"/>
                </a:lnTo>
                <a:lnTo>
                  <a:pt x="87" y="6"/>
                </a:lnTo>
                <a:lnTo>
                  <a:pt x="87" y="7"/>
                </a:lnTo>
                <a:lnTo>
                  <a:pt x="89" y="9"/>
                </a:lnTo>
                <a:lnTo>
                  <a:pt x="90" y="10"/>
                </a:lnTo>
                <a:lnTo>
                  <a:pt x="91" y="10"/>
                </a:lnTo>
                <a:lnTo>
                  <a:pt x="90" y="13"/>
                </a:lnTo>
                <a:lnTo>
                  <a:pt x="89" y="15"/>
                </a:lnTo>
                <a:lnTo>
                  <a:pt x="87" y="14"/>
                </a:lnTo>
                <a:lnTo>
                  <a:pt x="87" y="15"/>
                </a:lnTo>
                <a:lnTo>
                  <a:pt x="87" y="16"/>
                </a:lnTo>
                <a:lnTo>
                  <a:pt x="86" y="19"/>
                </a:lnTo>
                <a:lnTo>
                  <a:pt x="84" y="21"/>
                </a:lnTo>
                <a:lnTo>
                  <a:pt x="84" y="22"/>
                </a:lnTo>
                <a:lnTo>
                  <a:pt x="84" y="22"/>
                </a:lnTo>
                <a:lnTo>
                  <a:pt x="84" y="22"/>
                </a:lnTo>
                <a:lnTo>
                  <a:pt x="84" y="23"/>
                </a:lnTo>
                <a:lnTo>
                  <a:pt x="84" y="24"/>
                </a:lnTo>
                <a:lnTo>
                  <a:pt x="83" y="26"/>
                </a:lnTo>
                <a:lnTo>
                  <a:pt x="83" y="26"/>
                </a:lnTo>
                <a:lnTo>
                  <a:pt x="83" y="26"/>
                </a:lnTo>
                <a:lnTo>
                  <a:pt x="84" y="25"/>
                </a:lnTo>
                <a:lnTo>
                  <a:pt x="83" y="26"/>
                </a:lnTo>
                <a:lnTo>
                  <a:pt x="82" y="28"/>
                </a:lnTo>
                <a:lnTo>
                  <a:pt x="82" y="29"/>
                </a:lnTo>
                <a:lnTo>
                  <a:pt x="82" y="31"/>
                </a:lnTo>
                <a:lnTo>
                  <a:pt x="80" y="33"/>
                </a:lnTo>
                <a:lnTo>
                  <a:pt x="79" y="35"/>
                </a:lnTo>
                <a:lnTo>
                  <a:pt x="77" y="35"/>
                </a:lnTo>
                <a:lnTo>
                  <a:pt x="76" y="36"/>
                </a:lnTo>
                <a:lnTo>
                  <a:pt x="75" y="36"/>
                </a:lnTo>
                <a:lnTo>
                  <a:pt x="75" y="37"/>
                </a:lnTo>
                <a:lnTo>
                  <a:pt x="75" y="38"/>
                </a:lnTo>
                <a:lnTo>
                  <a:pt x="75" y="39"/>
                </a:lnTo>
                <a:lnTo>
                  <a:pt x="75" y="40"/>
                </a:lnTo>
                <a:lnTo>
                  <a:pt x="74" y="41"/>
                </a:lnTo>
                <a:lnTo>
                  <a:pt x="73" y="41"/>
                </a:lnTo>
                <a:lnTo>
                  <a:pt x="72" y="42"/>
                </a:lnTo>
                <a:lnTo>
                  <a:pt x="72" y="43"/>
                </a:lnTo>
                <a:lnTo>
                  <a:pt x="71" y="44"/>
                </a:lnTo>
                <a:lnTo>
                  <a:pt x="71" y="45"/>
                </a:lnTo>
                <a:lnTo>
                  <a:pt x="69" y="46"/>
                </a:lnTo>
                <a:lnTo>
                  <a:pt x="67" y="46"/>
                </a:lnTo>
                <a:lnTo>
                  <a:pt x="67" y="46"/>
                </a:lnTo>
                <a:lnTo>
                  <a:pt x="64" y="47"/>
                </a:lnTo>
                <a:lnTo>
                  <a:pt x="63" y="47"/>
                </a:lnTo>
                <a:lnTo>
                  <a:pt x="62" y="46"/>
                </a:lnTo>
                <a:lnTo>
                  <a:pt x="61" y="47"/>
                </a:lnTo>
                <a:lnTo>
                  <a:pt x="60" y="49"/>
                </a:lnTo>
                <a:lnTo>
                  <a:pt x="58" y="47"/>
                </a:lnTo>
                <a:lnTo>
                  <a:pt x="56" y="45"/>
                </a:lnTo>
                <a:lnTo>
                  <a:pt x="56" y="45"/>
                </a:lnTo>
                <a:lnTo>
                  <a:pt x="55" y="47"/>
                </a:lnTo>
                <a:lnTo>
                  <a:pt x="54" y="49"/>
                </a:lnTo>
                <a:lnTo>
                  <a:pt x="54" y="49"/>
                </a:lnTo>
                <a:lnTo>
                  <a:pt x="56" y="52"/>
                </a:lnTo>
                <a:lnTo>
                  <a:pt x="54" y="55"/>
                </a:lnTo>
                <a:lnTo>
                  <a:pt x="53" y="58"/>
                </a:lnTo>
                <a:lnTo>
                  <a:pt x="52" y="58"/>
                </a:lnTo>
                <a:lnTo>
                  <a:pt x="52" y="60"/>
                </a:lnTo>
                <a:lnTo>
                  <a:pt x="51" y="61"/>
                </a:lnTo>
                <a:lnTo>
                  <a:pt x="51" y="62"/>
                </a:lnTo>
                <a:lnTo>
                  <a:pt x="50" y="64"/>
                </a:lnTo>
                <a:lnTo>
                  <a:pt x="49" y="64"/>
                </a:lnTo>
                <a:lnTo>
                  <a:pt x="48" y="65"/>
                </a:lnTo>
                <a:lnTo>
                  <a:pt x="48" y="65"/>
                </a:lnTo>
                <a:lnTo>
                  <a:pt x="46" y="66"/>
                </a:lnTo>
                <a:lnTo>
                  <a:pt x="45" y="66"/>
                </a:lnTo>
                <a:lnTo>
                  <a:pt x="43" y="67"/>
                </a:lnTo>
                <a:lnTo>
                  <a:pt x="42" y="68"/>
                </a:lnTo>
                <a:lnTo>
                  <a:pt x="40" y="70"/>
                </a:lnTo>
                <a:lnTo>
                  <a:pt x="39" y="71"/>
                </a:lnTo>
                <a:lnTo>
                  <a:pt x="37" y="69"/>
                </a:lnTo>
                <a:lnTo>
                  <a:pt x="37" y="69"/>
                </a:lnTo>
                <a:lnTo>
                  <a:pt x="36" y="69"/>
                </a:lnTo>
                <a:lnTo>
                  <a:pt x="35" y="68"/>
                </a:lnTo>
                <a:lnTo>
                  <a:pt x="32" y="67"/>
                </a:lnTo>
                <a:lnTo>
                  <a:pt x="31" y="66"/>
                </a:lnTo>
                <a:lnTo>
                  <a:pt x="29" y="66"/>
                </a:lnTo>
                <a:lnTo>
                  <a:pt x="20" y="71"/>
                </a:lnTo>
                <a:lnTo>
                  <a:pt x="20" y="70"/>
                </a:lnTo>
                <a:lnTo>
                  <a:pt x="21" y="68"/>
                </a:lnTo>
                <a:lnTo>
                  <a:pt x="21" y="68"/>
                </a:lnTo>
                <a:lnTo>
                  <a:pt x="20" y="68"/>
                </a:lnTo>
                <a:lnTo>
                  <a:pt x="19" y="68"/>
                </a:lnTo>
                <a:lnTo>
                  <a:pt x="19" y="68"/>
                </a:lnTo>
                <a:lnTo>
                  <a:pt x="19" y="67"/>
                </a:lnTo>
                <a:lnTo>
                  <a:pt x="19" y="67"/>
                </a:lnTo>
                <a:lnTo>
                  <a:pt x="19" y="66"/>
                </a:lnTo>
                <a:lnTo>
                  <a:pt x="22" y="65"/>
                </a:lnTo>
                <a:lnTo>
                  <a:pt x="22" y="64"/>
                </a:lnTo>
                <a:lnTo>
                  <a:pt x="23" y="62"/>
                </a:lnTo>
                <a:lnTo>
                  <a:pt x="23" y="61"/>
                </a:lnTo>
                <a:lnTo>
                  <a:pt x="25" y="58"/>
                </a:lnTo>
                <a:lnTo>
                  <a:pt x="26" y="58"/>
                </a:lnTo>
                <a:lnTo>
                  <a:pt x="26" y="57"/>
                </a:lnTo>
                <a:lnTo>
                  <a:pt x="28" y="56"/>
                </a:lnTo>
                <a:lnTo>
                  <a:pt x="30" y="56"/>
                </a:lnTo>
                <a:lnTo>
                  <a:pt x="32" y="57"/>
                </a:lnTo>
                <a:lnTo>
                  <a:pt x="33" y="57"/>
                </a:lnTo>
                <a:lnTo>
                  <a:pt x="36" y="57"/>
                </a:lnTo>
                <a:lnTo>
                  <a:pt x="38" y="57"/>
                </a:lnTo>
                <a:lnTo>
                  <a:pt x="38" y="56"/>
                </a:lnTo>
                <a:lnTo>
                  <a:pt x="37" y="56"/>
                </a:lnTo>
                <a:lnTo>
                  <a:pt x="38" y="55"/>
                </a:lnTo>
                <a:lnTo>
                  <a:pt x="38" y="54"/>
                </a:lnTo>
                <a:lnTo>
                  <a:pt x="37" y="53"/>
                </a:lnTo>
                <a:lnTo>
                  <a:pt x="37" y="53"/>
                </a:lnTo>
                <a:lnTo>
                  <a:pt x="37" y="55"/>
                </a:lnTo>
                <a:lnTo>
                  <a:pt x="36" y="56"/>
                </a:lnTo>
                <a:lnTo>
                  <a:pt x="34" y="56"/>
                </a:lnTo>
                <a:lnTo>
                  <a:pt x="32" y="56"/>
                </a:lnTo>
                <a:lnTo>
                  <a:pt x="32" y="56"/>
                </a:lnTo>
                <a:lnTo>
                  <a:pt x="32" y="55"/>
                </a:lnTo>
                <a:lnTo>
                  <a:pt x="29" y="55"/>
                </a:lnTo>
                <a:lnTo>
                  <a:pt x="29" y="55"/>
                </a:lnTo>
                <a:lnTo>
                  <a:pt x="29" y="55"/>
                </a:lnTo>
                <a:lnTo>
                  <a:pt x="26" y="56"/>
                </a:lnTo>
                <a:lnTo>
                  <a:pt x="25" y="56"/>
                </a:lnTo>
                <a:lnTo>
                  <a:pt x="25" y="55"/>
                </a:lnTo>
                <a:lnTo>
                  <a:pt x="25" y="53"/>
                </a:lnTo>
                <a:lnTo>
                  <a:pt x="26" y="53"/>
                </a:lnTo>
                <a:lnTo>
                  <a:pt x="26" y="52"/>
                </a:lnTo>
                <a:lnTo>
                  <a:pt x="26" y="52"/>
                </a:lnTo>
                <a:lnTo>
                  <a:pt x="26" y="49"/>
                </a:lnTo>
                <a:lnTo>
                  <a:pt x="27" y="49"/>
                </a:lnTo>
                <a:lnTo>
                  <a:pt x="27" y="49"/>
                </a:lnTo>
                <a:lnTo>
                  <a:pt x="27" y="47"/>
                </a:lnTo>
                <a:lnTo>
                  <a:pt x="28" y="46"/>
                </a:lnTo>
                <a:lnTo>
                  <a:pt x="30" y="47"/>
                </a:lnTo>
                <a:lnTo>
                  <a:pt x="31" y="48"/>
                </a:lnTo>
                <a:lnTo>
                  <a:pt x="32" y="47"/>
                </a:lnTo>
                <a:lnTo>
                  <a:pt x="32" y="48"/>
                </a:lnTo>
                <a:lnTo>
                  <a:pt x="34" y="47"/>
                </a:lnTo>
                <a:lnTo>
                  <a:pt x="32" y="47"/>
                </a:lnTo>
                <a:lnTo>
                  <a:pt x="32" y="46"/>
                </a:lnTo>
                <a:lnTo>
                  <a:pt x="32" y="47"/>
                </a:lnTo>
                <a:lnTo>
                  <a:pt x="31" y="46"/>
                </a:lnTo>
                <a:lnTo>
                  <a:pt x="30" y="46"/>
                </a:lnTo>
                <a:lnTo>
                  <a:pt x="30" y="46"/>
                </a:lnTo>
                <a:lnTo>
                  <a:pt x="30" y="46"/>
                </a:lnTo>
                <a:lnTo>
                  <a:pt x="29" y="46"/>
                </a:lnTo>
                <a:lnTo>
                  <a:pt x="29" y="45"/>
                </a:lnTo>
                <a:lnTo>
                  <a:pt x="28" y="45"/>
                </a:lnTo>
                <a:lnTo>
                  <a:pt x="26" y="46"/>
                </a:lnTo>
                <a:lnTo>
                  <a:pt x="26" y="47"/>
                </a:lnTo>
                <a:lnTo>
                  <a:pt x="26" y="47"/>
                </a:lnTo>
                <a:lnTo>
                  <a:pt x="26" y="47"/>
                </a:lnTo>
                <a:lnTo>
                  <a:pt x="26" y="48"/>
                </a:lnTo>
                <a:lnTo>
                  <a:pt x="26" y="49"/>
                </a:lnTo>
                <a:lnTo>
                  <a:pt x="26" y="49"/>
                </a:lnTo>
                <a:lnTo>
                  <a:pt x="26" y="49"/>
                </a:lnTo>
                <a:lnTo>
                  <a:pt x="25" y="50"/>
                </a:lnTo>
                <a:lnTo>
                  <a:pt x="26" y="52"/>
                </a:lnTo>
                <a:lnTo>
                  <a:pt x="26" y="52"/>
                </a:lnTo>
                <a:lnTo>
                  <a:pt x="25" y="52"/>
                </a:lnTo>
                <a:lnTo>
                  <a:pt x="24" y="53"/>
                </a:lnTo>
                <a:lnTo>
                  <a:pt x="24" y="54"/>
                </a:lnTo>
                <a:lnTo>
                  <a:pt x="24" y="55"/>
                </a:lnTo>
                <a:lnTo>
                  <a:pt x="24" y="56"/>
                </a:lnTo>
                <a:lnTo>
                  <a:pt x="24" y="58"/>
                </a:lnTo>
                <a:lnTo>
                  <a:pt x="22" y="58"/>
                </a:lnTo>
                <a:lnTo>
                  <a:pt x="22" y="58"/>
                </a:lnTo>
                <a:lnTo>
                  <a:pt x="22" y="58"/>
                </a:lnTo>
                <a:lnTo>
                  <a:pt x="21" y="58"/>
                </a:lnTo>
                <a:lnTo>
                  <a:pt x="20" y="58"/>
                </a:lnTo>
                <a:lnTo>
                  <a:pt x="20" y="57"/>
                </a:lnTo>
                <a:lnTo>
                  <a:pt x="20" y="57"/>
                </a:lnTo>
                <a:lnTo>
                  <a:pt x="20" y="56"/>
                </a:lnTo>
                <a:lnTo>
                  <a:pt x="19" y="56"/>
                </a:lnTo>
                <a:lnTo>
                  <a:pt x="19" y="55"/>
                </a:lnTo>
                <a:lnTo>
                  <a:pt x="19" y="55"/>
                </a:lnTo>
                <a:lnTo>
                  <a:pt x="19" y="54"/>
                </a:lnTo>
                <a:lnTo>
                  <a:pt x="19" y="54"/>
                </a:lnTo>
                <a:lnTo>
                  <a:pt x="19" y="54"/>
                </a:lnTo>
                <a:lnTo>
                  <a:pt x="19" y="53"/>
                </a:lnTo>
                <a:lnTo>
                  <a:pt x="19" y="52"/>
                </a:lnTo>
                <a:lnTo>
                  <a:pt x="19" y="52"/>
                </a:lnTo>
                <a:lnTo>
                  <a:pt x="19" y="52"/>
                </a:lnTo>
                <a:lnTo>
                  <a:pt x="20" y="51"/>
                </a:lnTo>
                <a:lnTo>
                  <a:pt x="20" y="50"/>
                </a:lnTo>
                <a:lnTo>
                  <a:pt x="20" y="49"/>
                </a:lnTo>
                <a:lnTo>
                  <a:pt x="20" y="49"/>
                </a:lnTo>
                <a:lnTo>
                  <a:pt x="19" y="49"/>
                </a:lnTo>
                <a:lnTo>
                  <a:pt x="19" y="49"/>
                </a:lnTo>
                <a:lnTo>
                  <a:pt x="19" y="48"/>
                </a:lnTo>
                <a:lnTo>
                  <a:pt x="19" y="48"/>
                </a:lnTo>
                <a:lnTo>
                  <a:pt x="18" y="47"/>
                </a:lnTo>
                <a:lnTo>
                  <a:pt x="18" y="45"/>
                </a:lnTo>
                <a:lnTo>
                  <a:pt x="18" y="45"/>
                </a:lnTo>
                <a:lnTo>
                  <a:pt x="18" y="45"/>
                </a:lnTo>
                <a:lnTo>
                  <a:pt x="18" y="44"/>
                </a:lnTo>
                <a:lnTo>
                  <a:pt x="18" y="44"/>
                </a:lnTo>
                <a:lnTo>
                  <a:pt x="18" y="43"/>
                </a:lnTo>
                <a:lnTo>
                  <a:pt x="18" y="42"/>
                </a:lnTo>
                <a:lnTo>
                  <a:pt x="19" y="41"/>
                </a:lnTo>
                <a:lnTo>
                  <a:pt x="19" y="42"/>
                </a:lnTo>
                <a:lnTo>
                  <a:pt x="20" y="43"/>
                </a:lnTo>
                <a:lnTo>
                  <a:pt x="20" y="43"/>
                </a:lnTo>
                <a:lnTo>
                  <a:pt x="21" y="44"/>
                </a:lnTo>
                <a:lnTo>
                  <a:pt x="21" y="44"/>
                </a:lnTo>
                <a:lnTo>
                  <a:pt x="22" y="44"/>
                </a:lnTo>
                <a:lnTo>
                  <a:pt x="22" y="45"/>
                </a:lnTo>
                <a:lnTo>
                  <a:pt x="23" y="45"/>
                </a:lnTo>
                <a:lnTo>
                  <a:pt x="23" y="45"/>
                </a:lnTo>
                <a:lnTo>
                  <a:pt x="23" y="44"/>
                </a:lnTo>
                <a:lnTo>
                  <a:pt x="23" y="44"/>
                </a:lnTo>
                <a:lnTo>
                  <a:pt x="23" y="44"/>
                </a:lnTo>
                <a:lnTo>
                  <a:pt x="23" y="43"/>
                </a:lnTo>
                <a:lnTo>
                  <a:pt x="23" y="43"/>
                </a:lnTo>
                <a:lnTo>
                  <a:pt x="24" y="42"/>
                </a:lnTo>
                <a:lnTo>
                  <a:pt x="24" y="42"/>
                </a:lnTo>
                <a:lnTo>
                  <a:pt x="25" y="42"/>
                </a:lnTo>
                <a:lnTo>
                  <a:pt x="25" y="42"/>
                </a:lnTo>
                <a:lnTo>
                  <a:pt x="25" y="42"/>
                </a:lnTo>
                <a:lnTo>
                  <a:pt x="26" y="41"/>
                </a:lnTo>
                <a:lnTo>
                  <a:pt x="26" y="39"/>
                </a:lnTo>
                <a:lnTo>
                  <a:pt x="27" y="39"/>
                </a:lnTo>
                <a:lnTo>
                  <a:pt x="28" y="38"/>
                </a:lnTo>
                <a:lnTo>
                  <a:pt x="28" y="38"/>
                </a:lnTo>
                <a:lnTo>
                  <a:pt x="28" y="38"/>
                </a:lnTo>
                <a:lnTo>
                  <a:pt x="28" y="38"/>
                </a:lnTo>
                <a:lnTo>
                  <a:pt x="26" y="39"/>
                </a:lnTo>
                <a:lnTo>
                  <a:pt x="26" y="39"/>
                </a:lnTo>
                <a:lnTo>
                  <a:pt x="25" y="41"/>
                </a:lnTo>
                <a:lnTo>
                  <a:pt x="22" y="43"/>
                </a:lnTo>
                <a:lnTo>
                  <a:pt x="22" y="43"/>
                </a:lnTo>
                <a:lnTo>
                  <a:pt x="19" y="40"/>
                </a:lnTo>
                <a:lnTo>
                  <a:pt x="20" y="39"/>
                </a:lnTo>
                <a:lnTo>
                  <a:pt x="20" y="39"/>
                </a:lnTo>
                <a:lnTo>
                  <a:pt x="21" y="38"/>
                </a:lnTo>
                <a:lnTo>
                  <a:pt x="22" y="37"/>
                </a:lnTo>
                <a:lnTo>
                  <a:pt x="22" y="36"/>
                </a:lnTo>
                <a:lnTo>
                  <a:pt x="22" y="37"/>
                </a:lnTo>
                <a:lnTo>
                  <a:pt x="21" y="38"/>
                </a:lnTo>
                <a:lnTo>
                  <a:pt x="20" y="38"/>
                </a:lnTo>
                <a:lnTo>
                  <a:pt x="19" y="39"/>
                </a:lnTo>
                <a:lnTo>
                  <a:pt x="19" y="38"/>
                </a:lnTo>
                <a:lnTo>
                  <a:pt x="18" y="38"/>
                </a:lnTo>
                <a:lnTo>
                  <a:pt x="18" y="39"/>
                </a:lnTo>
                <a:lnTo>
                  <a:pt x="17" y="40"/>
                </a:lnTo>
                <a:lnTo>
                  <a:pt x="17" y="40"/>
                </a:lnTo>
                <a:lnTo>
                  <a:pt x="16" y="40"/>
                </a:lnTo>
                <a:lnTo>
                  <a:pt x="16" y="44"/>
                </a:lnTo>
                <a:lnTo>
                  <a:pt x="16" y="44"/>
                </a:lnTo>
                <a:lnTo>
                  <a:pt x="16" y="45"/>
                </a:lnTo>
                <a:lnTo>
                  <a:pt x="15" y="46"/>
                </a:lnTo>
                <a:lnTo>
                  <a:pt x="13" y="46"/>
                </a:lnTo>
                <a:lnTo>
                  <a:pt x="12" y="46"/>
                </a:lnTo>
                <a:lnTo>
                  <a:pt x="10" y="46"/>
                </a:lnTo>
                <a:lnTo>
                  <a:pt x="9" y="46"/>
                </a:lnTo>
                <a:lnTo>
                  <a:pt x="9" y="47"/>
                </a:lnTo>
                <a:lnTo>
                  <a:pt x="9" y="47"/>
                </a:lnTo>
                <a:lnTo>
                  <a:pt x="8" y="47"/>
                </a:lnTo>
                <a:lnTo>
                  <a:pt x="8" y="46"/>
                </a:lnTo>
                <a:lnTo>
                  <a:pt x="8" y="46"/>
                </a:lnTo>
                <a:lnTo>
                  <a:pt x="9" y="45"/>
                </a:lnTo>
                <a:lnTo>
                  <a:pt x="10" y="45"/>
                </a:lnTo>
                <a:lnTo>
                  <a:pt x="10" y="44"/>
                </a:lnTo>
                <a:lnTo>
                  <a:pt x="10" y="43"/>
                </a:lnTo>
                <a:lnTo>
                  <a:pt x="9" y="41"/>
                </a:lnTo>
                <a:lnTo>
                  <a:pt x="8" y="39"/>
                </a:lnTo>
                <a:lnTo>
                  <a:pt x="8" y="39"/>
                </a:lnTo>
                <a:lnTo>
                  <a:pt x="8" y="36"/>
                </a:lnTo>
                <a:lnTo>
                  <a:pt x="9" y="35"/>
                </a:lnTo>
                <a:lnTo>
                  <a:pt x="9" y="34"/>
                </a:lnTo>
                <a:lnTo>
                  <a:pt x="10" y="33"/>
                </a:lnTo>
                <a:lnTo>
                  <a:pt x="12" y="32"/>
                </a:lnTo>
                <a:lnTo>
                  <a:pt x="12" y="30"/>
                </a:lnTo>
                <a:lnTo>
                  <a:pt x="11" y="26"/>
                </a:lnTo>
                <a:lnTo>
                  <a:pt x="10" y="24"/>
                </a:lnTo>
                <a:lnTo>
                  <a:pt x="9" y="23"/>
                </a:lnTo>
                <a:lnTo>
                  <a:pt x="9" y="24"/>
                </a:lnTo>
                <a:lnTo>
                  <a:pt x="10" y="24"/>
                </a:lnTo>
                <a:lnTo>
                  <a:pt x="10" y="25"/>
                </a:lnTo>
                <a:lnTo>
                  <a:pt x="11" y="27"/>
                </a:lnTo>
                <a:lnTo>
                  <a:pt x="11" y="29"/>
                </a:lnTo>
                <a:lnTo>
                  <a:pt x="10" y="31"/>
                </a:lnTo>
                <a:lnTo>
                  <a:pt x="10" y="32"/>
                </a:lnTo>
                <a:lnTo>
                  <a:pt x="8" y="33"/>
                </a:lnTo>
                <a:lnTo>
                  <a:pt x="5" y="33"/>
                </a:lnTo>
                <a:lnTo>
                  <a:pt x="3" y="33"/>
                </a:lnTo>
                <a:lnTo>
                  <a:pt x="3" y="33"/>
                </a:lnTo>
                <a:lnTo>
                  <a:pt x="2" y="31"/>
                </a:lnTo>
                <a:lnTo>
                  <a:pt x="1" y="31"/>
                </a:lnTo>
                <a:lnTo>
                  <a:pt x="1" y="30"/>
                </a:lnTo>
                <a:lnTo>
                  <a:pt x="0" y="27"/>
                </a:lnTo>
                <a:lnTo>
                  <a:pt x="0" y="23"/>
                </a:lnTo>
                <a:lnTo>
                  <a:pt x="1" y="22"/>
                </a:lnTo>
                <a:lnTo>
                  <a:pt x="1" y="21"/>
                </a:lnTo>
                <a:lnTo>
                  <a:pt x="2" y="20"/>
                </a:lnTo>
                <a:lnTo>
                  <a:pt x="2" y="19"/>
                </a:lnTo>
                <a:lnTo>
                  <a:pt x="3" y="18"/>
                </a:lnTo>
                <a:lnTo>
                  <a:pt x="3" y="17"/>
                </a:lnTo>
                <a:lnTo>
                  <a:pt x="5" y="17"/>
                </a:lnTo>
                <a:lnTo>
                  <a:pt x="6" y="18"/>
                </a:lnTo>
                <a:lnTo>
                  <a:pt x="7" y="17"/>
                </a:lnTo>
                <a:lnTo>
                  <a:pt x="7" y="17"/>
                </a:lnTo>
                <a:lnTo>
                  <a:pt x="8" y="17"/>
                </a:lnTo>
                <a:lnTo>
                  <a:pt x="9" y="17"/>
                </a:lnTo>
                <a:lnTo>
                  <a:pt x="9" y="18"/>
                </a:lnTo>
                <a:lnTo>
                  <a:pt x="9" y="18"/>
                </a:lnTo>
                <a:lnTo>
                  <a:pt x="10" y="18"/>
                </a:lnTo>
                <a:lnTo>
                  <a:pt x="11" y="17"/>
                </a:lnTo>
                <a:lnTo>
                  <a:pt x="12" y="17"/>
                </a:lnTo>
                <a:lnTo>
                  <a:pt x="12" y="16"/>
                </a:lnTo>
                <a:lnTo>
                  <a:pt x="13" y="13"/>
                </a:lnTo>
                <a:lnTo>
                  <a:pt x="13" y="12"/>
                </a:lnTo>
                <a:lnTo>
                  <a:pt x="15" y="11"/>
                </a:lnTo>
                <a:lnTo>
                  <a:pt x="16" y="11"/>
                </a:lnTo>
                <a:lnTo>
                  <a:pt x="17" y="11"/>
                </a:lnTo>
                <a:lnTo>
                  <a:pt x="18" y="11"/>
                </a:lnTo>
                <a:lnTo>
                  <a:pt x="19" y="11"/>
                </a:lnTo>
                <a:lnTo>
                  <a:pt x="19" y="11"/>
                </a:lnTo>
                <a:lnTo>
                  <a:pt x="20" y="11"/>
                </a:lnTo>
                <a:lnTo>
                  <a:pt x="21" y="12"/>
                </a:lnTo>
                <a:lnTo>
                  <a:pt x="22" y="13"/>
                </a:lnTo>
                <a:lnTo>
                  <a:pt x="22" y="15"/>
                </a:lnTo>
                <a:lnTo>
                  <a:pt x="22" y="16"/>
                </a:lnTo>
                <a:lnTo>
                  <a:pt x="23" y="17"/>
                </a:lnTo>
                <a:lnTo>
                  <a:pt x="23" y="17"/>
                </a:lnTo>
                <a:lnTo>
                  <a:pt x="25" y="15"/>
                </a:lnTo>
                <a:lnTo>
                  <a:pt x="26" y="14"/>
                </a:lnTo>
                <a:lnTo>
                  <a:pt x="28" y="16"/>
                </a:lnTo>
                <a:lnTo>
                  <a:pt x="30" y="16"/>
                </a:lnTo>
                <a:lnTo>
                  <a:pt x="32" y="15"/>
                </a:lnTo>
                <a:lnTo>
                  <a:pt x="32" y="15"/>
                </a:lnTo>
                <a:lnTo>
                  <a:pt x="34" y="16"/>
                </a:lnTo>
                <a:lnTo>
                  <a:pt x="38" y="15"/>
                </a:lnTo>
                <a:lnTo>
                  <a:pt x="39" y="14"/>
                </a:lnTo>
                <a:lnTo>
                  <a:pt x="39" y="15"/>
                </a:lnTo>
                <a:lnTo>
                  <a:pt x="41" y="15"/>
                </a:lnTo>
                <a:lnTo>
                  <a:pt x="43" y="14"/>
                </a:lnTo>
                <a:lnTo>
                  <a:pt x="47" y="10"/>
                </a:lnTo>
                <a:lnTo>
                  <a:pt x="52" y="7"/>
                </a:lnTo>
                <a:lnTo>
                  <a:pt x="58" y="4"/>
                </a:lnTo>
                <a:lnTo>
                  <a:pt x="59" y="3"/>
                </a:lnTo>
                <a:lnTo>
                  <a:pt x="64" y="2"/>
                </a:lnTo>
                <a:lnTo>
                  <a:pt x="65" y="1"/>
                </a:lnTo>
                <a:lnTo>
                  <a:pt x="68" y="1"/>
                </a:lnTo>
                <a:lnTo>
                  <a:pt x="70" y="1"/>
                </a:lnTo>
                <a:lnTo>
                  <a:pt x="75" y="0"/>
                </a:lnTo>
                <a:lnTo>
                  <a:pt x="75" y="0"/>
                </a:lnTo>
                <a:lnTo>
                  <a:pt x="80" y="1"/>
                </a:lnTo>
              </a:path>
            </a:pathLst>
          </a:custGeom>
          <a:grpFill/>
          <a:ln w="9525">
            <a:solidFill>
              <a:schemeClr val="bg1">
                <a:lumMod val="65000"/>
              </a:schemeClr>
            </a:solidFill>
            <a:prstDash val="solid"/>
            <a:round/>
            <a:headEnd/>
            <a:tailEnd/>
          </a:ln>
        </xdr:spPr>
      </xdr:sp>
      <xdr:sp macro="" textlink="">
        <xdr:nvSpPr>
          <xdr:cNvPr id="191" name="GIN002001"/>
          <xdr:cNvSpPr>
            <a:spLocks noChangeAspect="1"/>
          </xdr:cNvSpPr>
        </xdr:nvSpPr>
        <xdr:spPr bwMode="auto">
          <a:xfrm>
            <a:off x="4790210" y="4842225"/>
            <a:ext cx="253835" cy="245734"/>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sp macro="" textlink="">
        <xdr:nvSpPr>
          <xdr:cNvPr id="192" name="GIN004002"/>
          <xdr:cNvSpPr>
            <a:spLocks noChangeAspect="1"/>
          </xdr:cNvSpPr>
        </xdr:nvSpPr>
        <xdr:spPr bwMode="auto">
          <a:xfrm>
            <a:off x="8489744" y="4680240"/>
            <a:ext cx="1066800" cy="1091107"/>
          </a:xfrm>
          <a:custGeom>
            <a:avLst/>
            <a:gdLst>
              <a:gd name="T0" fmla="*/ 87 w 112"/>
              <a:gd name="T1" fmla="*/ 10 h 114"/>
              <a:gd name="T2" fmla="*/ 94 w 112"/>
              <a:gd name="T3" fmla="*/ 16 h 114"/>
              <a:gd name="T4" fmla="*/ 96 w 112"/>
              <a:gd name="T5" fmla="*/ 17 h 114"/>
              <a:gd name="T6" fmla="*/ 100 w 112"/>
              <a:gd name="T7" fmla="*/ 21 h 114"/>
              <a:gd name="T8" fmla="*/ 103 w 112"/>
              <a:gd name="T9" fmla="*/ 28 h 114"/>
              <a:gd name="T10" fmla="*/ 108 w 112"/>
              <a:gd name="T11" fmla="*/ 34 h 114"/>
              <a:gd name="T12" fmla="*/ 112 w 112"/>
              <a:gd name="T13" fmla="*/ 41 h 114"/>
              <a:gd name="T14" fmla="*/ 109 w 112"/>
              <a:gd name="T15" fmla="*/ 45 h 114"/>
              <a:gd name="T16" fmla="*/ 110 w 112"/>
              <a:gd name="T17" fmla="*/ 52 h 114"/>
              <a:gd name="T18" fmla="*/ 110 w 112"/>
              <a:gd name="T19" fmla="*/ 60 h 114"/>
              <a:gd name="T20" fmla="*/ 106 w 112"/>
              <a:gd name="T21" fmla="*/ 69 h 114"/>
              <a:gd name="T22" fmla="*/ 102 w 112"/>
              <a:gd name="T23" fmla="*/ 77 h 114"/>
              <a:gd name="T24" fmla="*/ 100 w 112"/>
              <a:gd name="T25" fmla="*/ 84 h 114"/>
              <a:gd name="T26" fmla="*/ 103 w 112"/>
              <a:gd name="T27" fmla="*/ 95 h 114"/>
              <a:gd name="T28" fmla="*/ 93 w 112"/>
              <a:gd name="T29" fmla="*/ 99 h 114"/>
              <a:gd name="T30" fmla="*/ 89 w 112"/>
              <a:gd name="T31" fmla="*/ 106 h 114"/>
              <a:gd name="T32" fmla="*/ 85 w 112"/>
              <a:gd name="T33" fmla="*/ 109 h 114"/>
              <a:gd name="T34" fmla="*/ 78 w 112"/>
              <a:gd name="T35" fmla="*/ 113 h 114"/>
              <a:gd name="T36" fmla="*/ 72 w 112"/>
              <a:gd name="T37" fmla="*/ 111 h 114"/>
              <a:gd name="T38" fmla="*/ 62 w 112"/>
              <a:gd name="T39" fmla="*/ 112 h 114"/>
              <a:gd name="T40" fmla="*/ 54 w 112"/>
              <a:gd name="T41" fmla="*/ 114 h 114"/>
              <a:gd name="T42" fmla="*/ 46 w 112"/>
              <a:gd name="T43" fmla="*/ 110 h 114"/>
              <a:gd name="T44" fmla="*/ 37 w 112"/>
              <a:gd name="T45" fmla="*/ 103 h 114"/>
              <a:gd name="T46" fmla="*/ 21 w 112"/>
              <a:gd name="T47" fmla="*/ 104 h 114"/>
              <a:gd name="T48" fmla="*/ 12 w 112"/>
              <a:gd name="T49" fmla="*/ 102 h 114"/>
              <a:gd name="T50" fmla="*/ 11 w 112"/>
              <a:gd name="T51" fmla="*/ 96 h 114"/>
              <a:gd name="T52" fmla="*/ 9 w 112"/>
              <a:gd name="T53" fmla="*/ 89 h 114"/>
              <a:gd name="T54" fmla="*/ 4 w 112"/>
              <a:gd name="T55" fmla="*/ 87 h 114"/>
              <a:gd name="T56" fmla="*/ 4 w 112"/>
              <a:gd name="T57" fmla="*/ 83 h 114"/>
              <a:gd name="T58" fmla="*/ 8 w 112"/>
              <a:gd name="T59" fmla="*/ 81 h 114"/>
              <a:gd name="T60" fmla="*/ 6 w 112"/>
              <a:gd name="T61" fmla="*/ 78 h 114"/>
              <a:gd name="T62" fmla="*/ 2 w 112"/>
              <a:gd name="T63" fmla="*/ 76 h 114"/>
              <a:gd name="T64" fmla="*/ 1 w 112"/>
              <a:gd name="T65" fmla="*/ 72 h 114"/>
              <a:gd name="T66" fmla="*/ 2 w 112"/>
              <a:gd name="T67" fmla="*/ 69 h 114"/>
              <a:gd name="T68" fmla="*/ 8 w 112"/>
              <a:gd name="T69" fmla="*/ 67 h 114"/>
              <a:gd name="T70" fmla="*/ 9 w 112"/>
              <a:gd name="T71" fmla="*/ 61 h 114"/>
              <a:gd name="T72" fmla="*/ 13 w 112"/>
              <a:gd name="T73" fmla="*/ 58 h 114"/>
              <a:gd name="T74" fmla="*/ 14 w 112"/>
              <a:gd name="T75" fmla="*/ 54 h 114"/>
              <a:gd name="T76" fmla="*/ 16 w 112"/>
              <a:gd name="T77" fmla="*/ 51 h 114"/>
              <a:gd name="T78" fmla="*/ 23 w 112"/>
              <a:gd name="T79" fmla="*/ 52 h 114"/>
              <a:gd name="T80" fmla="*/ 29 w 112"/>
              <a:gd name="T81" fmla="*/ 53 h 114"/>
              <a:gd name="T82" fmla="*/ 37 w 112"/>
              <a:gd name="T83" fmla="*/ 49 h 114"/>
              <a:gd name="T84" fmla="*/ 43 w 112"/>
              <a:gd name="T85" fmla="*/ 49 h 114"/>
              <a:gd name="T86" fmla="*/ 47 w 112"/>
              <a:gd name="T87" fmla="*/ 48 h 114"/>
              <a:gd name="T88" fmla="*/ 56 w 112"/>
              <a:gd name="T89" fmla="*/ 47 h 114"/>
              <a:gd name="T90" fmla="*/ 64 w 112"/>
              <a:gd name="T91" fmla="*/ 43 h 114"/>
              <a:gd name="T92" fmla="*/ 61 w 112"/>
              <a:gd name="T93" fmla="*/ 38 h 114"/>
              <a:gd name="T94" fmla="*/ 60 w 112"/>
              <a:gd name="T95" fmla="*/ 35 h 114"/>
              <a:gd name="T96" fmla="*/ 59 w 112"/>
              <a:gd name="T97" fmla="*/ 32 h 114"/>
              <a:gd name="T98" fmla="*/ 57 w 112"/>
              <a:gd name="T99" fmla="*/ 31 h 114"/>
              <a:gd name="T100" fmla="*/ 59 w 112"/>
              <a:gd name="T101" fmla="*/ 29 h 114"/>
              <a:gd name="T102" fmla="*/ 60 w 112"/>
              <a:gd name="T103" fmla="*/ 26 h 114"/>
              <a:gd name="T104" fmla="*/ 60 w 112"/>
              <a:gd name="T105" fmla="*/ 23 h 114"/>
              <a:gd name="T106" fmla="*/ 59 w 112"/>
              <a:gd name="T107" fmla="*/ 17 h 114"/>
              <a:gd name="T108" fmla="*/ 55 w 112"/>
              <a:gd name="T109" fmla="*/ 18 h 114"/>
              <a:gd name="T110" fmla="*/ 52 w 112"/>
              <a:gd name="T111" fmla="*/ 14 h 114"/>
              <a:gd name="T112" fmla="*/ 50 w 112"/>
              <a:gd name="T113" fmla="*/ 11 h 114"/>
              <a:gd name="T114" fmla="*/ 50 w 112"/>
              <a:gd name="T115" fmla="*/ 7 h 114"/>
              <a:gd name="T116" fmla="*/ 55 w 112"/>
              <a:gd name="T117" fmla="*/ 3 h 114"/>
              <a:gd name="T118" fmla="*/ 64 w 112"/>
              <a:gd name="T119" fmla="*/ 0 h 114"/>
              <a:gd name="T120" fmla="*/ 72 w 112"/>
              <a:gd name="T121" fmla="*/ 5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2" h="114">
                <a:moveTo>
                  <a:pt x="79" y="10"/>
                </a:moveTo>
                <a:lnTo>
                  <a:pt x="81" y="11"/>
                </a:lnTo>
                <a:lnTo>
                  <a:pt x="85" y="10"/>
                </a:lnTo>
                <a:lnTo>
                  <a:pt x="87" y="10"/>
                </a:lnTo>
                <a:lnTo>
                  <a:pt x="89" y="11"/>
                </a:lnTo>
                <a:lnTo>
                  <a:pt x="91" y="13"/>
                </a:lnTo>
                <a:lnTo>
                  <a:pt x="92" y="13"/>
                </a:lnTo>
                <a:lnTo>
                  <a:pt x="94" y="16"/>
                </a:lnTo>
                <a:lnTo>
                  <a:pt x="93" y="16"/>
                </a:lnTo>
                <a:lnTo>
                  <a:pt x="93" y="16"/>
                </a:lnTo>
                <a:lnTo>
                  <a:pt x="93" y="16"/>
                </a:lnTo>
                <a:lnTo>
                  <a:pt x="96" y="17"/>
                </a:lnTo>
                <a:lnTo>
                  <a:pt x="97" y="18"/>
                </a:lnTo>
                <a:lnTo>
                  <a:pt x="98" y="20"/>
                </a:lnTo>
                <a:lnTo>
                  <a:pt x="99" y="20"/>
                </a:lnTo>
                <a:lnTo>
                  <a:pt x="100" y="21"/>
                </a:lnTo>
                <a:lnTo>
                  <a:pt x="101" y="22"/>
                </a:lnTo>
                <a:lnTo>
                  <a:pt x="102" y="23"/>
                </a:lnTo>
                <a:lnTo>
                  <a:pt x="102" y="26"/>
                </a:lnTo>
                <a:lnTo>
                  <a:pt x="103" y="28"/>
                </a:lnTo>
                <a:lnTo>
                  <a:pt x="105" y="28"/>
                </a:lnTo>
                <a:lnTo>
                  <a:pt x="106" y="30"/>
                </a:lnTo>
                <a:lnTo>
                  <a:pt x="107" y="32"/>
                </a:lnTo>
                <a:lnTo>
                  <a:pt x="108" y="34"/>
                </a:lnTo>
                <a:lnTo>
                  <a:pt x="110" y="36"/>
                </a:lnTo>
                <a:lnTo>
                  <a:pt x="110" y="37"/>
                </a:lnTo>
                <a:lnTo>
                  <a:pt x="111" y="39"/>
                </a:lnTo>
                <a:lnTo>
                  <a:pt x="112" y="41"/>
                </a:lnTo>
                <a:lnTo>
                  <a:pt x="111" y="42"/>
                </a:lnTo>
                <a:lnTo>
                  <a:pt x="111" y="42"/>
                </a:lnTo>
                <a:lnTo>
                  <a:pt x="110" y="44"/>
                </a:lnTo>
                <a:lnTo>
                  <a:pt x="109" y="45"/>
                </a:lnTo>
                <a:lnTo>
                  <a:pt x="109" y="46"/>
                </a:lnTo>
                <a:lnTo>
                  <a:pt x="109" y="48"/>
                </a:lnTo>
                <a:lnTo>
                  <a:pt x="109" y="50"/>
                </a:lnTo>
                <a:lnTo>
                  <a:pt x="110" y="52"/>
                </a:lnTo>
                <a:lnTo>
                  <a:pt x="110" y="54"/>
                </a:lnTo>
                <a:lnTo>
                  <a:pt x="111" y="56"/>
                </a:lnTo>
                <a:lnTo>
                  <a:pt x="111" y="58"/>
                </a:lnTo>
                <a:lnTo>
                  <a:pt x="110" y="60"/>
                </a:lnTo>
                <a:lnTo>
                  <a:pt x="110" y="61"/>
                </a:lnTo>
                <a:lnTo>
                  <a:pt x="109" y="63"/>
                </a:lnTo>
                <a:lnTo>
                  <a:pt x="108" y="67"/>
                </a:lnTo>
                <a:lnTo>
                  <a:pt x="106" y="69"/>
                </a:lnTo>
                <a:lnTo>
                  <a:pt x="106" y="73"/>
                </a:lnTo>
                <a:lnTo>
                  <a:pt x="104" y="75"/>
                </a:lnTo>
                <a:lnTo>
                  <a:pt x="103" y="75"/>
                </a:lnTo>
                <a:lnTo>
                  <a:pt x="102" y="77"/>
                </a:lnTo>
                <a:lnTo>
                  <a:pt x="101" y="80"/>
                </a:lnTo>
                <a:lnTo>
                  <a:pt x="101" y="81"/>
                </a:lnTo>
                <a:lnTo>
                  <a:pt x="101" y="82"/>
                </a:lnTo>
                <a:lnTo>
                  <a:pt x="100" y="84"/>
                </a:lnTo>
                <a:lnTo>
                  <a:pt x="100" y="87"/>
                </a:lnTo>
                <a:lnTo>
                  <a:pt x="100" y="90"/>
                </a:lnTo>
                <a:lnTo>
                  <a:pt x="102" y="92"/>
                </a:lnTo>
                <a:lnTo>
                  <a:pt x="103" y="95"/>
                </a:lnTo>
                <a:lnTo>
                  <a:pt x="102" y="95"/>
                </a:lnTo>
                <a:lnTo>
                  <a:pt x="101" y="97"/>
                </a:lnTo>
                <a:lnTo>
                  <a:pt x="96" y="98"/>
                </a:lnTo>
                <a:lnTo>
                  <a:pt x="93" y="99"/>
                </a:lnTo>
                <a:lnTo>
                  <a:pt x="93" y="100"/>
                </a:lnTo>
                <a:lnTo>
                  <a:pt x="91" y="102"/>
                </a:lnTo>
                <a:lnTo>
                  <a:pt x="90" y="105"/>
                </a:lnTo>
                <a:lnTo>
                  <a:pt x="89" y="106"/>
                </a:lnTo>
                <a:lnTo>
                  <a:pt x="89" y="106"/>
                </a:lnTo>
                <a:lnTo>
                  <a:pt x="87" y="107"/>
                </a:lnTo>
                <a:lnTo>
                  <a:pt x="86" y="108"/>
                </a:lnTo>
                <a:lnTo>
                  <a:pt x="85" y="109"/>
                </a:lnTo>
                <a:lnTo>
                  <a:pt x="80" y="112"/>
                </a:lnTo>
                <a:lnTo>
                  <a:pt x="79" y="113"/>
                </a:lnTo>
                <a:lnTo>
                  <a:pt x="79" y="113"/>
                </a:lnTo>
                <a:lnTo>
                  <a:pt x="78" y="113"/>
                </a:lnTo>
                <a:lnTo>
                  <a:pt x="77" y="113"/>
                </a:lnTo>
                <a:lnTo>
                  <a:pt x="76" y="112"/>
                </a:lnTo>
                <a:lnTo>
                  <a:pt x="74" y="112"/>
                </a:lnTo>
                <a:lnTo>
                  <a:pt x="72" y="111"/>
                </a:lnTo>
                <a:lnTo>
                  <a:pt x="69" y="111"/>
                </a:lnTo>
                <a:lnTo>
                  <a:pt x="67" y="111"/>
                </a:lnTo>
                <a:lnTo>
                  <a:pt x="64" y="112"/>
                </a:lnTo>
                <a:lnTo>
                  <a:pt x="62" y="112"/>
                </a:lnTo>
                <a:lnTo>
                  <a:pt x="60" y="112"/>
                </a:lnTo>
                <a:lnTo>
                  <a:pt x="57" y="114"/>
                </a:lnTo>
                <a:lnTo>
                  <a:pt x="56" y="114"/>
                </a:lnTo>
                <a:lnTo>
                  <a:pt x="54" y="114"/>
                </a:lnTo>
                <a:lnTo>
                  <a:pt x="52" y="114"/>
                </a:lnTo>
                <a:lnTo>
                  <a:pt x="51" y="112"/>
                </a:lnTo>
                <a:lnTo>
                  <a:pt x="48" y="112"/>
                </a:lnTo>
                <a:lnTo>
                  <a:pt x="46" y="110"/>
                </a:lnTo>
                <a:lnTo>
                  <a:pt x="43" y="108"/>
                </a:lnTo>
                <a:lnTo>
                  <a:pt x="42" y="106"/>
                </a:lnTo>
                <a:lnTo>
                  <a:pt x="39" y="104"/>
                </a:lnTo>
                <a:lnTo>
                  <a:pt x="37" y="103"/>
                </a:lnTo>
                <a:lnTo>
                  <a:pt x="34" y="101"/>
                </a:lnTo>
                <a:lnTo>
                  <a:pt x="31" y="101"/>
                </a:lnTo>
                <a:lnTo>
                  <a:pt x="26" y="103"/>
                </a:lnTo>
                <a:lnTo>
                  <a:pt x="21" y="104"/>
                </a:lnTo>
                <a:lnTo>
                  <a:pt x="18" y="104"/>
                </a:lnTo>
                <a:lnTo>
                  <a:pt x="13" y="103"/>
                </a:lnTo>
                <a:lnTo>
                  <a:pt x="13" y="103"/>
                </a:lnTo>
                <a:lnTo>
                  <a:pt x="12" y="102"/>
                </a:lnTo>
                <a:lnTo>
                  <a:pt x="9" y="98"/>
                </a:lnTo>
                <a:lnTo>
                  <a:pt x="9" y="97"/>
                </a:lnTo>
                <a:lnTo>
                  <a:pt x="10" y="97"/>
                </a:lnTo>
                <a:lnTo>
                  <a:pt x="11" y="96"/>
                </a:lnTo>
                <a:lnTo>
                  <a:pt x="12" y="93"/>
                </a:lnTo>
                <a:lnTo>
                  <a:pt x="12" y="92"/>
                </a:lnTo>
                <a:lnTo>
                  <a:pt x="10" y="90"/>
                </a:lnTo>
                <a:lnTo>
                  <a:pt x="9" y="89"/>
                </a:lnTo>
                <a:lnTo>
                  <a:pt x="6" y="88"/>
                </a:lnTo>
                <a:lnTo>
                  <a:pt x="5" y="88"/>
                </a:lnTo>
                <a:lnTo>
                  <a:pt x="4" y="87"/>
                </a:lnTo>
                <a:lnTo>
                  <a:pt x="4" y="87"/>
                </a:lnTo>
                <a:lnTo>
                  <a:pt x="3" y="86"/>
                </a:lnTo>
                <a:lnTo>
                  <a:pt x="2" y="84"/>
                </a:lnTo>
                <a:lnTo>
                  <a:pt x="2" y="84"/>
                </a:lnTo>
                <a:lnTo>
                  <a:pt x="4" y="83"/>
                </a:lnTo>
                <a:lnTo>
                  <a:pt x="5" y="83"/>
                </a:lnTo>
                <a:lnTo>
                  <a:pt x="7" y="82"/>
                </a:lnTo>
                <a:lnTo>
                  <a:pt x="8" y="81"/>
                </a:lnTo>
                <a:lnTo>
                  <a:pt x="8" y="81"/>
                </a:lnTo>
                <a:lnTo>
                  <a:pt x="8" y="81"/>
                </a:lnTo>
                <a:lnTo>
                  <a:pt x="8" y="80"/>
                </a:lnTo>
                <a:lnTo>
                  <a:pt x="7" y="79"/>
                </a:lnTo>
                <a:lnTo>
                  <a:pt x="6" y="78"/>
                </a:lnTo>
                <a:lnTo>
                  <a:pt x="5" y="78"/>
                </a:lnTo>
                <a:lnTo>
                  <a:pt x="2" y="78"/>
                </a:lnTo>
                <a:lnTo>
                  <a:pt x="2" y="77"/>
                </a:lnTo>
                <a:lnTo>
                  <a:pt x="2" y="76"/>
                </a:lnTo>
                <a:lnTo>
                  <a:pt x="2" y="75"/>
                </a:lnTo>
                <a:lnTo>
                  <a:pt x="2" y="74"/>
                </a:lnTo>
                <a:lnTo>
                  <a:pt x="1" y="73"/>
                </a:lnTo>
                <a:lnTo>
                  <a:pt x="1" y="72"/>
                </a:lnTo>
                <a:lnTo>
                  <a:pt x="0" y="71"/>
                </a:lnTo>
                <a:lnTo>
                  <a:pt x="0" y="70"/>
                </a:lnTo>
                <a:lnTo>
                  <a:pt x="1" y="69"/>
                </a:lnTo>
                <a:lnTo>
                  <a:pt x="2" y="69"/>
                </a:lnTo>
                <a:lnTo>
                  <a:pt x="2" y="68"/>
                </a:lnTo>
                <a:lnTo>
                  <a:pt x="3" y="68"/>
                </a:lnTo>
                <a:lnTo>
                  <a:pt x="6" y="67"/>
                </a:lnTo>
                <a:lnTo>
                  <a:pt x="8" y="67"/>
                </a:lnTo>
                <a:lnTo>
                  <a:pt x="9" y="66"/>
                </a:lnTo>
                <a:lnTo>
                  <a:pt x="9" y="63"/>
                </a:lnTo>
                <a:lnTo>
                  <a:pt x="9" y="62"/>
                </a:lnTo>
                <a:lnTo>
                  <a:pt x="9" y="61"/>
                </a:lnTo>
                <a:lnTo>
                  <a:pt x="10" y="61"/>
                </a:lnTo>
                <a:lnTo>
                  <a:pt x="10" y="60"/>
                </a:lnTo>
                <a:lnTo>
                  <a:pt x="11" y="59"/>
                </a:lnTo>
                <a:lnTo>
                  <a:pt x="13" y="58"/>
                </a:lnTo>
                <a:lnTo>
                  <a:pt x="14" y="58"/>
                </a:lnTo>
                <a:lnTo>
                  <a:pt x="15" y="56"/>
                </a:lnTo>
                <a:lnTo>
                  <a:pt x="14" y="54"/>
                </a:lnTo>
                <a:lnTo>
                  <a:pt x="14" y="54"/>
                </a:lnTo>
                <a:lnTo>
                  <a:pt x="13" y="53"/>
                </a:lnTo>
                <a:lnTo>
                  <a:pt x="12" y="52"/>
                </a:lnTo>
                <a:lnTo>
                  <a:pt x="15" y="52"/>
                </a:lnTo>
                <a:lnTo>
                  <a:pt x="16" y="51"/>
                </a:lnTo>
                <a:lnTo>
                  <a:pt x="18" y="51"/>
                </a:lnTo>
                <a:lnTo>
                  <a:pt x="19" y="51"/>
                </a:lnTo>
                <a:lnTo>
                  <a:pt x="21" y="51"/>
                </a:lnTo>
                <a:lnTo>
                  <a:pt x="23" y="52"/>
                </a:lnTo>
                <a:lnTo>
                  <a:pt x="24" y="53"/>
                </a:lnTo>
                <a:lnTo>
                  <a:pt x="25" y="53"/>
                </a:lnTo>
                <a:lnTo>
                  <a:pt x="27" y="53"/>
                </a:lnTo>
                <a:lnTo>
                  <a:pt x="29" y="53"/>
                </a:lnTo>
                <a:lnTo>
                  <a:pt x="32" y="52"/>
                </a:lnTo>
                <a:lnTo>
                  <a:pt x="34" y="51"/>
                </a:lnTo>
                <a:lnTo>
                  <a:pt x="36" y="50"/>
                </a:lnTo>
                <a:lnTo>
                  <a:pt x="37" y="49"/>
                </a:lnTo>
                <a:lnTo>
                  <a:pt x="39" y="49"/>
                </a:lnTo>
                <a:lnTo>
                  <a:pt x="41" y="49"/>
                </a:lnTo>
                <a:lnTo>
                  <a:pt x="42" y="49"/>
                </a:lnTo>
                <a:lnTo>
                  <a:pt x="43" y="49"/>
                </a:lnTo>
                <a:lnTo>
                  <a:pt x="44" y="48"/>
                </a:lnTo>
                <a:lnTo>
                  <a:pt x="45" y="48"/>
                </a:lnTo>
                <a:lnTo>
                  <a:pt x="46" y="48"/>
                </a:lnTo>
                <a:lnTo>
                  <a:pt x="47" y="48"/>
                </a:lnTo>
                <a:lnTo>
                  <a:pt x="49" y="48"/>
                </a:lnTo>
                <a:lnTo>
                  <a:pt x="51" y="48"/>
                </a:lnTo>
                <a:lnTo>
                  <a:pt x="54" y="48"/>
                </a:lnTo>
                <a:lnTo>
                  <a:pt x="56" y="47"/>
                </a:lnTo>
                <a:lnTo>
                  <a:pt x="58" y="47"/>
                </a:lnTo>
                <a:lnTo>
                  <a:pt x="60" y="46"/>
                </a:lnTo>
                <a:lnTo>
                  <a:pt x="64" y="44"/>
                </a:lnTo>
                <a:lnTo>
                  <a:pt x="64" y="43"/>
                </a:lnTo>
                <a:lnTo>
                  <a:pt x="63" y="42"/>
                </a:lnTo>
                <a:lnTo>
                  <a:pt x="63" y="40"/>
                </a:lnTo>
                <a:lnTo>
                  <a:pt x="62" y="39"/>
                </a:lnTo>
                <a:lnTo>
                  <a:pt x="61" y="38"/>
                </a:lnTo>
                <a:lnTo>
                  <a:pt x="60" y="37"/>
                </a:lnTo>
                <a:lnTo>
                  <a:pt x="60" y="36"/>
                </a:lnTo>
                <a:lnTo>
                  <a:pt x="60" y="36"/>
                </a:lnTo>
                <a:lnTo>
                  <a:pt x="60" y="35"/>
                </a:lnTo>
                <a:lnTo>
                  <a:pt x="59" y="34"/>
                </a:lnTo>
                <a:lnTo>
                  <a:pt x="59" y="34"/>
                </a:lnTo>
                <a:lnTo>
                  <a:pt x="58" y="33"/>
                </a:lnTo>
                <a:lnTo>
                  <a:pt x="59" y="32"/>
                </a:lnTo>
                <a:lnTo>
                  <a:pt x="59" y="31"/>
                </a:lnTo>
                <a:lnTo>
                  <a:pt x="58" y="31"/>
                </a:lnTo>
                <a:lnTo>
                  <a:pt x="58" y="31"/>
                </a:lnTo>
                <a:lnTo>
                  <a:pt x="57" y="31"/>
                </a:lnTo>
                <a:lnTo>
                  <a:pt x="58" y="30"/>
                </a:lnTo>
                <a:lnTo>
                  <a:pt x="58" y="29"/>
                </a:lnTo>
                <a:lnTo>
                  <a:pt x="58" y="29"/>
                </a:lnTo>
                <a:lnTo>
                  <a:pt x="59" y="29"/>
                </a:lnTo>
                <a:lnTo>
                  <a:pt x="60" y="29"/>
                </a:lnTo>
                <a:lnTo>
                  <a:pt x="61" y="28"/>
                </a:lnTo>
                <a:lnTo>
                  <a:pt x="61" y="27"/>
                </a:lnTo>
                <a:lnTo>
                  <a:pt x="60" y="26"/>
                </a:lnTo>
                <a:lnTo>
                  <a:pt x="60" y="26"/>
                </a:lnTo>
                <a:lnTo>
                  <a:pt x="61" y="25"/>
                </a:lnTo>
                <a:lnTo>
                  <a:pt x="62" y="24"/>
                </a:lnTo>
                <a:lnTo>
                  <a:pt x="60" y="23"/>
                </a:lnTo>
                <a:lnTo>
                  <a:pt x="61" y="20"/>
                </a:lnTo>
                <a:lnTo>
                  <a:pt x="60" y="18"/>
                </a:lnTo>
                <a:lnTo>
                  <a:pt x="60" y="18"/>
                </a:lnTo>
                <a:lnTo>
                  <a:pt x="59" y="17"/>
                </a:lnTo>
                <a:lnTo>
                  <a:pt x="58" y="16"/>
                </a:lnTo>
                <a:lnTo>
                  <a:pt x="57" y="16"/>
                </a:lnTo>
                <a:lnTo>
                  <a:pt x="56" y="17"/>
                </a:lnTo>
                <a:lnTo>
                  <a:pt x="55" y="18"/>
                </a:lnTo>
                <a:lnTo>
                  <a:pt x="54" y="18"/>
                </a:lnTo>
                <a:lnTo>
                  <a:pt x="53" y="17"/>
                </a:lnTo>
                <a:lnTo>
                  <a:pt x="52" y="16"/>
                </a:lnTo>
                <a:lnTo>
                  <a:pt x="52" y="14"/>
                </a:lnTo>
                <a:lnTo>
                  <a:pt x="51" y="14"/>
                </a:lnTo>
                <a:lnTo>
                  <a:pt x="51" y="13"/>
                </a:lnTo>
                <a:lnTo>
                  <a:pt x="51" y="12"/>
                </a:lnTo>
                <a:lnTo>
                  <a:pt x="50" y="11"/>
                </a:lnTo>
                <a:lnTo>
                  <a:pt x="50" y="10"/>
                </a:lnTo>
                <a:lnTo>
                  <a:pt x="50" y="9"/>
                </a:lnTo>
                <a:lnTo>
                  <a:pt x="50" y="8"/>
                </a:lnTo>
                <a:lnTo>
                  <a:pt x="50" y="7"/>
                </a:lnTo>
                <a:lnTo>
                  <a:pt x="50" y="5"/>
                </a:lnTo>
                <a:lnTo>
                  <a:pt x="51" y="4"/>
                </a:lnTo>
                <a:lnTo>
                  <a:pt x="54" y="4"/>
                </a:lnTo>
                <a:lnTo>
                  <a:pt x="55" y="3"/>
                </a:lnTo>
                <a:lnTo>
                  <a:pt x="57" y="3"/>
                </a:lnTo>
                <a:lnTo>
                  <a:pt x="59" y="2"/>
                </a:lnTo>
                <a:lnTo>
                  <a:pt x="61" y="1"/>
                </a:lnTo>
                <a:lnTo>
                  <a:pt x="64" y="0"/>
                </a:lnTo>
                <a:lnTo>
                  <a:pt x="66" y="1"/>
                </a:lnTo>
                <a:lnTo>
                  <a:pt x="69" y="3"/>
                </a:lnTo>
                <a:lnTo>
                  <a:pt x="70" y="4"/>
                </a:lnTo>
                <a:lnTo>
                  <a:pt x="72" y="5"/>
                </a:lnTo>
                <a:lnTo>
                  <a:pt x="74" y="7"/>
                </a:lnTo>
                <a:lnTo>
                  <a:pt x="76" y="9"/>
                </a:lnTo>
                <a:lnTo>
                  <a:pt x="79" y="10"/>
                </a:lnTo>
              </a:path>
            </a:pathLst>
          </a:custGeom>
          <a:grpFill/>
          <a:ln w="9525">
            <a:solidFill>
              <a:schemeClr val="bg1">
                <a:lumMod val="65000"/>
              </a:schemeClr>
            </a:solidFill>
            <a:prstDash val="solid"/>
            <a:round/>
            <a:headEnd/>
            <a:tailEnd/>
          </a:ln>
        </xdr:spPr>
      </xdr:sp>
      <xdr:sp macro="" textlink="">
        <xdr:nvSpPr>
          <xdr:cNvPr id="193" name="GIN005002"/>
          <xdr:cNvSpPr>
            <a:spLocks noChangeAspect="1" noEditPoints="1"/>
          </xdr:cNvSpPr>
        </xdr:nvSpPr>
        <xdr:spPr bwMode="auto">
          <a:xfrm>
            <a:off x="4624944" y="4163661"/>
            <a:ext cx="708190" cy="699717"/>
          </a:xfrm>
          <a:custGeom>
            <a:avLst/>
            <a:gdLst>
              <a:gd name="T0" fmla="*/ 26 w 75"/>
              <a:gd name="T1" fmla="*/ 72 h 77"/>
              <a:gd name="T2" fmla="*/ 21 w 75"/>
              <a:gd name="T3" fmla="*/ 77 h 77"/>
              <a:gd name="T4" fmla="*/ 16 w 75"/>
              <a:gd name="T5" fmla="*/ 74 h 77"/>
              <a:gd name="T6" fmla="*/ 19 w 75"/>
              <a:gd name="T7" fmla="*/ 69 h 77"/>
              <a:gd name="T8" fmla="*/ 21 w 75"/>
              <a:gd name="T9" fmla="*/ 69 h 77"/>
              <a:gd name="T10" fmla="*/ 13 w 75"/>
              <a:gd name="T11" fmla="*/ 70 h 77"/>
              <a:gd name="T12" fmla="*/ 16 w 75"/>
              <a:gd name="T13" fmla="*/ 66 h 77"/>
              <a:gd name="T14" fmla="*/ 18 w 75"/>
              <a:gd name="T15" fmla="*/ 66 h 77"/>
              <a:gd name="T16" fmla="*/ 22 w 75"/>
              <a:gd name="T17" fmla="*/ 59 h 77"/>
              <a:gd name="T18" fmla="*/ 22 w 75"/>
              <a:gd name="T19" fmla="*/ 59 h 77"/>
              <a:gd name="T20" fmla="*/ 55 w 75"/>
              <a:gd name="T21" fmla="*/ 3 h 77"/>
              <a:gd name="T22" fmla="*/ 58 w 75"/>
              <a:gd name="T23" fmla="*/ 5 h 77"/>
              <a:gd name="T24" fmla="*/ 62 w 75"/>
              <a:gd name="T25" fmla="*/ 7 h 77"/>
              <a:gd name="T26" fmla="*/ 66 w 75"/>
              <a:gd name="T27" fmla="*/ 10 h 77"/>
              <a:gd name="T28" fmla="*/ 71 w 75"/>
              <a:gd name="T29" fmla="*/ 11 h 77"/>
              <a:gd name="T30" fmla="*/ 73 w 75"/>
              <a:gd name="T31" fmla="*/ 17 h 77"/>
              <a:gd name="T32" fmla="*/ 74 w 75"/>
              <a:gd name="T33" fmla="*/ 25 h 77"/>
              <a:gd name="T34" fmla="*/ 74 w 75"/>
              <a:gd name="T35" fmla="*/ 30 h 77"/>
              <a:gd name="T36" fmla="*/ 70 w 75"/>
              <a:gd name="T37" fmla="*/ 35 h 77"/>
              <a:gd name="T38" fmla="*/ 72 w 75"/>
              <a:gd name="T39" fmla="*/ 39 h 77"/>
              <a:gd name="T40" fmla="*/ 64 w 75"/>
              <a:gd name="T41" fmla="*/ 44 h 77"/>
              <a:gd name="T42" fmla="*/ 60 w 75"/>
              <a:gd name="T43" fmla="*/ 47 h 77"/>
              <a:gd name="T44" fmla="*/ 62 w 75"/>
              <a:gd name="T45" fmla="*/ 55 h 77"/>
              <a:gd name="T46" fmla="*/ 57 w 75"/>
              <a:gd name="T47" fmla="*/ 57 h 77"/>
              <a:gd name="T48" fmla="*/ 50 w 75"/>
              <a:gd name="T49" fmla="*/ 61 h 77"/>
              <a:gd name="T50" fmla="*/ 49 w 75"/>
              <a:gd name="T51" fmla="*/ 63 h 77"/>
              <a:gd name="T52" fmla="*/ 46 w 75"/>
              <a:gd name="T53" fmla="*/ 67 h 77"/>
              <a:gd name="T54" fmla="*/ 49 w 75"/>
              <a:gd name="T55" fmla="*/ 75 h 77"/>
              <a:gd name="T56" fmla="*/ 42 w 75"/>
              <a:gd name="T57" fmla="*/ 77 h 77"/>
              <a:gd name="T58" fmla="*/ 35 w 75"/>
              <a:gd name="T59" fmla="*/ 76 h 77"/>
              <a:gd name="T60" fmla="*/ 35 w 75"/>
              <a:gd name="T61" fmla="*/ 72 h 77"/>
              <a:gd name="T62" fmla="*/ 33 w 75"/>
              <a:gd name="T63" fmla="*/ 73 h 77"/>
              <a:gd name="T64" fmla="*/ 30 w 75"/>
              <a:gd name="T65" fmla="*/ 74 h 77"/>
              <a:gd name="T66" fmla="*/ 27 w 75"/>
              <a:gd name="T67" fmla="*/ 69 h 77"/>
              <a:gd name="T68" fmla="*/ 24 w 75"/>
              <a:gd name="T69" fmla="*/ 67 h 77"/>
              <a:gd name="T70" fmla="*/ 20 w 75"/>
              <a:gd name="T71" fmla="*/ 69 h 77"/>
              <a:gd name="T72" fmla="*/ 16 w 75"/>
              <a:gd name="T73" fmla="*/ 68 h 77"/>
              <a:gd name="T74" fmla="*/ 19 w 75"/>
              <a:gd name="T75" fmla="*/ 65 h 77"/>
              <a:gd name="T76" fmla="*/ 22 w 75"/>
              <a:gd name="T77" fmla="*/ 62 h 77"/>
              <a:gd name="T78" fmla="*/ 23 w 75"/>
              <a:gd name="T79" fmla="*/ 58 h 77"/>
              <a:gd name="T80" fmla="*/ 22 w 75"/>
              <a:gd name="T81" fmla="*/ 55 h 77"/>
              <a:gd name="T82" fmla="*/ 20 w 75"/>
              <a:gd name="T83" fmla="*/ 54 h 77"/>
              <a:gd name="T84" fmla="*/ 10 w 75"/>
              <a:gd name="T85" fmla="*/ 50 h 77"/>
              <a:gd name="T86" fmla="*/ 4 w 75"/>
              <a:gd name="T87" fmla="*/ 44 h 77"/>
              <a:gd name="T88" fmla="*/ 0 w 75"/>
              <a:gd name="T89" fmla="*/ 39 h 77"/>
              <a:gd name="T90" fmla="*/ 7 w 75"/>
              <a:gd name="T91" fmla="*/ 34 h 77"/>
              <a:gd name="T92" fmla="*/ 13 w 75"/>
              <a:gd name="T93" fmla="*/ 25 h 77"/>
              <a:gd name="T94" fmla="*/ 16 w 75"/>
              <a:gd name="T95" fmla="*/ 24 h 77"/>
              <a:gd name="T96" fmla="*/ 23 w 75"/>
              <a:gd name="T97" fmla="*/ 22 h 77"/>
              <a:gd name="T98" fmla="*/ 28 w 75"/>
              <a:gd name="T99" fmla="*/ 26 h 77"/>
              <a:gd name="T100" fmla="*/ 34 w 75"/>
              <a:gd name="T101" fmla="*/ 20 h 77"/>
              <a:gd name="T102" fmla="*/ 37 w 75"/>
              <a:gd name="T103" fmla="*/ 16 h 77"/>
              <a:gd name="T104" fmla="*/ 40 w 75"/>
              <a:gd name="T105" fmla="*/ 12 h 77"/>
              <a:gd name="T106" fmla="*/ 39 w 75"/>
              <a:gd name="T107" fmla="*/ 6 h 77"/>
              <a:gd name="T108" fmla="*/ 41 w 75"/>
              <a:gd name="T109" fmla="*/ 4 h 77"/>
              <a:gd name="T110" fmla="*/ 43 w 75"/>
              <a:gd name="T111" fmla="*/ 4 h 77"/>
              <a:gd name="T112" fmla="*/ 45 w 75"/>
              <a:gd name="T113" fmla="*/ 3 h 77"/>
              <a:gd name="T114" fmla="*/ 48 w 75"/>
              <a:gd name="T115" fmla="*/ 2 h 77"/>
              <a:gd name="T116" fmla="*/ 50 w 75"/>
              <a:gd name="T117" fmla="*/ 1 h 77"/>
              <a:gd name="T118" fmla="*/ 51 w 75"/>
              <a:gd name="T119" fmla="*/ 0 h 77"/>
              <a:gd name="T120" fmla="*/ 53 w 75"/>
              <a:gd name="T1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5" h="77">
                <a:moveTo>
                  <a:pt x="24" y="69"/>
                </a:moveTo>
                <a:lnTo>
                  <a:pt x="26" y="70"/>
                </a:lnTo>
                <a:lnTo>
                  <a:pt x="27" y="71"/>
                </a:lnTo>
                <a:lnTo>
                  <a:pt x="26" y="72"/>
                </a:lnTo>
                <a:lnTo>
                  <a:pt x="25" y="74"/>
                </a:lnTo>
                <a:lnTo>
                  <a:pt x="24" y="75"/>
                </a:lnTo>
                <a:lnTo>
                  <a:pt x="22" y="76"/>
                </a:lnTo>
                <a:lnTo>
                  <a:pt x="21" y="77"/>
                </a:lnTo>
                <a:lnTo>
                  <a:pt x="19" y="76"/>
                </a:lnTo>
                <a:lnTo>
                  <a:pt x="18" y="75"/>
                </a:lnTo>
                <a:lnTo>
                  <a:pt x="16" y="75"/>
                </a:lnTo>
                <a:lnTo>
                  <a:pt x="16" y="74"/>
                </a:lnTo>
                <a:lnTo>
                  <a:pt x="16" y="71"/>
                </a:lnTo>
                <a:lnTo>
                  <a:pt x="17" y="70"/>
                </a:lnTo>
                <a:lnTo>
                  <a:pt x="17" y="69"/>
                </a:lnTo>
                <a:lnTo>
                  <a:pt x="19" y="69"/>
                </a:lnTo>
                <a:lnTo>
                  <a:pt x="21" y="70"/>
                </a:lnTo>
                <a:lnTo>
                  <a:pt x="21" y="70"/>
                </a:lnTo>
                <a:lnTo>
                  <a:pt x="21" y="70"/>
                </a:lnTo>
                <a:lnTo>
                  <a:pt x="21" y="69"/>
                </a:lnTo>
                <a:lnTo>
                  <a:pt x="22" y="69"/>
                </a:lnTo>
                <a:lnTo>
                  <a:pt x="24" y="69"/>
                </a:lnTo>
                <a:moveTo>
                  <a:pt x="14" y="70"/>
                </a:moveTo>
                <a:lnTo>
                  <a:pt x="13" y="70"/>
                </a:lnTo>
                <a:lnTo>
                  <a:pt x="13" y="70"/>
                </a:lnTo>
                <a:lnTo>
                  <a:pt x="13" y="68"/>
                </a:lnTo>
                <a:lnTo>
                  <a:pt x="14" y="67"/>
                </a:lnTo>
                <a:lnTo>
                  <a:pt x="16" y="66"/>
                </a:lnTo>
                <a:lnTo>
                  <a:pt x="17" y="65"/>
                </a:lnTo>
                <a:lnTo>
                  <a:pt x="18" y="65"/>
                </a:lnTo>
                <a:lnTo>
                  <a:pt x="18" y="65"/>
                </a:lnTo>
                <a:lnTo>
                  <a:pt x="18" y="66"/>
                </a:lnTo>
                <a:lnTo>
                  <a:pt x="15" y="68"/>
                </a:lnTo>
                <a:lnTo>
                  <a:pt x="14" y="69"/>
                </a:lnTo>
                <a:lnTo>
                  <a:pt x="14" y="70"/>
                </a:lnTo>
                <a:moveTo>
                  <a:pt x="22" y="59"/>
                </a:moveTo>
                <a:lnTo>
                  <a:pt x="22" y="61"/>
                </a:lnTo>
                <a:lnTo>
                  <a:pt x="21" y="61"/>
                </a:lnTo>
                <a:lnTo>
                  <a:pt x="21" y="60"/>
                </a:lnTo>
                <a:lnTo>
                  <a:pt x="22" y="59"/>
                </a:lnTo>
                <a:lnTo>
                  <a:pt x="22" y="59"/>
                </a:lnTo>
                <a:lnTo>
                  <a:pt x="22" y="59"/>
                </a:lnTo>
                <a:moveTo>
                  <a:pt x="55" y="2"/>
                </a:moveTo>
                <a:lnTo>
                  <a:pt x="55" y="3"/>
                </a:lnTo>
                <a:lnTo>
                  <a:pt x="55" y="3"/>
                </a:lnTo>
                <a:lnTo>
                  <a:pt x="57" y="3"/>
                </a:lnTo>
                <a:lnTo>
                  <a:pt x="57" y="4"/>
                </a:lnTo>
                <a:lnTo>
                  <a:pt x="58" y="5"/>
                </a:lnTo>
                <a:lnTo>
                  <a:pt x="60" y="7"/>
                </a:lnTo>
                <a:lnTo>
                  <a:pt x="61" y="7"/>
                </a:lnTo>
                <a:lnTo>
                  <a:pt x="62" y="7"/>
                </a:lnTo>
                <a:lnTo>
                  <a:pt x="62" y="7"/>
                </a:lnTo>
                <a:lnTo>
                  <a:pt x="62" y="8"/>
                </a:lnTo>
                <a:lnTo>
                  <a:pt x="63" y="10"/>
                </a:lnTo>
                <a:lnTo>
                  <a:pt x="63" y="9"/>
                </a:lnTo>
                <a:lnTo>
                  <a:pt x="66" y="10"/>
                </a:lnTo>
                <a:lnTo>
                  <a:pt x="68" y="11"/>
                </a:lnTo>
                <a:lnTo>
                  <a:pt x="70" y="11"/>
                </a:lnTo>
                <a:lnTo>
                  <a:pt x="70" y="11"/>
                </a:lnTo>
                <a:lnTo>
                  <a:pt x="71" y="11"/>
                </a:lnTo>
                <a:lnTo>
                  <a:pt x="72" y="12"/>
                </a:lnTo>
                <a:lnTo>
                  <a:pt x="72" y="12"/>
                </a:lnTo>
                <a:lnTo>
                  <a:pt x="72" y="16"/>
                </a:lnTo>
                <a:lnTo>
                  <a:pt x="73" y="17"/>
                </a:lnTo>
                <a:lnTo>
                  <a:pt x="73" y="20"/>
                </a:lnTo>
                <a:lnTo>
                  <a:pt x="74" y="21"/>
                </a:lnTo>
                <a:lnTo>
                  <a:pt x="74" y="24"/>
                </a:lnTo>
                <a:lnTo>
                  <a:pt x="74" y="25"/>
                </a:lnTo>
                <a:lnTo>
                  <a:pt x="75" y="26"/>
                </a:lnTo>
                <a:lnTo>
                  <a:pt x="75" y="27"/>
                </a:lnTo>
                <a:lnTo>
                  <a:pt x="74" y="28"/>
                </a:lnTo>
                <a:lnTo>
                  <a:pt x="74" y="30"/>
                </a:lnTo>
                <a:lnTo>
                  <a:pt x="73" y="32"/>
                </a:lnTo>
                <a:lnTo>
                  <a:pt x="72" y="33"/>
                </a:lnTo>
                <a:lnTo>
                  <a:pt x="71" y="33"/>
                </a:lnTo>
                <a:lnTo>
                  <a:pt x="70" y="35"/>
                </a:lnTo>
                <a:lnTo>
                  <a:pt x="70" y="36"/>
                </a:lnTo>
                <a:lnTo>
                  <a:pt x="71" y="37"/>
                </a:lnTo>
                <a:lnTo>
                  <a:pt x="72" y="38"/>
                </a:lnTo>
                <a:lnTo>
                  <a:pt x="72" y="39"/>
                </a:lnTo>
                <a:lnTo>
                  <a:pt x="67" y="42"/>
                </a:lnTo>
                <a:lnTo>
                  <a:pt x="66" y="43"/>
                </a:lnTo>
                <a:lnTo>
                  <a:pt x="65" y="44"/>
                </a:lnTo>
                <a:lnTo>
                  <a:pt x="64" y="44"/>
                </a:lnTo>
                <a:lnTo>
                  <a:pt x="64" y="45"/>
                </a:lnTo>
                <a:lnTo>
                  <a:pt x="63" y="46"/>
                </a:lnTo>
                <a:lnTo>
                  <a:pt x="61" y="46"/>
                </a:lnTo>
                <a:lnTo>
                  <a:pt x="60" y="47"/>
                </a:lnTo>
                <a:lnTo>
                  <a:pt x="61" y="49"/>
                </a:lnTo>
                <a:lnTo>
                  <a:pt x="63" y="52"/>
                </a:lnTo>
                <a:lnTo>
                  <a:pt x="64" y="54"/>
                </a:lnTo>
                <a:lnTo>
                  <a:pt x="62" y="55"/>
                </a:lnTo>
                <a:lnTo>
                  <a:pt x="62" y="55"/>
                </a:lnTo>
                <a:lnTo>
                  <a:pt x="61" y="56"/>
                </a:lnTo>
                <a:lnTo>
                  <a:pt x="58" y="55"/>
                </a:lnTo>
                <a:lnTo>
                  <a:pt x="57" y="57"/>
                </a:lnTo>
                <a:lnTo>
                  <a:pt x="53" y="57"/>
                </a:lnTo>
                <a:lnTo>
                  <a:pt x="50" y="59"/>
                </a:lnTo>
                <a:lnTo>
                  <a:pt x="49" y="60"/>
                </a:lnTo>
                <a:lnTo>
                  <a:pt x="50" y="61"/>
                </a:lnTo>
                <a:lnTo>
                  <a:pt x="49" y="62"/>
                </a:lnTo>
                <a:lnTo>
                  <a:pt x="49" y="62"/>
                </a:lnTo>
                <a:lnTo>
                  <a:pt x="49" y="63"/>
                </a:lnTo>
                <a:lnTo>
                  <a:pt x="49" y="63"/>
                </a:lnTo>
                <a:lnTo>
                  <a:pt x="48" y="63"/>
                </a:lnTo>
                <a:lnTo>
                  <a:pt x="46" y="64"/>
                </a:lnTo>
                <a:lnTo>
                  <a:pt x="45" y="65"/>
                </a:lnTo>
                <a:lnTo>
                  <a:pt x="46" y="67"/>
                </a:lnTo>
                <a:lnTo>
                  <a:pt x="48" y="71"/>
                </a:lnTo>
                <a:lnTo>
                  <a:pt x="50" y="73"/>
                </a:lnTo>
                <a:lnTo>
                  <a:pt x="51" y="74"/>
                </a:lnTo>
                <a:lnTo>
                  <a:pt x="49" y="75"/>
                </a:lnTo>
                <a:lnTo>
                  <a:pt x="47" y="75"/>
                </a:lnTo>
                <a:lnTo>
                  <a:pt x="47" y="76"/>
                </a:lnTo>
                <a:lnTo>
                  <a:pt x="45" y="77"/>
                </a:lnTo>
                <a:lnTo>
                  <a:pt x="42" y="77"/>
                </a:lnTo>
                <a:lnTo>
                  <a:pt x="42" y="76"/>
                </a:lnTo>
                <a:lnTo>
                  <a:pt x="40" y="77"/>
                </a:lnTo>
                <a:lnTo>
                  <a:pt x="36" y="76"/>
                </a:lnTo>
                <a:lnTo>
                  <a:pt x="35" y="76"/>
                </a:lnTo>
                <a:lnTo>
                  <a:pt x="34" y="75"/>
                </a:lnTo>
                <a:lnTo>
                  <a:pt x="34" y="75"/>
                </a:lnTo>
                <a:lnTo>
                  <a:pt x="34" y="73"/>
                </a:lnTo>
                <a:lnTo>
                  <a:pt x="35" y="72"/>
                </a:lnTo>
                <a:lnTo>
                  <a:pt x="35" y="72"/>
                </a:lnTo>
                <a:lnTo>
                  <a:pt x="34" y="72"/>
                </a:lnTo>
                <a:lnTo>
                  <a:pt x="34" y="73"/>
                </a:lnTo>
                <a:lnTo>
                  <a:pt x="33" y="73"/>
                </a:lnTo>
                <a:lnTo>
                  <a:pt x="33" y="74"/>
                </a:lnTo>
                <a:lnTo>
                  <a:pt x="33" y="74"/>
                </a:lnTo>
                <a:lnTo>
                  <a:pt x="31" y="74"/>
                </a:lnTo>
                <a:lnTo>
                  <a:pt x="30" y="74"/>
                </a:lnTo>
                <a:lnTo>
                  <a:pt x="29" y="73"/>
                </a:lnTo>
                <a:lnTo>
                  <a:pt x="29" y="73"/>
                </a:lnTo>
                <a:lnTo>
                  <a:pt x="28" y="70"/>
                </a:lnTo>
                <a:lnTo>
                  <a:pt x="27" y="69"/>
                </a:lnTo>
                <a:lnTo>
                  <a:pt x="25" y="69"/>
                </a:lnTo>
                <a:lnTo>
                  <a:pt x="25" y="68"/>
                </a:lnTo>
                <a:lnTo>
                  <a:pt x="25" y="66"/>
                </a:lnTo>
                <a:lnTo>
                  <a:pt x="24" y="67"/>
                </a:lnTo>
                <a:lnTo>
                  <a:pt x="24" y="68"/>
                </a:lnTo>
                <a:lnTo>
                  <a:pt x="22" y="68"/>
                </a:lnTo>
                <a:lnTo>
                  <a:pt x="21" y="69"/>
                </a:lnTo>
                <a:lnTo>
                  <a:pt x="20" y="69"/>
                </a:lnTo>
                <a:lnTo>
                  <a:pt x="20" y="68"/>
                </a:lnTo>
                <a:lnTo>
                  <a:pt x="19" y="68"/>
                </a:lnTo>
                <a:lnTo>
                  <a:pt x="17" y="68"/>
                </a:lnTo>
                <a:lnTo>
                  <a:pt x="16" y="68"/>
                </a:lnTo>
                <a:lnTo>
                  <a:pt x="17" y="67"/>
                </a:lnTo>
                <a:lnTo>
                  <a:pt x="18" y="67"/>
                </a:lnTo>
                <a:lnTo>
                  <a:pt x="18" y="66"/>
                </a:lnTo>
                <a:lnTo>
                  <a:pt x="19" y="65"/>
                </a:lnTo>
                <a:lnTo>
                  <a:pt x="19" y="65"/>
                </a:lnTo>
                <a:lnTo>
                  <a:pt x="20" y="63"/>
                </a:lnTo>
                <a:lnTo>
                  <a:pt x="21" y="63"/>
                </a:lnTo>
                <a:lnTo>
                  <a:pt x="22" y="62"/>
                </a:lnTo>
                <a:lnTo>
                  <a:pt x="22" y="61"/>
                </a:lnTo>
                <a:lnTo>
                  <a:pt x="23" y="60"/>
                </a:lnTo>
                <a:lnTo>
                  <a:pt x="23" y="58"/>
                </a:lnTo>
                <a:lnTo>
                  <a:pt x="23" y="58"/>
                </a:lnTo>
                <a:lnTo>
                  <a:pt x="22" y="56"/>
                </a:lnTo>
                <a:lnTo>
                  <a:pt x="23" y="55"/>
                </a:lnTo>
                <a:lnTo>
                  <a:pt x="23" y="55"/>
                </a:lnTo>
                <a:lnTo>
                  <a:pt x="22" y="55"/>
                </a:lnTo>
                <a:lnTo>
                  <a:pt x="21" y="55"/>
                </a:lnTo>
                <a:lnTo>
                  <a:pt x="21" y="55"/>
                </a:lnTo>
                <a:lnTo>
                  <a:pt x="21" y="55"/>
                </a:lnTo>
                <a:lnTo>
                  <a:pt x="20" y="54"/>
                </a:lnTo>
                <a:lnTo>
                  <a:pt x="18" y="54"/>
                </a:lnTo>
                <a:lnTo>
                  <a:pt x="16" y="53"/>
                </a:lnTo>
                <a:lnTo>
                  <a:pt x="15" y="53"/>
                </a:lnTo>
                <a:lnTo>
                  <a:pt x="10" y="50"/>
                </a:lnTo>
                <a:lnTo>
                  <a:pt x="9" y="49"/>
                </a:lnTo>
                <a:lnTo>
                  <a:pt x="6" y="48"/>
                </a:lnTo>
                <a:lnTo>
                  <a:pt x="4" y="45"/>
                </a:lnTo>
                <a:lnTo>
                  <a:pt x="4" y="44"/>
                </a:lnTo>
                <a:lnTo>
                  <a:pt x="2" y="43"/>
                </a:lnTo>
                <a:lnTo>
                  <a:pt x="1" y="41"/>
                </a:lnTo>
                <a:lnTo>
                  <a:pt x="0" y="40"/>
                </a:lnTo>
                <a:lnTo>
                  <a:pt x="0" y="39"/>
                </a:lnTo>
                <a:lnTo>
                  <a:pt x="1" y="38"/>
                </a:lnTo>
                <a:lnTo>
                  <a:pt x="4" y="36"/>
                </a:lnTo>
                <a:lnTo>
                  <a:pt x="4" y="36"/>
                </a:lnTo>
                <a:lnTo>
                  <a:pt x="7" y="34"/>
                </a:lnTo>
                <a:lnTo>
                  <a:pt x="9" y="31"/>
                </a:lnTo>
                <a:lnTo>
                  <a:pt x="10" y="29"/>
                </a:lnTo>
                <a:lnTo>
                  <a:pt x="10" y="28"/>
                </a:lnTo>
                <a:lnTo>
                  <a:pt x="13" y="25"/>
                </a:lnTo>
                <a:lnTo>
                  <a:pt x="13" y="23"/>
                </a:lnTo>
                <a:lnTo>
                  <a:pt x="13" y="24"/>
                </a:lnTo>
                <a:lnTo>
                  <a:pt x="15" y="24"/>
                </a:lnTo>
                <a:lnTo>
                  <a:pt x="16" y="24"/>
                </a:lnTo>
                <a:lnTo>
                  <a:pt x="17" y="24"/>
                </a:lnTo>
                <a:lnTo>
                  <a:pt x="18" y="24"/>
                </a:lnTo>
                <a:lnTo>
                  <a:pt x="21" y="24"/>
                </a:lnTo>
                <a:lnTo>
                  <a:pt x="23" y="22"/>
                </a:lnTo>
                <a:lnTo>
                  <a:pt x="24" y="24"/>
                </a:lnTo>
                <a:lnTo>
                  <a:pt x="25" y="24"/>
                </a:lnTo>
                <a:lnTo>
                  <a:pt x="26" y="25"/>
                </a:lnTo>
                <a:lnTo>
                  <a:pt x="28" y="26"/>
                </a:lnTo>
                <a:lnTo>
                  <a:pt x="29" y="26"/>
                </a:lnTo>
                <a:lnTo>
                  <a:pt x="31" y="26"/>
                </a:lnTo>
                <a:lnTo>
                  <a:pt x="32" y="25"/>
                </a:lnTo>
                <a:lnTo>
                  <a:pt x="34" y="20"/>
                </a:lnTo>
                <a:lnTo>
                  <a:pt x="35" y="19"/>
                </a:lnTo>
                <a:lnTo>
                  <a:pt x="35" y="18"/>
                </a:lnTo>
                <a:lnTo>
                  <a:pt x="36" y="17"/>
                </a:lnTo>
                <a:lnTo>
                  <a:pt x="37" y="16"/>
                </a:lnTo>
                <a:lnTo>
                  <a:pt x="38" y="16"/>
                </a:lnTo>
                <a:lnTo>
                  <a:pt x="40" y="13"/>
                </a:lnTo>
                <a:lnTo>
                  <a:pt x="40" y="12"/>
                </a:lnTo>
                <a:lnTo>
                  <a:pt x="40" y="12"/>
                </a:lnTo>
                <a:lnTo>
                  <a:pt x="40" y="11"/>
                </a:lnTo>
                <a:lnTo>
                  <a:pt x="39" y="10"/>
                </a:lnTo>
                <a:lnTo>
                  <a:pt x="38" y="9"/>
                </a:lnTo>
                <a:lnTo>
                  <a:pt x="39" y="6"/>
                </a:lnTo>
                <a:lnTo>
                  <a:pt x="40" y="6"/>
                </a:lnTo>
                <a:lnTo>
                  <a:pt x="40" y="5"/>
                </a:lnTo>
                <a:lnTo>
                  <a:pt x="41" y="5"/>
                </a:lnTo>
                <a:lnTo>
                  <a:pt x="41" y="4"/>
                </a:lnTo>
                <a:lnTo>
                  <a:pt x="42" y="4"/>
                </a:lnTo>
                <a:lnTo>
                  <a:pt x="42" y="4"/>
                </a:lnTo>
                <a:lnTo>
                  <a:pt x="42" y="4"/>
                </a:lnTo>
                <a:lnTo>
                  <a:pt x="43" y="4"/>
                </a:lnTo>
                <a:lnTo>
                  <a:pt x="43" y="4"/>
                </a:lnTo>
                <a:lnTo>
                  <a:pt x="44" y="4"/>
                </a:lnTo>
                <a:lnTo>
                  <a:pt x="44" y="4"/>
                </a:lnTo>
                <a:lnTo>
                  <a:pt x="45" y="3"/>
                </a:lnTo>
                <a:lnTo>
                  <a:pt x="45" y="2"/>
                </a:lnTo>
                <a:lnTo>
                  <a:pt x="46" y="2"/>
                </a:lnTo>
                <a:lnTo>
                  <a:pt x="47" y="2"/>
                </a:lnTo>
                <a:lnTo>
                  <a:pt x="48" y="2"/>
                </a:lnTo>
                <a:lnTo>
                  <a:pt x="48" y="2"/>
                </a:lnTo>
                <a:lnTo>
                  <a:pt x="49" y="2"/>
                </a:lnTo>
                <a:lnTo>
                  <a:pt x="49" y="2"/>
                </a:lnTo>
                <a:lnTo>
                  <a:pt x="50" y="1"/>
                </a:lnTo>
                <a:lnTo>
                  <a:pt x="50" y="0"/>
                </a:lnTo>
                <a:lnTo>
                  <a:pt x="50" y="0"/>
                </a:lnTo>
                <a:lnTo>
                  <a:pt x="50" y="0"/>
                </a:lnTo>
                <a:lnTo>
                  <a:pt x="51" y="0"/>
                </a:lnTo>
                <a:lnTo>
                  <a:pt x="52" y="0"/>
                </a:lnTo>
                <a:lnTo>
                  <a:pt x="53" y="1"/>
                </a:lnTo>
                <a:lnTo>
                  <a:pt x="53" y="1"/>
                </a:lnTo>
                <a:lnTo>
                  <a:pt x="53" y="1"/>
                </a:lnTo>
                <a:lnTo>
                  <a:pt x="54" y="2"/>
                </a:lnTo>
                <a:lnTo>
                  <a:pt x="55" y="2"/>
                </a:lnTo>
              </a:path>
            </a:pathLst>
          </a:custGeom>
          <a:grpFill/>
          <a:ln w="9525">
            <a:solidFill>
              <a:schemeClr val="bg1">
                <a:lumMod val="65000"/>
              </a:schemeClr>
            </a:solidFill>
            <a:prstDash val="solid"/>
            <a:round/>
            <a:headEnd/>
            <a:tailEnd/>
          </a:ln>
        </xdr:spPr>
      </xdr:sp>
      <xdr:sp macro="" textlink="">
        <xdr:nvSpPr>
          <xdr:cNvPr id="194" name="GIN003003"/>
          <xdr:cNvSpPr>
            <a:spLocks noChangeAspect="1"/>
          </xdr:cNvSpPr>
        </xdr:nvSpPr>
        <xdr:spPr bwMode="auto">
          <a:xfrm>
            <a:off x="6895235" y="4096986"/>
            <a:ext cx="1263980" cy="1381682"/>
          </a:xfrm>
          <a:custGeom>
            <a:avLst/>
            <a:gdLst>
              <a:gd name="T0" fmla="*/ 106 w 134"/>
              <a:gd name="T1" fmla="*/ 5 h 151"/>
              <a:gd name="T2" fmla="*/ 111 w 134"/>
              <a:gd name="T3" fmla="*/ 8 h 151"/>
              <a:gd name="T4" fmla="*/ 116 w 134"/>
              <a:gd name="T5" fmla="*/ 3 h 151"/>
              <a:gd name="T6" fmla="*/ 123 w 134"/>
              <a:gd name="T7" fmla="*/ 6 h 151"/>
              <a:gd name="T8" fmla="*/ 124 w 134"/>
              <a:gd name="T9" fmla="*/ 10 h 151"/>
              <a:gd name="T10" fmla="*/ 127 w 134"/>
              <a:gd name="T11" fmla="*/ 10 h 151"/>
              <a:gd name="T12" fmla="*/ 131 w 134"/>
              <a:gd name="T13" fmla="*/ 5 h 151"/>
              <a:gd name="T14" fmla="*/ 134 w 134"/>
              <a:gd name="T15" fmla="*/ 9 h 151"/>
              <a:gd name="T16" fmla="*/ 131 w 134"/>
              <a:gd name="T17" fmla="*/ 12 h 151"/>
              <a:gd name="T18" fmla="*/ 132 w 134"/>
              <a:gd name="T19" fmla="*/ 16 h 151"/>
              <a:gd name="T20" fmla="*/ 129 w 134"/>
              <a:gd name="T21" fmla="*/ 21 h 151"/>
              <a:gd name="T22" fmla="*/ 123 w 134"/>
              <a:gd name="T23" fmla="*/ 24 h 151"/>
              <a:gd name="T24" fmla="*/ 122 w 134"/>
              <a:gd name="T25" fmla="*/ 30 h 151"/>
              <a:gd name="T26" fmla="*/ 124 w 134"/>
              <a:gd name="T27" fmla="*/ 39 h 151"/>
              <a:gd name="T28" fmla="*/ 120 w 134"/>
              <a:gd name="T29" fmla="*/ 44 h 151"/>
              <a:gd name="T30" fmla="*/ 113 w 134"/>
              <a:gd name="T31" fmla="*/ 49 h 151"/>
              <a:gd name="T32" fmla="*/ 109 w 134"/>
              <a:gd name="T33" fmla="*/ 58 h 151"/>
              <a:gd name="T34" fmla="*/ 112 w 134"/>
              <a:gd name="T35" fmla="*/ 66 h 151"/>
              <a:gd name="T36" fmla="*/ 109 w 134"/>
              <a:gd name="T37" fmla="*/ 71 h 151"/>
              <a:gd name="T38" fmla="*/ 107 w 134"/>
              <a:gd name="T39" fmla="*/ 80 h 151"/>
              <a:gd name="T40" fmla="*/ 105 w 134"/>
              <a:gd name="T41" fmla="*/ 88 h 151"/>
              <a:gd name="T42" fmla="*/ 104 w 134"/>
              <a:gd name="T43" fmla="*/ 99 h 151"/>
              <a:gd name="T44" fmla="*/ 107 w 134"/>
              <a:gd name="T45" fmla="*/ 107 h 151"/>
              <a:gd name="T46" fmla="*/ 109 w 134"/>
              <a:gd name="T47" fmla="*/ 117 h 151"/>
              <a:gd name="T48" fmla="*/ 106 w 134"/>
              <a:gd name="T49" fmla="*/ 127 h 151"/>
              <a:gd name="T50" fmla="*/ 104 w 134"/>
              <a:gd name="T51" fmla="*/ 133 h 151"/>
              <a:gd name="T52" fmla="*/ 101 w 134"/>
              <a:gd name="T53" fmla="*/ 139 h 151"/>
              <a:gd name="T54" fmla="*/ 100 w 134"/>
              <a:gd name="T55" fmla="*/ 145 h 151"/>
              <a:gd name="T56" fmla="*/ 92 w 134"/>
              <a:gd name="T57" fmla="*/ 149 h 151"/>
              <a:gd name="T58" fmla="*/ 86 w 134"/>
              <a:gd name="T59" fmla="*/ 150 h 151"/>
              <a:gd name="T60" fmla="*/ 80 w 134"/>
              <a:gd name="T61" fmla="*/ 148 h 151"/>
              <a:gd name="T62" fmla="*/ 73 w 134"/>
              <a:gd name="T63" fmla="*/ 145 h 151"/>
              <a:gd name="T64" fmla="*/ 75 w 134"/>
              <a:gd name="T65" fmla="*/ 137 h 151"/>
              <a:gd name="T66" fmla="*/ 80 w 134"/>
              <a:gd name="T67" fmla="*/ 134 h 151"/>
              <a:gd name="T68" fmla="*/ 80 w 134"/>
              <a:gd name="T69" fmla="*/ 127 h 151"/>
              <a:gd name="T70" fmla="*/ 72 w 134"/>
              <a:gd name="T71" fmla="*/ 118 h 151"/>
              <a:gd name="T72" fmla="*/ 65 w 134"/>
              <a:gd name="T73" fmla="*/ 117 h 151"/>
              <a:gd name="T74" fmla="*/ 63 w 134"/>
              <a:gd name="T75" fmla="*/ 110 h 151"/>
              <a:gd name="T76" fmla="*/ 59 w 134"/>
              <a:gd name="T77" fmla="*/ 103 h 151"/>
              <a:gd name="T78" fmla="*/ 55 w 134"/>
              <a:gd name="T79" fmla="*/ 97 h 151"/>
              <a:gd name="T80" fmla="*/ 52 w 134"/>
              <a:gd name="T81" fmla="*/ 91 h 151"/>
              <a:gd name="T82" fmla="*/ 48 w 134"/>
              <a:gd name="T83" fmla="*/ 85 h 151"/>
              <a:gd name="T84" fmla="*/ 37 w 134"/>
              <a:gd name="T85" fmla="*/ 73 h 151"/>
              <a:gd name="T86" fmla="*/ 30 w 134"/>
              <a:gd name="T87" fmla="*/ 63 h 151"/>
              <a:gd name="T88" fmla="*/ 20 w 134"/>
              <a:gd name="T89" fmla="*/ 58 h 151"/>
              <a:gd name="T90" fmla="*/ 0 w 134"/>
              <a:gd name="T91" fmla="*/ 56 h 151"/>
              <a:gd name="T92" fmla="*/ 7 w 134"/>
              <a:gd name="T93" fmla="*/ 42 h 151"/>
              <a:gd name="T94" fmla="*/ 9 w 134"/>
              <a:gd name="T95" fmla="*/ 25 h 151"/>
              <a:gd name="T96" fmla="*/ 12 w 134"/>
              <a:gd name="T97" fmla="*/ 19 h 151"/>
              <a:gd name="T98" fmla="*/ 18 w 134"/>
              <a:gd name="T99" fmla="*/ 18 h 151"/>
              <a:gd name="T100" fmla="*/ 24 w 134"/>
              <a:gd name="T101" fmla="*/ 11 h 151"/>
              <a:gd name="T102" fmla="*/ 31 w 134"/>
              <a:gd name="T103" fmla="*/ 7 h 151"/>
              <a:gd name="T104" fmla="*/ 35 w 134"/>
              <a:gd name="T105" fmla="*/ 5 h 151"/>
              <a:gd name="T106" fmla="*/ 51 w 134"/>
              <a:gd name="T107" fmla="*/ 5 h 151"/>
              <a:gd name="T108" fmla="*/ 69 w 134"/>
              <a:gd name="T109" fmla="*/ 13 h 151"/>
              <a:gd name="T110" fmla="*/ 74 w 134"/>
              <a:gd name="T111" fmla="*/ 8 h 151"/>
              <a:gd name="T112" fmla="*/ 89 w 134"/>
              <a:gd name="T113" fmla="*/ 0 h 151"/>
              <a:gd name="T114" fmla="*/ 101 w 134"/>
              <a:gd name="T115" fmla="*/ 6 h 1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34" h="151">
                <a:moveTo>
                  <a:pt x="104" y="7"/>
                </a:moveTo>
                <a:lnTo>
                  <a:pt x="104" y="8"/>
                </a:lnTo>
                <a:lnTo>
                  <a:pt x="104" y="8"/>
                </a:lnTo>
                <a:lnTo>
                  <a:pt x="105" y="6"/>
                </a:lnTo>
                <a:lnTo>
                  <a:pt x="105" y="5"/>
                </a:lnTo>
                <a:lnTo>
                  <a:pt x="105" y="4"/>
                </a:lnTo>
                <a:lnTo>
                  <a:pt x="106" y="5"/>
                </a:lnTo>
                <a:lnTo>
                  <a:pt x="107" y="6"/>
                </a:lnTo>
                <a:lnTo>
                  <a:pt x="108" y="5"/>
                </a:lnTo>
                <a:lnTo>
                  <a:pt x="109" y="5"/>
                </a:lnTo>
                <a:lnTo>
                  <a:pt x="110" y="5"/>
                </a:lnTo>
                <a:lnTo>
                  <a:pt x="110" y="7"/>
                </a:lnTo>
                <a:lnTo>
                  <a:pt x="110" y="8"/>
                </a:lnTo>
                <a:lnTo>
                  <a:pt x="111" y="8"/>
                </a:lnTo>
                <a:lnTo>
                  <a:pt x="112" y="8"/>
                </a:lnTo>
                <a:lnTo>
                  <a:pt x="112" y="7"/>
                </a:lnTo>
                <a:lnTo>
                  <a:pt x="112" y="6"/>
                </a:lnTo>
                <a:lnTo>
                  <a:pt x="113" y="5"/>
                </a:lnTo>
                <a:lnTo>
                  <a:pt x="114" y="5"/>
                </a:lnTo>
                <a:lnTo>
                  <a:pt x="115" y="4"/>
                </a:lnTo>
                <a:lnTo>
                  <a:pt x="116" y="3"/>
                </a:lnTo>
                <a:lnTo>
                  <a:pt x="116" y="4"/>
                </a:lnTo>
                <a:lnTo>
                  <a:pt x="116" y="5"/>
                </a:lnTo>
                <a:lnTo>
                  <a:pt x="116" y="6"/>
                </a:lnTo>
                <a:lnTo>
                  <a:pt x="118" y="7"/>
                </a:lnTo>
                <a:lnTo>
                  <a:pt x="120" y="7"/>
                </a:lnTo>
                <a:lnTo>
                  <a:pt x="121" y="7"/>
                </a:lnTo>
                <a:lnTo>
                  <a:pt x="123" y="6"/>
                </a:lnTo>
                <a:lnTo>
                  <a:pt x="124" y="6"/>
                </a:lnTo>
                <a:lnTo>
                  <a:pt x="123" y="7"/>
                </a:lnTo>
                <a:lnTo>
                  <a:pt x="122" y="8"/>
                </a:lnTo>
                <a:lnTo>
                  <a:pt x="122" y="8"/>
                </a:lnTo>
                <a:lnTo>
                  <a:pt x="122" y="10"/>
                </a:lnTo>
                <a:lnTo>
                  <a:pt x="123" y="10"/>
                </a:lnTo>
                <a:lnTo>
                  <a:pt x="124" y="10"/>
                </a:lnTo>
                <a:lnTo>
                  <a:pt x="125" y="12"/>
                </a:lnTo>
                <a:lnTo>
                  <a:pt x="126" y="14"/>
                </a:lnTo>
                <a:lnTo>
                  <a:pt x="127" y="14"/>
                </a:lnTo>
                <a:lnTo>
                  <a:pt x="126" y="12"/>
                </a:lnTo>
                <a:lnTo>
                  <a:pt x="127" y="12"/>
                </a:lnTo>
                <a:lnTo>
                  <a:pt x="127" y="11"/>
                </a:lnTo>
                <a:lnTo>
                  <a:pt x="127" y="10"/>
                </a:lnTo>
                <a:lnTo>
                  <a:pt x="128" y="10"/>
                </a:lnTo>
                <a:lnTo>
                  <a:pt x="128" y="10"/>
                </a:lnTo>
                <a:lnTo>
                  <a:pt x="130" y="9"/>
                </a:lnTo>
                <a:lnTo>
                  <a:pt x="130" y="7"/>
                </a:lnTo>
                <a:lnTo>
                  <a:pt x="130" y="6"/>
                </a:lnTo>
                <a:lnTo>
                  <a:pt x="131" y="5"/>
                </a:lnTo>
                <a:lnTo>
                  <a:pt x="131" y="5"/>
                </a:lnTo>
                <a:lnTo>
                  <a:pt x="131" y="6"/>
                </a:lnTo>
                <a:lnTo>
                  <a:pt x="132" y="7"/>
                </a:lnTo>
                <a:lnTo>
                  <a:pt x="132" y="7"/>
                </a:lnTo>
                <a:lnTo>
                  <a:pt x="132" y="8"/>
                </a:lnTo>
                <a:lnTo>
                  <a:pt x="131" y="9"/>
                </a:lnTo>
                <a:lnTo>
                  <a:pt x="133" y="9"/>
                </a:lnTo>
                <a:lnTo>
                  <a:pt x="134" y="9"/>
                </a:lnTo>
                <a:lnTo>
                  <a:pt x="134" y="10"/>
                </a:lnTo>
                <a:lnTo>
                  <a:pt x="133" y="11"/>
                </a:lnTo>
                <a:lnTo>
                  <a:pt x="134" y="12"/>
                </a:lnTo>
                <a:lnTo>
                  <a:pt x="134" y="13"/>
                </a:lnTo>
                <a:lnTo>
                  <a:pt x="133" y="13"/>
                </a:lnTo>
                <a:lnTo>
                  <a:pt x="132" y="13"/>
                </a:lnTo>
                <a:lnTo>
                  <a:pt x="131" y="12"/>
                </a:lnTo>
                <a:lnTo>
                  <a:pt x="130" y="12"/>
                </a:lnTo>
                <a:lnTo>
                  <a:pt x="130" y="12"/>
                </a:lnTo>
                <a:lnTo>
                  <a:pt x="130" y="13"/>
                </a:lnTo>
                <a:lnTo>
                  <a:pt x="130" y="14"/>
                </a:lnTo>
                <a:lnTo>
                  <a:pt x="130" y="15"/>
                </a:lnTo>
                <a:lnTo>
                  <a:pt x="130" y="16"/>
                </a:lnTo>
                <a:lnTo>
                  <a:pt x="132" y="16"/>
                </a:lnTo>
                <a:lnTo>
                  <a:pt x="132" y="16"/>
                </a:lnTo>
                <a:lnTo>
                  <a:pt x="133" y="17"/>
                </a:lnTo>
                <a:lnTo>
                  <a:pt x="132" y="18"/>
                </a:lnTo>
                <a:lnTo>
                  <a:pt x="130" y="18"/>
                </a:lnTo>
                <a:lnTo>
                  <a:pt x="130" y="18"/>
                </a:lnTo>
                <a:lnTo>
                  <a:pt x="130" y="19"/>
                </a:lnTo>
                <a:lnTo>
                  <a:pt x="129" y="21"/>
                </a:lnTo>
                <a:lnTo>
                  <a:pt x="130" y="22"/>
                </a:lnTo>
                <a:lnTo>
                  <a:pt x="130" y="23"/>
                </a:lnTo>
                <a:lnTo>
                  <a:pt x="128" y="23"/>
                </a:lnTo>
                <a:lnTo>
                  <a:pt x="129" y="24"/>
                </a:lnTo>
                <a:lnTo>
                  <a:pt x="127" y="26"/>
                </a:lnTo>
                <a:lnTo>
                  <a:pt x="126" y="26"/>
                </a:lnTo>
                <a:lnTo>
                  <a:pt x="123" y="24"/>
                </a:lnTo>
                <a:lnTo>
                  <a:pt x="121" y="24"/>
                </a:lnTo>
                <a:lnTo>
                  <a:pt x="121" y="26"/>
                </a:lnTo>
                <a:lnTo>
                  <a:pt x="122" y="26"/>
                </a:lnTo>
                <a:lnTo>
                  <a:pt x="123" y="26"/>
                </a:lnTo>
                <a:lnTo>
                  <a:pt x="123" y="28"/>
                </a:lnTo>
                <a:lnTo>
                  <a:pt x="122" y="29"/>
                </a:lnTo>
                <a:lnTo>
                  <a:pt x="122" y="30"/>
                </a:lnTo>
                <a:lnTo>
                  <a:pt x="123" y="29"/>
                </a:lnTo>
                <a:lnTo>
                  <a:pt x="123" y="30"/>
                </a:lnTo>
                <a:lnTo>
                  <a:pt x="122" y="33"/>
                </a:lnTo>
                <a:lnTo>
                  <a:pt x="123" y="34"/>
                </a:lnTo>
                <a:lnTo>
                  <a:pt x="124" y="36"/>
                </a:lnTo>
                <a:lnTo>
                  <a:pt x="125" y="37"/>
                </a:lnTo>
                <a:lnTo>
                  <a:pt x="124" y="39"/>
                </a:lnTo>
                <a:lnTo>
                  <a:pt x="123" y="40"/>
                </a:lnTo>
                <a:lnTo>
                  <a:pt x="122" y="40"/>
                </a:lnTo>
                <a:lnTo>
                  <a:pt x="122" y="42"/>
                </a:lnTo>
                <a:lnTo>
                  <a:pt x="121" y="42"/>
                </a:lnTo>
                <a:lnTo>
                  <a:pt x="120" y="43"/>
                </a:lnTo>
                <a:lnTo>
                  <a:pt x="119" y="43"/>
                </a:lnTo>
                <a:lnTo>
                  <a:pt x="120" y="44"/>
                </a:lnTo>
                <a:lnTo>
                  <a:pt x="119" y="46"/>
                </a:lnTo>
                <a:lnTo>
                  <a:pt x="118" y="46"/>
                </a:lnTo>
                <a:lnTo>
                  <a:pt x="117" y="47"/>
                </a:lnTo>
                <a:lnTo>
                  <a:pt x="116" y="47"/>
                </a:lnTo>
                <a:lnTo>
                  <a:pt x="115" y="48"/>
                </a:lnTo>
                <a:lnTo>
                  <a:pt x="113" y="48"/>
                </a:lnTo>
                <a:lnTo>
                  <a:pt x="113" y="49"/>
                </a:lnTo>
                <a:lnTo>
                  <a:pt x="113" y="49"/>
                </a:lnTo>
                <a:lnTo>
                  <a:pt x="113" y="50"/>
                </a:lnTo>
                <a:lnTo>
                  <a:pt x="113" y="52"/>
                </a:lnTo>
                <a:lnTo>
                  <a:pt x="113" y="53"/>
                </a:lnTo>
                <a:lnTo>
                  <a:pt x="111" y="56"/>
                </a:lnTo>
                <a:lnTo>
                  <a:pt x="110" y="56"/>
                </a:lnTo>
                <a:lnTo>
                  <a:pt x="109" y="58"/>
                </a:lnTo>
                <a:lnTo>
                  <a:pt x="110" y="59"/>
                </a:lnTo>
                <a:lnTo>
                  <a:pt x="110" y="59"/>
                </a:lnTo>
                <a:lnTo>
                  <a:pt x="110" y="60"/>
                </a:lnTo>
                <a:lnTo>
                  <a:pt x="111" y="61"/>
                </a:lnTo>
                <a:lnTo>
                  <a:pt x="111" y="63"/>
                </a:lnTo>
                <a:lnTo>
                  <a:pt x="112" y="65"/>
                </a:lnTo>
                <a:lnTo>
                  <a:pt x="112" y="66"/>
                </a:lnTo>
                <a:lnTo>
                  <a:pt x="113" y="68"/>
                </a:lnTo>
                <a:lnTo>
                  <a:pt x="112" y="69"/>
                </a:lnTo>
                <a:lnTo>
                  <a:pt x="111" y="69"/>
                </a:lnTo>
                <a:lnTo>
                  <a:pt x="111" y="70"/>
                </a:lnTo>
                <a:lnTo>
                  <a:pt x="111" y="71"/>
                </a:lnTo>
                <a:lnTo>
                  <a:pt x="109" y="71"/>
                </a:lnTo>
                <a:lnTo>
                  <a:pt x="109" y="71"/>
                </a:lnTo>
                <a:lnTo>
                  <a:pt x="108" y="72"/>
                </a:lnTo>
                <a:lnTo>
                  <a:pt x="108" y="72"/>
                </a:lnTo>
                <a:lnTo>
                  <a:pt x="108" y="74"/>
                </a:lnTo>
                <a:lnTo>
                  <a:pt x="108" y="76"/>
                </a:lnTo>
                <a:lnTo>
                  <a:pt x="109" y="77"/>
                </a:lnTo>
                <a:lnTo>
                  <a:pt x="109" y="79"/>
                </a:lnTo>
                <a:lnTo>
                  <a:pt x="107" y="80"/>
                </a:lnTo>
                <a:lnTo>
                  <a:pt x="106" y="81"/>
                </a:lnTo>
                <a:lnTo>
                  <a:pt x="105" y="82"/>
                </a:lnTo>
                <a:lnTo>
                  <a:pt x="104" y="84"/>
                </a:lnTo>
                <a:lnTo>
                  <a:pt x="105" y="85"/>
                </a:lnTo>
                <a:lnTo>
                  <a:pt x="105" y="87"/>
                </a:lnTo>
                <a:lnTo>
                  <a:pt x="105" y="88"/>
                </a:lnTo>
                <a:lnTo>
                  <a:pt x="105" y="88"/>
                </a:lnTo>
                <a:lnTo>
                  <a:pt x="105" y="90"/>
                </a:lnTo>
                <a:lnTo>
                  <a:pt x="105" y="92"/>
                </a:lnTo>
                <a:lnTo>
                  <a:pt x="105" y="93"/>
                </a:lnTo>
                <a:lnTo>
                  <a:pt x="105" y="94"/>
                </a:lnTo>
                <a:lnTo>
                  <a:pt x="103" y="96"/>
                </a:lnTo>
                <a:lnTo>
                  <a:pt x="103" y="98"/>
                </a:lnTo>
                <a:lnTo>
                  <a:pt x="104" y="99"/>
                </a:lnTo>
                <a:lnTo>
                  <a:pt x="104" y="101"/>
                </a:lnTo>
                <a:lnTo>
                  <a:pt x="104" y="102"/>
                </a:lnTo>
                <a:lnTo>
                  <a:pt x="105" y="103"/>
                </a:lnTo>
                <a:lnTo>
                  <a:pt x="105" y="104"/>
                </a:lnTo>
                <a:lnTo>
                  <a:pt x="105" y="105"/>
                </a:lnTo>
                <a:lnTo>
                  <a:pt x="106" y="107"/>
                </a:lnTo>
                <a:lnTo>
                  <a:pt x="107" y="107"/>
                </a:lnTo>
                <a:lnTo>
                  <a:pt x="108" y="109"/>
                </a:lnTo>
                <a:lnTo>
                  <a:pt x="108" y="110"/>
                </a:lnTo>
                <a:lnTo>
                  <a:pt x="108" y="110"/>
                </a:lnTo>
                <a:lnTo>
                  <a:pt x="108" y="112"/>
                </a:lnTo>
                <a:lnTo>
                  <a:pt x="108" y="114"/>
                </a:lnTo>
                <a:lnTo>
                  <a:pt x="108" y="115"/>
                </a:lnTo>
                <a:lnTo>
                  <a:pt x="109" y="117"/>
                </a:lnTo>
                <a:lnTo>
                  <a:pt x="109" y="118"/>
                </a:lnTo>
                <a:lnTo>
                  <a:pt x="109" y="120"/>
                </a:lnTo>
                <a:lnTo>
                  <a:pt x="108" y="121"/>
                </a:lnTo>
                <a:lnTo>
                  <a:pt x="108" y="123"/>
                </a:lnTo>
                <a:lnTo>
                  <a:pt x="108" y="125"/>
                </a:lnTo>
                <a:lnTo>
                  <a:pt x="107" y="126"/>
                </a:lnTo>
                <a:lnTo>
                  <a:pt x="106" y="127"/>
                </a:lnTo>
                <a:lnTo>
                  <a:pt x="107" y="128"/>
                </a:lnTo>
                <a:lnTo>
                  <a:pt x="106" y="129"/>
                </a:lnTo>
                <a:lnTo>
                  <a:pt x="106" y="129"/>
                </a:lnTo>
                <a:lnTo>
                  <a:pt x="105" y="130"/>
                </a:lnTo>
                <a:lnTo>
                  <a:pt x="103" y="131"/>
                </a:lnTo>
                <a:lnTo>
                  <a:pt x="104" y="132"/>
                </a:lnTo>
                <a:lnTo>
                  <a:pt x="104" y="133"/>
                </a:lnTo>
                <a:lnTo>
                  <a:pt x="103" y="135"/>
                </a:lnTo>
                <a:lnTo>
                  <a:pt x="103" y="136"/>
                </a:lnTo>
                <a:lnTo>
                  <a:pt x="102" y="136"/>
                </a:lnTo>
                <a:lnTo>
                  <a:pt x="101" y="138"/>
                </a:lnTo>
                <a:lnTo>
                  <a:pt x="102" y="138"/>
                </a:lnTo>
                <a:lnTo>
                  <a:pt x="102" y="139"/>
                </a:lnTo>
                <a:lnTo>
                  <a:pt x="101" y="139"/>
                </a:lnTo>
                <a:lnTo>
                  <a:pt x="101" y="140"/>
                </a:lnTo>
                <a:lnTo>
                  <a:pt x="103" y="141"/>
                </a:lnTo>
                <a:lnTo>
                  <a:pt x="102" y="143"/>
                </a:lnTo>
                <a:lnTo>
                  <a:pt x="102" y="144"/>
                </a:lnTo>
                <a:lnTo>
                  <a:pt x="102" y="145"/>
                </a:lnTo>
                <a:lnTo>
                  <a:pt x="101" y="145"/>
                </a:lnTo>
                <a:lnTo>
                  <a:pt x="100" y="145"/>
                </a:lnTo>
                <a:lnTo>
                  <a:pt x="100" y="147"/>
                </a:lnTo>
                <a:lnTo>
                  <a:pt x="99" y="148"/>
                </a:lnTo>
                <a:lnTo>
                  <a:pt x="98" y="149"/>
                </a:lnTo>
                <a:lnTo>
                  <a:pt x="97" y="149"/>
                </a:lnTo>
                <a:lnTo>
                  <a:pt x="96" y="149"/>
                </a:lnTo>
                <a:lnTo>
                  <a:pt x="93" y="149"/>
                </a:lnTo>
                <a:lnTo>
                  <a:pt x="92" y="149"/>
                </a:lnTo>
                <a:lnTo>
                  <a:pt x="91" y="149"/>
                </a:lnTo>
                <a:lnTo>
                  <a:pt x="90" y="150"/>
                </a:lnTo>
                <a:lnTo>
                  <a:pt x="89" y="151"/>
                </a:lnTo>
                <a:lnTo>
                  <a:pt x="89" y="151"/>
                </a:lnTo>
                <a:lnTo>
                  <a:pt x="88" y="151"/>
                </a:lnTo>
                <a:lnTo>
                  <a:pt x="87" y="150"/>
                </a:lnTo>
                <a:lnTo>
                  <a:pt x="86" y="150"/>
                </a:lnTo>
                <a:lnTo>
                  <a:pt x="86" y="150"/>
                </a:lnTo>
                <a:lnTo>
                  <a:pt x="85" y="149"/>
                </a:lnTo>
                <a:lnTo>
                  <a:pt x="84" y="149"/>
                </a:lnTo>
                <a:lnTo>
                  <a:pt x="84" y="149"/>
                </a:lnTo>
                <a:lnTo>
                  <a:pt x="84" y="149"/>
                </a:lnTo>
                <a:lnTo>
                  <a:pt x="83" y="149"/>
                </a:lnTo>
                <a:lnTo>
                  <a:pt x="80" y="148"/>
                </a:lnTo>
                <a:lnTo>
                  <a:pt x="79" y="148"/>
                </a:lnTo>
                <a:lnTo>
                  <a:pt x="75" y="148"/>
                </a:lnTo>
                <a:lnTo>
                  <a:pt x="73" y="148"/>
                </a:lnTo>
                <a:lnTo>
                  <a:pt x="73" y="148"/>
                </a:lnTo>
                <a:lnTo>
                  <a:pt x="73" y="147"/>
                </a:lnTo>
                <a:lnTo>
                  <a:pt x="73" y="147"/>
                </a:lnTo>
                <a:lnTo>
                  <a:pt x="73" y="145"/>
                </a:lnTo>
                <a:lnTo>
                  <a:pt x="73" y="143"/>
                </a:lnTo>
                <a:lnTo>
                  <a:pt x="75" y="142"/>
                </a:lnTo>
                <a:lnTo>
                  <a:pt x="75" y="140"/>
                </a:lnTo>
                <a:lnTo>
                  <a:pt x="74" y="138"/>
                </a:lnTo>
                <a:lnTo>
                  <a:pt x="74" y="137"/>
                </a:lnTo>
                <a:lnTo>
                  <a:pt x="75" y="136"/>
                </a:lnTo>
                <a:lnTo>
                  <a:pt x="75" y="137"/>
                </a:lnTo>
                <a:lnTo>
                  <a:pt x="75" y="137"/>
                </a:lnTo>
                <a:lnTo>
                  <a:pt x="77" y="137"/>
                </a:lnTo>
                <a:lnTo>
                  <a:pt x="78" y="136"/>
                </a:lnTo>
                <a:lnTo>
                  <a:pt x="78" y="136"/>
                </a:lnTo>
                <a:lnTo>
                  <a:pt x="79" y="136"/>
                </a:lnTo>
                <a:lnTo>
                  <a:pt x="80" y="135"/>
                </a:lnTo>
                <a:lnTo>
                  <a:pt x="80" y="134"/>
                </a:lnTo>
                <a:lnTo>
                  <a:pt x="80" y="134"/>
                </a:lnTo>
                <a:lnTo>
                  <a:pt x="79" y="133"/>
                </a:lnTo>
                <a:lnTo>
                  <a:pt x="79" y="132"/>
                </a:lnTo>
                <a:lnTo>
                  <a:pt x="79" y="133"/>
                </a:lnTo>
                <a:lnTo>
                  <a:pt x="79" y="132"/>
                </a:lnTo>
                <a:lnTo>
                  <a:pt x="79" y="130"/>
                </a:lnTo>
                <a:lnTo>
                  <a:pt x="80" y="127"/>
                </a:lnTo>
                <a:lnTo>
                  <a:pt x="80" y="126"/>
                </a:lnTo>
                <a:lnTo>
                  <a:pt x="78" y="124"/>
                </a:lnTo>
                <a:lnTo>
                  <a:pt x="75" y="123"/>
                </a:lnTo>
                <a:lnTo>
                  <a:pt x="75" y="122"/>
                </a:lnTo>
                <a:lnTo>
                  <a:pt x="73" y="119"/>
                </a:lnTo>
                <a:lnTo>
                  <a:pt x="73" y="119"/>
                </a:lnTo>
                <a:lnTo>
                  <a:pt x="72" y="118"/>
                </a:lnTo>
                <a:lnTo>
                  <a:pt x="70" y="118"/>
                </a:lnTo>
                <a:lnTo>
                  <a:pt x="69" y="119"/>
                </a:lnTo>
                <a:lnTo>
                  <a:pt x="67" y="118"/>
                </a:lnTo>
                <a:lnTo>
                  <a:pt x="66" y="118"/>
                </a:lnTo>
                <a:lnTo>
                  <a:pt x="66" y="119"/>
                </a:lnTo>
                <a:lnTo>
                  <a:pt x="65" y="119"/>
                </a:lnTo>
                <a:lnTo>
                  <a:pt x="65" y="117"/>
                </a:lnTo>
                <a:lnTo>
                  <a:pt x="66" y="117"/>
                </a:lnTo>
                <a:lnTo>
                  <a:pt x="66" y="116"/>
                </a:lnTo>
                <a:lnTo>
                  <a:pt x="66" y="115"/>
                </a:lnTo>
                <a:lnTo>
                  <a:pt x="63" y="113"/>
                </a:lnTo>
                <a:lnTo>
                  <a:pt x="62" y="112"/>
                </a:lnTo>
                <a:lnTo>
                  <a:pt x="61" y="111"/>
                </a:lnTo>
                <a:lnTo>
                  <a:pt x="63" y="110"/>
                </a:lnTo>
                <a:lnTo>
                  <a:pt x="62" y="108"/>
                </a:lnTo>
                <a:lnTo>
                  <a:pt x="62" y="107"/>
                </a:lnTo>
                <a:lnTo>
                  <a:pt x="62" y="107"/>
                </a:lnTo>
                <a:lnTo>
                  <a:pt x="63" y="106"/>
                </a:lnTo>
                <a:lnTo>
                  <a:pt x="63" y="105"/>
                </a:lnTo>
                <a:lnTo>
                  <a:pt x="61" y="105"/>
                </a:lnTo>
                <a:lnTo>
                  <a:pt x="59" y="103"/>
                </a:lnTo>
                <a:lnTo>
                  <a:pt x="60" y="102"/>
                </a:lnTo>
                <a:lnTo>
                  <a:pt x="60" y="102"/>
                </a:lnTo>
                <a:lnTo>
                  <a:pt x="60" y="101"/>
                </a:lnTo>
                <a:lnTo>
                  <a:pt x="59" y="100"/>
                </a:lnTo>
                <a:lnTo>
                  <a:pt x="57" y="98"/>
                </a:lnTo>
                <a:lnTo>
                  <a:pt x="56" y="98"/>
                </a:lnTo>
                <a:lnTo>
                  <a:pt x="55" y="97"/>
                </a:lnTo>
                <a:lnTo>
                  <a:pt x="55" y="96"/>
                </a:lnTo>
                <a:lnTo>
                  <a:pt x="55" y="94"/>
                </a:lnTo>
                <a:lnTo>
                  <a:pt x="54" y="93"/>
                </a:lnTo>
                <a:lnTo>
                  <a:pt x="54" y="92"/>
                </a:lnTo>
                <a:lnTo>
                  <a:pt x="54" y="92"/>
                </a:lnTo>
                <a:lnTo>
                  <a:pt x="53" y="91"/>
                </a:lnTo>
                <a:lnTo>
                  <a:pt x="52" y="91"/>
                </a:lnTo>
                <a:lnTo>
                  <a:pt x="51" y="91"/>
                </a:lnTo>
                <a:lnTo>
                  <a:pt x="50" y="91"/>
                </a:lnTo>
                <a:lnTo>
                  <a:pt x="50" y="90"/>
                </a:lnTo>
                <a:lnTo>
                  <a:pt x="50" y="88"/>
                </a:lnTo>
                <a:lnTo>
                  <a:pt x="49" y="87"/>
                </a:lnTo>
                <a:lnTo>
                  <a:pt x="49" y="86"/>
                </a:lnTo>
                <a:lnTo>
                  <a:pt x="48" y="85"/>
                </a:lnTo>
                <a:lnTo>
                  <a:pt x="47" y="83"/>
                </a:lnTo>
                <a:lnTo>
                  <a:pt x="46" y="82"/>
                </a:lnTo>
                <a:lnTo>
                  <a:pt x="45" y="82"/>
                </a:lnTo>
                <a:lnTo>
                  <a:pt x="43" y="78"/>
                </a:lnTo>
                <a:lnTo>
                  <a:pt x="42" y="77"/>
                </a:lnTo>
                <a:lnTo>
                  <a:pt x="40" y="75"/>
                </a:lnTo>
                <a:lnTo>
                  <a:pt x="37" y="73"/>
                </a:lnTo>
                <a:lnTo>
                  <a:pt x="37" y="73"/>
                </a:lnTo>
                <a:lnTo>
                  <a:pt x="33" y="71"/>
                </a:lnTo>
                <a:lnTo>
                  <a:pt x="32" y="70"/>
                </a:lnTo>
                <a:lnTo>
                  <a:pt x="31" y="70"/>
                </a:lnTo>
                <a:lnTo>
                  <a:pt x="31" y="69"/>
                </a:lnTo>
                <a:lnTo>
                  <a:pt x="31" y="66"/>
                </a:lnTo>
                <a:lnTo>
                  <a:pt x="30" y="63"/>
                </a:lnTo>
                <a:lnTo>
                  <a:pt x="30" y="61"/>
                </a:lnTo>
                <a:lnTo>
                  <a:pt x="29" y="60"/>
                </a:lnTo>
                <a:lnTo>
                  <a:pt x="28" y="59"/>
                </a:lnTo>
                <a:lnTo>
                  <a:pt x="26" y="58"/>
                </a:lnTo>
                <a:lnTo>
                  <a:pt x="26" y="58"/>
                </a:lnTo>
                <a:lnTo>
                  <a:pt x="22" y="58"/>
                </a:lnTo>
                <a:lnTo>
                  <a:pt x="20" y="58"/>
                </a:lnTo>
                <a:lnTo>
                  <a:pt x="16" y="58"/>
                </a:lnTo>
                <a:lnTo>
                  <a:pt x="15" y="58"/>
                </a:lnTo>
                <a:lnTo>
                  <a:pt x="3" y="58"/>
                </a:lnTo>
                <a:lnTo>
                  <a:pt x="0" y="58"/>
                </a:lnTo>
                <a:lnTo>
                  <a:pt x="0" y="57"/>
                </a:lnTo>
                <a:lnTo>
                  <a:pt x="0" y="57"/>
                </a:lnTo>
                <a:lnTo>
                  <a:pt x="0" y="56"/>
                </a:lnTo>
                <a:lnTo>
                  <a:pt x="1" y="56"/>
                </a:lnTo>
                <a:lnTo>
                  <a:pt x="1" y="55"/>
                </a:lnTo>
                <a:lnTo>
                  <a:pt x="0" y="52"/>
                </a:lnTo>
                <a:lnTo>
                  <a:pt x="4" y="50"/>
                </a:lnTo>
                <a:lnTo>
                  <a:pt x="4" y="47"/>
                </a:lnTo>
                <a:lnTo>
                  <a:pt x="6" y="44"/>
                </a:lnTo>
                <a:lnTo>
                  <a:pt x="7" y="42"/>
                </a:lnTo>
                <a:lnTo>
                  <a:pt x="8" y="40"/>
                </a:lnTo>
                <a:lnTo>
                  <a:pt x="9" y="37"/>
                </a:lnTo>
                <a:lnTo>
                  <a:pt x="8" y="34"/>
                </a:lnTo>
                <a:lnTo>
                  <a:pt x="9" y="32"/>
                </a:lnTo>
                <a:lnTo>
                  <a:pt x="10" y="30"/>
                </a:lnTo>
                <a:lnTo>
                  <a:pt x="9" y="28"/>
                </a:lnTo>
                <a:lnTo>
                  <a:pt x="9" y="25"/>
                </a:lnTo>
                <a:lnTo>
                  <a:pt x="9" y="23"/>
                </a:lnTo>
                <a:lnTo>
                  <a:pt x="9" y="22"/>
                </a:lnTo>
                <a:lnTo>
                  <a:pt x="9" y="21"/>
                </a:lnTo>
                <a:lnTo>
                  <a:pt x="9" y="19"/>
                </a:lnTo>
                <a:lnTo>
                  <a:pt x="10" y="19"/>
                </a:lnTo>
                <a:lnTo>
                  <a:pt x="12" y="19"/>
                </a:lnTo>
                <a:lnTo>
                  <a:pt x="12" y="19"/>
                </a:lnTo>
                <a:lnTo>
                  <a:pt x="14" y="19"/>
                </a:lnTo>
                <a:lnTo>
                  <a:pt x="15" y="19"/>
                </a:lnTo>
                <a:lnTo>
                  <a:pt x="16" y="19"/>
                </a:lnTo>
                <a:lnTo>
                  <a:pt x="17" y="19"/>
                </a:lnTo>
                <a:lnTo>
                  <a:pt x="17" y="19"/>
                </a:lnTo>
                <a:lnTo>
                  <a:pt x="18" y="18"/>
                </a:lnTo>
                <a:lnTo>
                  <a:pt x="18" y="18"/>
                </a:lnTo>
                <a:lnTo>
                  <a:pt x="18" y="18"/>
                </a:lnTo>
                <a:lnTo>
                  <a:pt x="18" y="17"/>
                </a:lnTo>
                <a:lnTo>
                  <a:pt x="19" y="16"/>
                </a:lnTo>
                <a:lnTo>
                  <a:pt x="20" y="15"/>
                </a:lnTo>
                <a:lnTo>
                  <a:pt x="21" y="13"/>
                </a:lnTo>
                <a:lnTo>
                  <a:pt x="23" y="12"/>
                </a:lnTo>
                <a:lnTo>
                  <a:pt x="24" y="11"/>
                </a:lnTo>
                <a:lnTo>
                  <a:pt x="26" y="10"/>
                </a:lnTo>
                <a:lnTo>
                  <a:pt x="28" y="9"/>
                </a:lnTo>
                <a:lnTo>
                  <a:pt x="29" y="9"/>
                </a:lnTo>
                <a:lnTo>
                  <a:pt x="29" y="9"/>
                </a:lnTo>
                <a:lnTo>
                  <a:pt x="30" y="8"/>
                </a:lnTo>
                <a:lnTo>
                  <a:pt x="31" y="8"/>
                </a:lnTo>
                <a:lnTo>
                  <a:pt x="31" y="7"/>
                </a:lnTo>
                <a:lnTo>
                  <a:pt x="31" y="7"/>
                </a:lnTo>
                <a:lnTo>
                  <a:pt x="32" y="7"/>
                </a:lnTo>
                <a:lnTo>
                  <a:pt x="32" y="7"/>
                </a:lnTo>
                <a:lnTo>
                  <a:pt x="32" y="7"/>
                </a:lnTo>
                <a:lnTo>
                  <a:pt x="33" y="6"/>
                </a:lnTo>
                <a:lnTo>
                  <a:pt x="34" y="5"/>
                </a:lnTo>
                <a:lnTo>
                  <a:pt x="35" y="5"/>
                </a:lnTo>
                <a:lnTo>
                  <a:pt x="37" y="5"/>
                </a:lnTo>
                <a:lnTo>
                  <a:pt x="39" y="7"/>
                </a:lnTo>
                <a:lnTo>
                  <a:pt x="40" y="8"/>
                </a:lnTo>
                <a:lnTo>
                  <a:pt x="42" y="8"/>
                </a:lnTo>
                <a:lnTo>
                  <a:pt x="44" y="8"/>
                </a:lnTo>
                <a:lnTo>
                  <a:pt x="48" y="6"/>
                </a:lnTo>
                <a:lnTo>
                  <a:pt x="51" y="5"/>
                </a:lnTo>
                <a:lnTo>
                  <a:pt x="55" y="6"/>
                </a:lnTo>
                <a:lnTo>
                  <a:pt x="55" y="6"/>
                </a:lnTo>
                <a:lnTo>
                  <a:pt x="58" y="9"/>
                </a:lnTo>
                <a:lnTo>
                  <a:pt x="60" y="10"/>
                </a:lnTo>
                <a:lnTo>
                  <a:pt x="63" y="10"/>
                </a:lnTo>
                <a:lnTo>
                  <a:pt x="66" y="11"/>
                </a:lnTo>
                <a:lnTo>
                  <a:pt x="69" y="13"/>
                </a:lnTo>
                <a:lnTo>
                  <a:pt x="70" y="10"/>
                </a:lnTo>
                <a:lnTo>
                  <a:pt x="70" y="7"/>
                </a:lnTo>
                <a:lnTo>
                  <a:pt x="71" y="8"/>
                </a:lnTo>
                <a:lnTo>
                  <a:pt x="71" y="8"/>
                </a:lnTo>
                <a:lnTo>
                  <a:pt x="72" y="9"/>
                </a:lnTo>
                <a:lnTo>
                  <a:pt x="73" y="9"/>
                </a:lnTo>
                <a:lnTo>
                  <a:pt x="74" y="8"/>
                </a:lnTo>
                <a:lnTo>
                  <a:pt x="75" y="7"/>
                </a:lnTo>
                <a:lnTo>
                  <a:pt x="77" y="4"/>
                </a:lnTo>
                <a:lnTo>
                  <a:pt x="78" y="2"/>
                </a:lnTo>
                <a:lnTo>
                  <a:pt x="82" y="1"/>
                </a:lnTo>
                <a:lnTo>
                  <a:pt x="82" y="0"/>
                </a:lnTo>
                <a:lnTo>
                  <a:pt x="85" y="0"/>
                </a:lnTo>
                <a:lnTo>
                  <a:pt x="89" y="0"/>
                </a:lnTo>
                <a:lnTo>
                  <a:pt x="91" y="0"/>
                </a:lnTo>
                <a:lnTo>
                  <a:pt x="95" y="2"/>
                </a:lnTo>
                <a:lnTo>
                  <a:pt x="99" y="5"/>
                </a:lnTo>
                <a:lnTo>
                  <a:pt x="99" y="5"/>
                </a:lnTo>
                <a:lnTo>
                  <a:pt x="100" y="6"/>
                </a:lnTo>
                <a:lnTo>
                  <a:pt x="101" y="6"/>
                </a:lnTo>
                <a:lnTo>
                  <a:pt x="101" y="6"/>
                </a:lnTo>
                <a:lnTo>
                  <a:pt x="102" y="7"/>
                </a:lnTo>
                <a:lnTo>
                  <a:pt x="102" y="7"/>
                </a:lnTo>
                <a:lnTo>
                  <a:pt x="103" y="7"/>
                </a:lnTo>
                <a:lnTo>
                  <a:pt x="104" y="7"/>
                </a:lnTo>
              </a:path>
            </a:pathLst>
          </a:custGeom>
          <a:grpFill/>
          <a:ln w="9525">
            <a:solidFill>
              <a:schemeClr val="bg1">
                <a:lumMod val="65000"/>
              </a:schemeClr>
            </a:solidFill>
            <a:prstDash val="solid"/>
            <a:round/>
            <a:headEnd/>
            <a:tailEnd/>
          </a:ln>
        </xdr:spPr>
      </xdr:sp>
      <xdr:sp macro="" textlink="">
        <xdr:nvSpPr>
          <xdr:cNvPr id="195" name="GIN005001"/>
          <xdr:cNvSpPr>
            <a:spLocks noChangeAspect="1"/>
          </xdr:cNvSpPr>
        </xdr:nvSpPr>
        <xdr:spPr bwMode="auto">
          <a:xfrm>
            <a:off x="5005945" y="4659147"/>
            <a:ext cx="349579" cy="381187"/>
          </a:xfrm>
          <a:custGeom>
            <a:avLst/>
            <a:gdLst>
              <a:gd name="T0" fmla="*/ 26 w 38"/>
              <a:gd name="T1" fmla="*/ 2 h 42"/>
              <a:gd name="T2" fmla="*/ 26 w 38"/>
              <a:gd name="T3" fmla="*/ 3 h 42"/>
              <a:gd name="T4" fmla="*/ 28 w 38"/>
              <a:gd name="T5" fmla="*/ 7 h 42"/>
              <a:gd name="T6" fmla="*/ 29 w 38"/>
              <a:gd name="T7" fmla="*/ 10 h 42"/>
              <a:gd name="T8" fmla="*/ 29 w 38"/>
              <a:gd name="T9" fmla="*/ 14 h 42"/>
              <a:gd name="T10" fmla="*/ 29 w 38"/>
              <a:gd name="T11" fmla="*/ 16 h 42"/>
              <a:gd name="T12" fmla="*/ 30 w 38"/>
              <a:gd name="T13" fmla="*/ 18 h 42"/>
              <a:gd name="T14" fmla="*/ 29 w 38"/>
              <a:gd name="T15" fmla="*/ 22 h 42"/>
              <a:gd name="T16" fmla="*/ 30 w 38"/>
              <a:gd name="T17" fmla="*/ 26 h 42"/>
              <a:gd name="T18" fmla="*/ 32 w 38"/>
              <a:gd name="T19" fmla="*/ 28 h 42"/>
              <a:gd name="T20" fmla="*/ 36 w 38"/>
              <a:gd name="T21" fmla="*/ 32 h 42"/>
              <a:gd name="T22" fmla="*/ 37 w 38"/>
              <a:gd name="T23" fmla="*/ 35 h 42"/>
              <a:gd name="T24" fmla="*/ 38 w 38"/>
              <a:gd name="T25" fmla="*/ 37 h 42"/>
              <a:gd name="T26" fmla="*/ 37 w 38"/>
              <a:gd name="T27" fmla="*/ 38 h 42"/>
              <a:gd name="T28" fmla="*/ 31 w 38"/>
              <a:gd name="T29" fmla="*/ 38 h 42"/>
              <a:gd name="T30" fmla="*/ 29 w 38"/>
              <a:gd name="T31" fmla="*/ 39 h 42"/>
              <a:gd name="T32" fmla="*/ 25 w 38"/>
              <a:gd name="T33" fmla="*/ 37 h 42"/>
              <a:gd name="T34" fmla="*/ 22 w 38"/>
              <a:gd name="T35" fmla="*/ 40 h 42"/>
              <a:gd name="T36" fmla="*/ 21 w 38"/>
              <a:gd name="T37" fmla="*/ 39 h 42"/>
              <a:gd name="T38" fmla="*/ 21 w 38"/>
              <a:gd name="T39" fmla="*/ 36 h 42"/>
              <a:gd name="T40" fmla="*/ 19 w 38"/>
              <a:gd name="T41" fmla="*/ 34 h 42"/>
              <a:gd name="T42" fmla="*/ 18 w 38"/>
              <a:gd name="T43" fmla="*/ 34 h 42"/>
              <a:gd name="T44" fmla="*/ 16 w 38"/>
              <a:gd name="T45" fmla="*/ 34 h 42"/>
              <a:gd name="T46" fmla="*/ 14 w 38"/>
              <a:gd name="T47" fmla="*/ 34 h 42"/>
              <a:gd name="T48" fmla="*/ 12 w 38"/>
              <a:gd name="T49" fmla="*/ 36 h 42"/>
              <a:gd name="T50" fmla="*/ 11 w 38"/>
              <a:gd name="T51" fmla="*/ 40 h 42"/>
              <a:gd name="T52" fmla="*/ 9 w 38"/>
              <a:gd name="T53" fmla="*/ 41 h 42"/>
              <a:gd name="T54" fmla="*/ 8 w 38"/>
              <a:gd name="T55" fmla="*/ 41 h 42"/>
              <a:gd name="T56" fmla="*/ 7 w 38"/>
              <a:gd name="T57" fmla="*/ 40 h 42"/>
              <a:gd name="T58" fmla="*/ 6 w 38"/>
              <a:gd name="T59" fmla="*/ 40 h 42"/>
              <a:gd name="T60" fmla="*/ 4 w 38"/>
              <a:gd name="T61" fmla="*/ 40 h 42"/>
              <a:gd name="T62" fmla="*/ 2 w 38"/>
              <a:gd name="T63" fmla="*/ 41 h 42"/>
              <a:gd name="T64" fmla="*/ 1 w 38"/>
              <a:gd name="T65" fmla="*/ 42 h 42"/>
              <a:gd name="T66" fmla="*/ 0 w 38"/>
              <a:gd name="T67" fmla="*/ 41 h 42"/>
              <a:gd name="T68" fmla="*/ 1 w 38"/>
              <a:gd name="T69" fmla="*/ 36 h 42"/>
              <a:gd name="T70" fmla="*/ 3 w 38"/>
              <a:gd name="T71" fmla="*/ 34 h 42"/>
              <a:gd name="T72" fmla="*/ 4 w 38"/>
              <a:gd name="T73" fmla="*/ 31 h 42"/>
              <a:gd name="T74" fmla="*/ 1 w 38"/>
              <a:gd name="T75" fmla="*/ 29 h 42"/>
              <a:gd name="T76" fmla="*/ 0 w 38"/>
              <a:gd name="T77" fmla="*/ 27 h 42"/>
              <a:gd name="T78" fmla="*/ 0 w 38"/>
              <a:gd name="T79" fmla="*/ 27 h 42"/>
              <a:gd name="T80" fmla="*/ 2 w 38"/>
              <a:gd name="T81" fmla="*/ 24 h 42"/>
              <a:gd name="T82" fmla="*/ 5 w 38"/>
              <a:gd name="T83" fmla="*/ 23 h 42"/>
              <a:gd name="T84" fmla="*/ 7 w 38"/>
              <a:gd name="T85" fmla="*/ 21 h 42"/>
              <a:gd name="T86" fmla="*/ 11 w 38"/>
              <a:gd name="T87" fmla="*/ 20 h 42"/>
              <a:gd name="T88" fmla="*/ 8 w 38"/>
              <a:gd name="T89" fmla="*/ 17 h 42"/>
              <a:gd name="T90" fmla="*/ 5 w 38"/>
              <a:gd name="T91" fmla="*/ 11 h 42"/>
              <a:gd name="T92" fmla="*/ 8 w 38"/>
              <a:gd name="T93" fmla="*/ 9 h 42"/>
              <a:gd name="T94" fmla="*/ 9 w 38"/>
              <a:gd name="T95" fmla="*/ 9 h 42"/>
              <a:gd name="T96" fmla="*/ 9 w 38"/>
              <a:gd name="T97" fmla="*/ 8 h 42"/>
              <a:gd name="T98" fmla="*/ 9 w 38"/>
              <a:gd name="T99" fmla="*/ 6 h 42"/>
              <a:gd name="T100" fmla="*/ 13 w 38"/>
              <a:gd name="T101" fmla="*/ 3 h 42"/>
              <a:gd name="T102" fmla="*/ 18 w 38"/>
              <a:gd name="T103" fmla="*/ 1 h 42"/>
              <a:gd name="T104" fmla="*/ 22 w 38"/>
              <a:gd name="T105" fmla="*/ 1 h 42"/>
              <a:gd name="T106" fmla="*/ 24 w 38"/>
              <a:gd name="T107" fmla="*/ 0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8" h="42">
                <a:moveTo>
                  <a:pt x="25" y="1"/>
                </a:moveTo>
                <a:lnTo>
                  <a:pt x="26" y="2"/>
                </a:lnTo>
                <a:lnTo>
                  <a:pt x="25" y="3"/>
                </a:lnTo>
                <a:lnTo>
                  <a:pt x="26" y="3"/>
                </a:lnTo>
                <a:lnTo>
                  <a:pt x="27" y="6"/>
                </a:lnTo>
                <a:lnTo>
                  <a:pt x="28" y="7"/>
                </a:lnTo>
                <a:lnTo>
                  <a:pt x="29" y="8"/>
                </a:lnTo>
                <a:lnTo>
                  <a:pt x="29" y="10"/>
                </a:lnTo>
                <a:lnTo>
                  <a:pt x="28" y="12"/>
                </a:lnTo>
                <a:lnTo>
                  <a:pt x="29" y="14"/>
                </a:lnTo>
                <a:lnTo>
                  <a:pt x="29" y="15"/>
                </a:lnTo>
                <a:lnTo>
                  <a:pt x="29" y="16"/>
                </a:lnTo>
                <a:lnTo>
                  <a:pt x="29" y="17"/>
                </a:lnTo>
                <a:lnTo>
                  <a:pt x="30" y="18"/>
                </a:lnTo>
                <a:lnTo>
                  <a:pt x="30" y="20"/>
                </a:lnTo>
                <a:lnTo>
                  <a:pt x="29" y="22"/>
                </a:lnTo>
                <a:lnTo>
                  <a:pt x="29" y="25"/>
                </a:lnTo>
                <a:lnTo>
                  <a:pt x="30" y="26"/>
                </a:lnTo>
                <a:lnTo>
                  <a:pt x="31" y="28"/>
                </a:lnTo>
                <a:lnTo>
                  <a:pt x="32" y="28"/>
                </a:lnTo>
                <a:lnTo>
                  <a:pt x="33" y="28"/>
                </a:lnTo>
                <a:lnTo>
                  <a:pt x="36" y="32"/>
                </a:lnTo>
                <a:lnTo>
                  <a:pt x="37" y="34"/>
                </a:lnTo>
                <a:lnTo>
                  <a:pt x="37" y="35"/>
                </a:lnTo>
                <a:lnTo>
                  <a:pt x="38" y="36"/>
                </a:lnTo>
                <a:lnTo>
                  <a:pt x="38" y="37"/>
                </a:lnTo>
                <a:lnTo>
                  <a:pt x="38" y="37"/>
                </a:lnTo>
                <a:lnTo>
                  <a:pt x="37" y="38"/>
                </a:lnTo>
                <a:lnTo>
                  <a:pt x="33" y="39"/>
                </a:lnTo>
                <a:lnTo>
                  <a:pt x="31" y="38"/>
                </a:lnTo>
                <a:lnTo>
                  <a:pt x="31" y="38"/>
                </a:lnTo>
                <a:lnTo>
                  <a:pt x="29" y="39"/>
                </a:lnTo>
                <a:lnTo>
                  <a:pt x="27" y="39"/>
                </a:lnTo>
                <a:lnTo>
                  <a:pt x="25" y="37"/>
                </a:lnTo>
                <a:lnTo>
                  <a:pt x="24" y="38"/>
                </a:lnTo>
                <a:lnTo>
                  <a:pt x="22" y="40"/>
                </a:lnTo>
                <a:lnTo>
                  <a:pt x="22" y="40"/>
                </a:lnTo>
                <a:lnTo>
                  <a:pt x="21" y="39"/>
                </a:lnTo>
                <a:lnTo>
                  <a:pt x="21" y="38"/>
                </a:lnTo>
                <a:lnTo>
                  <a:pt x="21" y="36"/>
                </a:lnTo>
                <a:lnTo>
                  <a:pt x="20" y="35"/>
                </a:lnTo>
                <a:lnTo>
                  <a:pt x="19" y="34"/>
                </a:lnTo>
                <a:lnTo>
                  <a:pt x="18" y="34"/>
                </a:lnTo>
                <a:lnTo>
                  <a:pt x="18" y="34"/>
                </a:lnTo>
                <a:lnTo>
                  <a:pt x="17" y="34"/>
                </a:lnTo>
                <a:lnTo>
                  <a:pt x="16" y="34"/>
                </a:lnTo>
                <a:lnTo>
                  <a:pt x="15" y="34"/>
                </a:lnTo>
                <a:lnTo>
                  <a:pt x="14" y="34"/>
                </a:lnTo>
                <a:lnTo>
                  <a:pt x="12" y="35"/>
                </a:lnTo>
                <a:lnTo>
                  <a:pt x="12" y="36"/>
                </a:lnTo>
                <a:lnTo>
                  <a:pt x="11" y="39"/>
                </a:lnTo>
                <a:lnTo>
                  <a:pt x="11" y="40"/>
                </a:lnTo>
                <a:lnTo>
                  <a:pt x="10" y="40"/>
                </a:lnTo>
                <a:lnTo>
                  <a:pt x="9" y="41"/>
                </a:lnTo>
                <a:lnTo>
                  <a:pt x="8" y="41"/>
                </a:lnTo>
                <a:lnTo>
                  <a:pt x="8" y="41"/>
                </a:lnTo>
                <a:lnTo>
                  <a:pt x="8" y="40"/>
                </a:lnTo>
                <a:lnTo>
                  <a:pt x="7" y="40"/>
                </a:lnTo>
                <a:lnTo>
                  <a:pt x="6" y="40"/>
                </a:lnTo>
                <a:lnTo>
                  <a:pt x="6" y="40"/>
                </a:lnTo>
                <a:lnTo>
                  <a:pt x="5" y="41"/>
                </a:lnTo>
                <a:lnTo>
                  <a:pt x="4" y="40"/>
                </a:lnTo>
                <a:lnTo>
                  <a:pt x="2" y="40"/>
                </a:lnTo>
                <a:lnTo>
                  <a:pt x="2" y="41"/>
                </a:lnTo>
                <a:lnTo>
                  <a:pt x="1" y="42"/>
                </a:lnTo>
                <a:lnTo>
                  <a:pt x="1" y="42"/>
                </a:lnTo>
                <a:lnTo>
                  <a:pt x="0" y="41"/>
                </a:lnTo>
                <a:lnTo>
                  <a:pt x="0" y="41"/>
                </a:lnTo>
                <a:lnTo>
                  <a:pt x="0" y="39"/>
                </a:lnTo>
                <a:lnTo>
                  <a:pt x="1" y="36"/>
                </a:lnTo>
                <a:lnTo>
                  <a:pt x="2" y="34"/>
                </a:lnTo>
                <a:lnTo>
                  <a:pt x="3" y="34"/>
                </a:lnTo>
                <a:lnTo>
                  <a:pt x="4" y="33"/>
                </a:lnTo>
                <a:lnTo>
                  <a:pt x="4" y="31"/>
                </a:lnTo>
                <a:lnTo>
                  <a:pt x="3" y="31"/>
                </a:lnTo>
                <a:lnTo>
                  <a:pt x="1" y="29"/>
                </a:lnTo>
                <a:lnTo>
                  <a:pt x="0" y="28"/>
                </a:lnTo>
                <a:lnTo>
                  <a:pt x="0" y="27"/>
                </a:lnTo>
                <a:lnTo>
                  <a:pt x="0" y="27"/>
                </a:lnTo>
                <a:lnTo>
                  <a:pt x="0" y="27"/>
                </a:lnTo>
                <a:lnTo>
                  <a:pt x="2" y="24"/>
                </a:lnTo>
                <a:lnTo>
                  <a:pt x="2" y="24"/>
                </a:lnTo>
                <a:lnTo>
                  <a:pt x="2" y="23"/>
                </a:lnTo>
                <a:lnTo>
                  <a:pt x="5" y="23"/>
                </a:lnTo>
                <a:lnTo>
                  <a:pt x="7" y="22"/>
                </a:lnTo>
                <a:lnTo>
                  <a:pt x="7" y="21"/>
                </a:lnTo>
                <a:lnTo>
                  <a:pt x="9" y="21"/>
                </a:lnTo>
                <a:lnTo>
                  <a:pt x="11" y="20"/>
                </a:lnTo>
                <a:lnTo>
                  <a:pt x="10" y="19"/>
                </a:lnTo>
                <a:lnTo>
                  <a:pt x="8" y="17"/>
                </a:lnTo>
                <a:lnTo>
                  <a:pt x="6" y="13"/>
                </a:lnTo>
                <a:lnTo>
                  <a:pt x="5" y="11"/>
                </a:lnTo>
                <a:lnTo>
                  <a:pt x="6" y="10"/>
                </a:lnTo>
                <a:lnTo>
                  <a:pt x="8" y="9"/>
                </a:lnTo>
                <a:lnTo>
                  <a:pt x="9" y="9"/>
                </a:lnTo>
                <a:lnTo>
                  <a:pt x="9" y="9"/>
                </a:lnTo>
                <a:lnTo>
                  <a:pt x="9" y="8"/>
                </a:lnTo>
                <a:lnTo>
                  <a:pt x="9" y="8"/>
                </a:lnTo>
                <a:lnTo>
                  <a:pt x="10" y="7"/>
                </a:lnTo>
                <a:lnTo>
                  <a:pt x="9" y="6"/>
                </a:lnTo>
                <a:lnTo>
                  <a:pt x="10" y="5"/>
                </a:lnTo>
                <a:lnTo>
                  <a:pt x="13" y="3"/>
                </a:lnTo>
                <a:lnTo>
                  <a:pt x="17" y="3"/>
                </a:lnTo>
                <a:lnTo>
                  <a:pt x="18" y="1"/>
                </a:lnTo>
                <a:lnTo>
                  <a:pt x="21" y="2"/>
                </a:lnTo>
                <a:lnTo>
                  <a:pt x="22" y="1"/>
                </a:lnTo>
                <a:lnTo>
                  <a:pt x="22" y="1"/>
                </a:lnTo>
                <a:lnTo>
                  <a:pt x="24" y="0"/>
                </a:lnTo>
                <a:lnTo>
                  <a:pt x="25" y="1"/>
                </a:lnTo>
              </a:path>
            </a:pathLst>
          </a:custGeom>
          <a:grpFill/>
          <a:ln w="9525">
            <a:solidFill>
              <a:schemeClr val="bg1">
                <a:lumMod val="65000"/>
              </a:schemeClr>
            </a:solidFill>
            <a:prstDash val="solid"/>
            <a:round/>
            <a:headEnd/>
            <a:tailEnd/>
          </a:ln>
        </xdr:spPr>
      </xdr:sp>
      <xdr:sp macro="" textlink="">
        <xdr:nvSpPr>
          <xdr:cNvPr id="196" name="GIN001001"/>
          <xdr:cNvSpPr>
            <a:spLocks noChangeAspect="1" noEditPoints="1"/>
          </xdr:cNvSpPr>
        </xdr:nvSpPr>
        <xdr:spPr bwMode="auto">
          <a:xfrm>
            <a:off x="4048374" y="3854656"/>
            <a:ext cx="827561" cy="924296"/>
          </a:xfrm>
          <a:custGeom>
            <a:avLst/>
            <a:gdLst>
              <a:gd name="T0" fmla="*/ 49 w 90"/>
              <a:gd name="T1" fmla="*/ 73 h 101"/>
              <a:gd name="T2" fmla="*/ 62 w 90"/>
              <a:gd name="T3" fmla="*/ 0 h 101"/>
              <a:gd name="T4" fmla="*/ 56 w 90"/>
              <a:gd name="T5" fmla="*/ 12 h 101"/>
              <a:gd name="T6" fmla="*/ 63 w 90"/>
              <a:gd name="T7" fmla="*/ 20 h 101"/>
              <a:gd name="T8" fmla="*/ 66 w 90"/>
              <a:gd name="T9" fmla="*/ 17 h 101"/>
              <a:gd name="T10" fmla="*/ 71 w 90"/>
              <a:gd name="T11" fmla="*/ 13 h 101"/>
              <a:gd name="T12" fmla="*/ 77 w 90"/>
              <a:gd name="T13" fmla="*/ 13 h 101"/>
              <a:gd name="T14" fmla="*/ 83 w 90"/>
              <a:gd name="T15" fmla="*/ 16 h 101"/>
              <a:gd name="T16" fmla="*/ 86 w 90"/>
              <a:gd name="T17" fmla="*/ 19 h 101"/>
              <a:gd name="T18" fmla="*/ 89 w 90"/>
              <a:gd name="T19" fmla="*/ 23 h 101"/>
              <a:gd name="T20" fmla="*/ 89 w 90"/>
              <a:gd name="T21" fmla="*/ 27 h 101"/>
              <a:gd name="T22" fmla="*/ 88 w 90"/>
              <a:gd name="T23" fmla="*/ 29 h 101"/>
              <a:gd name="T24" fmla="*/ 85 w 90"/>
              <a:gd name="T25" fmla="*/ 32 h 101"/>
              <a:gd name="T26" fmla="*/ 78 w 90"/>
              <a:gd name="T27" fmla="*/ 33 h 101"/>
              <a:gd name="T28" fmla="*/ 75 w 90"/>
              <a:gd name="T29" fmla="*/ 40 h 101"/>
              <a:gd name="T30" fmla="*/ 74 w 90"/>
              <a:gd name="T31" fmla="*/ 47 h 101"/>
              <a:gd name="T32" fmla="*/ 69 w 90"/>
              <a:gd name="T33" fmla="*/ 54 h 101"/>
              <a:gd name="T34" fmla="*/ 76 w 90"/>
              <a:gd name="T35" fmla="*/ 57 h 101"/>
              <a:gd name="T36" fmla="*/ 70 w 90"/>
              <a:gd name="T37" fmla="*/ 68 h 101"/>
              <a:gd name="T38" fmla="*/ 64 w 90"/>
              <a:gd name="T39" fmla="*/ 75 h 101"/>
              <a:gd name="T40" fmla="*/ 73 w 90"/>
              <a:gd name="T41" fmla="*/ 84 h 101"/>
              <a:gd name="T42" fmla="*/ 84 w 90"/>
              <a:gd name="T43" fmla="*/ 89 h 101"/>
              <a:gd name="T44" fmla="*/ 83 w 90"/>
              <a:gd name="T45" fmla="*/ 94 h 101"/>
              <a:gd name="T46" fmla="*/ 75 w 90"/>
              <a:gd name="T47" fmla="*/ 101 h 101"/>
              <a:gd name="T48" fmla="*/ 68 w 90"/>
              <a:gd name="T49" fmla="*/ 97 h 101"/>
              <a:gd name="T50" fmla="*/ 65 w 90"/>
              <a:gd name="T51" fmla="*/ 93 h 101"/>
              <a:gd name="T52" fmla="*/ 60 w 90"/>
              <a:gd name="T53" fmla="*/ 86 h 101"/>
              <a:gd name="T54" fmla="*/ 57 w 90"/>
              <a:gd name="T55" fmla="*/ 87 h 101"/>
              <a:gd name="T56" fmla="*/ 53 w 90"/>
              <a:gd name="T57" fmla="*/ 83 h 101"/>
              <a:gd name="T58" fmla="*/ 48 w 90"/>
              <a:gd name="T59" fmla="*/ 80 h 101"/>
              <a:gd name="T60" fmla="*/ 51 w 90"/>
              <a:gd name="T61" fmla="*/ 75 h 101"/>
              <a:gd name="T62" fmla="*/ 57 w 90"/>
              <a:gd name="T63" fmla="*/ 80 h 101"/>
              <a:gd name="T64" fmla="*/ 58 w 90"/>
              <a:gd name="T65" fmla="*/ 78 h 101"/>
              <a:gd name="T66" fmla="*/ 53 w 90"/>
              <a:gd name="T67" fmla="*/ 74 h 101"/>
              <a:gd name="T68" fmla="*/ 54 w 90"/>
              <a:gd name="T69" fmla="*/ 67 h 101"/>
              <a:gd name="T70" fmla="*/ 53 w 90"/>
              <a:gd name="T71" fmla="*/ 66 h 101"/>
              <a:gd name="T72" fmla="*/ 46 w 90"/>
              <a:gd name="T73" fmla="*/ 72 h 101"/>
              <a:gd name="T74" fmla="*/ 46 w 90"/>
              <a:gd name="T75" fmla="*/ 77 h 101"/>
              <a:gd name="T76" fmla="*/ 41 w 90"/>
              <a:gd name="T77" fmla="*/ 81 h 101"/>
              <a:gd name="T78" fmla="*/ 38 w 90"/>
              <a:gd name="T79" fmla="*/ 73 h 101"/>
              <a:gd name="T80" fmla="*/ 41 w 90"/>
              <a:gd name="T81" fmla="*/ 70 h 101"/>
              <a:gd name="T82" fmla="*/ 37 w 90"/>
              <a:gd name="T83" fmla="*/ 72 h 101"/>
              <a:gd name="T84" fmla="*/ 32 w 90"/>
              <a:gd name="T85" fmla="*/ 75 h 101"/>
              <a:gd name="T86" fmla="*/ 32 w 90"/>
              <a:gd name="T87" fmla="*/ 68 h 101"/>
              <a:gd name="T88" fmla="*/ 35 w 90"/>
              <a:gd name="T89" fmla="*/ 67 h 101"/>
              <a:gd name="T90" fmla="*/ 29 w 90"/>
              <a:gd name="T91" fmla="*/ 71 h 101"/>
              <a:gd name="T92" fmla="*/ 21 w 90"/>
              <a:gd name="T93" fmla="*/ 64 h 101"/>
              <a:gd name="T94" fmla="*/ 13 w 90"/>
              <a:gd name="T95" fmla="*/ 62 h 101"/>
              <a:gd name="T96" fmla="*/ 9 w 90"/>
              <a:gd name="T97" fmla="*/ 61 h 101"/>
              <a:gd name="T98" fmla="*/ 9 w 90"/>
              <a:gd name="T99" fmla="*/ 59 h 101"/>
              <a:gd name="T100" fmla="*/ 7 w 90"/>
              <a:gd name="T101" fmla="*/ 51 h 101"/>
              <a:gd name="T102" fmla="*/ 2 w 90"/>
              <a:gd name="T103" fmla="*/ 47 h 101"/>
              <a:gd name="T104" fmla="*/ 0 w 90"/>
              <a:gd name="T105" fmla="*/ 38 h 101"/>
              <a:gd name="T106" fmla="*/ 5 w 90"/>
              <a:gd name="T107" fmla="*/ 32 h 101"/>
              <a:gd name="T108" fmla="*/ 10 w 90"/>
              <a:gd name="T109" fmla="*/ 27 h 101"/>
              <a:gd name="T110" fmla="*/ 16 w 90"/>
              <a:gd name="T111" fmla="*/ 31 h 101"/>
              <a:gd name="T112" fmla="*/ 23 w 90"/>
              <a:gd name="T113" fmla="*/ 33 h 101"/>
              <a:gd name="T114" fmla="*/ 28 w 90"/>
              <a:gd name="T115" fmla="*/ 33 h 101"/>
              <a:gd name="T116" fmla="*/ 36 w 90"/>
              <a:gd name="T117" fmla="*/ 26 h 101"/>
              <a:gd name="T118" fmla="*/ 47 w 90"/>
              <a:gd name="T119" fmla="*/ 10 h 101"/>
              <a:gd name="T120" fmla="*/ 52 w 90"/>
              <a:gd name="T121" fmla="*/ 5 h 101"/>
              <a:gd name="T122" fmla="*/ 58 w 90"/>
              <a:gd name="T123" fmla="*/ 0 h 1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90" h="101">
                <a:moveTo>
                  <a:pt x="49" y="74"/>
                </a:moveTo>
                <a:lnTo>
                  <a:pt x="48" y="75"/>
                </a:lnTo>
                <a:lnTo>
                  <a:pt x="48" y="75"/>
                </a:lnTo>
                <a:lnTo>
                  <a:pt x="48" y="73"/>
                </a:lnTo>
                <a:lnTo>
                  <a:pt x="49" y="73"/>
                </a:lnTo>
                <a:lnTo>
                  <a:pt x="49" y="73"/>
                </a:lnTo>
                <a:lnTo>
                  <a:pt x="50" y="74"/>
                </a:lnTo>
                <a:lnTo>
                  <a:pt x="50" y="74"/>
                </a:lnTo>
                <a:lnTo>
                  <a:pt x="49" y="74"/>
                </a:lnTo>
                <a:lnTo>
                  <a:pt x="49" y="74"/>
                </a:lnTo>
                <a:moveTo>
                  <a:pt x="58" y="0"/>
                </a:moveTo>
                <a:lnTo>
                  <a:pt x="62" y="0"/>
                </a:lnTo>
                <a:lnTo>
                  <a:pt x="62" y="0"/>
                </a:lnTo>
                <a:lnTo>
                  <a:pt x="61" y="2"/>
                </a:lnTo>
                <a:lnTo>
                  <a:pt x="60" y="4"/>
                </a:lnTo>
                <a:lnTo>
                  <a:pt x="59" y="6"/>
                </a:lnTo>
                <a:lnTo>
                  <a:pt x="57" y="10"/>
                </a:lnTo>
                <a:lnTo>
                  <a:pt x="56" y="12"/>
                </a:lnTo>
                <a:lnTo>
                  <a:pt x="56" y="13"/>
                </a:lnTo>
                <a:lnTo>
                  <a:pt x="56" y="14"/>
                </a:lnTo>
                <a:lnTo>
                  <a:pt x="57" y="14"/>
                </a:lnTo>
                <a:lnTo>
                  <a:pt x="58" y="15"/>
                </a:lnTo>
                <a:lnTo>
                  <a:pt x="62" y="19"/>
                </a:lnTo>
                <a:lnTo>
                  <a:pt x="63" y="20"/>
                </a:lnTo>
                <a:lnTo>
                  <a:pt x="64" y="19"/>
                </a:lnTo>
                <a:lnTo>
                  <a:pt x="63" y="18"/>
                </a:lnTo>
                <a:lnTo>
                  <a:pt x="63" y="17"/>
                </a:lnTo>
                <a:lnTo>
                  <a:pt x="64" y="17"/>
                </a:lnTo>
                <a:lnTo>
                  <a:pt x="65" y="18"/>
                </a:lnTo>
                <a:lnTo>
                  <a:pt x="66" y="17"/>
                </a:lnTo>
                <a:lnTo>
                  <a:pt x="66" y="14"/>
                </a:lnTo>
                <a:lnTo>
                  <a:pt x="66" y="13"/>
                </a:lnTo>
                <a:lnTo>
                  <a:pt x="67" y="13"/>
                </a:lnTo>
                <a:lnTo>
                  <a:pt x="67" y="12"/>
                </a:lnTo>
                <a:lnTo>
                  <a:pt x="69" y="13"/>
                </a:lnTo>
                <a:lnTo>
                  <a:pt x="71" y="13"/>
                </a:lnTo>
                <a:lnTo>
                  <a:pt x="71" y="13"/>
                </a:lnTo>
                <a:lnTo>
                  <a:pt x="72" y="12"/>
                </a:lnTo>
                <a:lnTo>
                  <a:pt x="73" y="12"/>
                </a:lnTo>
                <a:lnTo>
                  <a:pt x="74" y="10"/>
                </a:lnTo>
                <a:lnTo>
                  <a:pt x="75" y="11"/>
                </a:lnTo>
                <a:lnTo>
                  <a:pt x="77" y="13"/>
                </a:lnTo>
                <a:lnTo>
                  <a:pt x="78" y="13"/>
                </a:lnTo>
                <a:lnTo>
                  <a:pt x="79" y="13"/>
                </a:lnTo>
                <a:lnTo>
                  <a:pt x="81" y="13"/>
                </a:lnTo>
                <a:lnTo>
                  <a:pt x="82" y="13"/>
                </a:lnTo>
                <a:lnTo>
                  <a:pt x="83" y="16"/>
                </a:lnTo>
                <a:lnTo>
                  <a:pt x="83" y="16"/>
                </a:lnTo>
                <a:lnTo>
                  <a:pt x="85" y="16"/>
                </a:lnTo>
                <a:lnTo>
                  <a:pt x="85" y="17"/>
                </a:lnTo>
                <a:lnTo>
                  <a:pt x="85" y="17"/>
                </a:lnTo>
                <a:lnTo>
                  <a:pt x="85" y="18"/>
                </a:lnTo>
                <a:lnTo>
                  <a:pt x="85" y="18"/>
                </a:lnTo>
                <a:lnTo>
                  <a:pt x="86" y="19"/>
                </a:lnTo>
                <a:lnTo>
                  <a:pt x="86" y="19"/>
                </a:lnTo>
                <a:lnTo>
                  <a:pt x="86" y="19"/>
                </a:lnTo>
                <a:lnTo>
                  <a:pt x="88" y="19"/>
                </a:lnTo>
                <a:lnTo>
                  <a:pt x="88" y="21"/>
                </a:lnTo>
                <a:lnTo>
                  <a:pt x="89" y="22"/>
                </a:lnTo>
                <a:lnTo>
                  <a:pt x="89" y="23"/>
                </a:lnTo>
                <a:lnTo>
                  <a:pt x="89" y="24"/>
                </a:lnTo>
                <a:lnTo>
                  <a:pt x="90" y="24"/>
                </a:lnTo>
                <a:lnTo>
                  <a:pt x="90" y="26"/>
                </a:lnTo>
                <a:lnTo>
                  <a:pt x="89" y="27"/>
                </a:lnTo>
                <a:lnTo>
                  <a:pt x="89" y="27"/>
                </a:lnTo>
                <a:lnTo>
                  <a:pt x="89" y="27"/>
                </a:lnTo>
                <a:lnTo>
                  <a:pt x="89" y="27"/>
                </a:lnTo>
                <a:lnTo>
                  <a:pt x="89" y="27"/>
                </a:lnTo>
                <a:lnTo>
                  <a:pt x="89" y="27"/>
                </a:lnTo>
                <a:lnTo>
                  <a:pt x="88" y="28"/>
                </a:lnTo>
                <a:lnTo>
                  <a:pt x="88" y="29"/>
                </a:lnTo>
                <a:lnTo>
                  <a:pt x="88" y="29"/>
                </a:lnTo>
                <a:lnTo>
                  <a:pt x="87" y="29"/>
                </a:lnTo>
                <a:lnTo>
                  <a:pt x="87" y="30"/>
                </a:lnTo>
                <a:lnTo>
                  <a:pt x="87" y="30"/>
                </a:lnTo>
                <a:lnTo>
                  <a:pt x="86" y="30"/>
                </a:lnTo>
                <a:lnTo>
                  <a:pt x="86" y="31"/>
                </a:lnTo>
                <a:lnTo>
                  <a:pt x="85" y="32"/>
                </a:lnTo>
                <a:lnTo>
                  <a:pt x="84" y="33"/>
                </a:lnTo>
                <a:lnTo>
                  <a:pt x="82" y="34"/>
                </a:lnTo>
                <a:lnTo>
                  <a:pt x="81" y="34"/>
                </a:lnTo>
                <a:lnTo>
                  <a:pt x="80" y="34"/>
                </a:lnTo>
                <a:lnTo>
                  <a:pt x="79" y="33"/>
                </a:lnTo>
                <a:lnTo>
                  <a:pt x="78" y="33"/>
                </a:lnTo>
                <a:lnTo>
                  <a:pt x="78" y="33"/>
                </a:lnTo>
                <a:lnTo>
                  <a:pt x="78" y="34"/>
                </a:lnTo>
                <a:lnTo>
                  <a:pt x="78" y="34"/>
                </a:lnTo>
                <a:lnTo>
                  <a:pt x="78" y="35"/>
                </a:lnTo>
                <a:lnTo>
                  <a:pt x="77" y="40"/>
                </a:lnTo>
                <a:lnTo>
                  <a:pt x="75" y="40"/>
                </a:lnTo>
                <a:lnTo>
                  <a:pt x="75" y="41"/>
                </a:lnTo>
                <a:lnTo>
                  <a:pt x="74" y="42"/>
                </a:lnTo>
                <a:lnTo>
                  <a:pt x="74" y="44"/>
                </a:lnTo>
                <a:lnTo>
                  <a:pt x="74" y="45"/>
                </a:lnTo>
                <a:lnTo>
                  <a:pt x="75" y="46"/>
                </a:lnTo>
                <a:lnTo>
                  <a:pt x="74" y="47"/>
                </a:lnTo>
                <a:lnTo>
                  <a:pt x="73" y="47"/>
                </a:lnTo>
                <a:lnTo>
                  <a:pt x="72" y="47"/>
                </a:lnTo>
                <a:lnTo>
                  <a:pt x="70" y="48"/>
                </a:lnTo>
                <a:lnTo>
                  <a:pt x="69" y="53"/>
                </a:lnTo>
                <a:lnTo>
                  <a:pt x="69" y="53"/>
                </a:lnTo>
                <a:lnTo>
                  <a:pt x="69" y="54"/>
                </a:lnTo>
                <a:lnTo>
                  <a:pt x="70" y="54"/>
                </a:lnTo>
                <a:lnTo>
                  <a:pt x="72" y="54"/>
                </a:lnTo>
                <a:lnTo>
                  <a:pt x="74" y="55"/>
                </a:lnTo>
                <a:lnTo>
                  <a:pt x="76" y="55"/>
                </a:lnTo>
                <a:lnTo>
                  <a:pt x="76" y="56"/>
                </a:lnTo>
                <a:lnTo>
                  <a:pt x="76" y="57"/>
                </a:lnTo>
                <a:lnTo>
                  <a:pt x="76" y="57"/>
                </a:lnTo>
                <a:lnTo>
                  <a:pt x="76" y="59"/>
                </a:lnTo>
                <a:lnTo>
                  <a:pt x="73" y="62"/>
                </a:lnTo>
                <a:lnTo>
                  <a:pt x="73" y="63"/>
                </a:lnTo>
                <a:lnTo>
                  <a:pt x="72" y="65"/>
                </a:lnTo>
                <a:lnTo>
                  <a:pt x="70" y="68"/>
                </a:lnTo>
                <a:lnTo>
                  <a:pt x="67" y="70"/>
                </a:lnTo>
                <a:lnTo>
                  <a:pt x="67" y="70"/>
                </a:lnTo>
                <a:lnTo>
                  <a:pt x="64" y="72"/>
                </a:lnTo>
                <a:lnTo>
                  <a:pt x="63" y="73"/>
                </a:lnTo>
                <a:lnTo>
                  <a:pt x="63" y="74"/>
                </a:lnTo>
                <a:lnTo>
                  <a:pt x="64" y="75"/>
                </a:lnTo>
                <a:lnTo>
                  <a:pt x="65" y="77"/>
                </a:lnTo>
                <a:lnTo>
                  <a:pt x="67" y="78"/>
                </a:lnTo>
                <a:lnTo>
                  <a:pt x="67" y="79"/>
                </a:lnTo>
                <a:lnTo>
                  <a:pt x="69" y="82"/>
                </a:lnTo>
                <a:lnTo>
                  <a:pt x="72" y="83"/>
                </a:lnTo>
                <a:lnTo>
                  <a:pt x="73" y="84"/>
                </a:lnTo>
                <a:lnTo>
                  <a:pt x="78" y="87"/>
                </a:lnTo>
                <a:lnTo>
                  <a:pt x="79" y="87"/>
                </a:lnTo>
                <a:lnTo>
                  <a:pt x="81" y="88"/>
                </a:lnTo>
                <a:lnTo>
                  <a:pt x="83" y="88"/>
                </a:lnTo>
                <a:lnTo>
                  <a:pt x="84" y="89"/>
                </a:lnTo>
                <a:lnTo>
                  <a:pt x="84" y="89"/>
                </a:lnTo>
                <a:lnTo>
                  <a:pt x="84" y="89"/>
                </a:lnTo>
                <a:lnTo>
                  <a:pt x="84" y="92"/>
                </a:lnTo>
                <a:lnTo>
                  <a:pt x="83" y="94"/>
                </a:lnTo>
                <a:lnTo>
                  <a:pt x="83" y="94"/>
                </a:lnTo>
                <a:lnTo>
                  <a:pt x="83" y="94"/>
                </a:lnTo>
                <a:lnTo>
                  <a:pt x="83" y="94"/>
                </a:lnTo>
                <a:lnTo>
                  <a:pt x="83" y="96"/>
                </a:lnTo>
                <a:lnTo>
                  <a:pt x="80" y="98"/>
                </a:lnTo>
                <a:lnTo>
                  <a:pt x="78" y="99"/>
                </a:lnTo>
                <a:lnTo>
                  <a:pt x="75" y="99"/>
                </a:lnTo>
                <a:lnTo>
                  <a:pt x="74" y="100"/>
                </a:lnTo>
                <a:lnTo>
                  <a:pt x="75" y="101"/>
                </a:lnTo>
                <a:lnTo>
                  <a:pt x="74" y="101"/>
                </a:lnTo>
                <a:lnTo>
                  <a:pt x="72" y="100"/>
                </a:lnTo>
                <a:lnTo>
                  <a:pt x="71" y="100"/>
                </a:lnTo>
                <a:lnTo>
                  <a:pt x="70" y="99"/>
                </a:lnTo>
                <a:lnTo>
                  <a:pt x="69" y="99"/>
                </a:lnTo>
                <a:lnTo>
                  <a:pt x="68" y="97"/>
                </a:lnTo>
                <a:lnTo>
                  <a:pt x="68" y="96"/>
                </a:lnTo>
                <a:lnTo>
                  <a:pt x="68" y="96"/>
                </a:lnTo>
                <a:lnTo>
                  <a:pt x="67" y="96"/>
                </a:lnTo>
                <a:lnTo>
                  <a:pt x="66" y="94"/>
                </a:lnTo>
                <a:lnTo>
                  <a:pt x="66" y="94"/>
                </a:lnTo>
                <a:lnTo>
                  <a:pt x="65" y="93"/>
                </a:lnTo>
                <a:lnTo>
                  <a:pt x="60" y="90"/>
                </a:lnTo>
                <a:lnTo>
                  <a:pt x="59" y="89"/>
                </a:lnTo>
                <a:lnTo>
                  <a:pt x="59" y="89"/>
                </a:lnTo>
                <a:lnTo>
                  <a:pt x="60" y="88"/>
                </a:lnTo>
                <a:lnTo>
                  <a:pt x="60" y="88"/>
                </a:lnTo>
                <a:lnTo>
                  <a:pt x="60" y="86"/>
                </a:lnTo>
                <a:lnTo>
                  <a:pt x="61" y="85"/>
                </a:lnTo>
                <a:lnTo>
                  <a:pt x="60" y="84"/>
                </a:lnTo>
                <a:lnTo>
                  <a:pt x="60" y="85"/>
                </a:lnTo>
                <a:lnTo>
                  <a:pt x="60" y="87"/>
                </a:lnTo>
                <a:lnTo>
                  <a:pt x="58" y="88"/>
                </a:lnTo>
                <a:lnTo>
                  <a:pt x="57" y="87"/>
                </a:lnTo>
                <a:lnTo>
                  <a:pt x="57" y="88"/>
                </a:lnTo>
                <a:lnTo>
                  <a:pt x="54" y="87"/>
                </a:lnTo>
                <a:lnTo>
                  <a:pt x="54" y="86"/>
                </a:lnTo>
                <a:lnTo>
                  <a:pt x="53" y="85"/>
                </a:lnTo>
                <a:lnTo>
                  <a:pt x="53" y="83"/>
                </a:lnTo>
                <a:lnTo>
                  <a:pt x="53" y="83"/>
                </a:lnTo>
                <a:lnTo>
                  <a:pt x="52" y="85"/>
                </a:lnTo>
                <a:lnTo>
                  <a:pt x="51" y="85"/>
                </a:lnTo>
                <a:lnTo>
                  <a:pt x="51" y="84"/>
                </a:lnTo>
                <a:lnTo>
                  <a:pt x="49" y="82"/>
                </a:lnTo>
                <a:lnTo>
                  <a:pt x="48" y="81"/>
                </a:lnTo>
                <a:lnTo>
                  <a:pt x="48" y="80"/>
                </a:lnTo>
                <a:lnTo>
                  <a:pt x="48" y="80"/>
                </a:lnTo>
                <a:lnTo>
                  <a:pt x="48" y="79"/>
                </a:lnTo>
                <a:lnTo>
                  <a:pt x="50" y="78"/>
                </a:lnTo>
                <a:lnTo>
                  <a:pt x="50" y="76"/>
                </a:lnTo>
                <a:lnTo>
                  <a:pt x="51" y="76"/>
                </a:lnTo>
                <a:lnTo>
                  <a:pt x="51" y="75"/>
                </a:lnTo>
                <a:lnTo>
                  <a:pt x="53" y="75"/>
                </a:lnTo>
                <a:lnTo>
                  <a:pt x="54" y="77"/>
                </a:lnTo>
                <a:lnTo>
                  <a:pt x="54" y="78"/>
                </a:lnTo>
                <a:lnTo>
                  <a:pt x="55" y="79"/>
                </a:lnTo>
                <a:lnTo>
                  <a:pt x="57" y="80"/>
                </a:lnTo>
                <a:lnTo>
                  <a:pt x="57" y="80"/>
                </a:lnTo>
                <a:lnTo>
                  <a:pt x="59" y="79"/>
                </a:lnTo>
                <a:lnTo>
                  <a:pt x="59" y="77"/>
                </a:lnTo>
                <a:lnTo>
                  <a:pt x="59" y="76"/>
                </a:lnTo>
                <a:lnTo>
                  <a:pt x="59" y="77"/>
                </a:lnTo>
                <a:lnTo>
                  <a:pt x="58" y="77"/>
                </a:lnTo>
                <a:lnTo>
                  <a:pt x="58" y="78"/>
                </a:lnTo>
                <a:lnTo>
                  <a:pt x="58" y="79"/>
                </a:lnTo>
                <a:lnTo>
                  <a:pt x="57" y="79"/>
                </a:lnTo>
                <a:lnTo>
                  <a:pt x="56" y="78"/>
                </a:lnTo>
                <a:lnTo>
                  <a:pt x="55" y="78"/>
                </a:lnTo>
                <a:lnTo>
                  <a:pt x="54" y="77"/>
                </a:lnTo>
                <a:lnTo>
                  <a:pt x="53" y="74"/>
                </a:lnTo>
                <a:lnTo>
                  <a:pt x="51" y="74"/>
                </a:lnTo>
                <a:lnTo>
                  <a:pt x="50" y="73"/>
                </a:lnTo>
                <a:lnTo>
                  <a:pt x="49" y="72"/>
                </a:lnTo>
                <a:lnTo>
                  <a:pt x="51" y="70"/>
                </a:lnTo>
                <a:lnTo>
                  <a:pt x="52" y="67"/>
                </a:lnTo>
                <a:lnTo>
                  <a:pt x="54" y="67"/>
                </a:lnTo>
                <a:lnTo>
                  <a:pt x="54" y="66"/>
                </a:lnTo>
                <a:lnTo>
                  <a:pt x="55" y="66"/>
                </a:lnTo>
                <a:lnTo>
                  <a:pt x="55" y="65"/>
                </a:lnTo>
                <a:lnTo>
                  <a:pt x="54" y="64"/>
                </a:lnTo>
                <a:lnTo>
                  <a:pt x="54" y="65"/>
                </a:lnTo>
                <a:lnTo>
                  <a:pt x="53" y="66"/>
                </a:lnTo>
                <a:lnTo>
                  <a:pt x="52" y="66"/>
                </a:lnTo>
                <a:lnTo>
                  <a:pt x="52" y="67"/>
                </a:lnTo>
                <a:lnTo>
                  <a:pt x="51" y="68"/>
                </a:lnTo>
                <a:lnTo>
                  <a:pt x="51" y="70"/>
                </a:lnTo>
                <a:lnTo>
                  <a:pt x="47" y="71"/>
                </a:lnTo>
                <a:lnTo>
                  <a:pt x="46" y="72"/>
                </a:lnTo>
                <a:lnTo>
                  <a:pt x="46" y="72"/>
                </a:lnTo>
                <a:lnTo>
                  <a:pt x="45" y="73"/>
                </a:lnTo>
                <a:lnTo>
                  <a:pt x="46" y="74"/>
                </a:lnTo>
                <a:lnTo>
                  <a:pt x="46" y="76"/>
                </a:lnTo>
                <a:lnTo>
                  <a:pt x="46" y="77"/>
                </a:lnTo>
                <a:lnTo>
                  <a:pt x="46" y="77"/>
                </a:lnTo>
                <a:lnTo>
                  <a:pt x="46" y="77"/>
                </a:lnTo>
                <a:lnTo>
                  <a:pt x="47" y="79"/>
                </a:lnTo>
                <a:lnTo>
                  <a:pt x="46" y="79"/>
                </a:lnTo>
                <a:lnTo>
                  <a:pt x="45" y="80"/>
                </a:lnTo>
                <a:lnTo>
                  <a:pt x="44" y="80"/>
                </a:lnTo>
                <a:lnTo>
                  <a:pt x="41" y="81"/>
                </a:lnTo>
                <a:lnTo>
                  <a:pt x="40" y="80"/>
                </a:lnTo>
                <a:lnTo>
                  <a:pt x="39" y="80"/>
                </a:lnTo>
                <a:lnTo>
                  <a:pt x="37" y="77"/>
                </a:lnTo>
                <a:lnTo>
                  <a:pt x="36" y="76"/>
                </a:lnTo>
                <a:lnTo>
                  <a:pt x="37" y="75"/>
                </a:lnTo>
                <a:lnTo>
                  <a:pt x="38" y="73"/>
                </a:lnTo>
                <a:lnTo>
                  <a:pt x="38" y="72"/>
                </a:lnTo>
                <a:lnTo>
                  <a:pt x="41" y="71"/>
                </a:lnTo>
                <a:lnTo>
                  <a:pt x="42" y="70"/>
                </a:lnTo>
                <a:lnTo>
                  <a:pt x="42" y="69"/>
                </a:lnTo>
                <a:lnTo>
                  <a:pt x="41" y="69"/>
                </a:lnTo>
                <a:lnTo>
                  <a:pt x="41" y="70"/>
                </a:lnTo>
                <a:lnTo>
                  <a:pt x="40" y="70"/>
                </a:lnTo>
                <a:lnTo>
                  <a:pt x="39" y="70"/>
                </a:lnTo>
                <a:lnTo>
                  <a:pt x="38" y="71"/>
                </a:lnTo>
                <a:lnTo>
                  <a:pt x="37" y="71"/>
                </a:lnTo>
                <a:lnTo>
                  <a:pt x="36" y="71"/>
                </a:lnTo>
                <a:lnTo>
                  <a:pt x="37" y="72"/>
                </a:lnTo>
                <a:lnTo>
                  <a:pt x="37" y="73"/>
                </a:lnTo>
                <a:lnTo>
                  <a:pt x="35" y="74"/>
                </a:lnTo>
                <a:lnTo>
                  <a:pt x="35" y="76"/>
                </a:lnTo>
                <a:lnTo>
                  <a:pt x="34" y="76"/>
                </a:lnTo>
                <a:lnTo>
                  <a:pt x="34" y="75"/>
                </a:lnTo>
                <a:lnTo>
                  <a:pt x="32" y="75"/>
                </a:lnTo>
                <a:lnTo>
                  <a:pt x="31" y="75"/>
                </a:lnTo>
                <a:lnTo>
                  <a:pt x="30" y="72"/>
                </a:lnTo>
                <a:lnTo>
                  <a:pt x="30" y="70"/>
                </a:lnTo>
                <a:lnTo>
                  <a:pt x="31" y="68"/>
                </a:lnTo>
                <a:lnTo>
                  <a:pt x="32" y="68"/>
                </a:lnTo>
                <a:lnTo>
                  <a:pt x="32" y="68"/>
                </a:lnTo>
                <a:lnTo>
                  <a:pt x="33" y="68"/>
                </a:lnTo>
                <a:lnTo>
                  <a:pt x="35" y="68"/>
                </a:lnTo>
                <a:lnTo>
                  <a:pt x="36" y="67"/>
                </a:lnTo>
                <a:lnTo>
                  <a:pt x="35" y="66"/>
                </a:lnTo>
                <a:lnTo>
                  <a:pt x="35" y="66"/>
                </a:lnTo>
                <a:lnTo>
                  <a:pt x="35" y="67"/>
                </a:lnTo>
                <a:lnTo>
                  <a:pt x="34" y="68"/>
                </a:lnTo>
                <a:lnTo>
                  <a:pt x="33" y="67"/>
                </a:lnTo>
                <a:lnTo>
                  <a:pt x="32" y="67"/>
                </a:lnTo>
                <a:lnTo>
                  <a:pt x="31" y="67"/>
                </a:lnTo>
                <a:lnTo>
                  <a:pt x="30" y="68"/>
                </a:lnTo>
                <a:lnTo>
                  <a:pt x="29" y="71"/>
                </a:lnTo>
                <a:lnTo>
                  <a:pt x="28" y="70"/>
                </a:lnTo>
                <a:lnTo>
                  <a:pt x="27" y="70"/>
                </a:lnTo>
                <a:lnTo>
                  <a:pt x="25" y="67"/>
                </a:lnTo>
                <a:lnTo>
                  <a:pt x="24" y="66"/>
                </a:lnTo>
                <a:lnTo>
                  <a:pt x="23" y="65"/>
                </a:lnTo>
                <a:lnTo>
                  <a:pt x="21" y="64"/>
                </a:lnTo>
                <a:lnTo>
                  <a:pt x="20" y="63"/>
                </a:lnTo>
                <a:lnTo>
                  <a:pt x="19" y="63"/>
                </a:lnTo>
                <a:lnTo>
                  <a:pt x="18" y="62"/>
                </a:lnTo>
                <a:lnTo>
                  <a:pt x="15" y="62"/>
                </a:lnTo>
                <a:lnTo>
                  <a:pt x="14" y="63"/>
                </a:lnTo>
                <a:lnTo>
                  <a:pt x="13" y="62"/>
                </a:lnTo>
                <a:lnTo>
                  <a:pt x="12" y="63"/>
                </a:lnTo>
                <a:lnTo>
                  <a:pt x="12" y="63"/>
                </a:lnTo>
                <a:lnTo>
                  <a:pt x="11" y="64"/>
                </a:lnTo>
                <a:lnTo>
                  <a:pt x="10" y="64"/>
                </a:lnTo>
                <a:lnTo>
                  <a:pt x="10" y="64"/>
                </a:lnTo>
                <a:lnTo>
                  <a:pt x="9" y="61"/>
                </a:lnTo>
                <a:lnTo>
                  <a:pt x="9" y="61"/>
                </a:lnTo>
                <a:lnTo>
                  <a:pt x="9" y="59"/>
                </a:lnTo>
                <a:lnTo>
                  <a:pt x="11" y="58"/>
                </a:lnTo>
                <a:lnTo>
                  <a:pt x="11" y="58"/>
                </a:lnTo>
                <a:lnTo>
                  <a:pt x="10" y="59"/>
                </a:lnTo>
                <a:lnTo>
                  <a:pt x="9" y="59"/>
                </a:lnTo>
                <a:lnTo>
                  <a:pt x="10" y="55"/>
                </a:lnTo>
                <a:lnTo>
                  <a:pt x="9" y="54"/>
                </a:lnTo>
                <a:lnTo>
                  <a:pt x="9" y="53"/>
                </a:lnTo>
                <a:lnTo>
                  <a:pt x="9" y="52"/>
                </a:lnTo>
                <a:lnTo>
                  <a:pt x="8" y="51"/>
                </a:lnTo>
                <a:lnTo>
                  <a:pt x="7" y="51"/>
                </a:lnTo>
                <a:lnTo>
                  <a:pt x="7" y="50"/>
                </a:lnTo>
                <a:lnTo>
                  <a:pt x="6" y="49"/>
                </a:lnTo>
                <a:lnTo>
                  <a:pt x="6" y="49"/>
                </a:lnTo>
                <a:lnTo>
                  <a:pt x="5" y="48"/>
                </a:lnTo>
                <a:lnTo>
                  <a:pt x="4" y="47"/>
                </a:lnTo>
                <a:lnTo>
                  <a:pt x="2" y="47"/>
                </a:lnTo>
                <a:lnTo>
                  <a:pt x="1" y="46"/>
                </a:lnTo>
                <a:lnTo>
                  <a:pt x="1" y="45"/>
                </a:lnTo>
                <a:lnTo>
                  <a:pt x="0" y="43"/>
                </a:lnTo>
                <a:lnTo>
                  <a:pt x="0" y="41"/>
                </a:lnTo>
                <a:lnTo>
                  <a:pt x="0" y="40"/>
                </a:lnTo>
                <a:lnTo>
                  <a:pt x="0" y="38"/>
                </a:lnTo>
                <a:lnTo>
                  <a:pt x="0" y="37"/>
                </a:lnTo>
                <a:lnTo>
                  <a:pt x="1" y="36"/>
                </a:lnTo>
                <a:lnTo>
                  <a:pt x="2" y="36"/>
                </a:lnTo>
                <a:lnTo>
                  <a:pt x="3" y="34"/>
                </a:lnTo>
                <a:lnTo>
                  <a:pt x="4" y="32"/>
                </a:lnTo>
                <a:lnTo>
                  <a:pt x="5" y="32"/>
                </a:lnTo>
                <a:lnTo>
                  <a:pt x="6" y="29"/>
                </a:lnTo>
                <a:lnTo>
                  <a:pt x="8" y="26"/>
                </a:lnTo>
                <a:lnTo>
                  <a:pt x="8" y="25"/>
                </a:lnTo>
                <a:lnTo>
                  <a:pt x="8" y="25"/>
                </a:lnTo>
                <a:lnTo>
                  <a:pt x="9" y="26"/>
                </a:lnTo>
                <a:lnTo>
                  <a:pt x="10" y="27"/>
                </a:lnTo>
                <a:lnTo>
                  <a:pt x="11" y="27"/>
                </a:lnTo>
                <a:lnTo>
                  <a:pt x="12" y="28"/>
                </a:lnTo>
                <a:lnTo>
                  <a:pt x="12" y="30"/>
                </a:lnTo>
                <a:lnTo>
                  <a:pt x="13" y="30"/>
                </a:lnTo>
                <a:lnTo>
                  <a:pt x="15" y="30"/>
                </a:lnTo>
                <a:lnTo>
                  <a:pt x="16" y="31"/>
                </a:lnTo>
                <a:lnTo>
                  <a:pt x="18" y="32"/>
                </a:lnTo>
                <a:lnTo>
                  <a:pt x="19" y="34"/>
                </a:lnTo>
                <a:lnTo>
                  <a:pt x="20" y="35"/>
                </a:lnTo>
                <a:lnTo>
                  <a:pt x="21" y="35"/>
                </a:lnTo>
                <a:lnTo>
                  <a:pt x="22" y="35"/>
                </a:lnTo>
                <a:lnTo>
                  <a:pt x="23" y="33"/>
                </a:lnTo>
                <a:lnTo>
                  <a:pt x="24" y="32"/>
                </a:lnTo>
                <a:lnTo>
                  <a:pt x="25" y="32"/>
                </a:lnTo>
                <a:lnTo>
                  <a:pt x="25" y="33"/>
                </a:lnTo>
                <a:lnTo>
                  <a:pt x="26" y="33"/>
                </a:lnTo>
                <a:lnTo>
                  <a:pt x="26" y="33"/>
                </a:lnTo>
                <a:lnTo>
                  <a:pt x="28" y="33"/>
                </a:lnTo>
                <a:lnTo>
                  <a:pt x="30" y="32"/>
                </a:lnTo>
                <a:lnTo>
                  <a:pt x="32" y="29"/>
                </a:lnTo>
                <a:lnTo>
                  <a:pt x="33" y="30"/>
                </a:lnTo>
                <a:lnTo>
                  <a:pt x="34" y="29"/>
                </a:lnTo>
                <a:lnTo>
                  <a:pt x="35" y="27"/>
                </a:lnTo>
                <a:lnTo>
                  <a:pt x="36" y="26"/>
                </a:lnTo>
                <a:lnTo>
                  <a:pt x="39" y="21"/>
                </a:lnTo>
                <a:lnTo>
                  <a:pt x="40" y="19"/>
                </a:lnTo>
                <a:lnTo>
                  <a:pt x="41" y="19"/>
                </a:lnTo>
                <a:lnTo>
                  <a:pt x="44" y="15"/>
                </a:lnTo>
                <a:lnTo>
                  <a:pt x="47" y="11"/>
                </a:lnTo>
                <a:lnTo>
                  <a:pt x="47" y="10"/>
                </a:lnTo>
                <a:lnTo>
                  <a:pt x="48" y="9"/>
                </a:lnTo>
                <a:lnTo>
                  <a:pt x="49" y="9"/>
                </a:lnTo>
                <a:lnTo>
                  <a:pt x="49" y="9"/>
                </a:lnTo>
                <a:lnTo>
                  <a:pt x="50" y="9"/>
                </a:lnTo>
                <a:lnTo>
                  <a:pt x="51" y="7"/>
                </a:lnTo>
                <a:lnTo>
                  <a:pt x="52" y="5"/>
                </a:lnTo>
                <a:lnTo>
                  <a:pt x="53" y="3"/>
                </a:lnTo>
                <a:lnTo>
                  <a:pt x="54" y="3"/>
                </a:lnTo>
                <a:lnTo>
                  <a:pt x="55" y="3"/>
                </a:lnTo>
                <a:lnTo>
                  <a:pt x="56" y="1"/>
                </a:lnTo>
                <a:lnTo>
                  <a:pt x="57" y="1"/>
                </a:lnTo>
                <a:lnTo>
                  <a:pt x="58" y="0"/>
                </a:lnTo>
              </a:path>
            </a:pathLst>
          </a:custGeom>
          <a:grpFill/>
          <a:ln w="9525">
            <a:solidFill>
              <a:schemeClr val="bg1">
                <a:lumMod val="65000"/>
              </a:schemeClr>
            </a:solidFill>
            <a:prstDash val="solid"/>
            <a:round/>
            <a:headEnd/>
            <a:tailEnd/>
          </a:ln>
        </xdr:spPr>
      </xdr:sp>
      <xdr:sp macro="" textlink="">
        <xdr:nvSpPr>
          <xdr:cNvPr id="197" name="GIN007002"/>
          <xdr:cNvSpPr>
            <a:spLocks noChangeAspect="1"/>
          </xdr:cNvSpPr>
        </xdr:nvSpPr>
        <xdr:spPr bwMode="auto">
          <a:xfrm>
            <a:off x="5984174" y="3481697"/>
            <a:ext cx="1219200" cy="1268680"/>
          </a:xfrm>
          <a:custGeom>
            <a:avLst/>
            <a:gdLst>
              <a:gd name="T0" fmla="*/ 109 w 128"/>
              <a:gd name="T1" fmla="*/ 0 h 139"/>
              <a:gd name="T2" fmla="*/ 116 w 128"/>
              <a:gd name="T3" fmla="*/ 12 h 139"/>
              <a:gd name="T4" fmla="*/ 127 w 128"/>
              <a:gd name="T5" fmla="*/ 19 h 139"/>
              <a:gd name="T6" fmla="*/ 122 w 128"/>
              <a:gd name="T7" fmla="*/ 24 h 139"/>
              <a:gd name="T8" fmla="*/ 114 w 128"/>
              <a:gd name="T9" fmla="*/ 28 h 139"/>
              <a:gd name="T10" fmla="*/ 104 w 128"/>
              <a:gd name="T11" fmla="*/ 29 h 139"/>
              <a:gd name="T12" fmla="*/ 92 w 128"/>
              <a:gd name="T13" fmla="*/ 32 h 139"/>
              <a:gd name="T14" fmla="*/ 97 w 128"/>
              <a:gd name="T15" fmla="*/ 41 h 139"/>
              <a:gd name="T16" fmla="*/ 96 w 128"/>
              <a:gd name="T17" fmla="*/ 53 h 139"/>
              <a:gd name="T18" fmla="*/ 94 w 128"/>
              <a:gd name="T19" fmla="*/ 59 h 139"/>
              <a:gd name="T20" fmla="*/ 91 w 128"/>
              <a:gd name="T21" fmla="*/ 68 h 139"/>
              <a:gd name="T22" fmla="*/ 90 w 128"/>
              <a:gd name="T23" fmla="*/ 74 h 139"/>
              <a:gd name="T24" fmla="*/ 96 w 128"/>
              <a:gd name="T25" fmla="*/ 79 h 139"/>
              <a:gd name="T26" fmla="*/ 103 w 128"/>
              <a:gd name="T27" fmla="*/ 82 h 139"/>
              <a:gd name="T28" fmla="*/ 104 w 128"/>
              <a:gd name="T29" fmla="*/ 89 h 139"/>
              <a:gd name="T30" fmla="*/ 105 w 128"/>
              <a:gd name="T31" fmla="*/ 97 h 139"/>
              <a:gd name="T32" fmla="*/ 103 w 128"/>
              <a:gd name="T33" fmla="*/ 107 h 139"/>
              <a:gd name="T34" fmla="*/ 99 w 128"/>
              <a:gd name="T35" fmla="*/ 117 h 139"/>
              <a:gd name="T36" fmla="*/ 95 w 128"/>
              <a:gd name="T37" fmla="*/ 123 h 139"/>
              <a:gd name="T38" fmla="*/ 93 w 128"/>
              <a:gd name="T39" fmla="*/ 125 h 139"/>
              <a:gd name="T40" fmla="*/ 85 w 128"/>
              <a:gd name="T41" fmla="*/ 125 h 139"/>
              <a:gd name="T42" fmla="*/ 73 w 128"/>
              <a:gd name="T43" fmla="*/ 125 h 139"/>
              <a:gd name="T44" fmla="*/ 60 w 128"/>
              <a:gd name="T45" fmla="*/ 125 h 139"/>
              <a:gd name="T46" fmla="*/ 53 w 128"/>
              <a:gd name="T47" fmla="*/ 130 h 139"/>
              <a:gd name="T48" fmla="*/ 51 w 128"/>
              <a:gd name="T49" fmla="*/ 132 h 139"/>
              <a:gd name="T50" fmla="*/ 39 w 128"/>
              <a:gd name="T51" fmla="*/ 135 h 139"/>
              <a:gd name="T52" fmla="*/ 32 w 128"/>
              <a:gd name="T53" fmla="*/ 137 h 139"/>
              <a:gd name="T54" fmla="*/ 27 w 128"/>
              <a:gd name="T55" fmla="*/ 129 h 139"/>
              <a:gd name="T56" fmla="*/ 31 w 128"/>
              <a:gd name="T57" fmla="*/ 122 h 139"/>
              <a:gd name="T58" fmla="*/ 29 w 128"/>
              <a:gd name="T59" fmla="*/ 115 h 139"/>
              <a:gd name="T60" fmla="*/ 24 w 128"/>
              <a:gd name="T61" fmla="*/ 108 h 139"/>
              <a:gd name="T62" fmla="*/ 22 w 128"/>
              <a:gd name="T63" fmla="*/ 105 h 139"/>
              <a:gd name="T64" fmla="*/ 21 w 128"/>
              <a:gd name="T65" fmla="*/ 99 h 139"/>
              <a:gd name="T66" fmla="*/ 18 w 128"/>
              <a:gd name="T67" fmla="*/ 98 h 139"/>
              <a:gd name="T68" fmla="*/ 10 w 128"/>
              <a:gd name="T69" fmla="*/ 97 h 139"/>
              <a:gd name="T70" fmla="*/ 4 w 128"/>
              <a:gd name="T71" fmla="*/ 98 h 139"/>
              <a:gd name="T72" fmla="*/ 2 w 128"/>
              <a:gd name="T73" fmla="*/ 95 h 139"/>
              <a:gd name="T74" fmla="*/ 0 w 128"/>
              <a:gd name="T75" fmla="*/ 89 h 139"/>
              <a:gd name="T76" fmla="*/ 4 w 128"/>
              <a:gd name="T77" fmla="*/ 78 h 139"/>
              <a:gd name="T78" fmla="*/ 10 w 128"/>
              <a:gd name="T79" fmla="*/ 77 h 139"/>
              <a:gd name="T80" fmla="*/ 15 w 128"/>
              <a:gd name="T81" fmla="*/ 69 h 139"/>
              <a:gd name="T82" fmla="*/ 20 w 128"/>
              <a:gd name="T83" fmla="*/ 63 h 139"/>
              <a:gd name="T84" fmla="*/ 24 w 128"/>
              <a:gd name="T85" fmla="*/ 50 h 139"/>
              <a:gd name="T86" fmla="*/ 27 w 128"/>
              <a:gd name="T87" fmla="*/ 49 h 139"/>
              <a:gd name="T88" fmla="*/ 33 w 128"/>
              <a:gd name="T89" fmla="*/ 46 h 139"/>
              <a:gd name="T90" fmla="*/ 38 w 128"/>
              <a:gd name="T91" fmla="*/ 46 h 139"/>
              <a:gd name="T92" fmla="*/ 43 w 128"/>
              <a:gd name="T93" fmla="*/ 44 h 139"/>
              <a:gd name="T94" fmla="*/ 44 w 128"/>
              <a:gd name="T95" fmla="*/ 40 h 139"/>
              <a:gd name="T96" fmla="*/ 50 w 128"/>
              <a:gd name="T97" fmla="*/ 39 h 139"/>
              <a:gd name="T98" fmla="*/ 58 w 128"/>
              <a:gd name="T99" fmla="*/ 41 h 139"/>
              <a:gd name="T100" fmla="*/ 65 w 128"/>
              <a:gd name="T101" fmla="*/ 39 h 139"/>
              <a:gd name="T102" fmla="*/ 68 w 128"/>
              <a:gd name="T103" fmla="*/ 36 h 139"/>
              <a:gd name="T104" fmla="*/ 72 w 128"/>
              <a:gd name="T105" fmla="*/ 24 h 139"/>
              <a:gd name="T106" fmla="*/ 75 w 128"/>
              <a:gd name="T107" fmla="*/ 21 h 139"/>
              <a:gd name="T108" fmla="*/ 78 w 128"/>
              <a:gd name="T109" fmla="*/ 18 h 139"/>
              <a:gd name="T110" fmla="*/ 83 w 128"/>
              <a:gd name="T111" fmla="*/ 18 h 139"/>
              <a:gd name="T112" fmla="*/ 92 w 128"/>
              <a:gd name="T113" fmla="*/ 8 h 139"/>
              <a:gd name="T114" fmla="*/ 103 w 128"/>
              <a:gd name="T115" fmla="*/ 4 h 139"/>
              <a:gd name="T116" fmla="*/ 103 w 128"/>
              <a:gd name="T117" fmla="*/ 0 h 13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8" h="139">
                <a:moveTo>
                  <a:pt x="106" y="1"/>
                </a:moveTo>
                <a:lnTo>
                  <a:pt x="108" y="1"/>
                </a:lnTo>
                <a:lnTo>
                  <a:pt x="107" y="0"/>
                </a:lnTo>
                <a:lnTo>
                  <a:pt x="109" y="0"/>
                </a:lnTo>
                <a:lnTo>
                  <a:pt x="110" y="4"/>
                </a:lnTo>
                <a:lnTo>
                  <a:pt x="112" y="9"/>
                </a:lnTo>
                <a:lnTo>
                  <a:pt x="114" y="13"/>
                </a:lnTo>
                <a:lnTo>
                  <a:pt x="116" y="12"/>
                </a:lnTo>
                <a:lnTo>
                  <a:pt x="119" y="15"/>
                </a:lnTo>
                <a:lnTo>
                  <a:pt x="121" y="17"/>
                </a:lnTo>
                <a:lnTo>
                  <a:pt x="125" y="18"/>
                </a:lnTo>
                <a:lnTo>
                  <a:pt x="127" y="19"/>
                </a:lnTo>
                <a:lnTo>
                  <a:pt x="128" y="19"/>
                </a:lnTo>
                <a:lnTo>
                  <a:pt x="126" y="21"/>
                </a:lnTo>
                <a:lnTo>
                  <a:pt x="124" y="22"/>
                </a:lnTo>
                <a:lnTo>
                  <a:pt x="122" y="24"/>
                </a:lnTo>
                <a:lnTo>
                  <a:pt x="120" y="24"/>
                </a:lnTo>
                <a:lnTo>
                  <a:pt x="119" y="25"/>
                </a:lnTo>
                <a:lnTo>
                  <a:pt x="118" y="26"/>
                </a:lnTo>
                <a:lnTo>
                  <a:pt x="114" y="28"/>
                </a:lnTo>
                <a:lnTo>
                  <a:pt x="111" y="28"/>
                </a:lnTo>
                <a:lnTo>
                  <a:pt x="107" y="29"/>
                </a:lnTo>
                <a:lnTo>
                  <a:pt x="104" y="30"/>
                </a:lnTo>
                <a:lnTo>
                  <a:pt x="104" y="29"/>
                </a:lnTo>
                <a:lnTo>
                  <a:pt x="101" y="28"/>
                </a:lnTo>
                <a:lnTo>
                  <a:pt x="97" y="27"/>
                </a:lnTo>
                <a:lnTo>
                  <a:pt x="95" y="28"/>
                </a:lnTo>
                <a:lnTo>
                  <a:pt x="92" y="32"/>
                </a:lnTo>
                <a:lnTo>
                  <a:pt x="90" y="36"/>
                </a:lnTo>
                <a:lnTo>
                  <a:pt x="90" y="39"/>
                </a:lnTo>
                <a:lnTo>
                  <a:pt x="93" y="39"/>
                </a:lnTo>
                <a:lnTo>
                  <a:pt x="97" y="41"/>
                </a:lnTo>
                <a:lnTo>
                  <a:pt x="99" y="44"/>
                </a:lnTo>
                <a:lnTo>
                  <a:pt x="97" y="47"/>
                </a:lnTo>
                <a:lnTo>
                  <a:pt x="98" y="50"/>
                </a:lnTo>
                <a:lnTo>
                  <a:pt x="96" y="53"/>
                </a:lnTo>
                <a:lnTo>
                  <a:pt x="97" y="54"/>
                </a:lnTo>
                <a:lnTo>
                  <a:pt x="97" y="56"/>
                </a:lnTo>
                <a:lnTo>
                  <a:pt x="96" y="58"/>
                </a:lnTo>
                <a:lnTo>
                  <a:pt x="94" y="59"/>
                </a:lnTo>
                <a:lnTo>
                  <a:pt x="94" y="62"/>
                </a:lnTo>
                <a:lnTo>
                  <a:pt x="93" y="65"/>
                </a:lnTo>
                <a:lnTo>
                  <a:pt x="92" y="65"/>
                </a:lnTo>
                <a:lnTo>
                  <a:pt x="91" y="68"/>
                </a:lnTo>
                <a:lnTo>
                  <a:pt x="91" y="69"/>
                </a:lnTo>
                <a:lnTo>
                  <a:pt x="91" y="70"/>
                </a:lnTo>
                <a:lnTo>
                  <a:pt x="91" y="72"/>
                </a:lnTo>
                <a:lnTo>
                  <a:pt x="90" y="74"/>
                </a:lnTo>
                <a:lnTo>
                  <a:pt x="90" y="76"/>
                </a:lnTo>
                <a:lnTo>
                  <a:pt x="92" y="76"/>
                </a:lnTo>
                <a:lnTo>
                  <a:pt x="94" y="77"/>
                </a:lnTo>
                <a:lnTo>
                  <a:pt x="96" y="79"/>
                </a:lnTo>
                <a:lnTo>
                  <a:pt x="98" y="80"/>
                </a:lnTo>
                <a:lnTo>
                  <a:pt x="101" y="80"/>
                </a:lnTo>
                <a:lnTo>
                  <a:pt x="103" y="80"/>
                </a:lnTo>
                <a:lnTo>
                  <a:pt x="103" y="82"/>
                </a:lnTo>
                <a:lnTo>
                  <a:pt x="103" y="84"/>
                </a:lnTo>
                <a:lnTo>
                  <a:pt x="104" y="86"/>
                </a:lnTo>
                <a:lnTo>
                  <a:pt x="104" y="88"/>
                </a:lnTo>
                <a:lnTo>
                  <a:pt x="104" y="89"/>
                </a:lnTo>
                <a:lnTo>
                  <a:pt x="104" y="90"/>
                </a:lnTo>
                <a:lnTo>
                  <a:pt x="104" y="92"/>
                </a:lnTo>
                <a:lnTo>
                  <a:pt x="104" y="95"/>
                </a:lnTo>
                <a:lnTo>
                  <a:pt x="105" y="97"/>
                </a:lnTo>
                <a:lnTo>
                  <a:pt x="104" y="99"/>
                </a:lnTo>
                <a:lnTo>
                  <a:pt x="103" y="101"/>
                </a:lnTo>
                <a:lnTo>
                  <a:pt x="104" y="104"/>
                </a:lnTo>
                <a:lnTo>
                  <a:pt x="103" y="107"/>
                </a:lnTo>
                <a:lnTo>
                  <a:pt x="102" y="109"/>
                </a:lnTo>
                <a:lnTo>
                  <a:pt x="101" y="111"/>
                </a:lnTo>
                <a:lnTo>
                  <a:pt x="99" y="114"/>
                </a:lnTo>
                <a:lnTo>
                  <a:pt x="99" y="117"/>
                </a:lnTo>
                <a:lnTo>
                  <a:pt x="95" y="119"/>
                </a:lnTo>
                <a:lnTo>
                  <a:pt x="96" y="122"/>
                </a:lnTo>
                <a:lnTo>
                  <a:pt x="96" y="123"/>
                </a:lnTo>
                <a:lnTo>
                  <a:pt x="95" y="123"/>
                </a:lnTo>
                <a:lnTo>
                  <a:pt x="95" y="124"/>
                </a:lnTo>
                <a:lnTo>
                  <a:pt x="95" y="124"/>
                </a:lnTo>
                <a:lnTo>
                  <a:pt x="95" y="125"/>
                </a:lnTo>
                <a:lnTo>
                  <a:pt x="93" y="125"/>
                </a:lnTo>
                <a:lnTo>
                  <a:pt x="92" y="125"/>
                </a:lnTo>
                <a:lnTo>
                  <a:pt x="86" y="125"/>
                </a:lnTo>
                <a:lnTo>
                  <a:pt x="85" y="125"/>
                </a:lnTo>
                <a:lnTo>
                  <a:pt x="85" y="125"/>
                </a:lnTo>
                <a:lnTo>
                  <a:pt x="84" y="125"/>
                </a:lnTo>
                <a:lnTo>
                  <a:pt x="81" y="125"/>
                </a:lnTo>
                <a:lnTo>
                  <a:pt x="78" y="125"/>
                </a:lnTo>
                <a:lnTo>
                  <a:pt x="73" y="125"/>
                </a:lnTo>
                <a:lnTo>
                  <a:pt x="70" y="125"/>
                </a:lnTo>
                <a:lnTo>
                  <a:pt x="69" y="125"/>
                </a:lnTo>
                <a:lnTo>
                  <a:pt x="66" y="125"/>
                </a:lnTo>
                <a:lnTo>
                  <a:pt x="60" y="125"/>
                </a:lnTo>
                <a:lnTo>
                  <a:pt x="55" y="125"/>
                </a:lnTo>
                <a:lnTo>
                  <a:pt x="54" y="126"/>
                </a:lnTo>
                <a:lnTo>
                  <a:pt x="54" y="126"/>
                </a:lnTo>
                <a:lnTo>
                  <a:pt x="53" y="130"/>
                </a:lnTo>
                <a:lnTo>
                  <a:pt x="52" y="131"/>
                </a:lnTo>
                <a:lnTo>
                  <a:pt x="52" y="131"/>
                </a:lnTo>
                <a:lnTo>
                  <a:pt x="51" y="131"/>
                </a:lnTo>
                <a:lnTo>
                  <a:pt x="51" y="132"/>
                </a:lnTo>
                <a:lnTo>
                  <a:pt x="49" y="132"/>
                </a:lnTo>
                <a:lnTo>
                  <a:pt x="40" y="135"/>
                </a:lnTo>
                <a:lnTo>
                  <a:pt x="40" y="135"/>
                </a:lnTo>
                <a:lnTo>
                  <a:pt x="39" y="135"/>
                </a:lnTo>
                <a:lnTo>
                  <a:pt x="37" y="136"/>
                </a:lnTo>
                <a:lnTo>
                  <a:pt x="36" y="136"/>
                </a:lnTo>
                <a:lnTo>
                  <a:pt x="35" y="136"/>
                </a:lnTo>
                <a:lnTo>
                  <a:pt x="32" y="137"/>
                </a:lnTo>
                <a:lnTo>
                  <a:pt x="31" y="138"/>
                </a:lnTo>
                <a:lnTo>
                  <a:pt x="29" y="139"/>
                </a:lnTo>
                <a:lnTo>
                  <a:pt x="28" y="131"/>
                </a:lnTo>
                <a:lnTo>
                  <a:pt x="27" y="129"/>
                </a:lnTo>
                <a:lnTo>
                  <a:pt x="27" y="127"/>
                </a:lnTo>
                <a:lnTo>
                  <a:pt x="27" y="125"/>
                </a:lnTo>
                <a:lnTo>
                  <a:pt x="30" y="124"/>
                </a:lnTo>
                <a:lnTo>
                  <a:pt x="31" y="122"/>
                </a:lnTo>
                <a:lnTo>
                  <a:pt x="31" y="121"/>
                </a:lnTo>
                <a:lnTo>
                  <a:pt x="30" y="117"/>
                </a:lnTo>
                <a:lnTo>
                  <a:pt x="30" y="116"/>
                </a:lnTo>
                <a:lnTo>
                  <a:pt x="29" y="115"/>
                </a:lnTo>
                <a:lnTo>
                  <a:pt x="28" y="112"/>
                </a:lnTo>
                <a:lnTo>
                  <a:pt x="27" y="111"/>
                </a:lnTo>
                <a:lnTo>
                  <a:pt x="25" y="110"/>
                </a:lnTo>
                <a:lnTo>
                  <a:pt x="24" y="108"/>
                </a:lnTo>
                <a:lnTo>
                  <a:pt x="24" y="107"/>
                </a:lnTo>
                <a:lnTo>
                  <a:pt x="23" y="106"/>
                </a:lnTo>
                <a:lnTo>
                  <a:pt x="23" y="105"/>
                </a:lnTo>
                <a:lnTo>
                  <a:pt x="22" y="105"/>
                </a:lnTo>
                <a:lnTo>
                  <a:pt x="21" y="103"/>
                </a:lnTo>
                <a:lnTo>
                  <a:pt x="21" y="101"/>
                </a:lnTo>
                <a:lnTo>
                  <a:pt x="21" y="100"/>
                </a:lnTo>
                <a:lnTo>
                  <a:pt x="21" y="99"/>
                </a:lnTo>
                <a:lnTo>
                  <a:pt x="21" y="98"/>
                </a:lnTo>
                <a:lnTo>
                  <a:pt x="20" y="98"/>
                </a:lnTo>
                <a:lnTo>
                  <a:pt x="20" y="98"/>
                </a:lnTo>
                <a:lnTo>
                  <a:pt x="18" y="98"/>
                </a:lnTo>
                <a:lnTo>
                  <a:pt x="17" y="98"/>
                </a:lnTo>
                <a:lnTo>
                  <a:pt x="15" y="98"/>
                </a:lnTo>
                <a:lnTo>
                  <a:pt x="11" y="97"/>
                </a:lnTo>
                <a:lnTo>
                  <a:pt x="10" y="97"/>
                </a:lnTo>
                <a:lnTo>
                  <a:pt x="8" y="99"/>
                </a:lnTo>
                <a:lnTo>
                  <a:pt x="7" y="99"/>
                </a:lnTo>
                <a:lnTo>
                  <a:pt x="5" y="98"/>
                </a:lnTo>
                <a:lnTo>
                  <a:pt x="4" y="98"/>
                </a:lnTo>
                <a:lnTo>
                  <a:pt x="3" y="98"/>
                </a:lnTo>
                <a:lnTo>
                  <a:pt x="2" y="98"/>
                </a:lnTo>
                <a:lnTo>
                  <a:pt x="2" y="97"/>
                </a:lnTo>
                <a:lnTo>
                  <a:pt x="2" y="95"/>
                </a:lnTo>
                <a:lnTo>
                  <a:pt x="1" y="93"/>
                </a:lnTo>
                <a:lnTo>
                  <a:pt x="0" y="93"/>
                </a:lnTo>
                <a:lnTo>
                  <a:pt x="0" y="89"/>
                </a:lnTo>
                <a:lnTo>
                  <a:pt x="0" y="89"/>
                </a:lnTo>
                <a:lnTo>
                  <a:pt x="1" y="87"/>
                </a:lnTo>
                <a:lnTo>
                  <a:pt x="3" y="80"/>
                </a:lnTo>
                <a:lnTo>
                  <a:pt x="4" y="79"/>
                </a:lnTo>
                <a:lnTo>
                  <a:pt x="4" y="78"/>
                </a:lnTo>
                <a:lnTo>
                  <a:pt x="5" y="77"/>
                </a:lnTo>
                <a:lnTo>
                  <a:pt x="7" y="76"/>
                </a:lnTo>
                <a:lnTo>
                  <a:pt x="8" y="77"/>
                </a:lnTo>
                <a:lnTo>
                  <a:pt x="10" y="77"/>
                </a:lnTo>
                <a:lnTo>
                  <a:pt x="12" y="76"/>
                </a:lnTo>
                <a:lnTo>
                  <a:pt x="14" y="75"/>
                </a:lnTo>
                <a:lnTo>
                  <a:pt x="14" y="72"/>
                </a:lnTo>
                <a:lnTo>
                  <a:pt x="15" y="69"/>
                </a:lnTo>
                <a:lnTo>
                  <a:pt x="15" y="68"/>
                </a:lnTo>
                <a:lnTo>
                  <a:pt x="15" y="66"/>
                </a:lnTo>
                <a:lnTo>
                  <a:pt x="18" y="63"/>
                </a:lnTo>
                <a:lnTo>
                  <a:pt x="20" y="63"/>
                </a:lnTo>
                <a:lnTo>
                  <a:pt x="22" y="61"/>
                </a:lnTo>
                <a:lnTo>
                  <a:pt x="23" y="56"/>
                </a:lnTo>
                <a:lnTo>
                  <a:pt x="23" y="54"/>
                </a:lnTo>
                <a:lnTo>
                  <a:pt x="24" y="50"/>
                </a:lnTo>
                <a:lnTo>
                  <a:pt x="24" y="49"/>
                </a:lnTo>
                <a:lnTo>
                  <a:pt x="25" y="48"/>
                </a:lnTo>
                <a:lnTo>
                  <a:pt x="26" y="47"/>
                </a:lnTo>
                <a:lnTo>
                  <a:pt x="27" y="49"/>
                </a:lnTo>
                <a:lnTo>
                  <a:pt x="27" y="49"/>
                </a:lnTo>
                <a:lnTo>
                  <a:pt x="30" y="48"/>
                </a:lnTo>
                <a:lnTo>
                  <a:pt x="32" y="48"/>
                </a:lnTo>
                <a:lnTo>
                  <a:pt x="33" y="46"/>
                </a:lnTo>
                <a:lnTo>
                  <a:pt x="35" y="45"/>
                </a:lnTo>
                <a:lnTo>
                  <a:pt x="36" y="44"/>
                </a:lnTo>
                <a:lnTo>
                  <a:pt x="37" y="44"/>
                </a:lnTo>
                <a:lnTo>
                  <a:pt x="38" y="46"/>
                </a:lnTo>
                <a:lnTo>
                  <a:pt x="39" y="46"/>
                </a:lnTo>
                <a:lnTo>
                  <a:pt x="40" y="46"/>
                </a:lnTo>
                <a:lnTo>
                  <a:pt x="42" y="44"/>
                </a:lnTo>
                <a:lnTo>
                  <a:pt x="43" y="44"/>
                </a:lnTo>
                <a:lnTo>
                  <a:pt x="43" y="43"/>
                </a:lnTo>
                <a:lnTo>
                  <a:pt x="43" y="42"/>
                </a:lnTo>
                <a:lnTo>
                  <a:pt x="43" y="41"/>
                </a:lnTo>
                <a:lnTo>
                  <a:pt x="44" y="40"/>
                </a:lnTo>
                <a:lnTo>
                  <a:pt x="46" y="39"/>
                </a:lnTo>
                <a:lnTo>
                  <a:pt x="47" y="39"/>
                </a:lnTo>
                <a:lnTo>
                  <a:pt x="49" y="39"/>
                </a:lnTo>
                <a:lnTo>
                  <a:pt x="50" y="39"/>
                </a:lnTo>
                <a:lnTo>
                  <a:pt x="52" y="39"/>
                </a:lnTo>
                <a:lnTo>
                  <a:pt x="54" y="41"/>
                </a:lnTo>
                <a:lnTo>
                  <a:pt x="57" y="42"/>
                </a:lnTo>
                <a:lnTo>
                  <a:pt x="58" y="41"/>
                </a:lnTo>
                <a:lnTo>
                  <a:pt x="60" y="41"/>
                </a:lnTo>
                <a:lnTo>
                  <a:pt x="61" y="42"/>
                </a:lnTo>
                <a:lnTo>
                  <a:pt x="63" y="41"/>
                </a:lnTo>
                <a:lnTo>
                  <a:pt x="65" y="39"/>
                </a:lnTo>
                <a:lnTo>
                  <a:pt x="66" y="39"/>
                </a:lnTo>
                <a:lnTo>
                  <a:pt x="67" y="37"/>
                </a:lnTo>
                <a:lnTo>
                  <a:pt x="67" y="37"/>
                </a:lnTo>
                <a:lnTo>
                  <a:pt x="68" y="36"/>
                </a:lnTo>
                <a:lnTo>
                  <a:pt x="69" y="34"/>
                </a:lnTo>
                <a:lnTo>
                  <a:pt x="69" y="31"/>
                </a:lnTo>
                <a:lnTo>
                  <a:pt x="69" y="28"/>
                </a:lnTo>
                <a:lnTo>
                  <a:pt x="72" y="24"/>
                </a:lnTo>
                <a:lnTo>
                  <a:pt x="72" y="23"/>
                </a:lnTo>
                <a:lnTo>
                  <a:pt x="74" y="22"/>
                </a:lnTo>
                <a:lnTo>
                  <a:pt x="75" y="22"/>
                </a:lnTo>
                <a:lnTo>
                  <a:pt x="75" y="21"/>
                </a:lnTo>
                <a:lnTo>
                  <a:pt x="76" y="21"/>
                </a:lnTo>
                <a:lnTo>
                  <a:pt x="77" y="20"/>
                </a:lnTo>
                <a:lnTo>
                  <a:pt x="77" y="19"/>
                </a:lnTo>
                <a:lnTo>
                  <a:pt x="78" y="18"/>
                </a:lnTo>
                <a:lnTo>
                  <a:pt x="78" y="18"/>
                </a:lnTo>
                <a:lnTo>
                  <a:pt x="80" y="19"/>
                </a:lnTo>
                <a:lnTo>
                  <a:pt x="81" y="19"/>
                </a:lnTo>
                <a:lnTo>
                  <a:pt x="83" y="18"/>
                </a:lnTo>
                <a:lnTo>
                  <a:pt x="85" y="17"/>
                </a:lnTo>
                <a:lnTo>
                  <a:pt x="87" y="16"/>
                </a:lnTo>
                <a:lnTo>
                  <a:pt x="89" y="13"/>
                </a:lnTo>
                <a:lnTo>
                  <a:pt x="92" y="8"/>
                </a:lnTo>
                <a:lnTo>
                  <a:pt x="96" y="6"/>
                </a:lnTo>
                <a:lnTo>
                  <a:pt x="98" y="5"/>
                </a:lnTo>
                <a:lnTo>
                  <a:pt x="102" y="4"/>
                </a:lnTo>
                <a:lnTo>
                  <a:pt x="103" y="4"/>
                </a:lnTo>
                <a:lnTo>
                  <a:pt x="104" y="4"/>
                </a:lnTo>
                <a:lnTo>
                  <a:pt x="104" y="3"/>
                </a:lnTo>
                <a:lnTo>
                  <a:pt x="104" y="2"/>
                </a:lnTo>
                <a:lnTo>
                  <a:pt x="103" y="0"/>
                </a:lnTo>
                <a:lnTo>
                  <a:pt x="104" y="0"/>
                </a:lnTo>
                <a:lnTo>
                  <a:pt x="106" y="1"/>
                </a:lnTo>
              </a:path>
            </a:pathLst>
          </a:custGeom>
          <a:grpFill/>
          <a:ln w="9525">
            <a:solidFill>
              <a:schemeClr val="bg1">
                <a:lumMod val="65000"/>
              </a:schemeClr>
            </a:solidFill>
            <a:prstDash val="solid"/>
            <a:round/>
            <a:headEnd/>
            <a:tailEnd/>
          </a:ln>
        </xdr:spPr>
      </xdr:sp>
      <xdr:sp macro="" textlink="">
        <xdr:nvSpPr>
          <xdr:cNvPr id="198" name="GIN005005"/>
          <xdr:cNvSpPr>
            <a:spLocks noChangeAspect="1"/>
          </xdr:cNvSpPr>
        </xdr:nvSpPr>
        <xdr:spPr bwMode="auto">
          <a:xfrm>
            <a:off x="5190259" y="4056783"/>
            <a:ext cx="1101561" cy="952873"/>
          </a:xfrm>
          <a:custGeom>
            <a:avLst/>
            <a:gdLst>
              <a:gd name="T0" fmla="*/ 78 w 115"/>
              <a:gd name="T1" fmla="*/ 3 h 104"/>
              <a:gd name="T2" fmla="*/ 78 w 115"/>
              <a:gd name="T3" fmla="*/ 8 h 104"/>
              <a:gd name="T4" fmla="*/ 82 w 115"/>
              <a:gd name="T5" fmla="*/ 9 h 104"/>
              <a:gd name="T6" fmla="*/ 85 w 115"/>
              <a:gd name="T7" fmla="*/ 13 h 104"/>
              <a:gd name="T8" fmla="*/ 88 w 115"/>
              <a:gd name="T9" fmla="*/ 16 h 104"/>
              <a:gd name="T10" fmla="*/ 84 w 115"/>
              <a:gd name="T11" fmla="*/ 27 h 104"/>
              <a:gd name="T12" fmla="*/ 86 w 115"/>
              <a:gd name="T13" fmla="*/ 33 h 104"/>
              <a:gd name="T14" fmla="*/ 88 w 115"/>
              <a:gd name="T15" fmla="*/ 36 h 104"/>
              <a:gd name="T16" fmla="*/ 94 w 115"/>
              <a:gd name="T17" fmla="*/ 35 h 104"/>
              <a:gd name="T18" fmla="*/ 102 w 115"/>
              <a:gd name="T19" fmla="*/ 36 h 104"/>
              <a:gd name="T20" fmla="*/ 105 w 115"/>
              <a:gd name="T21" fmla="*/ 37 h 104"/>
              <a:gd name="T22" fmla="*/ 106 w 115"/>
              <a:gd name="T23" fmla="*/ 43 h 104"/>
              <a:gd name="T24" fmla="*/ 108 w 115"/>
              <a:gd name="T25" fmla="*/ 46 h 104"/>
              <a:gd name="T26" fmla="*/ 113 w 115"/>
              <a:gd name="T27" fmla="*/ 53 h 104"/>
              <a:gd name="T28" fmla="*/ 115 w 115"/>
              <a:gd name="T29" fmla="*/ 60 h 104"/>
              <a:gd name="T30" fmla="*/ 111 w 115"/>
              <a:gd name="T31" fmla="*/ 67 h 104"/>
              <a:gd name="T32" fmla="*/ 113 w 115"/>
              <a:gd name="T33" fmla="*/ 77 h 104"/>
              <a:gd name="T34" fmla="*/ 112 w 115"/>
              <a:gd name="T35" fmla="*/ 77 h 104"/>
              <a:gd name="T36" fmla="*/ 107 w 115"/>
              <a:gd name="T37" fmla="*/ 75 h 104"/>
              <a:gd name="T38" fmla="*/ 104 w 115"/>
              <a:gd name="T39" fmla="*/ 72 h 104"/>
              <a:gd name="T40" fmla="*/ 101 w 115"/>
              <a:gd name="T41" fmla="*/ 71 h 104"/>
              <a:gd name="T42" fmla="*/ 95 w 115"/>
              <a:gd name="T43" fmla="*/ 73 h 104"/>
              <a:gd name="T44" fmla="*/ 80 w 115"/>
              <a:gd name="T45" fmla="*/ 78 h 104"/>
              <a:gd name="T46" fmla="*/ 79 w 115"/>
              <a:gd name="T47" fmla="*/ 81 h 104"/>
              <a:gd name="T48" fmla="*/ 78 w 115"/>
              <a:gd name="T49" fmla="*/ 88 h 104"/>
              <a:gd name="T50" fmla="*/ 72 w 115"/>
              <a:gd name="T51" fmla="*/ 95 h 104"/>
              <a:gd name="T52" fmla="*/ 66 w 115"/>
              <a:gd name="T53" fmla="*/ 96 h 104"/>
              <a:gd name="T54" fmla="*/ 61 w 115"/>
              <a:gd name="T55" fmla="*/ 91 h 104"/>
              <a:gd name="T56" fmla="*/ 49 w 115"/>
              <a:gd name="T57" fmla="*/ 90 h 104"/>
              <a:gd name="T58" fmla="*/ 38 w 115"/>
              <a:gd name="T59" fmla="*/ 92 h 104"/>
              <a:gd name="T60" fmla="*/ 22 w 115"/>
              <a:gd name="T61" fmla="*/ 103 h 104"/>
              <a:gd name="T62" fmla="*/ 18 w 115"/>
              <a:gd name="T63" fmla="*/ 103 h 104"/>
              <a:gd name="T64" fmla="*/ 16 w 115"/>
              <a:gd name="T65" fmla="*/ 98 h 104"/>
              <a:gd name="T66" fmla="*/ 10 w 115"/>
              <a:gd name="T67" fmla="*/ 92 h 104"/>
              <a:gd name="T68" fmla="*/ 10 w 115"/>
              <a:gd name="T69" fmla="*/ 84 h 104"/>
              <a:gd name="T70" fmla="*/ 9 w 115"/>
              <a:gd name="T71" fmla="*/ 80 h 104"/>
              <a:gd name="T72" fmla="*/ 8 w 115"/>
              <a:gd name="T73" fmla="*/ 73 h 104"/>
              <a:gd name="T74" fmla="*/ 6 w 115"/>
              <a:gd name="T75" fmla="*/ 68 h 104"/>
              <a:gd name="T76" fmla="*/ 1 w 115"/>
              <a:gd name="T77" fmla="*/ 61 h 104"/>
              <a:gd name="T78" fmla="*/ 4 w 115"/>
              <a:gd name="T79" fmla="*/ 57 h 104"/>
              <a:gd name="T80" fmla="*/ 7 w 115"/>
              <a:gd name="T81" fmla="*/ 54 h 104"/>
              <a:gd name="T82" fmla="*/ 10 w 115"/>
              <a:gd name="T83" fmla="*/ 48 h 104"/>
              <a:gd name="T84" fmla="*/ 13 w 115"/>
              <a:gd name="T85" fmla="*/ 44 h 104"/>
              <a:gd name="T86" fmla="*/ 15 w 115"/>
              <a:gd name="T87" fmla="*/ 38 h 104"/>
              <a:gd name="T88" fmla="*/ 13 w 115"/>
              <a:gd name="T89" fmla="*/ 32 h 104"/>
              <a:gd name="T90" fmla="*/ 12 w 115"/>
              <a:gd name="T91" fmla="*/ 24 h 104"/>
              <a:gd name="T92" fmla="*/ 19 w 115"/>
              <a:gd name="T93" fmla="*/ 20 h 104"/>
              <a:gd name="T94" fmla="*/ 24 w 115"/>
              <a:gd name="T95" fmla="*/ 22 h 104"/>
              <a:gd name="T96" fmla="*/ 27 w 115"/>
              <a:gd name="T97" fmla="*/ 20 h 104"/>
              <a:gd name="T98" fmla="*/ 29 w 115"/>
              <a:gd name="T99" fmla="*/ 16 h 104"/>
              <a:gd name="T100" fmla="*/ 32 w 115"/>
              <a:gd name="T101" fmla="*/ 9 h 104"/>
              <a:gd name="T102" fmla="*/ 34 w 115"/>
              <a:gd name="T103" fmla="*/ 10 h 104"/>
              <a:gd name="T104" fmla="*/ 39 w 115"/>
              <a:gd name="T105" fmla="*/ 11 h 104"/>
              <a:gd name="T106" fmla="*/ 43 w 115"/>
              <a:gd name="T107" fmla="*/ 11 h 104"/>
              <a:gd name="T108" fmla="*/ 48 w 115"/>
              <a:gd name="T109" fmla="*/ 11 h 104"/>
              <a:gd name="T110" fmla="*/ 52 w 115"/>
              <a:gd name="T111" fmla="*/ 14 h 104"/>
              <a:gd name="T112" fmla="*/ 54 w 115"/>
              <a:gd name="T113" fmla="*/ 16 h 104"/>
              <a:gd name="T114" fmla="*/ 59 w 115"/>
              <a:gd name="T115" fmla="*/ 13 h 104"/>
              <a:gd name="T116" fmla="*/ 65 w 115"/>
              <a:gd name="T117" fmla="*/ 8 h 104"/>
              <a:gd name="T118" fmla="*/ 70 w 115"/>
              <a:gd name="T119" fmla="*/ 6 h 104"/>
              <a:gd name="T120" fmla="*/ 75 w 115"/>
              <a:gd name="T121" fmla="*/ 2 h 104"/>
              <a:gd name="T122" fmla="*/ 78 w 115"/>
              <a:gd name="T123" fmla="*/ 1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15" h="104">
                <a:moveTo>
                  <a:pt x="78" y="1"/>
                </a:moveTo>
                <a:lnTo>
                  <a:pt x="78" y="1"/>
                </a:lnTo>
                <a:lnTo>
                  <a:pt x="79" y="2"/>
                </a:lnTo>
                <a:lnTo>
                  <a:pt x="78" y="3"/>
                </a:lnTo>
                <a:lnTo>
                  <a:pt x="77" y="6"/>
                </a:lnTo>
                <a:lnTo>
                  <a:pt x="78" y="7"/>
                </a:lnTo>
                <a:lnTo>
                  <a:pt x="78" y="8"/>
                </a:lnTo>
                <a:lnTo>
                  <a:pt x="78" y="8"/>
                </a:lnTo>
                <a:lnTo>
                  <a:pt x="79" y="9"/>
                </a:lnTo>
                <a:lnTo>
                  <a:pt x="80" y="9"/>
                </a:lnTo>
                <a:lnTo>
                  <a:pt x="82" y="9"/>
                </a:lnTo>
                <a:lnTo>
                  <a:pt x="82" y="9"/>
                </a:lnTo>
                <a:lnTo>
                  <a:pt x="84" y="11"/>
                </a:lnTo>
                <a:lnTo>
                  <a:pt x="83" y="13"/>
                </a:lnTo>
                <a:lnTo>
                  <a:pt x="84" y="14"/>
                </a:lnTo>
                <a:lnTo>
                  <a:pt x="85" y="13"/>
                </a:lnTo>
                <a:lnTo>
                  <a:pt x="86" y="14"/>
                </a:lnTo>
                <a:lnTo>
                  <a:pt x="87" y="15"/>
                </a:lnTo>
                <a:lnTo>
                  <a:pt x="88" y="15"/>
                </a:lnTo>
                <a:lnTo>
                  <a:pt x="88" y="16"/>
                </a:lnTo>
                <a:lnTo>
                  <a:pt x="88" y="17"/>
                </a:lnTo>
                <a:lnTo>
                  <a:pt x="87" y="18"/>
                </a:lnTo>
                <a:lnTo>
                  <a:pt x="85" y="25"/>
                </a:lnTo>
                <a:lnTo>
                  <a:pt x="84" y="27"/>
                </a:lnTo>
                <a:lnTo>
                  <a:pt x="84" y="27"/>
                </a:lnTo>
                <a:lnTo>
                  <a:pt x="84" y="31"/>
                </a:lnTo>
                <a:lnTo>
                  <a:pt x="85" y="31"/>
                </a:lnTo>
                <a:lnTo>
                  <a:pt x="86" y="33"/>
                </a:lnTo>
                <a:lnTo>
                  <a:pt x="86" y="35"/>
                </a:lnTo>
                <a:lnTo>
                  <a:pt x="86" y="36"/>
                </a:lnTo>
                <a:lnTo>
                  <a:pt x="87" y="36"/>
                </a:lnTo>
                <a:lnTo>
                  <a:pt x="88" y="36"/>
                </a:lnTo>
                <a:lnTo>
                  <a:pt x="89" y="36"/>
                </a:lnTo>
                <a:lnTo>
                  <a:pt x="91" y="37"/>
                </a:lnTo>
                <a:lnTo>
                  <a:pt x="92" y="37"/>
                </a:lnTo>
                <a:lnTo>
                  <a:pt x="94" y="35"/>
                </a:lnTo>
                <a:lnTo>
                  <a:pt x="95" y="35"/>
                </a:lnTo>
                <a:lnTo>
                  <a:pt x="99" y="36"/>
                </a:lnTo>
                <a:lnTo>
                  <a:pt x="101" y="36"/>
                </a:lnTo>
                <a:lnTo>
                  <a:pt x="102" y="36"/>
                </a:lnTo>
                <a:lnTo>
                  <a:pt x="104" y="36"/>
                </a:lnTo>
                <a:lnTo>
                  <a:pt x="104" y="36"/>
                </a:lnTo>
                <a:lnTo>
                  <a:pt x="105" y="36"/>
                </a:lnTo>
                <a:lnTo>
                  <a:pt x="105" y="37"/>
                </a:lnTo>
                <a:lnTo>
                  <a:pt x="105" y="38"/>
                </a:lnTo>
                <a:lnTo>
                  <a:pt x="105" y="39"/>
                </a:lnTo>
                <a:lnTo>
                  <a:pt x="105" y="41"/>
                </a:lnTo>
                <a:lnTo>
                  <a:pt x="106" y="43"/>
                </a:lnTo>
                <a:lnTo>
                  <a:pt x="107" y="43"/>
                </a:lnTo>
                <a:lnTo>
                  <a:pt x="107" y="44"/>
                </a:lnTo>
                <a:lnTo>
                  <a:pt x="108" y="45"/>
                </a:lnTo>
                <a:lnTo>
                  <a:pt x="108" y="46"/>
                </a:lnTo>
                <a:lnTo>
                  <a:pt x="109" y="48"/>
                </a:lnTo>
                <a:lnTo>
                  <a:pt x="111" y="49"/>
                </a:lnTo>
                <a:lnTo>
                  <a:pt x="112" y="50"/>
                </a:lnTo>
                <a:lnTo>
                  <a:pt x="113" y="53"/>
                </a:lnTo>
                <a:lnTo>
                  <a:pt x="114" y="54"/>
                </a:lnTo>
                <a:lnTo>
                  <a:pt x="114" y="55"/>
                </a:lnTo>
                <a:lnTo>
                  <a:pt x="115" y="59"/>
                </a:lnTo>
                <a:lnTo>
                  <a:pt x="115" y="60"/>
                </a:lnTo>
                <a:lnTo>
                  <a:pt x="114" y="62"/>
                </a:lnTo>
                <a:lnTo>
                  <a:pt x="111" y="63"/>
                </a:lnTo>
                <a:lnTo>
                  <a:pt x="111" y="65"/>
                </a:lnTo>
                <a:lnTo>
                  <a:pt x="111" y="67"/>
                </a:lnTo>
                <a:lnTo>
                  <a:pt x="112" y="69"/>
                </a:lnTo>
                <a:lnTo>
                  <a:pt x="113" y="77"/>
                </a:lnTo>
                <a:lnTo>
                  <a:pt x="113" y="77"/>
                </a:lnTo>
                <a:lnTo>
                  <a:pt x="113" y="77"/>
                </a:lnTo>
                <a:lnTo>
                  <a:pt x="113" y="77"/>
                </a:lnTo>
                <a:lnTo>
                  <a:pt x="112" y="77"/>
                </a:lnTo>
                <a:lnTo>
                  <a:pt x="112" y="77"/>
                </a:lnTo>
                <a:lnTo>
                  <a:pt x="112" y="77"/>
                </a:lnTo>
                <a:lnTo>
                  <a:pt x="112" y="77"/>
                </a:lnTo>
                <a:lnTo>
                  <a:pt x="112" y="77"/>
                </a:lnTo>
                <a:lnTo>
                  <a:pt x="112" y="77"/>
                </a:lnTo>
                <a:lnTo>
                  <a:pt x="107" y="75"/>
                </a:lnTo>
                <a:lnTo>
                  <a:pt x="106" y="74"/>
                </a:lnTo>
                <a:lnTo>
                  <a:pt x="105" y="74"/>
                </a:lnTo>
                <a:lnTo>
                  <a:pt x="105" y="73"/>
                </a:lnTo>
                <a:lnTo>
                  <a:pt x="104" y="72"/>
                </a:lnTo>
                <a:lnTo>
                  <a:pt x="104" y="71"/>
                </a:lnTo>
                <a:lnTo>
                  <a:pt x="103" y="71"/>
                </a:lnTo>
                <a:lnTo>
                  <a:pt x="103" y="71"/>
                </a:lnTo>
                <a:lnTo>
                  <a:pt x="101" y="71"/>
                </a:lnTo>
                <a:lnTo>
                  <a:pt x="98" y="73"/>
                </a:lnTo>
                <a:lnTo>
                  <a:pt x="98" y="72"/>
                </a:lnTo>
                <a:lnTo>
                  <a:pt x="96" y="73"/>
                </a:lnTo>
                <a:lnTo>
                  <a:pt x="95" y="73"/>
                </a:lnTo>
                <a:lnTo>
                  <a:pt x="94" y="73"/>
                </a:lnTo>
                <a:lnTo>
                  <a:pt x="90" y="74"/>
                </a:lnTo>
                <a:lnTo>
                  <a:pt x="88" y="74"/>
                </a:lnTo>
                <a:lnTo>
                  <a:pt x="80" y="78"/>
                </a:lnTo>
                <a:lnTo>
                  <a:pt x="78" y="78"/>
                </a:lnTo>
                <a:lnTo>
                  <a:pt x="78" y="79"/>
                </a:lnTo>
                <a:lnTo>
                  <a:pt x="78" y="80"/>
                </a:lnTo>
                <a:lnTo>
                  <a:pt x="79" y="81"/>
                </a:lnTo>
                <a:lnTo>
                  <a:pt x="80" y="82"/>
                </a:lnTo>
                <a:lnTo>
                  <a:pt x="78" y="85"/>
                </a:lnTo>
                <a:lnTo>
                  <a:pt x="77" y="87"/>
                </a:lnTo>
                <a:lnTo>
                  <a:pt x="78" y="88"/>
                </a:lnTo>
                <a:lnTo>
                  <a:pt x="78" y="89"/>
                </a:lnTo>
                <a:lnTo>
                  <a:pt x="75" y="91"/>
                </a:lnTo>
                <a:lnTo>
                  <a:pt x="75" y="92"/>
                </a:lnTo>
                <a:lnTo>
                  <a:pt x="72" y="95"/>
                </a:lnTo>
                <a:lnTo>
                  <a:pt x="70" y="99"/>
                </a:lnTo>
                <a:lnTo>
                  <a:pt x="69" y="99"/>
                </a:lnTo>
                <a:lnTo>
                  <a:pt x="68" y="98"/>
                </a:lnTo>
                <a:lnTo>
                  <a:pt x="66" y="96"/>
                </a:lnTo>
                <a:lnTo>
                  <a:pt x="66" y="95"/>
                </a:lnTo>
                <a:lnTo>
                  <a:pt x="65" y="95"/>
                </a:lnTo>
                <a:lnTo>
                  <a:pt x="62" y="93"/>
                </a:lnTo>
                <a:lnTo>
                  <a:pt x="61" y="91"/>
                </a:lnTo>
                <a:lnTo>
                  <a:pt x="59" y="90"/>
                </a:lnTo>
                <a:lnTo>
                  <a:pt x="54" y="89"/>
                </a:lnTo>
                <a:lnTo>
                  <a:pt x="54" y="89"/>
                </a:lnTo>
                <a:lnTo>
                  <a:pt x="49" y="90"/>
                </a:lnTo>
                <a:lnTo>
                  <a:pt x="47" y="90"/>
                </a:lnTo>
                <a:lnTo>
                  <a:pt x="44" y="90"/>
                </a:lnTo>
                <a:lnTo>
                  <a:pt x="43" y="91"/>
                </a:lnTo>
                <a:lnTo>
                  <a:pt x="38" y="92"/>
                </a:lnTo>
                <a:lnTo>
                  <a:pt x="37" y="93"/>
                </a:lnTo>
                <a:lnTo>
                  <a:pt x="31" y="96"/>
                </a:lnTo>
                <a:lnTo>
                  <a:pt x="26" y="99"/>
                </a:lnTo>
                <a:lnTo>
                  <a:pt x="22" y="103"/>
                </a:lnTo>
                <a:lnTo>
                  <a:pt x="20" y="104"/>
                </a:lnTo>
                <a:lnTo>
                  <a:pt x="18" y="104"/>
                </a:lnTo>
                <a:lnTo>
                  <a:pt x="18" y="103"/>
                </a:lnTo>
                <a:lnTo>
                  <a:pt x="18" y="103"/>
                </a:lnTo>
                <a:lnTo>
                  <a:pt x="18" y="102"/>
                </a:lnTo>
                <a:lnTo>
                  <a:pt x="17" y="101"/>
                </a:lnTo>
                <a:lnTo>
                  <a:pt x="17" y="100"/>
                </a:lnTo>
                <a:lnTo>
                  <a:pt x="16" y="98"/>
                </a:lnTo>
                <a:lnTo>
                  <a:pt x="13" y="94"/>
                </a:lnTo>
                <a:lnTo>
                  <a:pt x="12" y="94"/>
                </a:lnTo>
                <a:lnTo>
                  <a:pt x="11" y="94"/>
                </a:lnTo>
                <a:lnTo>
                  <a:pt x="10" y="92"/>
                </a:lnTo>
                <a:lnTo>
                  <a:pt x="9" y="91"/>
                </a:lnTo>
                <a:lnTo>
                  <a:pt x="9" y="88"/>
                </a:lnTo>
                <a:lnTo>
                  <a:pt x="10" y="86"/>
                </a:lnTo>
                <a:lnTo>
                  <a:pt x="10" y="84"/>
                </a:lnTo>
                <a:lnTo>
                  <a:pt x="9" y="83"/>
                </a:lnTo>
                <a:lnTo>
                  <a:pt x="9" y="82"/>
                </a:lnTo>
                <a:lnTo>
                  <a:pt x="9" y="81"/>
                </a:lnTo>
                <a:lnTo>
                  <a:pt x="9" y="80"/>
                </a:lnTo>
                <a:lnTo>
                  <a:pt x="8" y="78"/>
                </a:lnTo>
                <a:lnTo>
                  <a:pt x="9" y="76"/>
                </a:lnTo>
                <a:lnTo>
                  <a:pt x="9" y="74"/>
                </a:lnTo>
                <a:lnTo>
                  <a:pt x="8" y="73"/>
                </a:lnTo>
                <a:lnTo>
                  <a:pt x="7" y="72"/>
                </a:lnTo>
                <a:lnTo>
                  <a:pt x="6" y="69"/>
                </a:lnTo>
                <a:lnTo>
                  <a:pt x="5" y="69"/>
                </a:lnTo>
                <a:lnTo>
                  <a:pt x="6" y="68"/>
                </a:lnTo>
                <a:lnTo>
                  <a:pt x="5" y="67"/>
                </a:lnTo>
                <a:lnTo>
                  <a:pt x="4" y="66"/>
                </a:lnTo>
                <a:lnTo>
                  <a:pt x="3" y="64"/>
                </a:lnTo>
                <a:lnTo>
                  <a:pt x="1" y="61"/>
                </a:lnTo>
                <a:lnTo>
                  <a:pt x="0" y="59"/>
                </a:lnTo>
                <a:lnTo>
                  <a:pt x="1" y="58"/>
                </a:lnTo>
                <a:lnTo>
                  <a:pt x="3" y="58"/>
                </a:lnTo>
                <a:lnTo>
                  <a:pt x="4" y="57"/>
                </a:lnTo>
                <a:lnTo>
                  <a:pt x="4" y="56"/>
                </a:lnTo>
                <a:lnTo>
                  <a:pt x="5" y="56"/>
                </a:lnTo>
                <a:lnTo>
                  <a:pt x="6" y="55"/>
                </a:lnTo>
                <a:lnTo>
                  <a:pt x="7" y="54"/>
                </a:lnTo>
                <a:lnTo>
                  <a:pt x="12" y="51"/>
                </a:lnTo>
                <a:lnTo>
                  <a:pt x="12" y="50"/>
                </a:lnTo>
                <a:lnTo>
                  <a:pt x="11" y="49"/>
                </a:lnTo>
                <a:lnTo>
                  <a:pt x="10" y="48"/>
                </a:lnTo>
                <a:lnTo>
                  <a:pt x="10" y="47"/>
                </a:lnTo>
                <a:lnTo>
                  <a:pt x="11" y="45"/>
                </a:lnTo>
                <a:lnTo>
                  <a:pt x="12" y="45"/>
                </a:lnTo>
                <a:lnTo>
                  <a:pt x="13" y="44"/>
                </a:lnTo>
                <a:lnTo>
                  <a:pt x="14" y="42"/>
                </a:lnTo>
                <a:lnTo>
                  <a:pt x="14" y="40"/>
                </a:lnTo>
                <a:lnTo>
                  <a:pt x="15" y="39"/>
                </a:lnTo>
                <a:lnTo>
                  <a:pt x="15" y="38"/>
                </a:lnTo>
                <a:lnTo>
                  <a:pt x="14" y="37"/>
                </a:lnTo>
                <a:lnTo>
                  <a:pt x="14" y="36"/>
                </a:lnTo>
                <a:lnTo>
                  <a:pt x="14" y="33"/>
                </a:lnTo>
                <a:lnTo>
                  <a:pt x="13" y="32"/>
                </a:lnTo>
                <a:lnTo>
                  <a:pt x="13" y="29"/>
                </a:lnTo>
                <a:lnTo>
                  <a:pt x="12" y="28"/>
                </a:lnTo>
                <a:lnTo>
                  <a:pt x="12" y="24"/>
                </a:lnTo>
                <a:lnTo>
                  <a:pt x="12" y="24"/>
                </a:lnTo>
                <a:lnTo>
                  <a:pt x="14" y="23"/>
                </a:lnTo>
                <a:lnTo>
                  <a:pt x="15" y="22"/>
                </a:lnTo>
                <a:lnTo>
                  <a:pt x="17" y="20"/>
                </a:lnTo>
                <a:lnTo>
                  <a:pt x="19" y="20"/>
                </a:lnTo>
                <a:lnTo>
                  <a:pt x="20" y="20"/>
                </a:lnTo>
                <a:lnTo>
                  <a:pt x="22" y="21"/>
                </a:lnTo>
                <a:lnTo>
                  <a:pt x="24" y="22"/>
                </a:lnTo>
                <a:lnTo>
                  <a:pt x="24" y="22"/>
                </a:lnTo>
                <a:lnTo>
                  <a:pt x="24" y="23"/>
                </a:lnTo>
                <a:lnTo>
                  <a:pt x="24" y="23"/>
                </a:lnTo>
                <a:lnTo>
                  <a:pt x="27" y="21"/>
                </a:lnTo>
                <a:lnTo>
                  <a:pt x="27" y="20"/>
                </a:lnTo>
                <a:lnTo>
                  <a:pt x="28" y="19"/>
                </a:lnTo>
                <a:lnTo>
                  <a:pt x="28" y="19"/>
                </a:lnTo>
                <a:lnTo>
                  <a:pt x="28" y="18"/>
                </a:lnTo>
                <a:lnTo>
                  <a:pt x="29" y="16"/>
                </a:lnTo>
                <a:lnTo>
                  <a:pt x="31" y="13"/>
                </a:lnTo>
                <a:lnTo>
                  <a:pt x="32" y="12"/>
                </a:lnTo>
                <a:lnTo>
                  <a:pt x="31" y="11"/>
                </a:lnTo>
                <a:lnTo>
                  <a:pt x="32" y="9"/>
                </a:lnTo>
                <a:lnTo>
                  <a:pt x="33" y="8"/>
                </a:lnTo>
                <a:lnTo>
                  <a:pt x="34" y="8"/>
                </a:lnTo>
                <a:lnTo>
                  <a:pt x="34" y="9"/>
                </a:lnTo>
                <a:lnTo>
                  <a:pt x="34" y="10"/>
                </a:lnTo>
                <a:lnTo>
                  <a:pt x="34" y="12"/>
                </a:lnTo>
                <a:lnTo>
                  <a:pt x="37" y="12"/>
                </a:lnTo>
                <a:lnTo>
                  <a:pt x="37" y="12"/>
                </a:lnTo>
                <a:lnTo>
                  <a:pt x="39" y="11"/>
                </a:lnTo>
                <a:lnTo>
                  <a:pt x="41" y="9"/>
                </a:lnTo>
                <a:lnTo>
                  <a:pt x="42" y="9"/>
                </a:lnTo>
                <a:lnTo>
                  <a:pt x="42" y="10"/>
                </a:lnTo>
                <a:lnTo>
                  <a:pt x="43" y="11"/>
                </a:lnTo>
                <a:lnTo>
                  <a:pt x="45" y="11"/>
                </a:lnTo>
                <a:lnTo>
                  <a:pt x="46" y="10"/>
                </a:lnTo>
                <a:lnTo>
                  <a:pt x="47" y="10"/>
                </a:lnTo>
                <a:lnTo>
                  <a:pt x="48" y="11"/>
                </a:lnTo>
                <a:lnTo>
                  <a:pt x="49" y="12"/>
                </a:lnTo>
                <a:lnTo>
                  <a:pt x="51" y="12"/>
                </a:lnTo>
                <a:lnTo>
                  <a:pt x="52" y="13"/>
                </a:lnTo>
                <a:lnTo>
                  <a:pt x="52" y="14"/>
                </a:lnTo>
                <a:lnTo>
                  <a:pt x="53" y="14"/>
                </a:lnTo>
                <a:lnTo>
                  <a:pt x="53" y="14"/>
                </a:lnTo>
                <a:lnTo>
                  <a:pt x="53" y="15"/>
                </a:lnTo>
                <a:lnTo>
                  <a:pt x="54" y="16"/>
                </a:lnTo>
                <a:lnTo>
                  <a:pt x="56" y="15"/>
                </a:lnTo>
                <a:lnTo>
                  <a:pt x="57" y="15"/>
                </a:lnTo>
                <a:lnTo>
                  <a:pt x="59" y="13"/>
                </a:lnTo>
                <a:lnTo>
                  <a:pt x="59" y="13"/>
                </a:lnTo>
                <a:lnTo>
                  <a:pt x="60" y="12"/>
                </a:lnTo>
                <a:lnTo>
                  <a:pt x="63" y="8"/>
                </a:lnTo>
                <a:lnTo>
                  <a:pt x="64" y="8"/>
                </a:lnTo>
                <a:lnTo>
                  <a:pt x="65" y="8"/>
                </a:lnTo>
                <a:lnTo>
                  <a:pt x="66" y="8"/>
                </a:lnTo>
                <a:lnTo>
                  <a:pt x="67" y="8"/>
                </a:lnTo>
                <a:lnTo>
                  <a:pt x="68" y="7"/>
                </a:lnTo>
                <a:lnTo>
                  <a:pt x="70" y="6"/>
                </a:lnTo>
                <a:lnTo>
                  <a:pt x="71" y="5"/>
                </a:lnTo>
                <a:lnTo>
                  <a:pt x="72" y="4"/>
                </a:lnTo>
                <a:lnTo>
                  <a:pt x="74" y="3"/>
                </a:lnTo>
                <a:lnTo>
                  <a:pt x="75" y="2"/>
                </a:lnTo>
                <a:lnTo>
                  <a:pt x="76" y="2"/>
                </a:lnTo>
                <a:lnTo>
                  <a:pt x="76" y="1"/>
                </a:lnTo>
                <a:lnTo>
                  <a:pt x="78" y="0"/>
                </a:lnTo>
                <a:lnTo>
                  <a:pt x="78" y="1"/>
                </a:lnTo>
              </a:path>
            </a:pathLst>
          </a:custGeom>
          <a:grpFill/>
          <a:ln w="9525">
            <a:solidFill>
              <a:schemeClr val="bg1">
                <a:lumMod val="65000"/>
              </a:schemeClr>
            </a:solidFill>
            <a:prstDash val="solid"/>
            <a:round/>
            <a:headEnd/>
            <a:tailEnd/>
          </a:ln>
        </xdr:spPr>
      </xdr:sp>
      <xdr:sp macro="" textlink="">
        <xdr:nvSpPr>
          <xdr:cNvPr id="199" name="GIN005004"/>
          <xdr:cNvSpPr>
            <a:spLocks noChangeAspect="1"/>
          </xdr:cNvSpPr>
        </xdr:nvSpPr>
        <xdr:spPr bwMode="auto">
          <a:xfrm>
            <a:off x="4682094" y="3908404"/>
            <a:ext cx="460540" cy="488064"/>
          </a:xfrm>
          <a:custGeom>
            <a:avLst/>
            <a:gdLst>
              <a:gd name="T0" fmla="*/ 40 w 49"/>
              <a:gd name="T1" fmla="*/ 12 h 54"/>
              <a:gd name="T2" fmla="*/ 42 w 49"/>
              <a:gd name="T3" fmla="*/ 11 h 54"/>
              <a:gd name="T4" fmla="*/ 43 w 49"/>
              <a:gd name="T5" fmla="*/ 11 h 54"/>
              <a:gd name="T6" fmla="*/ 44 w 49"/>
              <a:gd name="T7" fmla="*/ 10 h 54"/>
              <a:gd name="T8" fmla="*/ 46 w 49"/>
              <a:gd name="T9" fmla="*/ 11 h 54"/>
              <a:gd name="T10" fmla="*/ 49 w 49"/>
              <a:gd name="T11" fmla="*/ 14 h 54"/>
              <a:gd name="T12" fmla="*/ 48 w 49"/>
              <a:gd name="T13" fmla="*/ 15 h 54"/>
              <a:gd name="T14" fmla="*/ 46 w 49"/>
              <a:gd name="T15" fmla="*/ 18 h 54"/>
              <a:gd name="T16" fmla="*/ 44 w 49"/>
              <a:gd name="T17" fmla="*/ 20 h 54"/>
              <a:gd name="T18" fmla="*/ 45 w 49"/>
              <a:gd name="T19" fmla="*/ 24 h 54"/>
              <a:gd name="T20" fmla="*/ 44 w 49"/>
              <a:gd name="T21" fmla="*/ 28 h 54"/>
              <a:gd name="T22" fmla="*/ 44 w 49"/>
              <a:gd name="T23" fmla="*/ 28 h 54"/>
              <a:gd name="T24" fmla="*/ 43 w 49"/>
              <a:gd name="T25" fmla="*/ 30 h 54"/>
              <a:gd name="T26" fmla="*/ 41 w 49"/>
              <a:gd name="T27" fmla="*/ 30 h 54"/>
              <a:gd name="T28" fmla="*/ 39 w 49"/>
              <a:gd name="T29" fmla="*/ 31 h 54"/>
              <a:gd name="T30" fmla="*/ 37 w 49"/>
              <a:gd name="T31" fmla="*/ 32 h 54"/>
              <a:gd name="T32" fmla="*/ 36 w 49"/>
              <a:gd name="T33" fmla="*/ 32 h 54"/>
              <a:gd name="T34" fmla="*/ 35 w 49"/>
              <a:gd name="T35" fmla="*/ 33 h 54"/>
              <a:gd name="T36" fmla="*/ 33 w 49"/>
              <a:gd name="T37" fmla="*/ 34 h 54"/>
              <a:gd name="T38" fmla="*/ 34 w 49"/>
              <a:gd name="T39" fmla="*/ 39 h 54"/>
              <a:gd name="T40" fmla="*/ 34 w 49"/>
              <a:gd name="T41" fmla="*/ 41 h 54"/>
              <a:gd name="T42" fmla="*/ 30 w 49"/>
              <a:gd name="T43" fmla="*/ 45 h 54"/>
              <a:gd name="T44" fmla="*/ 28 w 49"/>
              <a:gd name="T45" fmla="*/ 48 h 54"/>
              <a:gd name="T46" fmla="*/ 23 w 49"/>
              <a:gd name="T47" fmla="*/ 54 h 54"/>
              <a:gd name="T48" fmla="*/ 19 w 49"/>
              <a:gd name="T49" fmla="*/ 52 h 54"/>
              <a:gd name="T50" fmla="*/ 15 w 49"/>
              <a:gd name="T51" fmla="*/ 52 h 54"/>
              <a:gd name="T52" fmla="*/ 10 w 49"/>
              <a:gd name="T53" fmla="*/ 52 h 54"/>
              <a:gd name="T54" fmla="*/ 7 w 49"/>
              <a:gd name="T55" fmla="*/ 51 h 54"/>
              <a:gd name="T56" fmla="*/ 7 w 49"/>
              <a:gd name="T57" fmla="*/ 49 h 54"/>
              <a:gd name="T58" fmla="*/ 1 w 49"/>
              <a:gd name="T59" fmla="*/ 48 h 54"/>
              <a:gd name="T60" fmla="*/ 0 w 49"/>
              <a:gd name="T61" fmla="*/ 47 h 54"/>
              <a:gd name="T62" fmla="*/ 4 w 49"/>
              <a:gd name="T63" fmla="*/ 41 h 54"/>
              <a:gd name="T64" fmla="*/ 5 w 49"/>
              <a:gd name="T65" fmla="*/ 39 h 54"/>
              <a:gd name="T66" fmla="*/ 6 w 49"/>
              <a:gd name="T67" fmla="*/ 35 h 54"/>
              <a:gd name="T68" fmla="*/ 9 w 49"/>
              <a:gd name="T69" fmla="*/ 29 h 54"/>
              <a:gd name="T70" fmla="*/ 9 w 49"/>
              <a:gd name="T71" fmla="*/ 27 h 54"/>
              <a:gd name="T72" fmla="*/ 11 w 49"/>
              <a:gd name="T73" fmla="*/ 28 h 54"/>
              <a:gd name="T74" fmla="*/ 15 w 49"/>
              <a:gd name="T75" fmla="*/ 27 h 54"/>
              <a:gd name="T76" fmla="*/ 17 w 49"/>
              <a:gd name="T77" fmla="*/ 24 h 54"/>
              <a:gd name="T78" fmla="*/ 18 w 49"/>
              <a:gd name="T79" fmla="*/ 23 h 54"/>
              <a:gd name="T80" fmla="*/ 19 w 49"/>
              <a:gd name="T81" fmla="*/ 22 h 54"/>
              <a:gd name="T82" fmla="*/ 20 w 49"/>
              <a:gd name="T83" fmla="*/ 21 h 54"/>
              <a:gd name="T84" fmla="*/ 20 w 49"/>
              <a:gd name="T85" fmla="*/ 21 h 54"/>
              <a:gd name="T86" fmla="*/ 20 w 49"/>
              <a:gd name="T87" fmla="*/ 18 h 54"/>
              <a:gd name="T88" fmla="*/ 19 w 49"/>
              <a:gd name="T89" fmla="*/ 15 h 54"/>
              <a:gd name="T90" fmla="*/ 24 w 49"/>
              <a:gd name="T91" fmla="*/ 8 h 54"/>
              <a:gd name="T92" fmla="*/ 35 w 49"/>
              <a:gd name="T93" fmla="*/ 0 h 54"/>
              <a:gd name="T94" fmla="*/ 37 w 49"/>
              <a:gd name="T95" fmla="*/ 0 h 54"/>
              <a:gd name="T96" fmla="*/ 39 w 49"/>
              <a:gd name="T97" fmla="*/ 2 h 54"/>
              <a:gd name="T98" fmla="*/ 40 w 49"/>
              <a:gd name="T99" fmla="*/ 4 h 54"/>
              <a:gd name="T100" fmla="*/ 39 w 49"/>
              <a:gd name="T101" fmla="*/ 1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49" h="54">
                <a:moveTo>
                  <a:pt x="39" y="12"/>
                </a:moveTo>
                <a:lnTo>
                  <a:pt x="39" y="12"/>
                </a:lnTo>
                <a:lnTo>
                  <a:pt x="40" y="12"/>
                </a:lnTo>
                <a:lnTo>
                  <a:pt x="41" y="12"/>
                </a:lnTo>
                <a:lnTo>
                  <a:pt x="41" y="11"/>
                </a:lnTo>
                <a:lnTo>
                  <a:pt x="42" y="11"/>
                </a:lnTo>
                <a:lnTo>
                  <a:pt x="42" y="11"/>
                </a:lnTo>
                <a:lnTo>
                  <a:pt x="43" y="11"/>
                </a:lnTo>
                <a:lnTo>
                  <a:pt x="43" y="11"/>
                </a:lnTo>
                <a:lnTo>
                  <a:pt x="43" y="10"/>
                </a:lnTo>
                <a:lnTo>
                  <a:pt x="44" y="10"/>
                </a:lnTo>
                <a:lnTo>
                  <a:pt x="44" y="10"/>
                </a:lnTo>
                <a:lnTo>
                  <a:pt x="45" y="11"/>
                </a:lnTo>
                <a:lnTo>
                  <a:pt x="46" y="11"/>
                </a:lnTo>
                <a:lnTo>
                  <a:pt x="46" y="11"/>
                </a:lnTo>
                <a:lnTo>
                  <a:pt x="47" y="12"/>
                </a:lnTo>
                <a:lnTo>
                  <a:pt x="47" y="12"/>
                </a:lnTo>
                <a:lnTo>
                  <a:pt x="49" y="14"/>
                </a:lnTo>
                <a:lnTo>
                  <a:pt x="49" y="14"/>
                </a:lnTo>
                <a:lnTo>
                  <a:pt x="49" y="14"/>
                </a:lnTo>
                <a:lnTo>
                  <a:pt x="48" y="15"/>
                </a:lnTo>
                <a:lnTo>
                  <a:pt x="46" y="17"/>
                </a:lnTo>
                <a:lnTo>
                  <a:pt x="46" y="17"/>
                </a:lnTo>
                <a:lnTo>
                  <a:pt x="46" y="18"/>
                </a:lnTo>
                <a:lnTo>
                  <a:pt x="45" y="18"/>
                </a:lnTo>
                <a:lnTo>
                  <a:pt x="44" y="20"/>
                </a:lnTo>
                <a:lnTo>
                  <a:pt x="44" y="20"/>
                </a:lnTo>
                <a:lnTo>
                  <a:pt x="43" y="21"/>
                </a:lnTo>
                <a:lnTo>
                  <a:pt x="44" y="22"/>
                </a:lnTo>
                <a:lnTo>
                  <a:pt x="45" y="24"/>
                </a:lnTo>
                <a:lnTo>
                  <a:pt x="45" y="24"/>
                </a:lnTo>
                <a:lnTo>
                  <a:pt x="45" y="26"/>
                </a:lnTo>
                <a:lnTo>
                  <a:pt x="44" y="28"/>
                </a:lnTo>
                <a:lnTo>
                  <a:pt x="44" y="28"/>
                </a:lnTo>
                <a:lnTo>
                  <a:pt x="44" y="28"/>
                </a:lnTo>
                <a:lnTo>
                  <a:pt x="44" y="28"/>
                </a:lnTo>
                <a:lnTo>
                  <a:pt x="44" y="29"/>
                </a:lnTo>
                <a:lnTo>
                  <a:pt x="43" y="30"/>
                </a:lnTo>
                <a:lnTo>
                  <a:pt x="43" y="30"/>
                </a:lnTo>
                <a:lnTo>
                  <a:pt x="42" y="30"/>
                </a:lnTo>
                <a:lnTo>
                  <a:pt x="42" y="30"/>
                </a:lnTo>
                <a:lnTo>
                  <a:pt x="41" y="30"/>
                </a:lnTo>
                <a:lnTo>
                  <a:pt x="40" y="30"/>
                </a:lnTo>
                <a:lnTo>
                  <a:pt x="39" y="30"/>
                </a:lnTo>
                <a:lnTo>
                  <a:pt x="39" y="31"/>
                </a:lnTo>
                <a:lnTo>
                  <a:pt x="38" y="32"/>
                </a:lnTo>
                <a:lnTo>
                  <a:pt x="38" y="32"/>
                </a:lnTo>
                <a:lnTo>
                  <a:pt x="37" y="32"/>
                </a:lnTo>
                <a:lnTo>
                  <a:pt x="37" y="32"/>
                </a:lnTo>
                <a:lnTo>
                  <a:pt x="36" y="32"/>
                </a:lnTo>
                <a:lnTo>
                  <a:pt x="36" y="32"/>
                </a:lnTo>
                <a:lnTo>
                  <a:pt x="36" y="32"/>
                </a:lnTo>
                <a:lnTo>
                  <a:pt x="35" y="32"/>
                </a:lnTo>
                <a:lnTo>
                  <a:pt x="35" y="33"/>
                </a:lnTo>
                <a:lnTo>
                  <a:pt x="34" y="33"/>
                </a:lnTo>
                <a:lnTo>
                  <a:pt x="34" y="34"/>
                </a:lnTo>
                <a:lnTo>
                  <a:pt x="33" y="34"/>
                </a:lnTo>
                <a:lnTo>
                  <a:pt x="32" y="37"/>
                </a:lnTo>
                <a:lnTo>
                  <a:pt x="33" y="38"/>
                </a:lnTo>
                <a:lnTo>
                  <a:pt x="34" y="39"/>
                </a:lnTo>
                <a:lnTo>
                  <a:pt x="34" y="40"/>
                </a:lnTo>
                <a:lnTo>
                  <a:pt x="34" y="40"/>
                </a:lnTo>
                <a:lnTo>
                  <a:pt x="34" y="41"/>
                </a:lnTo>
                <a:lnTo>
                  <a:pt x="32" y="44"/>
                </a:lnTo>
                <a:lnTo>
                  <a:pt x="31" y="44"/>
                </a:lnTo>
                <a:lnTo>
                  <a:pt x="30" y="45"/>
                </a:lnTo>
                <a:lnTo>
                  <a:pt x="29" y="46"/>
                </a:lnTo>
                <a:lnTo>
                  <a:pt x="29" y="47"/>
                </a:lnTo>
                <a:lnTo>
                  <a:pt x="28" y="48"/>
                </a:lnTo>
                <a:lnTo>
                  <a:pt x="26" y="53"/>
                </a:lnTo>
                <a:lnTo>
                  <a:pt x="25" y="54"/>
                </a:lnTo>
                <a:lnTo>
                  <a:pt x="23" y="54"/>
                </a:lnTo>
                <a:lnTo>
                  <a:pt x="22" y="54"/>
                </a:lnTo>
                <a:lnTo>
                  <a:pt x="20" y="53"/>
                </a:lnTo>
                <a:lnTo>
                  <a:pt x="19" y="52"/>
                </a:lnTo>
                <a:lnTo>
                  <a:pt x="18" y="52"/>
                </a:lnTo>
                <a:lnTo>
                  <a:pt x="17" y="50"/>
                </a:lnTo>
                <a:lnTo>
                  <a:pt x="15" y="52"/>
                </a:lnTo>
                <a:lnTo>
                  <a:pt x="12" y="52"/>
                </a:lnTo>
                <a:lnTo>
                  <a:pt x="11" y="52"/>
                </a:lnTo>
                <a:lnTo>
                  <a:pt x="10" y="52"/>
                </a:lnTo>
                <a:lnTo>
                  <a:pt x="9" y="52"/>
                </a:lnTo>
                <a:lnTo>
                  <a:pt x="7" y="52"/>
                </a:lnTo>
                <a:lnTo>
                  <a:pt x="7" y="51"/>
                </a:lnTo>
                <a:lnTo>
                  <a:pt x="7" y="51"/>
                </a:lnTo>
                <a:lnTo>
                  <a:pt x="7" y="50"/>
                </a:lnTo>
                <a:lnTo>
                  <a:pt x="7" y="49"/>
                </a:lnTo>
                <a:lnTo>
                  <a:pt x="5" y="49"/>
                </a:lnTo>
                <a:lnTo>
                  <a:pt x="3" y="48"/>
                </a:lnTo>
                <a:lnTo>
                  <a:pt x="1" y="48"/>
                </a:lnTo>
                <a:lnTo>
                  <a:pt x="0" y="48"/>
                </a:lnTo>
                <a:lnTo>
                  <a:pt x="0" y="47"/>
                </a:lnTo>
                <a:lnTo>
                  <a:pt x="0" y="47"/>
                </a:lnTo>
                <a:lnTo>
                  <a:pt x="1" y="42"/>
                </a:lnTo>
                <a:lnTo>
                  <a:pt x="3" y="41"/>
                </a:lnTo>
                <a:lnTo>
                  <a:pt x="4" y="41"/>
                </a:lnTo>
                <a:lnTo>
                  <a:pt x="5" y="41"/>
                </a:lnTo>
                <a:lnTo>
                  <a:pt x="6" y="40"/>
                </a:lnTo>
                <a:lnTo>
                  <a:pt x="5" y="39"/>
                </a:lnTo>
                <a:lnTo>
                  <a:pt x="5" y="38"/>
                </a:lnTo>
                <a:lnTo>
                  <a:pt x="5" y="36"/>
                </a:lnTo>
                <a:lnTo>
                  <a:pt x="6" y="35"/>
                </a:lnTo>
                <a:lnTo>
                  <a:pt x="6" y="34"/>
                </a:lnTo>
                <a:lnTo>
                  <a:pt x="8" y="34"/>
                </a:lnTo>
                <a:lnTo>
                  <a:pt x="9" y="29"/>
                </a:lnTo>
                <a:lnTo>
                  <a:pt x="9" y="28"/>
                </a:lnTo>
                <a:lnTo>
                  <a:pt x="9" y="28"/>
                </a:lnTo>
                <a:lnTo>
                  <a:pt x="9" y="27"/>
                </a:lnTo>
                <a:lnTo>
                  <a:pt x="9" y="27"/>
                </a:lnTo>
                <a:lnTo>
                  <a:pt x="10" y="27"/>
                </a:lnTo>
                <a:lnTo>
                  <a:pt x="11" y="28"/>
                </a:lnTo>
                <a:lnTo>
                  <a:pt x="12" y="28"/>
                </a:lnTo>
                <a:lnTo>
                  <a:pt x="13" y="28"/>
                </a:lnTo>
                <a:lnTo>
                  <a:pt x="15" y="27"/>
                </a:lnTo>
                <a:lnTo>
                  <a:pt x="16" y="26"/>
                </a:lnTo>
                <a:lnTo>
                  <a:pt x="17" y="25"/>
                </a:lnTo>
                <a:lnTo>
                  <a:pt x="17" y="24"/>
                </a:lnTo>
                <a:lnTo>
                  <a:pt x="18" y="24"/>
                </a:lnTo>
                <a:lnTo>
                  <a:pt x="18" y="24"/>
                </a:lnTo>
                <a:lnTo>
                  <a:pt x="18" y="23"/>
                </a:lnTo>
                <a:lnTo>
                  <a:pt x="19" y="23"/>
                </a:lnTo>
                <a:lnTo>
                  <a:pt x="19" y="23"/>
                </a:lnTo>
                <a:lnTo>
                  <a:pt x="19" y="22"/>
                </a:lnTo>
                <a:lnTo>
                  <a:pt x="20" y="21"/>
                </a:lnTo>
                <a:lnTo>
                  <a:pt x="20" y="21"/>
                </a:lnTo>
                <a:lnTo>
                  <a:pt x="20" y="21"/>
                </a:lnTo>
                <a:lnTo>
                  <a:pt x="20" y="21"/>
                </a:lnTo>
                <a:lnTo>
                  <a:pt x="20" y="21"/>
                </a:lnTo>
                <a:lnTo>
                  <a:pt x="20" y="21"/>
                </a:lnTo>
                <a:lnTo>
                  <a:pt x="21" y="20"/>
                </a:lnTo>
                <a:lnTo>
                  <a:pt x="21" y="18"/>
                </a:lnTo>
                <a:lnTo>
                  <a:pt x="20" y="18"/>
                </a:lnTo>
                <a:lnTo>
                  <a:pt x="20" y="17"/>
                </a:lnTo>
                <a:lnTo>
                  <a:pt x="20" y="16"/>
                </a:lnTo>
                <a:lnTo>
                  <a:pt x="19" y="15"/>
                </a:lnTo>
                <a:lnTo>
                  <a:pt x="19" y="13"/>
                </a:lnTo>
                <a:lnTo>
                  <a:pt x="24" y="9"/>
                </a:lnTo>
                <a:lnTo>
                  <a:pt x="24" y="8"/>
                </a:lnTo>
                <a:lnTo>
                  <a:pt x="27" y="6"/>
                </a:lnTo>
                <a:lnTo>
                  <a:pt x="32" y="1"/>
                </a:lnTo>
                <a:lnTo>
                  <a:pt x="35" y="0"/>
                </a:lnTo>
                <a:lnTo>
                  <a:pt x="36" y="0"/>
                </a:lnTo>
                <a:lnTo>
                  <a:pt x="37" y="0"/>
                </a:lnTo>
                <a:lnTo>
                  <a:pt x="37" y="0"/>
                </a:lnTo>
                <a:lnTo>
                  <a:pt x="37" y="0"/>
                </a:lnTo>
                <a:lnTo>
                  <a:pt x="37" y="1"/>
                </a:lnTo>
                <a:lnTo>
                  <a:pt x="39" y="2"/>
                </a:lnTo>
                <a:lnTo>
                  <a:pt x="40" y="3"/>
                </a:lnTo>
                <a:lnTo>
                  <a:pt x="40" y="4"/>
                </a:lnTo>
                <a:lnTo>
                  <a:pt x="40" y="4"/>
                </a:lnTo>
                <a:lnTo>
                  <a:pt x="40" y="6"/>
                </a:lnTo>
                <a:lnTo>
                  <a:pt x="39" y="8"/>
                </a:lnTo>
                <a:lnTo>
                  <a:pt x="39" y="11"/>
                </a:lnTo>
                <a:lnTo>
                  <a:pt x="39" y="12"/>
                </a:lnTo>
                <a:lnTo>
                  <a:pt x="39" y="12"/>
                </a:lnTo>
              </a:path>
            </a:pathLst>
          </a:custGeom>
          <a:grpFill/>
          <a:ln w="9525">
            <a:solidFill>
              <a:schemeClr val="bg1">
                <a:lumMod val="65000"/>
              </a:schemeClr>
            </a:solidFill>
            <a:prstDash val="solid"/>
            <a:round/>
            <a:headEnd/>
            <a:tailEnd/>
          </a:ln>
        </xdr:spPr>
      </xdr:sp>
      <xdr:sp macro="" textlink="">
        <xdr:nvSpPr>
          <xdr:cNvPr id="200" name="GIN001002"/>
          <xdr:cNvSpPr>
            <a:spLocks noChangeAspect="1" noEditPoints="1"/>
          </xdr:cNvSpPr>
        </xdr:nvSpPr>
        <xdr:spPr bwMode="auto">
          <a:xfrm>
            <a:off x="3565073" y="3119621"/>
            <a:ext cx="1206087" cy="1088263"/>
          </a:xfrm>
          <a:custGeom>
            <a:avLst/>
            <a:gdLst>
              <a:gd name="T0" fmla="*/ 18 w 130"/>
              <a:gd name="T1" fmla="*/ 75 h 120"/>
              <a:gd name="T2" fmla="*/ 20 w 130"/>
              <a:gd name="T3" fmla="*/ 83 h 120"/>
              <a:gd name="T4" fmla="*/ 21 w 130"/>
              <a:gd name="T5" fmla="*/ 76 h 120"/>
              <a:gd name="T6" fmla="*/ 13 w 130"/>
              <a:gd name="T7" fmla="*/ 80 h 120"/>
              <a:gd name="T8" fmla="*/ 10 w 130"/>
              <a:gd name="T9" fmla="*/ 85 h 120"/>
              <a:gd name="T10" fmla="*/ 1 w 130"/>
              <a:gd name="T11" fmla="*/ 80 h 120"/>
              <a:gd name="T12" fmla="*/ 15 w 130"/>
              <a:gd name="T13" fmla="*/ 71 h 120"/>
              <a:gd name="T14" fmla="*/ 15 w 130"/>
              <a:gd name="T15" fmla="*/ 78 h 120"/>
              <a:gd name="T16" fmla="*/ 36 w 130"/>
              <a:gd name="T17" fmla="*/ 65 h 120"/>
              <a:gd name="T18" fmla="*/ 28 w 130"/>
              <a:gd name="T19" fmla="*/ 69 h 120"/>
              <a:gd name="T20" fmla="*/ 35 w 130"/>
              <a:gd name="T21" fmla="*/ 65 h 120"/>
              <a:gd name="T22" fmla="*/ 11 w 130"/>
              <a:gd name="T23" fmla="*/ 68 h 120"/>
              <a:gd name="T24" fmla="*/ 89 w 130"/>
              <a:gd name="T25" fmla="*/ 2 h 120"/>
              <a:gd name="T26" fmla="*/ 98 w 130"/>
              <a:gd name="T27" fmla="*/ 4 h 120"/>
              <a:gd name="T28" fmla="*/ 102 w 130"/>
              <a:gd name="T29" fmla="*/ 14 h 120"/>
              <a:gd name="T30" fmla="*/ 110 w 130"/>
              <a:gd name="T31" fmla="*/ 28 h 120"/>
              <a:gd name="T32" fmla="*/ 117 w 130"/>
              <a:gd name="T33" fmla="*/ 34 h 120"/>
              <a:gd name="T34" fmla="*/ 124 w 130"/>
              <a:gd name="T35" fmla="*/ 42 h 120"/>
              <a:gd name="T36" fmla="*/ 129 w 130"/>
              <a:gd name="T37" fmla="*/ 49 h 120"/>
              <a:gd name="T38" fmla="*/ 123 w 130"/>
              <a:gd name="T39" fmla="*/ 63 h 120"/>
              <a:gd name="T40" fmla="*/ 117 w 130"/>
              <a:gd name="T41" fmla="*/ 79 h 120"/>
              <a:gd name="T42" fmla="*/ 101 w 130"/>
              <a:gd name="T43" fmla="*/ 90 h 120"/>
              <a:gd name="T44" fmla="*/ 87 w 130"/>
              <a:gd name="T45" fmla="*/ 107 h 120"/>
              <a:gd name="T46" fmla="*/ 76 w 130"/>
              <a:gd name="T47" fmla="*/ 113 h 120"/>
              <a:gd name="T48" fmla="*/ 64 w 130"/>
              <a:gd name="T49" fmla="*/ 111 h 120"/>
              <a:gd name="T50" fmla="*/ 54 w 130"/>
              <a:gd name="T51" fmla="*/ 115 h 120"/>
              <a:gd name="T52" fmla="*/ 47 w 130"/>
              <a:gd name="T53" fmla="*/ 116 h 120"/>
              <a:gd name="T54" fmla="*/ 41 w 130"/>
              <a:gd name="T55" fmla="*/ 120 h 120"/>
              <a:gd name="T56" fmla="*/ 42 w 130"/>
              <a:gd name="T57" fmla="*/ 111 h 120"/>
              <a:gd name="T58" fmla="*/ 47 w 130"/>
              <a:gd name="T59" fmla="*/ 106 h 120"/>
              <a:gd name="T60" fmla="*/ 46 w 130"/>
              <a:gd name="T61" fmla="*/ 97 h 120"/>
              <a:gd name="T62" fmla="*/ 52 w 130"/>
              <a:gd name="T63" fmla="*/ 86 h 120"/>
              <a:gd name="T64" fmla="*/ 60 w 130"/>
              <a:gd name="T65" fmla="*/ 79 h 120"/>
              <a:gd name="T66" fmla="*/ 66 w 130"/>
              <a:gd name="T67" fmla="*/ 77 h 120"/>
              <a:gd name="T68" fmla="*/ 57 w 130"/>
              <a:gd name="T69" fmla="*/ 78 h 120"/>
              <a:gd name="T70" fmla="*/ 51 w 130"/>
              <a:gd name="T71" fmla="*/ 85 h 120"/>
              <a:gd name="T72" fmla="*/ 42 w 130"/>
              <a:gd name="T73" fmla="*/ 99 h 120"/>
              <a:gd name="T74" fmla="*/ 38 w 130"/>
              <a:gd name="T75" fmla="*/ 100 h 120"/>
              <a:gd name="T76" fmla="*/ 41 w 130"/>
              <a:gd name="T77" fmla="*/ 95 h 120"/>
              <a:gd name="T78" fmla="*/ 35 w 130"/>
              <a:gd name="T79" fmla="*/ 96 h 120"/>
              <a:gd name="T80" fmla="*/ 46 w 130"/>
              <a:gd name="T81" fmla="*/ 83 h 120"/>
              <a:gd name="T82" fmla="*/ 38 w 130"/>
              <a:gd name="T83" fmla="*/ 89 h 120"/>
              <a:gd name="T84" fmla="*/ 31 w 130"/>
              <a:gd name="T85" fmla="*/ 96 h 120"/>
              <a:gd name="T86" fmla="*/ 31 w 130"/>
              <a:gd name="T87" fmla="*/ 84 h 120"/>
              <a:gd name="T88" fmla="*/ 37 w 130"/>
              <a:gd name="T89" fmla="*/ 82 h 120"/>
              <a:gd name="T90" fmla="*/ 34 w 130"/>
              <a:gd name="T91" fmla="*/ 80 h 120"/>
              <a:gd name="T92" fmla="*/ 29 w 130"/>
              <a:gd name="T93" fmla="*/ 84 h 120"/>
              <a:gd name="T94" fmla="*/ 28 w 130"/>
              <a:gd name="T95" fmla="*/ 77 h 120"/>
              <a:gd name="T96" fmla="*/ 32 w 130"/>
              <a:gd name="T97" fmla="*/ 71 h 120"/>
              <a:gd name="T98" fmla="*/ 41 w 130"/>
              <a:gd name="T99" fmla="*/ 62 h 120"/>
              <a:gd name="T100" fmla="*/ 37 w 130"/>
              <a:gd name="T101" fmla="*/ 54 h 120"/>
              <a:gd name="T102" fmla="*/ 37 w 130"/>
              <a:gd name="T103" fmla="*/ 55 h 120"/>
              <a:gd name="T104" fmla="*/ 37 w 130"/>
              <a:gd name="T105" fmla="*/ 64 h 120"/>
              <a:gd name="T106" fmla="*/ 29 w 130"/>
              <a:gd name="T107" fmla="*/ 63 h 120"/>
              <a:gd name="T108" fmla="*/ 26 w 130"/>
              <a:gd name="T109" fmla="*/ 68 h 120"/>
              <a:gd name="T110" fmla="*/ 19 w 130"/>
              <a:gd name="T111" fmla="*/ 65 h 120"/>
              <a:gd name="T112" fmla="*/ 18 w 130"/>
              <a:gd name="T113" fmla="*/ 63 h 120"/>
              <a:gd name="T114" fmla="*/ 26 w 130"/>
              <a:gd name="T115" fmla="*/ 39 h 120"/>
              <a:gd name="T116" fmla="*/ 35 w 130"/>
              <a:gd name="T117" fmla="*/ 25 h 120"/>
              <a:gd name="T118" fmla="*/ 64 w 130"/>
              <a:gd name="T119" fmla="*/ 14 h 120"/>
              <a:gd name="T120" fmla="*/ 80 w 130"/>
              <a:gd name="T121" fmla="*/ 1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0" h="120">
                <a:moveTo>
                  <a:pt x="18" y="85"/>
                </a:moveTo>
                <a:lnTo>
                  <a:pt x="18" y="85"/>
                </a:lnTo>
                <a:lnTo>
                  <a:pt x="16" y="85"/>
                </a:lnTo>
                <a:lnTo>
                  <a:pt x="15" y="83"/>
                </a:lnTo>
                <a:lnTo>
                  <a:pt x="15" y="82"/>
                </a:lnTo>
                <a:lnTo>
                  <a:pt x="14" y="81"/>
                </a:lnTo>
                <a:lnTo>
                  <a:pt x="14" y="80"/>
                </a:lnTo>
                <a:lnTo>
                  <a:pt x="16" y="78"/>
                </a:lnTo>
                <a:lnTo>
                  <a:pt x="18" y="75"/>
                </a:lnTo>
                <a:lnTo>
                  <a:pt x="18" y="75"/>
                </a:lnTo>
                <a:lnTo>
                  <a:pt x="18" y="75"/>
                </a:lnTo>
                <a:lnTo>
                  <a:pt x="19" y="75"/>
                </a:lnTo>
                <a:lnTo>
                  <a:pt x="19" y="76"/>
                </a:lnTo>
                <a:lnTo>
                  <a:pt x="18" y="77"/>
                </a:lnTo>
                <a:lnTo>
                  <a:pt x="17" y="78"/>
                </a:lnTo>
                <a:lnTo>
                  <a:pt x="18" y="79"/>
                </a:lnTo>
                <a:lnTo>
                  <a:pt x="18" y="79"/>
                </a:lnTo>
                <a:lnTo>
                  <a:pt x="19" y="80"/>
                </a:lnTo>
                <a:lnTo>
                  <a:pt x="19" y="82"/>
                </a:lnTo>
                <a:lnTo>
                  <a:pt x="20" y="83"/>
                </a:lnTo>
                <a:lnTo>
                  <a:pt x="19" y="84"/>
                </a:lnTo>
                <a:lnTo>
                  <a:pt x="18" y="85"/>
                </a:lnTo>
                <a:lnTo>
                  <a:pt x="18" y="85"/>
                </a:lnTo>
                <a:moveTo>
                  <a:pt x="20" y="73"/>
                </a:moveTo>
                <a:lnTo>
                  <a:pt x="20" y="73"/>
                </a:lnTo>
                <a:lnTo>
                  <a:pt x="21" y="73"/>
                </a:lnTo>
                <a:lnTo>
                  <a:pt x="22" y="76"/>
                </a:lnTo>
                <a:lnTo>
                  <a:pt x="22" y="76"/>
                </a:lnTo>
                <a:lnTo>
                  <a:pt x="21" y="77"/>
                </a:lnTo>
                <a:lnTo>
                  <a:pt x="21" y="76"/>
                </a:lnTo>
                <a:lnTo>
                  <a:pt x="20" y="75"/>
                </a:lnTo>
                <a:lnTo>
                  <a:pt x="19" y="75"/>
                </a:lnTo>
                <a:lnTo>
                  <a:pt x="19" y="74"/>
                </a:lnTo>
                <a:lnTo>
                  <a:pt x="19" y="74"/>
                </a:lnTo>
                <a:lnTo>
                  <a:pt x="20" y="73"/>
                </a:lnTo>
                <a:moveTo>
                  <a:pt x="15" y="78"/>
                </a:moveTo>
                <a:lnTo>
                  <a:pt x="14" y="79"/>
                </a:lnTo>
                <a:lnTo>
                  <a:pt x="13" y="80"/>
                </a:lnTo>
                <a:lnTo>
                  <a:pt x="13" y="79"/>
                </a:lnTo>
                <a:lnTo>
                  <a:pt x="13" y="80"/>
                </a:lnTo>
                <a:lnTo>
                  <a:pt x="12" y="80"/>
                </a:lnTo>
                <a:lnTo>
                  <a:pt x="11" y="79"/>
                </a:lnTo>
                <a:lnTo>
                  <a:pt x="10" y="79"/>
                </a:lnTo>
                <a:lnTo>
                  <a:pt x="11" y="82"/>
                </a:lnTo>
                <a:lnTo>
                  <a:pt x="11" y="82"/>
                </a:lnTo>
                <a:lnTo>
                  <a:pt x="11" y="82"/>
                </a:lnTo>
                <a:lnTo>
                  <a:pt x="10" y="83"/>
                </a:lnTo>
                <a:lnTo>
                  <a:pt x="9" y="83"/>
                </a:lnTo>
                <a:lnTo>
                  <a:pt x="9" y="83"/>
                </a:lnTo>
                <a:lnTo>
                  <a:pt x="10" y="85"/>
                </a:lnTo>
                <a:lnTo>
                  <a:pt x="12" y="87"/>
                </a:lnTo>
                <a:lnTo>
                  <a:pt x="13" y="88"/>
                </a:lnTo>
                <a:lnTo>
                  <a:pt x="13" y="88"/>
                </a:lnTo>
                <a:lnTo>
                  <a:pt x="12" y="89"/>
                </a:lnTo>
                <a:lnTo>
                  <a:pt x="11" y="89"/>
                </a:lnTo>
                <a:lnTo>
                  <a:pt x="8" y="88"/>
                </a:lnTo>
                <a:lnTo>
                  <a:pt x="7" y="88"/>
                </a:lnTo>
                <a:lnTo>
                  <a:pt x="5" y="85"/>
                </a:lnTo>
                <a:lnTo>
                  <a:pt x="3" y="84"/>
                </a:lnTo>
                <a:lnTo>
                  <a:pt x="1" y="80"/>
                </a:lnTo>
                <a:lnTo>
                  <a:pt x="0" y="80"/>
                </a:lnTo>
                <a:lnTo>
                  <a:pt x="0" y="79"/>
                </a:lnTo>
                <a:lnTo>
                  <a:pt x="2" y="77"/>
                </a:lnTo>
                <a:lnTo>
                  <a:pt x="6" y="74"/>
                </a:lnTo>
                <a:lnTo>
                  <a:pt x="6" y="73"/>
                </a:lnTo>
                <a:lnTo>
                  <a:pt x="11" y="69"/>
                </a:lnTo>
                <a:lnTo>
                  <a:pt x="12" y="70"/>
                </a:lnTo>
                <a:lnTo>
                  <a:pt x="13" y="70"/>
                </a:lnTo>
                <a:lnTo>
                  <a:pt x="15" y="71"/>
                </a:lnTo>
                <a:lnTo>
                  <a:pt x="15" y="71"/>
                </a:lnTo>
                <a:lnTo>
                  <a:pt x="15" y="72"/>
                </a:lnTo>
                <a:lnTo>
                  <a:pt x="15" y="72"/>
                </a:lnTo>
                <a:lnTo>
                  <a:pt x="17" y="73"/>
                </a:lnTo>
                <a:lnTo>
                  <a:pt x="17" y="74"/>
                </a:lnTo>
                <a:lnTo>
                  <a:pt x="18" y="75"/>
                </a:lnTo>
                <a:lnTo>
                  <a:pt x="16" y="76"/>
                </a:lnTo>
                <a:lnTo>
                  <a:pt x="16" y="77"/>
                </a:lnTo>
                <a:lnTo>
                  <a:pt x="15" y="78"/>
                </a:lnTo>
                <a:lnTo>
                  <a:pt x="15" y="78"/>
                </a:lnTo>
                <a:lnTo>
                  <a:pt x="15" y="78"/>
                </a:lnTo>
                <a:moveTo>
                  <a:pt x="28" y="67"/>
                </a:moveTo>
                <a:lnTo>
                  <a:pt x="28" y="68"/>
                </a:lnTo>
                <a:lnTo>
                  <a:pt x="27" y="67"/>
                </a:lnTo>
                <a:lnTo>
                  <a:pt x="27" y="66"/>
                </a:lnTo>
                <a:lnTo>
                  <a:pt x="28" y="66"/>
                </a:lnTo>
                <a:lnTo>
                  <a:pt x="28" y="66"/>
                </a:lnTo>
                <a:lnTo>
                  <a:pt x="28" y="67"/>
                </a:lnTo>
                <a:moveTo>
                  <a:pt x="37" y="65"/>
                </a:moveTo>
                <a:lnTo>
                  <a:pt x="37" y="66"/>
                </a:lnTo>
                <a:lnTo>
                  <a:pt x="36" y="65"/>
                </a:lnTo>
                <a:lnTo>
                  <a:pt x="36" y="65"/>
                </a:lnTo>
                <a:lnTo>
                  <a:pt x="37" y="65"/>
                </a:lnTo>
                <a:moveTo>
                  <a:pt x="34" y="68"/>
                </a:moveTo>
                <a:lnTo>
                  <a:pt x="33" y="70"/>
                </a:lnTo>
                <a:lnTo>
                  <a:pt x="33" y="70"/>
                </a:lnTo>
                <a:lnTo>
                  <a:pt x="32" y="70"/>
                </a:lnTo>
                <a:lnTo>
                  <a:pt x="31" y="69"/>
                </a:lnTo>
                <a:lnTo>
                  <a:pt x="30" y="69"/>
                </a:lnTo>
                <a:lnTo>
                  <a:pt x="29" y="69"/>
                </a:lnTo>
                <a:lnTo>
                  <a:pt x="28" y="69"/>
                </a:lnTo>
                <a:lnTo>
                  <a:pt x="28" y="69"/>
                </a:lnTo>
                <a:lnTo>
                  <a:pt x="28" y="69"/>
                </a:lnTo>
                <a:lnTo>
                  <a:pt x="28" y="69"/>
                </a:lnTo>
                <a:lnTo>
                  <a:pt x="29" y="68"/>
                </a:lnTo>
                <a:lnTo>
                  <a:pt x="29" y="67"/>
                </a:lnTo>
                <a:lnTo>
                  <a:pt x="31" y="66"/>
                </a:lnTo>
                <a:lnTo>
                  <a:pt x="32" y="65"/>
                </a:lnTo>
                <a:lnTo>
                  <a:pt x="33" y="65"/>
                </a:lnTo>
                <a:lnTo>
                  <a:pt x="34" y="65"/>
                </a:lnTo>
                <a:lnTo>
                  <a:pt x="35" y="65"/>
                </a:lnTo>
                <a:lnTo>
                  <a:pt x="35" y="66"/>
                </a:lnTo>
                <a:lnTo>
                  <a:pt x="34" y="68"/>
                </a:lnTo>
                <a:moveTo>
                  <a:pt x="18" y="66"/>
                </a:moveTo>
                <a:lnTo>
                  <a:pt x="18" y="72"/>
                </a:lnTo>
                <a:lnTo>
                  <a:pt x="17" y="71"/>
                </a:lnTo>
                <a:lnTo>
                  <a:pt x="15" y="70"/>
                </a:lnTo>
                <a:lnTo>
                  <a:pt x="14" y="69"/>
                </a:lnTo>
                <a:lnTo>
                  <a:pt x="12" y="69"/>
                </a:lnTo>
                <a:lnTo>
                  <a:pt x="12" y="69"/>
                </a:lnTo>
                <a:lnTo>
                  <a:pt x="11" y="68"/>
                </a:lnTo>
                <a:lnTo>
                  <a:pt x="15" y="64"/>
                </a:lnTo>
                <a:lnTo>
                  <a:pt x="17" y="65"/>
                </a:lnTo>
                <a:lnTo>
                  <a:pt x="17" y="66"/>
                </a:lnTo>
                <a:lnTo>
                  <a:pt x="18" y="66"/>
                </a:lnTo>
                <a:moveTo>
                  <a:pt x="82" y="0"/>
                </a:moveTo>
                <a:lnTo>
                  <a:pt x="83" y="0"/>
                </a:lnTo>
                <a:lnTo>
                  <a:pt x="85" y="0"/>
                </a:lnTo>
                <a:lnTo>
                  <a:pt x="87" y="0"/>
                </a:lnTo>
                <a:lnTo>
                  <a:pt x="88" y="2"/>
                </a:lnTo>
                <a:lnTo>
                  <a:pt x="89" y="2"/>
                </a:lnTo>
                <a:lnTo>
                  <a:pt x="89" y="2"/>
                </a:lnTo>
                <a:lnTo>
                  <a:pt x="91" y="2"/>
                </a:lnTo>
                <a:lnTo>
                  <a:pt x="92" y="3"/>
                </a:lnTo>
                <a:lnTo>
                  <a:pt x="93" y="2"/>
                </a:lnTo>
                <a:lnTo>
                  <a:pt x="94" y="3"/>
                </a:lnTo>
                <a:lnTo>
                  <a:pt x="95" y="4"/>
                </a:lnTo>
                <a:lnTo>
                  <a:pt x="96" y="4"/>
                </a:lnTo>
                <a:lnTo>
                  <a:pt x="97" y="4"/>
                </a:lnTo>
                <a:lnTo>
                  <a:pt x="97" y="3"/>
                </a:lnTo>
                <a:lnTo>
                  <a:pt x="98" y="4"/>
                </a:lnTo>
                <a:lnTo>
                  <a:pt x="98" y="4"/>
                </a:lnTo>
                <a:lnTo>
                  <a:pt x="98" y="4"/>
                </a:lnTo>
                <a:lnTo>
                  <a:pt x="99" y="6"/>
                </a:lnTo>
                <a:lnTo>
                  <a:pt x="100" y="7"/>
                </a:lnTo>
                <a:lnTo>
                  <a:pt x="101" y="8"/>
                </a:lnTo>
                <a:lnTo>
                  <a:pt x="100" y="10"/>
                </a:lnTo>
                <a:lnTo>
                  <a:pt x="100" y="12"/>
                </a:lnTo>
                <a:lnTo>
                  <a:pt x="100" y="12"/>
                </a:lnTo>
                <a:lnTo>
                  <a:pt x="100" y="13"/>
                </a:lnTo>
                <a:lnTo>
                  <a:pt x="102" y="14"/>
                </a:lnTo>
                <a:lnTo>
                  <a:pt x="101" y="15"/>
                </a:lnTo>
                <a:lnTo>
                  <a:pt x="102" y="16"/>
                </a:lnTo>
                <a:lnTo>
                  <a:pt x="105" y="16"/>
                </a:lnTo>
                <a:lnTo>
                  <a:pt x="107" y="17"/>
                </a:lnTo>
                <a:lnTo>
                  <a:pt x="112" y="21"/>
                </a:lnTo>
                <a:lnTo>
                  <a:pt x="111" y="24"/>
                </a:lnTo>
                <a:lnTo>
                  <a:pt x="110" y="27"/>
                </a:lnTo>
                <a:lnTo>
                  <a:pt x="110" y="27"/>
                </a:lnTo>
                <a:lnTo>
                  <a:pt x="109" y="28"/>
                </a:lnTo>
                <a:lnTo>
                  <a:pt x="110" y="28"/>
                </a:lnTo>
                <a:lnTo>
                  <a:pt x="110" y="28"/>
                </a:lnTo>
                <a:lnTo>
                  <a:pt x="111" y="28"/>
                </a:lnTo>
                <a:lnTo>
                  <a:pt x="111" y="29"/>
                </a:lnTo>
                <a:lnTo>
                  <a:pt x="112" y="30"/>
                </a:lnTo>
                <a:lnTo>
                  <a:pt x="113" y="30"/>
                </a:lnTo>
                <a:lnTo>
                  <a:pt x="114" y="30"/>
                </a:lnTo>
                <a:lnTo>
                  <a:pt x="114" y="31"/>
                </a:lnTo>
                <a:lnTo>
                  <a:pt x="115" y="32"/>
                </a:lnTo>
                <a:lnTo>
                  <a:pt x="116" y="33"/>
                </a:lnTo>
                <a:lnTo>
                  <a:pt x="117" y="34"/>
                </a:lnTo>
                <a:lnTo>
                  <a:pt x="118" y="34"/>
                </a:lnTo>
                <a:lnTo>
                  <a:pt x="118" y="35"/>
                </a:lnTo>
                <a:lnTo>
                  <a:pt x="118" y="36"/>
                </a:lnTo>
                <a:lnTo>
                  <a:pt x="119" y="38"/>
                </a:lnTo>
                <a:lnTo>
                  <a:pt x="120" y="38"/>
                </a:lnTo>
                <a:lnTo>
                  <a:pt x="120" y="39"/>
                </a:lnTo>
                <a:lnTo>
                  <a:pt x="121" y="40"/>
                </a:lnTo>
                <a:lnTo>
                  <a:pt x="122" y="41"/>
                </a:lnTo>
                <a:lnTo>
                  <a:pt x="124" y="42"/>
                </a:lnTo>
                <a:lnTo>
                  <a:pt x="124" y="42"/>
                </a:lnTo>
                <a:lnTo>
                  <a:pt x="124" y="43"/>
                </a:lnTo>
                <a:lnTo>
                  <a:pt x="125" y="43"/>
                </a:lnTo>
                <a:lnTo>
                  <a:pt x="126" y="44"/>
                </a:lnTo>
                <a:lnTo>
                  <a:pt x="127" y="45"/>
                </a:lnTo>
                <a:lnTo>
                  <a:pt x="127" y="45"/>
                </a:lnTo>
                <a:lnTo>
                  <a:pt x="127" y="46"/>
                </a:lnTo>
                <a:lnTo>
                  <a:pt x="126" y="47"/>
                </a:lnTo>
                <a:lnTo>
                  <a:pt x="126" y="48"/>
                </a:lnTo>
                <a:lnTo>
                  <a:pt x="126" y="49"/>
                </a:lnTo>
                <a:lnTo>
                  <a:pt x="129" y="49"/>
                </a:lnTo>
                <a:lnTo>
                  <a:pt x="130" y="50"/>
                </a:lnTo>
                <a:lnTo>
                  <a:pt x="130" y="53"/>
                </a:lnTo>
                <a:lnTo>
                  <a:pt x="130" y="54"/>
                </a:lnTo>
                <a:lnTo>
                  <a:pt x="130" y="56"/>
                </a:lnTo>
                <a:lnTo>
                  <a:pt x="128" y="58"/>
                </a:lnTo>
                <a:lnTo>
                  <a:pt x="126" y="59"/>
                </a:lnTo>
                <a:lnTo>
                  <a:pt x="125" y="60"/>
                </a:lnTo>
                <a:lnTo>
                  <a:pt x="124" y="62"/>
                </a:lnTo>
                <a:lnTo>
                  <a:pt x="124" y="62"/>
                </a:lnTo>
                <a:lnTo>
                  <a:pt x="123" y="63"/>
                </a:lnTo>
                <a:lnTo>
                  <a:pt x="123" y="64"/>
                </a:lnTo>
                <a:lnTo>
                  <a:pt x="127" y="69"/>
                </a:lnTo>
                <a:lnTo>
                  <a:pt x="127" y="70"/>
                </a:lnTo>
                <a:lnTo>
                  <a:pt x="127" y="72"/>
                </a:lnTo>
                <a:lnTo>
                  <a:pt x="127" y="71"/>
                </a:lnTo>
                <a:lnTo>
                  <a:pt x="127" y="72"/>
                </a:lnTo>
                <a:lnTo>
                  <a:pt x="127" y="74"/>
                </a:lnTo>
                <a:lnTo>
                  <a:pt x="123" y="76"/>
                </a:lnTo>
                <a:lnTo>
                  <a:pt x="119" y="78"/>
                </a:lnTo>
                <a:lnTo>
                  <a:pt x="117" y="79"/>
                </a:lnTo>
                <a:lnTo>
                  <a:pt x="113" y="81"/>
                </a:lnTo>
                <a:lnTo>
                  <a:pt x="109" y="81"/>
                </a:lnTo>
                <a:lnTo>
                  <a:pt x="108" y="82"/>
                </a:lnTo>
                <a:lnTo>
                  <a:pt x="107" y="82"/>
                </a:lnTo>
                <a:lnTo>
                  <a:pt x="106" y="84"/>
                </a:lnTo>
                <a:lnTo>
                  <a:pt x="105" y="84"/>
                </a:lnTo>
                <a:lnTo>
                  <a:pt x="104" y="84"/>
                </a:lnTo>
                <a:lnTo>
                  <a:pt x="103" y="86"/>
                </a:lnTo>
                <a:lnTo>
                  <a:pt x="102" y="88"/>
                </a:lnTo>
                <a:lnTo>
                  <a:pt x="101" y="90"/>
                </a:lnTo>
                <a:lnTo>
                  <a:pt x="100" y="90"/>
                </a:lnTo>
                <a:lnTo>
                  <a:pt x="100" y="90"/>
                </a:lnTo>
                <a:lnTo>
                  <a:pt x="99" y="90"/>
                </a:lnTo>
                <a:lnTo>
                  <a:pt x="98" y="91"/>
                </a:lnTo>
                <a:lnTo>
                  <a:pt x="98" y="92"/>
                </a:lnTo>
                <a:lnTo>
                  <a:pt x="95" y="96"/>
                </a:lnTo>
                <a:lnTo>
                  <a:pt x="92" y="100"/>
                </a:lnTo>
                <a:lnTo>
                  <a:pt x="91" y="100"/>
                </a:lnTo>
                <a:lnTo>
                  <a:pt x="90" y="102"/>
                </a:lnTo>
                <a:lnTo>
                  <a:pt x="87" y="107"/>
                </a:lnTo>
                <a:lnTo>
                  <a:pt x="86" y="108"/>
                </a:lnTo>
                <a:lnTo>
                  <a:pt x="85" y="110"/>
                </a:lnTo>
                <a:lnTo>
                  <a:pt x="84" y="111"/>
                </a:lnTo>
                <a:lnTo>
                  <a:pt x="83" y="110"/>
                </a:lnTo>
                <a:lnTo>
                  <a:pt x="81" y="113"/>
                </a:lnTo>
                <a:lnTo>
                  <a:pt x="79" y="114"/>
                </a:lnTo>
                <a:lnTo>
                  <a:pt x="77" y="114"/>
                </a:lnTo>
                <a:lnTo>
                  <a:pt x="77" y="114"/>
                </a:lnTo>
                <a:lnTo>
                  <a:pt x="76" y="114"/>
                </a:lnTo>
                <a:lnTo>
                  <a:pt x="76" y="113"/>
                </a:lnTo>
                <a:lnTo>
                  <a:pt x="75" y="113"/>
                </a:lnTo>
                <a:lnTo>
                  <a:pt x="74" y="114"/>
                </a:lnTo>
                <a:lnTo>
                  <a:pt x="73" y="116"/>
                </a:lnTo>
                <a:lnTo>
                  <a:pt x="72" y="116"/>
                </a:lnTo>
                <a:lnTo>
                  <a:pt x="71" y="116"/>
                </a:lnTo>
                <a:lnTo>
                  <a:pt x="70" y="115"/>
                </a:lnTo>
                <a:lnTo>
                  <a:pt x="69" y="113"/>
                </a:lnTo>
                <a:lnTo>
                  <a:pt x="67" y="112"/>
                </a:lnTo>
                <a:lnTo>
                  <a:pt x="66" y="111"/>
                </a:lnTo>
                <a:lnTo>
                  <a:pt x="64" y="111"/>
                </a:lnTo>
                <a:lnTo>
                  <a:pt x="63" y="111"/>
                </a:lnTo>
                <a:lnTo>
                  <a:pt x="63" y="109"/>
                </a:lnTo>
                <a:lnTo>
                  <a:pt x="62" y="108"/>
                </a:lnTo>
                <a:lnTo>
                  <a:pt x="61" y="108"/>
                </a:lnTo>
                <a:lnTo>
                  <a:pt x="60" y="107"/>
                </a:lnTo>
                <a:lnTo>
                  <a:pt x="59" y="106"/>
                </a:lnTo>
                <a:lnTo>
                  <a:pt x="59" y="107"/>
                </a:lnTo>
                <a:lnTo>
                  <a:pt x="57" y="110"/>
                </a:lnTo>
                <a:lnTo>
                  <a:pt x="56" y="113"/>
                </a:lnTo>
                <a:lnTo>
                  <a:pt x="54" y="115"/>
                </a:lnTo>
                <a:lnTo>
                  <a:pt x="53" y="116"/>
                </a:lnTo>
                <a:lnTo>
                  <a:pt x="51" y="117"/>
                </a:lnTo>
                <a:lnTo>
                  <a:pt x="50" y="118"/>
                </a:lnTo>
                <a:lnTo>
                  <a:pt x="49" y="120"/>
                </a:lnTo>
                <a:lnTo>
                  <a:pt x="46" y="120"/>
                </a:lnTo>
                <a:lnTo>
                  <a:pt x="43" y="120"/>
                </a:lnTo>
                <a:lnTo>
                  <a:pt x="43" y="119"/>
                </a:lnTo>
                <a:lnTo>
                  <a:pt x="45" y="119"/>
                </a:lnTo>
                <a:lnTo>
                  <a:pt x="46" y="116"/>
                </a:lnTo>
                <a:lnTo>
                  <a:pt x="47" y="116"/>
                </a:lnTo>
                <a:lnTo>
                  <a:pt x="47" y="116"/>
                </a:lnTo>
                <a:lnTo>
                  <a:pt x="48" y="116"/>
                </a:lnTo>
                <a:lnTo>
                  <a:pt x="48" y="115"/>
                </a:lnTo>
                <a:lnTo>
                  <a:pt x="46" y="116"/>
                </a:lnTo>
                <a:lnTo>
                  <a:pt x="45" y="117"/>
                </a:lnTo>
                <a:lnTo>
                  <a:pt x="44" y="118"/>
                </a:lnTo>
                <a:lnTo>
                  <a:pt x="42" y="119"/>
                </a:lnTo>
                <a:lnTo>
                  <a:pt x="41" y="120"/>
                </a:lnTo>
                <a:lnTo>
                  <a:pt x="41" y="120"/>
                </a:lnTo>
                <a:lnTo>
                  <a:pt x="41" y="120"/>
                </a:lnTo>
                <a:lnTo>
                  <a:pt x="41" y="119"/>
                </a:lnTo>
                <a:lnTo>
                  <a:pt x="41" y="116"/>
                </a:lnTo>
                <a:lnTo>
                  <a:pt x="40" y="116"/>
                </a:lnTo>
                <a:lnTo>
                  <a:pt x="40" y="115"/>
                </a:lnTo>
                <a:lnTo>
                  <a:pt x="41" y="113"/>
                </a:lnTo>
                <a:lnTo>
                  <a:pt x="41" y="112"/>
                </a:lnTo>
                <a:lnTo>
                  <a:pt x="41" y="110"/>
                </a:lnTo>
                <a:lnTo>
                  <a:pt x="42" y="110"/>
                </a:lnTo>
                <a:lnTo>
                  <a:pt x="42" y="111"/>
                </a:lnTo>
                <a:lnTo>
                  <a:pt x="42" y="111"/>
                </a:lnTo>
                <a:lnTo>
                  <a:pt x="43" y="110"/>
                </a:lnTo>
                <a:lnTo>
                  <a:pt x="43" y="111"/>
                </a:lnTo>
                <a:lnTo>
                  <a:pt x="44" y="110"/>
                </a:lnTo>
                <a:lnTo>
                  <a:pt x="46" y="108"/>
                </a:lnTo>
                <a:lnTo>
                  <a:pt x="47" y="107"/>
                </a:lnTo>
                <a:lnTo>
                  <a:pt x="48" y="107"/>
                </a:lnTo>
                <a:lnTo>
                  <a:pt x="48" y="107"/>
                </a:lnTo>
                <a:lnTo>
                  <a:pt x="47" y="106"/>
                </a:lnTo>
                <a:lnTo>
                  <a:pt x="47" y="106"/>
                </a:lnTo>
                <a:lnTo>
                  <a:pt x="47" y="106"/>
                </a:lnTo>
                <a:lnTo>
                  <a:pt x="47" y="107"/>
                </a:lnTo>
                <a:lnTo>
                  <a:pt x="47" y="107"/>
                </a:lnTo>
                <a:lnTo>
                  <a:pt x="45" y="107"/>
                </a:lnTo>
                <a:lnTo>
                  <a:pt x="45" y="106"/>
                </a:lnTo>
                <a:lnTo>
                  <a:pt x="44" y="105"/>
                </a:lnTo>
                <a:lnTo>
                  <a:pt x="44" y="104"/>
                </a:lnTo>
                <a:lnTo>
                  <a:pt x="46" y="100"/>
                </a:lnTo>
                <a:lnTo>
                  <a:pt x="45" y="99"/>
                </a:lnTo>
                <a:lnTo>
                  <a:pt x="46" y="98"/>
                </a:lnTo>
                <a:lnTo>
                  <a:pt x="46" y="97"/>
                </a:lnTo>
                <a:lnTo>
                  <a:pt x="47" y="95"/>
                </a:lnTo>
                <a:lnTo>
                  <a:pt x="47" y="96"/>
                </a:lnTo>
                <a:lnTo>
                  <a:pt x="47" y="97"/>
                </a:lnTo>
                <a:lnTo>
                  <a:pt x="48" y="97"/>
                </a:lnTo>
                <a:lnTo>
                  <a:pt x="48" y="95"/>
                </a:lnTo>
                <a:lnTo>
                  <a:pt x="49" y="92"/>
                </a:lnTo>
                <a:lnTo>
                  <a:pt x="50" y="91"/>
                </a:lnTo>
                <a:lnTo>
                  <a:pt x="51" y="89"/>
                </a:lnTo>
                <a:lnTo>
                  <a:pt x="51" y="88"/>
                </a:lnTo>
                <a:lnTo>
                  <a:pt x="52" y="86"/>
                </a:lnTo>
                <a:lnTo>
                  <a:pt x="54" y="85"/>
                </a:lnTo>
                <a:lnTo>
                  <a:pt x="55" y="84"/>
                </a:lnTo>
                <a:lnTo>
                  <a:pt x="56" y="82"/>
                </a:lnTo>
                <a:lnTo>
                  <a:pt x="56" y="81"/>
                </a:lnTo>
                <a:lnTo>
                  <a:pt x="55" y="80"/>
                </a:lnTo>
                <a:lnTo>
                  <a:pt x="56" y="80"/>
                </a:lnTo>
                <a:lnTo>
                  <a:pt x="57" y="79"/>
                </a:lnTo>
                <a:lnTo>
                  <a:pt x="59" y="78"/>
                </a:lnTo>
                <a:lnTo>
                  <a:pt x="60" y="78"/>
                </a:lnTo>
                <a:lnTo>
                  <a:pt x="60" y="79"/>
                </a:lnTo>
                <a:lnTo>
                  <a:pt x="60" y="81"/>
                </a:lnTo>
                <a:lnTo>
                  <a:pt x="60" y="81"/>
                </a:lnTo>
                <a:lnTo>
                  <a:pt x="61" y="80"/>
                </a:lnTo>
                <a:lnTo>
                  <a:pt x="61" y="78"/>
                </a:lnTo>
                <a:lnTo>
                  <a:pt x="62" y="78"/>
                </a:lnTo>
                <a:lnTo>
                  <a:pt x="63" y="79"/>
                </a:lnTo>
                <a:lnTo>
                  <a:pt x="65" y="78"/>
                </a:lnTo>
                <a:lnTo>
                  <a:pt x="66" y="78"/>
                </a:lnTo>
                <a:lnTo>
                  <a:pt x="68" y="76"/>
                </a:lnTo>
                <a:lnTo>
                  <a:pt x="66" y="77"/>
                </a:lnTo>
                <a:lnTo>
                  <a:pt x="66" y="77"/>
                </a:lnTo>
                <a:lnTo>
                  <a:pt x="65" y="78"/>
                </a:lnTo>
                <a:lnTo>
                  <a:pt x="62" y="78"/>
                </a:lnTo>
                <a:lnTo>
                  <a:pt x="61" y="78"/>
                </a:lnTo>
                <a:lnTo>
                  <a:pt x="61" y="79"/>
                </a:lnTo>
                <a:lnTo>
                  <a:pt x="60" y="80"/>
                </a:lnTo>
                <a:lnTo>
                  <a:pt x="60" y="79"/>
                </a:lnTo>
                <a:lnTo>
                  <a:pt x="60" y="78"/>
                </a:lnTo>
                <a:lnTo>
                  <a:pt x="59" y="78"/>
                </a:lnTo>
                <a:lnTo>
                  <a:pt x="57" y="78"/>
                </a:lnTo>
                <a:lnTo>
                  <a:pt x="55" y="78"/>
                </a:lnTo>
                <a:lnTo>
                  <a:pt x="54" y="78"/>
                </a:lnTo>
                <a:lnTo>
                  <a:pt x="54" y="79"/>
                </a:lnTo>
                <a:lnTo>
                  <a:pt x="55" y="82"/>
                </a:lnTo>
                <a:lnTo>
                  <a:pt x="54" y="83"/>
                </a:lnTo>
                <a:lnTo>
                  <a:pt x="53" y="84"/>
                </a:lnTo>
                <a:lnTo>
                  <a:pt x="51" y="82"/>
                </a:lnTo>
                <a:lnTo>
                  <a:pt x="50" y="82"/>
                </a:lnTo>
                <a:lnTo>
                  <a:pt x="51" y="83"/>
                </a:lnTo>
                <a:lnTo>
                  <a:pt x="51" y="85"/>
                </a:lnTo>
                <a:lnTo>
                  <a:pt x="49" y="87"/>
                </a:lnTo>
                <a:lnTo>
                  <a:pt x="49" y="88"/>
                </a:lnTo>
                <a:lnTo>
                  <a:pt x="48" y="89"/>
                </a:lnTo>
                <a:lnTo>
                  <a:pt x="47" y="91"/>
                </a:lnTo>
                <a:lnTo>
                  <a:pt x="46" y="93"/>
                </a:lnTo>
                <a:lnTo>
                  <a:pt x="45" y="95"/>
                </a:lnTo>
                <a:lnTo>
                  <a:pt x="44" y="97"/>
                </a:lnTo>
                <a:lnTo>
                  <a:pt x="44" y="98"/>
                </a:lnTo>
                <a:lnTo>
                  <a:pt x="44" y="99"/>
                </a:lnTo>
                <a:lnTo>
                  <a:pt x="42" y="99"/>
                </a:lnTo>
                <a:lnTo>
                  <a:pt x="40" y="100"/>
                </a:lnTo>
                <a:lnTo>
                  <a:pt x="39" y="102"/>
                </a:lnTo>
                <a:lnTo>
                  <a:pt x="38" y="103"/>
                </a:lnTo>
                <a:lnTo>
                  <a:pt x="37" y="103"/>
                </a:lnTo>
                <a:lnTo>
                  <a:pt x="36" y="101"/>
                </a:lnTo>
                <a:lnTo>
                  <a:pt x="36" y="101"/>
                </a:lnTo>
                <a:lnTo>
                  <a:pt x="36" y="101"/>
                </a:lnTo>
                <a:lnTo>
                  <a:pt x="37" y="99"/>
                </a:lnTo>
                <a:lnTo>
                  <a:pt x="37" y="99"/>
                </a:lnTo>
                <a:lnTo>
                  <a:pt x="38" y="100"/>
                </a:lnTo>
                <a:lnTo>
                  <a:pt x="38" y="98"/>
                </a:lnTo>
                <a:lnTo>
                  <a:pt x="39" y="98"/>
                </a:lnTo>
                <a:lnTo>
                  <a:pt x="41" y="99"/>
                </a:lnTo>
                <a:lnTo>
                  <a:pt x="42" y="97"/>
                </a:lnTo>
                <a:lnTo>
                  <a:pt x="41" y="95"/>
                </a:lnTo>
                <a:lnTo>
                  <a:pt x="42" y="94"/>
                </a:lnTo>
                <a:lnTo>
                  <a:pt x="42" y="93"/>
                </a:lnTo>
                <a:lnTo>
                  <a:pt x="43" y="92"/>
                </a:lnTo>
                <a:lnTo>
                  <a:pt x="42" y="91"/>
                </a:lnTo>
                <a:lnTo>
                  <a:pt x="41" y="95"/>
                </a:lnTo>
                <a:lnTo>
                  <a:pt x="41" y="96"/>
                </a:lnTo>
                <a:lnTo>
                  <a:pt x="41" y="97"/>
                </a:lnTo>
                <a:lnTo>
                  <a:pt x="41" y="97"/>
                </a:lnTo>
                <a:lnTo>
                  <a:pt x="40" y="97"/>
                </a:lnTo>
                <a:lnTo>
                  <a:pt x="39" y="97"/>
                </a:lnTo>
                <a:lnTo>
                  <a:pt x="38" y="97"/>
                </a:lnTo>
                <a:lnTo>
                  <a:pt x="38" y="98"/>
                </a:lnTo>
                <a:lnTo>
                  <a:pt x="37" y="98"/>
                </a:lnTo>
                <a:lnTo>
                  <a:pt x="36" y="97"/>
                </a:lnTo>
                <a:lnTo>
                  <a:pt x="35" y="96"/>
                </a:lnTo>
                <a:lnTo>
                  <a:pt x="36" y="94"/>
                </a:lnTo>
                <a:lnTo>
                  <a:pt x="37" y="93"/>
                </a:lnTo>
                <a:lnTo>
                  <a:pt x="37" y="91"/>
                </a:lnTo>
                <a:lnTo>
                  <a:pt x="39" y="90"/>
                </a:lnTo>
                <a:lnTo>
                  <a:pt x="39" y="90"/>
                </a:lnTo>
                <a:lnTo>
                  <a:pt x="42" y="86"/>
                </a:lnTo>
                <a:lnTo>
                  <a:pt x="44" y="87"/>
                </a:lnTo>
                <a:lnTo>
                  <a:pt x="45" y="86"/>
                </a:lnTo>
                <a:lnTo>
                  <a:pt x="46" y="86"/>
                </a:lnTo>
                <a:lnTo>
                  <a:pt x="46" y="83"/>
                </a:lnTo>
                <a:lnTo>
                  <a:pt x="45" y="82"/>
                </a:lnTo>
                <a:lnTo>
                  <a:pt x="44" y="83"/>
                </a:lnTo>
                <a:lnTo>
                  <a:pt x="45" y="85"/>
                </a:lnTo>
                <a:lnTo>
                  <a:pt x="45" y="86"/>
                </a:lnTo>
                <a:lnTo>
                  <a:pt x="42" y="85"/>
                </a:lnTo>
                <a:lnTo>
                  <a:pt x="41" y="85"/>
                </a:lnTo>
                <a:lnTo>
                  <a:pt x="41" y="86"/>
                </a:lnTo>
                <a:lnTo>
                  <a:pt x="40" y="88"/>
                </a:lnTo>
                <a:lnTo>
                  <a:pt x="39" y="89"/>
                </a:lnTo>
                <a:lnTo>
                  <a:pt x="38" y="89"/>
                </a:lnTo>
                <a:lnTo>
                  <a:pt x="36" y="90"/>
                </a:lnTo>
                <a:lnTo>
                  <a:pt x="36" y="90"/>
                </a:lnTo>
                <a:lnTo>
                  <a:pt x="35" y="91"/>
                </a:lnTo>
                <a:lnTo>
                  <a:pt x="33" y="93"/>
                </a:lnTo>
                <a:lnTo>
                  <a:pt x="33" y="94"/>
                </a:lnTo>
                <a:lnTo>
                  <a:pt x="33" y="97"/>
                </a:lnTo>
                <a:lnTo>
                  <a:pt x="33" y="97"/>
                </a:lnTo>
                <a:lnTo>
                  <a:pt x="32" y="96"/>
                </a:lnTo>
                <a:lnTo>
                  <a:pt x="31" y="95"/>
                </a:lnTo>
                <a:lnTo>
                  <a:pt x="31" y="96"/>
                </a:lnTo>
                <a:lnTo>
                  <a:pt x="30" y="95"/>
                </a:lnTo>
                <a:lnTo>
                  <a:pt x="30" y="94"/>
                </a:lnTo>
                <a:lnTo>
                  <a:pt x="29" y="93"/>
                </a:lnTo>
                <a:lnTo>
                  <a:pt x="28" y="91"/>
                </a:lnTo>
                <a:lnTo>
                  <a:pt x="29" y="90"/>
                </a:lnTo>
                <a:lnTo>
                  <a:pt x="29" y="90"/>
                </a:lnTo>
                <a:lnTo>
                  <a:pt x="30" y="89"/>
                </a:lnTo>
                <a:lnTo>
                  <a:pt x="32" y="87"/>
                </a:lnTo>
                <a:lnTo>
                  <a:pt x="31" y="86"/>
                </a:lnTo>
                <a:lnTo>
                  <a:pt x="31" y="84"/>
                </a:lnTo>
                <a:lnTo>
                  <a:pt x="32" y="83"/>
                </a:lnTo>
                <a:lnTo>
                  <a:pt x="33" y="84"/>
                </a:lnTo>
                <a:lnTo>
                  <a:pt x="34" y="85"/>
                </a:lnTo>
                <a:lnTo>
                  <a:pt x="34" y="84"/>
                </a:lnTo>
                <a:lnTo>
                  <a:pt x="33" y="82"/>
                </a:lnTo>
                <a:lnTo>
                  <a:pt x="33" y="81"/>
                </a:lnTo>
                <a:lnTo>
                  <a:pt x="35" y="82"/>
                </a:lnTo>
                <a:lnTo>
                  <a:pt x="36" y="82"/>
                </a:lnTo>
                <a:lnTo>
                  <a:pt x="38" y="81"/>
                </a:lnTo>
                <a:lnTo>
                  <a:pt x="37" y="82"/>
                </a:lnTo>
                <a:lnTo>
                  <a:pt x="38" y="82"/>
                </a:lnTo>
                <a:lnTo>
                  <a:pt x="38" y="79"/>
                </a:lnTo>
                <a:lnTo>
                  <a:pt x="37" y="79"/>
                </a:lnTo>
                <a:lnTo>
                  <a:pt x="37" y="78"/>
                </a:lnTo>
                <a:lnTo>
                  <a:pt x="37" y="78"/>
                </a:lnTo>
                <a:lnTo>
                  <a:pt x="37" y="79"/>
                </a:lnTo>
                <a:lnTo>
                  <a:pt x="38" y="81"/>
                </a:lnTo>
                <a:lnTo>
                  <a:pt x="37" y="81"/>
                </a:lnTo>
                <a:lnTo>
                  <a:pt x="35" y="81"/>
                </a:lnTo>
                <a:lnTo>
                  <a:pt x="34" y="80"/>
                </a:lnTo>
                <a:lnTo>
                  <a:pt x="33" y="81"/>
                </a:lnTo>
                <a:lnTo>
                  <a:pt x="33" y="80"/>
                </a:lnTo>
                <a:lnTo>
                  <a:pt x="33" y="79"/>
                </a:lnTo>
                <a:lnTo>
                  <a:pt x="34" y="77"/>
                </a:lnTo>
                <a:lnTo>
                  <a:pt x="34" y="75"/>
                </a:lnTo>
                <a:lnTo>
                  <a:pt x="33" y="79"/>
                </a:lnTo>
                <a:lnTo>
                  <a:pt x="32" y="80"/>
                </a:lnTo>
                <a:lnTo>
                  <a:pt x="31" y="81"/>
                </a:lnTo>
                <a:lnTo>
                  <a:pt x="30" y="83"/>
                </a:lnTo>
                <a:lnTo>
                  <a:pt x="29" y="84"/>
                </a:lnTo>
                <a:lnTo>
                  <a:pt x="28" y="84"/>
                </a:lnTo>
                <a:lnTo>
                  <a:pt x="27" y="85"/>
                </a:lnTo>
                <a:lnTo>
                  <a:pt x="27" y="85"/>
                </a:lnTo>
                <a:lnTo>
                  <a:pt x="26" y="84"/>
                </a:lnTo>
                <a:lnTo>
                  <a:pt x="27" y="81"/>
                </a:lnTo>
                <a:lnTo>
                  <a:pt x="27" y="80"/>
                </a:lnTo>
                <a:lnTo>
                  <a:pt x="27" y="79"/>
                </a:lnTo>
                <a:lnTo>
                  <a:pt x="28" y="77"/>
                </a:lnTo>
                <a:lnTo>
                  <a:pt x="28" y="77"/>
                </a:lnTo>
                <a:lnTo>
                  <a:pt x="28" y="77"/>
                </a:lnTo>
                <a:lnTo>
                  <a:pt x="27" y="78"/>
                </a:lnTo>
                <a:lnTo>
                  <a:pt x="26" y="78"/>
                </a:lnTo>
                <a:lnTo>
                  <a:pt x="26" y="78"/>
                </a:lnTo>
                <a:lnTo>
                  <a:pt x="26" y="76"/>
                </a:lnTo>
                <a:lnTo>
                  <a:pt x="25" y="75"/>
                </a:lnTo>
                <a:lnTo>
                  <a:pt x="25" y="74"/>
                </a:lnTo>
                <a:lnTo>
                  <a:pt x="28" y="72"/>
                </a:lnTo>
                <a:lnTo>
                  <a:pt x="30" y="71"/>
                </a:lnTo>
                <a:lnTo>
                  <a:pt x="30" y="71"/>
                </a:lnTo>
                <a:lnTo>
                  <a:pt x="32" y="71"/>
                </a:lnTo>
                <a:lnTo>
                  <a:pt x="34" y="71"/>
                </a:lnTo>
                <a:lnTo>
                  <a:pt x="34" y="70"/>
                </a:lnTo>
                <a:lnTo>
                  <a:pt x="35" y="68"/>
                </a:lnTo>
                <a:lnTo>
                  <a:pt x="38" y="67"/>
                </a:lnTo>
                <a:lnTo>
                  <a:pt x="38" y="65"/>
                </a:lnTo>
                <a:lnTo>
                  <a:pt x="40" y="63"/>
                </a:lnTo>
                <a:lnTo>
                  <a:pt x="42" y="65"/>
                </a:lnTo>
                <a:lnTo>
                  <a:pt x="42" y="64"/>
                </a:lnTo>
                <a:lnTo>
                  <a:pt x="41" y="63"/>
                </a:lnTo>
                <a:lnTo>
                  <a:pt x="41" y="62"/>
                </a:lnTo>
                <a:lnTo>
                  <a:pt x="40" y="62"/>
                </a:lnTo>
                <a:lnTo>
                  <a:pt x="39" y="61"/>
                </a:lnTo>
                <a:lnTo>
                  <a:pt x="38" y="59"/>
                </a:lnTo>
                <a:lnTo>
                  <a:pt x="38" y="58"/>
                </a:lnTo>
                <a:lnTo>
                  <a:pt x="38" y="57"/>
                </a:lnTo>
                <a:lnTo>
                  <a:pt x="39" y="57"/>
                </a:lnTo>
                <a:lnTo>
                  <a:pt x="39" y="57"/>
                </a:lnTo>
                <a:lnTo>
                  <a:pt x="40" y="56"/>
                </a:lnTo>
                <a:lnTo>
                  <a:pt x="39" y="55"/>
                </a:lnTo>
                <a:lnTo>
                  <a:pt x="37" y="54"/>
                </a:lnTo>
                <a:lnTo>
                  <a:pt x="37" y="53"/>
                </a:lnTo>
                <a:lnTo>
                  <a:pt x="38" y="52"/>
                </a:lnTo>
                <a:lnTo>
                  <a:pt x="38" y="51"/>
                </a:lnTo>
                <a:lnTo>
                  <a:pt x="37" y="52"/>
                </a:lnTo>
                <a:lnTo>
                  <a:pt x="37" y="53"/>
                </a:lnTo>
                <a:lnTo>
                  <a:pt x="37" y="54"/>
                </a:lnTo>
                <a:lnTo>
                  <a:pt x="36" y="55"/>
                </a:lnTo>
                <a:lnTo>
                  <a:pt x="36" y="56"/>
                </a:lnTo>
                <a:lnTo>
                  <a:pt x="36" y="56"/>
                </a:lnTo>
                <a:lnTo>
                  <a:pt x="37" y="55"/>
                </a:lnTo>
                <a:lnTo>
                  <a:pt x="38" y="56"/>
                </a:lnTo>
                <a:lnTo>
                  <a:pt x="38" y="56"/>
                </a:lnTo>
                <a:lnTo>
                  <a:pt x="38" y="56"/>
                </a:lnTo>
                <a:lnTo>
                  <a:pt x="37" y="58"/>
                </a:lnTo>
                <a:lnTo>
                  <a:pt x="37" y="59"/>
                </a:lnTo>
                <a:lnTo>
                  <a:pt x="38" y="61"/>
                </a:lnTo>
                <a:lnTo>
                  <a:pt x="38" y="62"/>
                </a:lnTo>
                <a:lnTo>
                  <a:pt x="39" y="62"/>
                </a:lnTo>
                <a:lnTo>
                  <a:pt x="39" y="63"/>
                </a:lnTo>
                <a:lnTo>
                  <a:pt x="37" y="64"/>
                </a:lnTo>
                <a:lnTo>
                  <a:pt x="35" y="64"/>
                </a:lnTo>
                <a:lnTo>
                  <a:pt x="34" y="64"/>
                </a:lnTo>
                <a:lnTo>
                  <a:pt x="32" y="64"/>
                </a:lnTo>
                <a:lnTo>
                  <a:pt x="31" y="65"/>
                </a:lnTo>
                <a:lnTo>
                  <a:pt x="31" y="65"/>
                </a:lnTo>
                <a:lnTo>
                  <a:pt x="28" y="65"/>
                </a:lnTo>
                <a:lnTo>
                  <a:pt x="28" y="65"/>
                </a:lnTo>
                <a:lnTo>
                  <a:pt x="28" y="64"/>
                </a:lnTo>
                <a:lnTo>
                  <a:pt x="28" y="64"/>
                </a:lnTo>
                <a:lnTo>
                  <a:pt x="29" y="63"/>
                </a:lnTo>
                <a:lnTo>
                  <a:pt x="30" y="62"/>
                </a:lnTo>
                <a:lnTo>
                  <a:pt x="29" y="62"/>
                </a:lnTo>
                <a:lnTo>
                  <a:pt x="28" y="63"/>
                </a:lnTo>
                <a:lnTo>
                  <a:pt x="28" y="63"/>
                </a:lnTo>
                <a:lnTo>
                  <a:pt x="28" y="63"/>
                </a:lnTo>
                <a:lnTo>
                  <a:pt x="27" y="63"/>
                </a:lnTo>
                <a:lnTo>
                  <a:pt x="26" y="63"/>
                </a:lnTo>
                <a:lnTo>
                  <a:pt x="25" y="65"/>
                </a:lnTo>
                <a:lnTo>
                  <a:pt x="27" y="67"/>
                </a:lnTo>
                <a:lnTo>
                  <a:pt x="26" y="68"/>
                </a:lnTo>
                <a:lnTo>
                  <a:pt x="26" y="68"/>
                </a:lnTo>
                <a:lnTo>
                  <a:pt x="25" y="68"/>
                </a:lnTo>
                <a:lnTo>
                  <a:pt x="24" y="69"/>
                </a:lnTo>
                <a:lnTo>
                  <a:pt x="24" y="69"/>
                </a:lnTo>
                <a:lnTo>
                  <a:pt x="22" y="71"/>
                </a:lnTo>
                <a:lnTo>
                  <a:pt x="21" y="71"/>
                </a:lnTo>
                <a:lnTo>
                  <a:pt x="20" y="71"/>
                </a:lnTo>
                <a:lnTo>
                  <a:pt x="19" y="70"/>
                </a:lnTo>
                <a:lnTo>
                  <a:pt x="19" y="66"/>
                </a:lnTo>
                <a:lnTo>
                  <a:pt x="19" y="65"/>
                </a:lnTo>
                <a:lnTo>
                  <a:pt x="19" y="64"/>
                </a:lnTo>
                <a:lnTo>
                  <a:pt x="21" y="62"/>
                </a:lnTo>
                <a:lnTo>
                  <a:pt x="21" y="59"/>
                </a:lnTo>
                <a:lnTo>
                  <a:pt x="21" y="57"/>
                </a:lnTo>
                <a:lnTo>
                  <a:pt x="21" y="57"/>
                </a:lnTo>
                <a:lnTo>
                  <a:pt x="21" y="57"/>
                </a:lnTo>
                <a:lnTo>
                  <a:pt x="21" y="60"/>
                </a:lnTo>
                <a:lnTo>
                  <a:pt x="21" y="61"/>
                </a:lnTo>
                <a:lnTo>
                  <a:pt x="19" y="62"/>
                </a:lnTo>
                <a:lnTo>
                  <a:pt x="18" y="63"/>
                </a:lnTo>
                <a:lnTo>
                  <a:pt x="17" y="64"/>
                </a:lnTo>
                <a:lnTo>
                  <a:pt x="15" y="63"/>
                </a:lnTo>
                <a:lnTo>
                  <a:pt x="17" y="60"/>
                </a:lnTo>
                <a:lnTo>
                  <a:pt x="17" y="59"/>
                </a:lnTo>
                <a:lnTo>
                  <a:pt x="18" y="58"/>
                </a:lnTo>
                <a:lnTo>
                  <a:pt x="20" y="55"/>
                </a:lnTo>
                <a:lnTo>
                  <a:pt x="21" y="53"/>
                </a:lnTo>
                <a:lnTo>
                  <a:pt x="22" y="51"/>
                </a:lnTo>
                <a:lnTo>
                  <a:pt x="25" y="46"/>
                </a:lnTo>
                <a:lnTo>
                  <a:pt x="26" y="39"/>
                </a:lnTo>
                <a:lnTo>
                  <a:pt x="27" y="38"/>
                </a:lnTo>
                <a:lnTo>
                  <a:pt x="27" y="37"/>
                </a:lnTo>
                <a:lnTo>
                  <a:pt x="29" y="34"/>
                </a:lnTo>
                <a:lnTo>
                  <a:pt x="30" y="31"/>
                </a:lnTo>
                <a:lnTo>
                  <a:pt x="31" y="30"/>
                </a:lnTo>
                <a:lnTo>
                  <a:pt x="32" y="29"/>
                </a:lnTo>
                <a:lnTo>
                  <a:pt x="32" y="27"/>
                </a:lnTo>
                <a:lnTo>
                  <a:pt x="32" y="27"/>
                </a:lnTo>
                <a:lnTo>
                  <a:pt x="33" y="26"/>
                </a:lnTo>
                <a:lnTo>
                  <a:pt x="35" y="25"/>
                </a:lnTo>
                <a:lnTo>
                  <a:pt x="38" y="18"/>
                </a:lnTo>
                <a:lnTo>
                  <a:pt x="42" y="17"/>
                </a:lnTo>
                <a:lnTo>
                  <a:pt x="49" y="18"/>
                </a:lnTo>
                <a:lnTo>
                  <a:pt x="50" y="18"/>
                </a:lnTo>
                <a:lnTo>
                  <a:pt x="54" y="18"/>
                </a:lnTo>
                <a:lnTo>
                  <a:pt x="56" y="18"/>
                </a:lnTo>
                <a:lnTo>
                  <a:pt x="57" y="17"/>
                </a:lnTo>
                <a:lnTo>
                  <a:pt x="59" y="16"/>
                </a:lnTo>
                <a:lnTo>
                  <a:pt x="59" y="16"/>
                </a:lnTo>
                <a:lnTo>
                  <a:pt x="64" y="14"/>
                </a:lnTo>
                <a:lnTo>
                  <a:pt x="65" y="13"/>
                </a:lnTo>
                <a:lnTo>
                  <a:pt x="66" y="13"/>
                </a:lnTo>
                <a:lnTo>
                  <a:pt x="67" y="12"/>
                </a:lnTo>
                <a:lnTo>
                  <a:pt x="67" y="11"/>
                </a:lnTo>
                <a:lnTo>
                  <a:pt x="68" y="11"/>
                </a:lnTo>
                <a:lnTo>
                  <a:pt x="69" y="10"/>
                </a:lnTo>
                <a:lnTo>
                  <a:pt x="71" y="10"/>
                </a:lnTo>
                <a:lnTo>
                  <a:pt x="73" y="9"/>
                </a:lnTo>
                <a:lnTo>
                  <a:pt x="75" y="8"/>
                </a:lnTo>
                <a:lnTo>
                  <a:pt x="80" y="1"/>
                </a:lnTo>
                <a:lnTo>
                  <a:pt x="82" y="0"/>
                </a:lnTo>
              </a:path>
            </a:pathLst>
          </a:custGeom>
          <a:grpFill/>
          <a:ln w="9525">
            <a:solidFill>
              <a:schemeClr val="bg1">
                <a:lumMod val="65000"/>
              </a:schemeClr>
            </a:solidFill>
            <a:prstDash val="solid"/>
            <a:round/>
            <a:headEnd/>
            <a:tailEnd/>
          </a:ln>
        </xdr:spPr>
      </xdr:sp>
      <xdr:sp macro="" textlink="">
        <xdr:nvSpPr>
          <xdr:cNvPr id="201" name="GIN004001"/>
          <xdr:cNvSpPr>
            <a:spLocks noChangeAspect="1"/>
          </xdr:cNvSpPr>
        </xdr:nvSpPr>
        <xdr:spPr bwMode="auto">
          <a:xfrm>
            <a:off x="8330664" y="3658651"/>
            <a:ext cx="1695946" cy="1511010"/>
          </a:xfrm>
          <a:custGeom>
            <a:avLst/>
            <a:gdLst>
              <a:gd name="T0" fmla="*/ 78 w 180"/>
              <a:gd name="T1" fmla="*/ 11 h 165"/>
              <a:gd name="T2" fmla="*/ 85 w 180"/>
              <a:gd name="T3" fmla="*/ 35 h 165"/>
              <a:gd name="T4" fmla="*/ 99 w 180"/>
              <a:gd name="T5" fmla="*/ 44 h 165"/>
              <a:gd name="T6" fmla="*/ 99 w 180"/>
              <a:gd name="T7" fmla="*/ 56 h 165"/>
              <a:gd name="T8" fmla="*/ 99 w 180"/>
              <a:gd name="T9" fmla="*/ 60 h 165"/>
              <a:gd name="T10" fmla="*/ 103 w 180"/>
              <a:gd name="T11" fmla="*/ 65 h 165"/>
              <a:gd name="T12" fmla="*/ 114 w 180"/>
              <a:gd name="T13" fmla="*/ 81 h 165"/>
              <a:gd name="T14" fmla="*/ 128 w 180"/>
              <a:gd name="T15" fmla="*/ 88 h 165"/>
              <a:gd name="T16" fmla="*/ 140 w 180"/>
              <a:gd name="T17" fmla="*/ 91 h 165"/>
              <a:gd name="T18" fmla="*/ 152 w 180"/>
              <a:gd name="T19" fmla="*/ 95 h 165"/>
              <a:gd name="T20" fmla="*/ 165 w 180"/>
              <a:gd name="T21" fmla="*/ 99 h 165"/>
              <a:gd name="T22" fmla="*/ 172 w 180"/>
              <a:gd name="T23" fmla="*/ 102 h 165"/>
              <a:gd name="T24" fmla="*/ 175 w 180"/>
              <a:gd name="T25" fmla="*/ 108 h 165"/>
              <a:gd name="T26" fmla="*/ 173 w 180"/>
              <a:gd name="T27" fmla="*/ 109 h 165"/>
              <a:gd name="T28" fmla="*/ 174 w 180"/>
              <a:gd name="T29" fmla="*/ 114 h 165"/>
              <a:gd name="T30" fmla="*/ 177 w 180"/>
              <a:gd name="T31" fmla="*/ 116 h 165"/>
              <a:gd name="T32" fmla="*/ 178 w 180"/>
              <a:gd name="T33" fmla="*/ 118 h 165"/>
              <a:gd name="T34" fmla="*/ 179 w 180"/>
              <a:gd name="T35" fmla="*/ 123 h 165"/>
              <a:gd name="T36" fmla="*/ 178 w 180"/>
              <a:gd name="T37" fmla="*/ 128 h 165"/>
              <a:gd name="T38" fmla="*/ 177 w 180"/>
              <a:gd name="T39" fmla="*/ 134 h 165"/>
              <a:gd name="T40" fmla="*/ 177 w 180"/>
              <a:gd name="T41" fmla="*/ 138 h 165"/>
              <a:gd name="T42" fmla="*/ 174 w 180"/>
              <a:gd name="T43" fmla="*/ 145 h 165"/>
              <a:gd name="T44" fmla="*/ 142 w 180"/>
              <a:gd name="T45" fmla="*/ 153 h 165"/>
              <a:gd name="T46" fmla="*/ 132 w 180"/>
              <a:gd name="T47" fmla="*/ 158 h 165"/>
              <a:gd name="T48" fmla="*/ 124 w 180"/>
              <a:gd name="T49" fmla="*/ 142 h 165"/>
              <a:gd name="T50" fmla="*/ 114 w 180"/>
              <a:gd name="T51" fmla="*/ 129 h 165"/>
              <a:gd name="T52" fmla="*/ 94 w 180"/>
              <a:gd name="T53" fmla="*/ 121 h 165"/>
              <a:gd name="T54" fmla="*/ 73 w 180"/>
              <a:gd name="T55" fmla="*/ 115 h 165"/>
              <a:gd name="T56" fmla="*/ 69 w 180"/>
              <a:gd name="T57" fmla="*/ 125 h 165"/>
              <a:gd name="T58" fmla="*/ 77 w 180"/>
              <a:gd name="T59" fmla="*/ 129 h 165"/>
              <a:gd name="T60" fmla="*/ 79 w 180"/>
              <a:gd name="T61" fmla="*/ 140 h 165"/>
              <a:gd name="T62" fmla="*/ 77 w 180"/>
              <a:gd name="T63" fmla="*/ 144 h 165"/>
              <a:gd name="T64" fmla="*/ 81 w 180"/>
              <a:gd name="T65" fmla="*/ 152 h 165"/>
              <a:gd name="T66" fmla="*/ 65 w 180"/>
              <a:gd name="T67" fmla="*/ 160 h 165"/>
              <a:gd name="T68" fmla="*/ 52 w 180"/>
              <a:gd name="T69" fmla="*/ 163 h 165"/>
              <a:gd name="T70" fmla="*/ 34 w 180"/>
              <a:gd name="T71" fmla="*/ 163 h 165"/>
              <a:gd name="T72" fmla="*/ 17 w 180"/>
              <a:gd name="T73" fmla="*/ 154 h 165"/>
              <a:gd name="T74" fmla="*/ 6 w 180"/>
              <a:gd name="T75" fmla="*/ 146 h 165"/>
              <a:gd name="T76" fmla="*/ 1 w 180"/>
              <a:gd name="T77" fmla="*/ 138 h 165"/>
              <a:gd name="T78" fmla="*/ 2 w 180"/>
              <a:gd name="T79" fmla="*/ 137 h 165"/>
              <a:gd name="T80" fmla="*/ 6 w 180"/>
              <a:gd name="T81" fmla="*/ 135 h 165"/>
              <a:gd name="T82" fmla="*/ 10 w 180"/>
              <a:gd name="T83" fmla="*/ 134 h 165"/>
              <a:gd name="T84" fmla="*/ 13 w 180"/>
              <a:gd name="T85" fmla="*/ 130 h 165"/>
              <a:gd name="T86" fmla="*/ 15 w 180"/>
              <a:gd name="T87" fmla="*/ 125 h 165"/>
              <a:gd name="T88" fmla="*/ 18 w 180"/>
              <a:gd name="T89" fmla="*/ 123 h 165"/>
              <a:gd name="T90" fmla="*/ 20 w 180"/>
              <a:gd name="T91" fmla="*/ 119 h 165"/>
              <a:gd name="T92" fmla="*/ 19 w 180"/>
              <a:gd name="T93" fmla="*/ 116 h 165"/>
              <a:gd name="T94" fmla="*/ 17 w 180"/>
              <a:gd name="T95" fmla="*/ 112 h 165"/>
              <a:gd name="T96" fmla="*/ 19 w 180"/>
              <a:gd name="T97" fmla="*/ 109 h 165"/>
              <a:gd name="T98" fmla="*/ 25 w 180"/>
              <a:gd name="T99" fmla="*/ 105 h 165"/>
              <a:gd name="T100" fmla="*/ 22 w 180"/>
              <a:gd name="T101" fmla="*/ 100 h 165"/>
              <a:gd name="T102" fmla="*/ 25 w 180"/>
              <a:gd name="T103" fmla="*/ 96 h 165"/>
              <a:gd name="T104" fmla="*/ 21 w 180"/>
              <a:gd name="T105" fmla="*/ 94 h 165"/>
              <a:gd name="T106" fmla="*/ 18 w 180"/>
              <a:gd name="T107" fmla="*/ 91 h 165"/>
              <a:gd name="T108" fmla="*/ 20 w 180"/>
              <a:gd name="T109" fmla="*/ 87 h 165"/>
              <a:gd name="T110" fmla="*/ 22 w 180"/>
              <a:gd name="T111" fmla="*/ 81 h 165"/>
              <a:gd name="T112" fmla="*/ 21 w 180"/>
              <a:gd name="T113" fmla="*/ 74 h 165"/>
              <a:gd name="T114" fmla="*/ 22 w 180"/>
              <a:gd name="T115" fmla="*/ 68 h 165"/>
              <a:gd name="T116" fmla="*/ 28 w 180"/>
              <a:gd name="T117" fmla="*/ 49 h 165"/>
              <a:gd name="T118" fmla="*/ 45 w 180"/>
              <a:gd name="T119" fmla="*/ 38 h 165"/>
              <a:gd name="T120" fmla="*/ 52 w 180"/>
              <a:gd name="T121" fmla="*/ 26 h 165"/>
              <a:gd name="T122" fmla="*/ 64 w 180"/>
              <a:gd name="T123" fmla="*/ 3 h 1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80" h="165">
                <a:moveTo>
                  <a:pt x="71" y="2"/>
                </a:moveTo>
                <a:lnTo>
                  <a:pt x="72" y="3"/>
                </a:lnTo>
                <a:lnTo>
                  <a:pt x="75" y="3"/>
                </a:lnTo>
                <a:lnTo>
                  <a:pt x="75" y="5"/>
                </a:lnTo>
                <a:lnTo>
                  <a:pt x="73" y="5"/>
                </a:lnTo>
                <a:lnTo>
                  <a:pt x="72" y="7"/>
                </a:lnTo>
                <a:lnTo>
                  <a:pt x="71" y="7"/>
                </a:lnTo>
                <a:lnTo>
                  <a:pt x="74" y="9"/>
                </a:lnTo>
                <a:lnTo>
                  <a:pt x="77" y="9"/>
                </a:lnTo>
                <a:lnTo>
                  <a:pt x="78" y="11"/>
                </a:lnTo>
                <a:lnTo>
                  <a:pt x="80" y="13"/>
                </a:lnTo>
                <a:lnTo>
                  <a:pt x="80" y="17"/>
                </a:lnTo>
                <a:lnTo>
                  <a:pt x="81" y="19"/>
                </a:lnTo>
                <a:lnTo>
                  <a:pt x="82" y="21"/>
                </a:lnTo>
                <a:lnTo>
                  <a:pt x="82" y="24"/>
                </a:lnTo>
                <a:lnTo>
                  <a:pt x="83" y="26"/>
                </a:lnTo>
                <a:lnTo>
                  <a:pt x="84" y="30"/>
                </a:lnTo>
                <a:lnTo>
                  <a:pt x="84" y="32"/>
                </a:lnTo>
                <a:lnTo>
                  <a:pt x="85" y="34"/>
                </a:lnTo>
                <a:lnTo>
                  <a:pt x="85" y="35"/>
                </a:lnTo>
                <a:lnTo>
                  <a:pt x="86" y="36"/>
                </a:lnTo>
                <a:lnTo>
                  <a:pt x="87" y="38"/>
                </a:lnTo>
                <a:lnTo>
                  <a:pt x="88" y="38"/>
                </a:lnTo>
                <a:lnTo>
                  <a:pt x="90" y="39"/>
                </a:lnTo>
                <a:lnTo>
                  <a:pt x="92" y="40"/>
                </a:lnTo>
                <a:lnTo>
                  <a:pt x="94" y="41"/>
                </a:lnTo>
                <a:lnTo>
                  <a:pt x="96" y="42"/>
                </a:lnTo>
                <a:lnTo>
                  <a:pt x="98" y="43"/>
                </a:lnTo>
                <a:lnTo>
                  <a:pt x="98" y="43"/>
                </a:lnTo>
                <a:lnTo>
                  <a:pt x="99" y="44"/>
                </a:lnTo>
                <a:lnTo>
                  <a:pt x="100" y="46"/>
                </a:lnTo>
                <a:lnTo>
                  <a:pt x="100" y="47"/>
                </a:lnTo>
                <a:lnTo>
                  <a:pt x="101" y="49"/>
                </a:lnTo>
                <a:lnTo>
                  <a:pt x="101" y="51"/>
                </a:lnTo>
                <a:lnTo>
                  <a:pt x="101" y="52"/>
                </a:lnTo>
                <a:lnTo>
                  <a:pt x="101" y="53"/>
                </a:lnTo>
                <a:lnTo>
                  <a:pt x="101" y="54"/>
                </a:lnTo>
                <a:lnTo>
                  <a:pt x="100" y="55"/>
                </a:lnTo>
                <a:lnTo>
                  <a:pt x="99" y="56"/>
                </a:lnTo>
                <a:lnTo>
                  <a:pt x="99" y="56"/>
                </a:lnTo>
                <a:lnTo>
                  <a:pt x="99" y="57"/>
                </a:lnTo>
                <a:lnTo>
                  <a:pt x="99" y="57"/>
                </a:lnTo>
                <a:lnTo>
                  <a:pt x="99" y="58"/>
                </a:lnTo>
                <a:lnTo>
                  <a:pt x="99" y="58"/>
                </a:lnTo>
                <a:lnTo>
                  <a:pt x="99" y="58"/>
                </a:lnTo>
                <a:lnTo>
                  <a:pt x="99" y="59"/>
                </a:lnTo>
                <a:lnTo>
                  <a:pt x="99" y="59"/>
                </a:lnTo>
                <a:lnTo>
                  <a:pt x="99" y="59"/>
                </a:lnTo>
                <a:lnTo>
                  <a:pt x="99" y="60"/>
                </a:lnTo>
                <a:lnTo>
                  <a:pt x="99" y="60"/>
                </a:lnTo>
                <a:lnTo>
                  <a:pt x="99" y="61"/>
                </a:lnTo>
                <a:lnTo>
                  <a:pt x="99" y="61"/>
                </a:lnTo>
                <a:lnTo>
                  <a:pt x="100" y="61"/>
                </a:lnTo>
                <a:lnTo>
                  <a:pt x="100" y="62"/>
                </a:lnTo>
                <a:lnTo>
                  <a:pt x="100" y="62"/>
                </a:lnTo>
                <a:lnTo>
                  <a:pt x="100" y="62"/>
                </a:lnTo>
                <a:lnTo>
                  <a:pt x="101" y="62"/>
                </a:lnTo>
                <a:lnTo>
                  <a:pt x="102" y="62"/>
                </a:lnTo>
                <a:lnTo>
                  <a:pt x="102" y="62"/>
                </a:lnTo>
                <a:lnTo>
                  <a:pt x="103" y="65"/>
                </a:lnTo>
                <a:lnTo>
                  <a:pt x="103" y="66"/>
                </a:lnTo>
                <a:lnTo>
                  <a:pt x="104" y="68"/>
                </a:lnTo>
                <a:lnTo>
                  <a:pt x="105" y="69"/>
                </a:lnTo>
                <a:lnTo>
                  <a:pt x="106" y="71"/>
                </a:lnTo>
                <a:lnTo>
                  <a:pt x="107" y="73"/>
                </a:lnTo>
                <a:lnTo>
                  <a:pt x="108" y="74"/>
                </a:lnTo>
                <a:lnTo>
                  <a:pt x="109" y="76"/>
                </a:lnTo>
                <a:lnTo>
                  <a:pt x="110" y="78"/>
                </a:lnTo>
                <a:lnTo>
                  <a:pt x="111" y="79"/>
                </a:lnTo>
                <a:lnTo>
                  <a:pt x="114" y="81"/>
                </a:lnTo>
                <a:lnTo>
                  <a:pt x="116" y="83"/>
                </a:lnTo>
                <a:lnTo>
                  <a:pt x="117" y="84"/>
                </a:lnTo>
                <a:lnTo>
                  <a:pt x="120" y="84"/>
                </a:lnTo>
                <a:lnTo>
                  <a:pt x="122" y="84"/>
                </a:lnTo>
                <a:lnTo>
                  <a:pt x="123" y="84"/>
                </a:lnTo>
                <a:lnTo>
                  <a:pt x="125" y="84"/>
                </a:lnTo>
                <a:lnTo>
                  <a:pt x="126" y="84"/>
                </a:lnTo>
                <a:lnTo>
                  <a:pt x="127" y="85"/>
                </a:lnTo>
                <a:lnTo>
                  <a:pt x="127" y="86"/>
                </a:lnTo>
                <a:lnTo>
                  <a:pt x="128" y="88"/>
                </a:lnTo>
                <a:lnTo>
                  <a:pt x="129" y="88"/>
                </a:lnTo>
                <a:lnTo>
                  <a:pt x="129" y="89"/>
                </a:lnTo>
                <a:lnTo>
                  <a:pt x="132" y="87"/>
                </a:lnTo>
                <a:lnTo>
                  <a:pt x="133" y="89"/>
                </a:lnTo>
                <a:lnTo>
                  <a:pt x="135" y="90"/>
                </a:lnTo>
                <a:lnTo>
                  <a:pt x="136" y="90"/>
                </a:lnTo>
                <a:lnTo>
                  <a:pt x="137" y="89"/>
                </a:lnTo>
                <a:lnTo>
                  <a:pt x="138" y="90"/>
                </a:lnTo>
                <a:lnTo>
                  <a:pt x="139" y="91"/>
                </a:lnTo>
                <a:lnTo>
                  <a:pt x="140" y="91"/>
                </a:lnTo>
                <a:lnTo>
                  <a:pt x="141" y="93"/>
                </a:lnTo>
                <a:lnTo>
                  <a:pt x="143" y="94"/>
                </a:lnTo>
                <a:lnTo>
                  <a:pt x="144" y="95"/>
                </a:lnTo>
                <a:lnTo>
                  <a:pt x="145" y="94"/>
                </a:lnTo>
                <a:lnTo>
                  <a:pt x="146" y="94"/>
                </a:lnTo>
                <a:lnTo>
                  <a:pt x="147" y="95"/>
                </a:lnTo>
                <a:lnTo>
                  <a:pt x="149" y="95"/>
                </a:lnTo>
                <a:lnTo>
                  <a:pt x="150" y="94"/>
                </a:lnTo>
                <a:lnTo>
                  <a:pt x="151" y="96"/>
                </a:lnTo>
                <a:lnTo>
                  <a:pt x="152" y="95"/>
                </a:lnTo>
                <a:lnTo>
                  <a:pt x="153" y="95"/>
                </a:lnTo>
                <a:lnTo>
                  <a:pt x="155" y="96"/>
                </a:lnTo>
                <a:lnTo>
                  <a:pt x="156" y="97"/>
                </a:lnTo>
                <a:lnTo>
                  <a:pt x="158" y="97"/>
                </a:lnTo>
                <a:lnTo>
                  <a:pt x="160" y="98"/>
                </a:lnTo>
                <a:lnTo>
                  <a:pt x="161" y="100"/>
                </a:lnTo>
                <a:lnTo>
                  <a:pt x="162" y="101"/>
                </a:lnTo>
                <a:lnTo>
                  <a:pt x="163" y="99"/>
                </a:lnTo>
                <a:lnTo>
                  <a:pt x="164" y="99"/>
                </a:lnTo>
                <a:lnTo>
                  <a:pt x="165" y="99"/>
                </a:lnTo>
                <a:lnTo>
                  <a:pt x="164" y="100"/>
                </a:lnTo>
                <a:lnTo>
                  <a:pt x="164" y="101"/>
                </a:lnTo>
                <a:lnTo>
                  <a:pt x="165" y="102"/>
                </a:lnTo>
                <a:lnTo>
                  <a:pt x="167" y="101"/>
                </a:lnTo>
                <a:lnTo>
                  <a:pt x="168" y="102"/>
                </a:lnTo>
                <a:lnTo>
                  <a:pt x="168" y="102"/>
                </a:lnTo>
                <a:lnTo>
                  <a:pt x="168" y="104"/>
                </a:lnTo>
                <a:lnTo>
                  <a:pt x="171" y="103"/>
                </a:lnTo>
                <a:lnTo>
                  <a:pt x="171" y="102"/>
                </a:lnTo>
                <a:lnTo>
                  <a:pt x="172" y="102"/>
                </a:lnTo>
                <a:lnTo>
                  <a:pt x="172" y="103"/>
                </a:lnTo>
                <a:lnTo>
                  <a:pt x="173" y="104"/>
                </a:lnTo>
                <a:lnTo>
                  <a:pt x="174" y="104"/>
                </a:lnTo>
                <a:lnTo>
                  <a:pt x="176" y="105"/>
                </a:lnTo>
                <a:lnTo>
                  <a:pt x="176" y="106"/>
                </a:lnTo>
                <a:lnTo>
                  <a:pt x="175" y="106"/>
                </a:lnTo>
                <a:lnTo>
                  <a:pt x="175" y="106"/>
                </a:lnTo>
                <a:lnTo>
                  <a:pt x="174" y="107"/>
                </a:lnTo>
                <a:lnTo>
                  <a:pt x="175" y="107"/>
                </a:lnTo>
                <a:lnTo>
                  <a:pt x="175" y="108"/>
                </a:lnTo>
                <a:lnTo>
                  <a:pt x="176" y="108"/>
                </a:lnTo>
                <a:lnTo>
                  <a:pt x="177" y="107"/>
                </a:lnTo>
                <a:lnTo>
                  <a:pt x="177" y="107"/>
                </a:lnTo>
                <a:lnTo>
                  <a:pt x="178" y="108"/>
                </a:lnTo>
                <a:lnTo>
                  <a:pt x="178" y="109"/>
                </a:lnTo>
                <a:lnTo>
                  <a:pt x="178" y="109"/>
                </a:lnTo>
                <a:lnTo>
                  <a:pt x="177" y="109"/>
                </a:lnTo>
                <a:lnTo>
                  <a:pt x="177" y="109"/>
                </a:lnTo>
                <a:lnTo>
                  <a:pt x="175" y="110"/>
                </a:lnTo>
                <a:lnTo>
                  <a:pt x="173" y="109"/>
                </a:lnTo>
                <a:lnTo>
                  <a:pt x="173" y="110"/>
                </a:lnTo>
                <a:lnTo>
                  <a:pt x="173" y="110"/>
                </a:lnTo>
                <a:lnTo>
                  <a:pt x="174" y="111"/>
                </a:lnTo>
                <a:lnTo>
                  <a:pt x="174" y="111"/>
                </a:lnTo>
                <a:lnTo>
                  <a:pt x="174" y="111"/>
                </a:lnTo>
                <a:lnTo>
                  <a:pt x="174" y="112"/>
                </a:lnTo>
                <a:lnTo>
                  <a:pt x="173" y="112"/>
                </a:lnTo>
                <a:lnTo>
                  <a:pt x="174" y="113"/>
                </a:lnTo>
                <a:lnTo>
                  <a:pt x="174" y="114"/>
                </a:lnTo>
                <a:lnTo>
                  <a:pt x="174" y="114"/>
                </a:lnTo>
                <a:lnTo>
                  <a:pt x="175" y="113"/>
                </a:lnTo>
                <a:lnTo>
                  <a:pt x="176" y="113"/>
                </a:lnTo>
                <a:lnTo>
                  <a:pt x="176" y="113"/>
                </a:lnTo>
                <a:lnTo>
                  <a:pt x="177" y="113"/>
                </a:lnTo>
                <a:lnTo>
                  <a:pt x="176" y="114"/>
                </a:lnTo>
                <a:lnTo>
                  <a:pt x="177" y="114"/>
                </a:lnTo>
                <a:lnTo>
                  <a:pt x="177" y="115"/>
                </a:lnTo>
                <a:lnTo>
                  <a:pt x="177" y="115"/>
                </a:lnTo>
                <a:lnTo>
                  <a:pt x="177" y="116"/>
                </a:lnTo>
                <a:lnTo>
                  <a:pt x="177" y="116"/>
                </a:lnTo>
                <a:lnTo>
                  <a:pt x="176" y="116"/>
                </a:lnTo>
                <a:lnTo>
                  <a:pt x="176" y="116"/>
                </a:lnTo>
                <a:lnTo>
                  <a:pt x="176" y="116"/>
                </a:lnTo>
                <a:lnTo>
                  <a:pt x="175" y="117"/>
                </a:lnTo>
                <a:lnTo>
                  <a:pt x="175" y="118"/>
                </a:lnTo>
                <a:lnTo>
                  <a:pt x="176" y="118"/>
                </a:lnTo>
                <a:lnTo>
                  <a:pt x="177" y="118"/>
                </a:lnTo>
                <a:lnTo>
                  <a:pt x="177" y="118"/>
                </a:lnTo>
                <a:lnTo>
                  <a:pt x="178" y="118"/>
                </a:lnTo>
                <a:lnTo>
                  <a:pt x="178" y="118"/>
                </a:lnTo>
                <a:lnTo>
                  <a:pt x="179" y="118"/>
                </a:lnTo>
                <a:lnTo>
                  <a:pt x="179" y="119"/>
                </a:lnTo>
                <a:lnTo>
                  <a:pt x="179" y="119"/>
                </a:lnTo>
                <a:lnTo>
                  <a:pt x="179" y="120"/>
                </a:lnTo>
                <a:lnTo>
                  <a:pt x="178" y="121"/>
                </a:lnTo>
                <a:lnTo>
                  <a:pt x="179" y="121"/>
                </a:lnTo>
                <a:lnTo>
                  <a:pt x="179" y="121"/>
                </a:lnTo>
                <a:lnTo>
                  <a:pt x="180" y="121"/>
                </a:lnTo>
                <a:lnTo>
                  <a:pt x="179" y="122"/>
                </a:lnTo>
                <a:lnTo>
                  <a:pt x="179" y="123"/>
                </a:lnTo>
                <a:lnTo>
                  <a:pt x="179" y="124"/>
                </a:lnTo>
                <a:lnTo>
                  <a:pt x="178" y="123"/>
                </a:lnTo>
                <a:lnTo>
                  <a:pt x="178" y="124"/>
                </a:lnTo>
                <a:lnTo>
                  <a:pt x="178" y="124"/>
                </a:lnTo>
                <a:lnTo>
                  <a:pt x="179" y="125"/>
                </a:lnTo>
                <a:lnTo>
                  <a:pt x="179" y="125"/>
                </a:lnTo>
                <a:lnTo>
                  <a:pt x="178" y="125"/>
                </a:lnTo>
                <a:lnTo>
                  <a:pt x="178" y="126"/>
                </a:lnTo>
                <a:lnTo>
                  <a:pt x="178" y="128"/>
                </a:lnTo>
                <a:lnTo>
                  <a:pt x="178" y="128"/>
                </a:lnTo>
                <a:lnTo>
                  <a:pt x="177" y="128"/>
                </a:lnTo>
                <a:lnTo>
                  <a:pt x="177" y="129"/>
                </a:lnTo>
                <a:lnTo>
                  <a:pt x="177" y="129"/>
                </a:lnTo>
                <a:lnTo>
                  <a:pt x="177" y="129"/>
                </a:lnTo>
                <a:lnTo>
                  <a:pt x="177" y="130"/>
                </a:lnTo>
                <a:lnTo>
                  <a:pt x="177" y="131"/>
                </a:lnTo>
                <a:lnTo>
                  <a:pt x="177" y="131"/>
                </a:lnTo>
                <a:lnTo>
                  <a:pt x="177" y="133"/>
                </a:lnTo>
                <a:lnTo>
                  <a:pt x="177" y="134"/>
                </a:lnTo>
                <a:lnTo>
                  <a:pt x="177" y="134"/>
                </a:lnTo>
                <a:lnTo>
                  <a:pt x="177" y="134"/>
                </a:lnTo>
                <a:lnTo>
                  <a:pt x="176" y="135"/>
                </a:lnTo>
                <a:lnTo>
                  <a:pt x="176" y="135"/>
                </a:lnTo>
                <a:lnTo>
                  <a:pt x="176" y="136"/>
                </a:lnTo>
                <a:lnTo>
                  <a:pt x="177" y="137"/>
                </a:lnTo>
                <a:lnTo>
                  <a:pt x="177" y="137"/>
                </a:lnTo>
                <a:lnTo>
                  <a:pt x="176" y="137"/>
                </a:lnTo>
                <a:lnTo>
                  <a:pt x="176" y="138"/>
                </a:lnTo>
                <a:lnTo>
                  <a:pt x="177" y="138"/>
                </a:lnTo>
                <a:lnTo>
                  <a:pt x="177" y="138"/>
                </a:lnTo>
                <a:lnTo>
                  <a:pt x="177" y="139"/>
                </a:lnTo>
                <a:lnTo>
                  <a:pt x="177" y="139"/>
                </a:lnTo>
                <a:lnTo>
                  <a:pt x="176" y="141"/>
                </a:lnTo>
                <a:lnTo>
                  <a:pt x="176" y="141"/>
                </a:lnTo>
                <a:lnTo>
                  <a:pt x="175" y="141"/>
                </a:lnTo>
                <a:lnTo>
                  <a:pt x="174" y="141"/>
                </a:lnTo>
                <a:lnTo>
                  <a:pt x="174" y="142"/>
                </a:lnTo>
                <a:lnTo>
                  <a:pt x="175" y="143"/>
                </a:lnTo>
                <a:lnTo>
                  <a:pt x="175" y="143"/>
                </a:lnTo>
                <a:lnTo>
                  <a:pt x="174" y="145"/>
                </a:lnTo>
                <a:lnTo>
                  <a:pt x="175" y="146"/>
                </a:lnTo>
                <a:lnTo>
                  <a:pt x="166" y="145"/>
                </a:lnTo>
                <a:lnTo>
                  <a:pt x="155" y="146"/>
                </a:lnTo>
                <a:lnTo>
                  <a:pt x="151" y="147"/>
                </a:lnTo>
                <a:lnTo>
                  <a:pt x="148" y="150"/>
                </a:lnTo>
                <a:lnTo>
                  <a:pt x="146" y="151"/>
                </a:lnTo>
                <a:lnTo>
                  <a:pt x="144" y="150"/>
                </a:lnTo>
                <a:lnTo>
                  <a:pt x="142" y="150"/>
                </a:lnTo>
                <a:lnTo>
                  <a:pt x="141" y="151"/>
                </a:lnTo>
                <a:lnTo>
                  <a:pt x="142" y="153"/>
                </a:lnTo>
                <a:lnTo>
                  <a:pt x="141" y="155"/>
                </a:lnTo>
                <a:lnTo>
                  <a:pt x="139" y="154"/>
                </a:lnTo>
                <a:lnTo>
                  <a:pt x="138" y="155"/>
                </a:lnTo>
                <a:lnTo>
                  <a:pt x="137" y="157"/>
                </a:lnTo>
                <a:lnTo>
                  <a:pt x="136" y="155"/>
                </a:lnTo>
                <a:lnTo>
                  <a:pt x="135" y="156"/>
                </a:lnTo>
                <a:lnTo>
                  <a:pt x="135" y="159"/>
                </a:lnTo>
                <a:lnTo>
                  <a:pt x="133" y="160"/>
                </a:lnTo>
                <a:lnTo>
                  <a:pt x="132" y="160"/>
                </a:lnTo>
                <a:lnTo>
                  <a:pt x="132" y="158"/>
                </a:lnTo>
                <a:lnTo>
                  <a:pt x="130" y="158"/>
                </a:lnTo>
                <a:lnTo>
                  <a:pt x="129" y="155"/>
                </a:lnTo>
                <a:lnTo>
                  <a:pt x="129" y="154"/>
                </a:lnTo>
                <a:lnTo>
                  <a:pt x="130" y="153"/>
                </a:lnTo>
                <a:lnTo>
                  <a:pt x="129" y="151"/>
                </a:lnTo>
                <a:lnTo>
                  <a:pt x="128" y="149"/>
                </a:lnTo>
                <a:lnTo>
                  <a:pt x="128" y="148"/>
                </a:lnTo>
                <a:lnTo>
                  <a:pt x="126" y="146"/>
                </a:lnTo>
                <a:lnTo>
                  <a:pt x="125" y="144"/>
                </a:lnTo>
                <a:lnTo>
                  <a:pt x="124" y="142"/>
                </a:lnTo>
                <a:lnTo>
                  <a:pt x="123" y="140"/>
                </a:lnTo>
                <a:lnTo>
                  <a:pt x="121" y="140"/>
                </a:lnTo>
                <a:lnTo>
                  <a:pt x="120" y="138"/>
                </a:lnTo>
                <a:lnTo>
                  <a:pt x="120" y="135"/>
                </a:lnTo>
                <a:lnTo>
                  <a:pt x="119" y="134"/>
                </a:lnTo>
                <a:lnTo>
                  <a:pt x="118" y="133"/>
                </a:lnTo>
                <a:lnTo>
                  <a:pt x="117" y="132"/>
                </a:lnTo>
                <a:lnTo>
                  <a:pt x="116" y="132"/>
                </a:lnTo>
                <a:lnTo>
                  <a:pt x="115" y="130"/>
                </a:lnTo>
                <a:lnTo>
                  <a:pt x="114" y="129"/>
                </a:lnTo>
                <a:lnTo>
                  <a:pt x="111" y="128"/>
                </a:lnTo>
                <a:lnTo>
                  <a:pt x="112" y="128"/>
                </a:lnTo>
                <a:lnTo>
                  <a:pt x="110" y="125"/>
                </a:lnTo>
                <a:lnTo>
                  <a:pt x="109" y="125"/>
                </a:lnTo>
                <a:lnTo>
                  <a:pt x="107" y="123"/>
                </a:lnTo>
                <a:lnTo>
                  <a:pt x="105" y="122"/>
                </a:lnTo>
                <a:lnTo>
                  <a:pt x="103" y="122"/>
                </a:lnTo>
                <a:lnTo>
                  <a:pt x="99" y="123"/>
                </a:lnTo>
                <a:lnTo>
                  <a:pt x="97" y="122"/>
                </a:lnTo>
                <a:lnTo>
                  <a:pt x="94" y="121"/>
                </a:lnTo>
                <a:lnTo>
                  <a:pt x="92" y="119"/>
                </a:lnTo>
                <a:lnTo>
                  <a:pt x="90" y="117"/>
                </a:lnTo>
                <a:lnTo>
                  <a:pt x="88" y="116"/>
                </a:lnTo>
                <a:lnTo>
                  <a:pt x="87" y="115"/>
                </a:lnTo>
                <a:lnTo>
                  <a:pt x="84" y="113"/>
                </a:lnTo>
                <a:lnTo>
                  <a:pt x="82" y="112"/>
                </a:lnTo>
                <a:lnTo>
                  <a:pt x="79" y="113"/>
                </a:lnTo>
                <a:lnTo>
                  <a:pt x="77" y="114"/>
                </a:lnTo>
                <a:lnTo>
                  <a:pt x="75" y="115"/>
                </a:lnTo>
                <a:lnTo>
                  <a:pt x="73" y="115"/>
                </a:lnTo>
                <a:lnTo>
                  <a:pt x="72" y="116"/>
                </a:lnTo>
                <a:lnTo>
                  <a:pt x="69" y="116"/>
                </a:lnTo>
                <a:lnTo>
                  <a:pt x="68" y="117"/>
                </a:lnTo>
                <a:lnTo>
                  <a:pt x="68" y="119"/>
                </a:lnTo>
                <a:lnTo>
                  <a:pt x="68" y="120"/>
                </a:lnTo>
                <a:lnTo>
                  <a:pt x="68" y="121"/>
                </a:lnTo>
                <a:lnTo>
                  <a:pt x="68" y="122"/>
                </a:lnTo>
                <a:lnTo>
                  <a:pt x="68" y="123"/>
                </a:lnTo>
                <a:lnTo>
                  <a:pt x="69" y="124"/>
                </a:lnTo>
                <a:lnTo>
                  <a:pt x="69" y="125"/>
                </a:lnTo>
                <a:lnTo>
                  <a:pt x="69" y="126"/>
                </a:lnTo>
                <a:lnTo>
                  <a:pt x="70" y="126"/>
                </a:lnTo>
                <a:lnTo>
                  <a:pt x="70" y="128"/>
                </a:lnTo>
                <a:lnTo>
                  <a:pt x="71" y="129"/>
                </a:lnTo>
                <a:lnTo>
                  <a:pt x="72" y="130"/>
                </a:lnTo>
                <a:lnTo>
                  <a:pt x="73" y="130"/>
                </a:lnTo>
                <a:lnTo>
                  <a:pt x="74" y="129"/>
                </a:lnTo>
                <a:lnTo>
                  <a:pt x="75" y="128"/>
                </a:lnTo>
                <a:lnTo>
                  <a:pt x="76" y="128"/>
                </a:lnTo>
                <a:lnTo>
                  <a:pt x="77" y="129"/>
                </a:lnTo>
                <a:lnTo>
                  <a:pt x="78" y="130"/>
                </a:lnTo>
                <a:lnTo>
                  <a:pt x="78" y="130"/>
                </a:lnTo>
                <a:lnTo>
                  <a:pt x="79" y="132"/>
                </a:lnTo>
                <a:lnTo>
                  <a:pt x="78" y="135"/>
                </a:lnTo>
                <a:lnTo>
                  <a:pt x="80" y="136"/>
                </a:lnTo>
                <a:lnTo>
                  <a:pt x="79" y="137"/>
                </a:lnTo>
                <a:lnTo>
                  <a:pt x="78" y="138"/>
                </a:lnTo>
                <a:lnTo>
                  <a:pt x="78" y="138"/>
                </a:lnTo>
                <a:lnTo>
                  <a:pt x="79" y="139"/>
                </a:lnTo>
                <a:lnTo>
                  <a:pt x="79" y="140"/>
                </a:lnTo>
                <a:lnTo>
                  <a:pt x="78" y="141"/>
                </a:lnTo>
                <a:lnTo>
                  <a:pt x="77" y="141"/>
                </a:lnTo>
                <a:lnTo>
                  <a:pt x="76" y="141"/>
                </a:lnTo>
                <a:lnTo>
                  <a:pt x="76" y="141"/>
                </a:lnTo>
                <a:lnTo>
                  <a:pt x="76" y="142"/>
                </a:lnTo>
                <a:lnTo>
                  <a:pt x="75" y="143"/>
                </a:lnTo>
                <a:lnTo>
                  <a:pt x="76" y="143"/>
                </a:lnTo>
                <a:lnTo>
                  <a:pt x="76" y="143"/>
                </a:lnTo>
                <a:lnTo>
                  <a:pt x="77" y="143"/>
                </a:lnTo>
                <a:lnTo>
                  <a:pt x="77" y="144"/>
                </a:lnTo>
                <a:lnTo>
                  <a:pt x="76" y="145"/>
                </a:lnTo>
                <a:lnTo>
                  <a:pt x="77" y="146"/>
                </a:lnTo>
                <a:lnTo>
                  <a:pt x="77" y="146"/>
                </a:lnTo>
                <a:lnTo>
                  <a:pt x="78" y="147"/>
                </a:lnTo>
                <a:lnTo>
                  <a:pt x="78" y="148"/>
                </a:lnTo>
                <a:lnTo>
                  <a:pt x="78" y="148"/>
                </a:lnTo>
                <a:lnTo>
                  <a:pt x="78" y="149"/>
                </a:lnTo>
                <a:lnTo>
                  <a:pt x="79" y="150"/>
                </a:lnTo>
                <a:lnTo>
                  <a:pt x="80" y="151"/>
                </a:lnTo>
                <a:lnTo>
                  <a:pt x="81" y="152"/>
                </a:lnTo>
                <a:lnTo>
                  <a:pt x="81" y="154"/>
                </a:lnTo>
                <a:lnTo>
                  <a:pt x="82" y="155"/>
                </a:lnTo>
                <a:lnTo>
                  <a:pt x="82" y="156"/>
                </a:lnTo>
                <a:lnTo>
                  <a:pt x="78" y="158"/>
                </a:lnTo>
                <a:lnTo>
                  <a:pt x="76" y="159"/>
                </a:lnTo>
                <a:lnTo>
                  <a:pt x="74" y="159"/>
                </a:lnTo>
                <a:lnTo>
                  <a:pt x="72" y="160"/>
                </a:lnTo>
                <a:lnTo>
                  <a:pt x="69" y="160"/>
                </a:lnTo>
                <a:lnTo>
                  <a:pt x="67" y="160"/>
                </a:lnTo>
                <a:lnTo>
                  <a:pt x="65" y="160"/>
                </a:lnTo>
                <a:lnTo>
                  <a:pt x="64" y="160"/>
                </a:lnTo>
                <a:lnTo>
                  <a:pt x="63" y="160"/>
                </a:lnTo>
                <a:lnTo>
                  <a:pt x="62" y="160"/>
                </a:lnTo>
                <a:lnTo>
                  <a:pt x="61" y="161"/>
                </a:lnTo>
                <a:lnTo>
                  <a:pt x="60" y="161"/>
                </a:lnTo>
                <a:lnTo>
                  <a:pt x="59" y="161"/>
                </a:lnTo>
                <a:lnTo>
                  <a:pt x="57" y="161"/>
                </a:lnTo>
                <a:lnTo>
                  <a:pt x="55" y="161"/>
                </a:lnTo>
                <a:lnTo>
                  <a:pt x="54" y="162"/>
                </a:lnTo>
                <a:lnTo>
                  <a:pt x="52" y="163"/>
                </a:lnTo>
                <a:lnTo>
                  <a:pt x="50" y="164"/>
                </a:lnTo>
                <a:lnTo>
                  <a:pt x="47" y="165"/>
                </a:lnTo>
                <a:lnTo>
                  <a:pt x="45" y="165"/>
                </a:lnTo>
                <a:lnTo>
                  <a:pt x="43" y="165"/>
                </a:lnTo>
                <a:lnTo>
                  <a:pt x="42" y="165"/>
                </a:lnTo>
                <a:lnTo>
                  <a:pt x="41" y="164"/>
                </a:lnTo>
                <a:lnTo>
                  <a:pt x="39" y="163"/>
                </a:lnTo>
                <a:lnTo>
                  <a:pt x="37" y="163"/>
                </a:lnTo>
                <a:lnTo>
                  <a:pt x="36" y="163"/>
                </a:lnTo>
                <a:lnTo>
                  <a:pt x="34" y="163"/>
                </a:lnTo>
                <a:lnTo>
                  <a:pt x="33" y="164"/>
                </a:lnTo>
                <a:lnTo>
                  <a:pt x="30" y="164"/>
                </a:lnTo>
                <a:lnTo>
                  <a:pt x="30" y="163"/>
                </a:lnTo>
                <a:lnTo>
                  <a:pt x="30" y="161"/>
                </a:lnTo>
                <a:lnTo>
                  <a:pt x="28" y="160"/>
                </a:lnTo>
                <a:lnTo>
                  <a:pt x="27" y="158"/>
                </a:lnTo>
                <a:lnTo>
                  <a:pt x="25" y="157"/>
                </a:lnTo>
                <a:lnTo>
                  <a:pt x="22" y="155"/>
                </a:lnTo>
                <a:lnTo>
                  <a:pt x="19" y="154"/>
                </a:lnTo>
                <a:lnTo>
                  <a:pt x="17" y="154"/>
                </a:lnTo>
                <a:lnTo>
                  <a:pt x="14" y="153"/>
                </a:lnTo>
                <a:lnTo>
                  <a:pt x="12" y="152"/>
                </a:lnTo>
                <a:lnTo>
                  <a:pt x="11" y="152"/>
                </a:lnTo>
                <a:lnTo>
                  <a:pt x="10" y="151"/>
                </a:lnTo>
                <a:lnTo>
                  <a:pt x="8" y="150"/>
                </a:lnTo>
                <a:lnTo>
                  <a:pt x="7" y="149"/>
                </a:lnTo>
                <a:lnTo>
                  <a:pt x="6" y="148"/>
                </a:lnTo>
                <a:lnTo>
                  <a:pt x="6" y="148"/>
                </a:lnTo>
                <a:lnTo>
                  <a:pt x="7" y="148"/>
                </a:lnTo>
                <a:lnTo>
                  <a:pt x="6" y="146"/>
                </a:lnTo>
                <a:lnTo>
                  <a:pt x="4" y="145"/>
                </a:lnTo>
                <a:lnTo>
                  <a:pt x="4" y="144"/>
                </a:lnTo>
                <a:lnTo>
                  <a:pt x="6" y="143"/>
                </a:lnTo>
                <a:lnTo>
                  <a:pt x="5" y="141"/>
                </a:lnTo>
                <a:lnTo>
                  <a:pt x="3" y="141"/>
                </a:lnTo>
                <a:lnTo>
                  <a:pt x="3" y="141"/>
                </a:lnTo>
                <a:lnTo>
                  <a:pt x="2" y="140"/>
                </a:lnTo>
                <a:lnTo>
                  <a:pt x="0" y="139"/>
                </a:lnTo>
                <a:lnTo>
                  <a:pt x="1" y="139"/>
                </a:lnTo>
                <a:lnTo>
                  <a:pt x="1" y="138"/>
                </a:lnTo>
                <a:lnTo>
                  <a:pt x="1" y="138"/>
                </a:lnTo>
                <a:lnTo>
                  <a:pt x="1" y="138"/>
                </a:lnTo>
                <a:lnTo>
                  <a:pt x="1" y="138"/>
                </a:lnTo>
                <a:lnTo>
                  <a:pt x="0" y="137"/>
                </a:lnTo>
                <a:lnTo>
                  <a:pt x="0" y="137"/>
                </a:lnTo>
                <a:lnTo>
                  <a:pt x="0" y="137"/>
                </a:lnTo>
                <a:lnTo>
                  <a:pt x="1" y="137"/>
                </a:lnTo>
                <a:lnTo>
                  <a:pt x="1" y="136"/>
                </a:lnTo>
                <a:lnTo>
                  <a:pt x="2" y="137"/>
                </a:lnTo>
                <a:lnTo>
                  <a:pt x="2" y="137"/>
                </a:lnTo>
                <a:lnTo>
                  <a:pt x="2" y="136"/>
                </a:lnTo>
                <a:lnTo>
                  <a:pt x="3" y="136"/>
                </a:lnTo>
                <a:lnTo>
                  <a:pt x="3" y="136"/>
                </a:lnTo>
                <a:lnTo>
                  <a:pt x="4" y="136"/>
                </a:lnTo>
                <a:lnTo>
                  <a:pt x="4" y="136"/>
                </a:lnTo>
                <a:lnTo>
                  <a:pt x="4" y="136"/>
                </a:lnTo>
                <a:lnTo>
                  <a:pt x="5" y="136"/>
                </a:lnTo>
                <a:lnTo>
                  <a:pt x="5" y="136"/>
                </a:lnTo>
                <a:lnTo>
                  <a:pt x="6" y="136"/>
                </a:lnTo>
                <a:lnTo>
                  <a:pt x="6" y="135"/>
                </a:lnTo>
                <a:lnTo>
                  <a:pt x="7" y="136"/>
                </a:lnTo>
                <a:lnTo>
                  <a:pt x="7" y="136"/>
                </a:lnTo>
                <a:lnTo>
                  <a:pt x="7" y="135"/>
                </a:lnTo>
                <a:lnTo>
                  <a:pt x="7" y="135"/>
                </a:lnTo>
                <a:lnTo>
                  <a:pt x="8" y="135"/>
                </a:lnTo>
                <a:lnTo>
                  <a:pt x="8" y="135"/>
                </a:lnTo>
                <a:lnTo>
                  <a:pt x="9" y="135"/>
                </a:lnTo>
                <a:lnTo>
                  <a:pt x="9" y="135"/>
                </a:lnTo>
                <a:lnTo>
                  <a:pt x="9" y="134"/>
                </a:lnTo>
                <a:lnTo>
                  <a:pt x="10" y="134"/>
                </a:lnTo>
                <a:lnTo>
                  <a:pt x="10" y="133"/>
                </a:lnTo>
                <a:lnTo>
                  <a:pt x="10" y="133"/>
                </a:lnTo>
                <a:lnTo>
                  <a:pt x="10" y="133"/>
                </a:lnTo>
                <a:lnTo>
                  <a:pt x="10" y="132"/>
                </a:lnTo>
                <a:lnTo>
                  <a:pt x="11" y="132"/>
                </a:lnTo>
                <a:lnTo>
                  <a:pt x="11" y="131"/>
                </a:lnTo>
                <a:lnTo>
                  <a:pt x="11" y="131"/>
                </a:lnTo>
                <a:lnTo>
                  <a:pt x="11" y="131"/>
                </a:lnTo>
                <a:lnTo>
                  <a:pt x="12" y="130"/>
                </a:lnTo>
                <a:lnTo>
                  <a:pt x="13" y="130"/>
                </a:lnTo>
                <a:lnTo>
                  <a:pt x="13" y="129"/>
                </a:lnTo>
                <a:lnTo>
                  <a:pt x="13" y="128"/>
                </a:lnTo>
                <a:lnTo>
                  <a:pt x="13" y="128"/>
                </a:lnTo>
                <a:lnTo>
                  <a:pt x="14" y="128"/>
                </a:lnTo>
                <a:lnTo>
                  <a:pt x="14" y="127"/>
                </a:lnTo>
                <a:lnTo>
                  <a:pt x="14" y="127"/>
                </a:lnTo>
                <a:lnTo>
                  <a:pt x="14" y="126"/>
                </a:lnTo>
                <a:lnTo>
                  <a:pt x="14" y="126"/>
                </a:lnTo>
                <a:lnTo>
                  <a:pt x="14" y="125"/>
                </a:lnTo>
                <a:lnTo>
                  <a:pt x="15" y="125"/>
                </a:lnTo>
                <a:lnTo>
                  <a:pt x="15" y="124"/>
                </a:lnTo>
                <a:lnTo>
                  <a:pt x="16" y="124"/>
                </a:lnTo>
                <a:lnTo>
                  <a:pt x="16" y="124"/>
                </a:lnTo>
                <a:lnTo>
                  <a:pt x="16" y="124"/>
                </a:lnTo>
                <a:lnTo>
                  <a:pt x="17" y="124"/>
                </a:lnTo>
                <a:lnTo>
                  <a:pt x="17" y="124"/>
                </a:lnTo>
                <a:lnTo>
                  <a:pt x="17" y="123"/>
                </a:lnTo>
                <a:lnTo>
                  <a:pt x="17" y="124"/>
                </a:lnTo>
                <a:lnTo>
                  <a:pt x="18" y="123"/>
                </a:lnTo>
                <a:lnTo>
                  <a:pt x="18" y="123"/>
                </a:lnTo>
                <a:lnTo>
                  <a:pt x="18" y="122"/>
                </a:lnTo>
                <a:lnTo>
                  <a:pt x="18" y="122"/>
                </a:lnTo>
                <a:lnTo>
                  <a:pt x="18" y="122"/>
                </a:lnTo>
                <a:lnTo>
                  <a:pt x="18" y="121"/>
                </a:lnTo>
                <a:lnTo>
                  <a:pt x="19" y="121"/>
                </a:lnTo>
                <a:lnTo>
                  <a:pt x="19" y="120"/>
                </a:lnTo>
                <a:lnTo>
                  <a:pt x="19" y="120"/>
                </a:lnTo>
                <a:lnTo>
                  <a:pt x="20" y="119"/>
                </a:lnTo>
                <a:lnTo>
                  <a:pt x="20" y="119"/>
                </a:lnTo>
                <a:lnTo>
                  <a:pt x="20" y="119"/>
                </a:lnTo>
                <a:lnTo>
                  <a:pt x="21" y="119"/>
                </a:lnTo>
                <a:lnTo>
                  <a:pt x="21" y="118"/>
                </a:lnTo>
                <a:lnTo>
                  <a:pt x="21" y="118"/>
                </a:lnTo>
                <a:lnTo>
                  <a:pt x="21" y="117"/>
                </a:lnTo>
                <a:lnTo>
                  <a:pt x="21" y="117"/>
                </a:lnTo>
                <a:lnTo>
                  <a:pt x="21" y="116"/>
                </a:lnTo>
                <a:lnTo>
                  <a:pt x="20" y="116"/>
                </a:lnTo>
                <a:lnTo>
                  <a:pt x="20" y="116"/>
                </a:lnTo>
                <a:lnTo>
                  <a:pt x="19" y="116"/>
                </a:lnTo>
                <a:lnTo>
                  <a:pt x="19" y="116"/>
                </a:lnTo>
                <a:lnTo>
                  <a:pt x="18" y="115"/>
                </a:lnTo>
                <a:lnTo>
                  <a:pt x="18" y="115"/>
                </a:lnTo>
                <a:lnTo>
                  <a:pt x="18" y="115"/>
                </a:lnTo>
                <a:lnTo>
                  <a:pt x="18" y="114"/>
                </a:lnTo>
                <a:lnTo>
                  <a:pt x="18" y="114"/>
                </a:lnTo>
                <a:lnTo>
                  <a:pt x="18" y="114"/>
                </a:lnTo>
                <a:lnTo>
                  <a:pt x="18" y="113"/>
                </a:lnTo>
                <a:lnTo>
                  <a:pt x="17" y="113"/>
                </a:lnTo>
                <a:lnTo>
                  <a:pt x="17" y="113"/>
                </a:lnTo>
                <a:lnTo>
                  <a:pt x="17" y="112"/>
                </a:lnTo>
                <a:lnTo>
                  <a:pt x="16" y="112"/>
                </a:lnTo>
                <a:lnTo>
                  <a:pt x="16" y="111"/>
                </a:lnTo>
                <a:lnTo>
                  <a:pt x="15" y="111"/>
                </a:lnTo>
                <a:lnTo>
                  <a:pt x="15" y="111"/>
                </a:lnTo>
                <a:lnTo>
                  <a:pt x="16" y="110"/>
                </a:lnTo>
                <a:lnTo>
                  <a:pt x="17" y="110"/>
                </a:lnTo>
                <a:lnTo>
                  <a:pt x="17" y="109"/>
                </a:lnTo>
                <a:lnTo>
                  <a:pt x="18" y="109"/>
                </a:lnTo>
                <a:lnTo>
                  <a:pt x="18" y="109"/>
                </a:lnTo>
                <a:lnTo>
                  <a:pt x="19" y="109"/>
                </a:lnTo>
                <a:lnTo>
                  <a:pt x="20" y="108"/>
                </a:lnTo>
                <a:lnTo>
                  <a:pt x="20" y="108"/>
                </a:lnTo>
                <a:lnTo>
                  <a:pt x="21" y="107"/>
                </a:lnTo>
                <a:lnTo>
                  <a:pt x="21" y="107"/>
                </a:lnTo>
                <a:lnTo>
                  <a:pt x="21" y="106"/>
                </a:lnTo>
                <a:lnTo>
                  <a:pt x="22" y="106"/>
                </a:lnTo>
                <a:lnTo>
                  <a:pt x="23" y="105"/>
                </a:lnTo>
                <a:lnTo>
                  <a:pt x="23" y="105"/>
                </a:lnTo>
                <a:lnTo>
                  <a:pt x="24" y="105"/>
                </a:lnTo>
                <a:lnTo>
                  <a:pt x="25" y="105"/>
                </a:lnTo>
                <a:lnTo>
                  <a:pt x="25" y="104"/>
                </a:lnTo>
                <a:lnTo>
                  <a:pt x="24" y="104"/>
                </a:lnTo>
                <a:lnTo>
                  <a:pt x="24" y="103"/>
                </a:lnTo>
                <a:lnTo>
                  <a:pt x="24" y="103"/>
                </a:lnTo>
                <a:lnTo>
                  <a:pt x="24" y="102"/>
                </a:lnTo>
                <a:lnTo>
                  <a:pt x="23" y="101"/>
                </a:lnTo>
                <a:lnTo>
                  <a:pt x="23" y="101"/>
                </a:lnTo>
                <a:lnTo>
                  <a:pt x="23" y="100"/>
                </a:lnTo>
                <a:lnTo>
                  <a:pt x="22" y="100"/>
                </a:lnTo>
                <a:lnTo>
                  <a:pt x="22" y="100"/>
                </a:lnTo>
                <a:lnTo>
                  <a:pt x="22" y="99"/>
                </a:lnTo>
                <a:lnTo>
                  <a:pt x="22" y="99"/>
                </a:lnTo>
                <a:lnTo>
                  <a:pt x="22" y="98"/>
                </a:lnTo>
                <a:lnTo>
                  <a:pt x="22" y="98"/>
                </a:lnTo>
                <a:lnTo>
                  <a:pt x="23" y="97"/>
                </a:lnTo>
                <a:lnTo>
                  <a:pt x="23" y="97"/>
                </a:lnTo>
                <a:lnTo>
                  <a:pt x="23" y="97"/>
                </a:lnTo>
                <a:lnTo>
                  <a:pt x="24" y="97"/>
                </a:lnTo>
                <a:lnTo>
                  <a:pt x="24" y="96"/>
                </a:lnTo>
                <a:lnTo>
                  <a:pt x="25" y="96"/>
                </a:lnTo>
                <a:lnTo>
                  <a:pt x="25" y="95"/>
                </a:lnTo>
                <a:lnTo>
                  <a:pt x="25" y="95"/>
                </a:lnTo>
                <a:lnTo>
                  <a:pt x="25" y="94"/>
                </a:lnTo>
                <a:lnTo>
                  <a:pt x="25" y="94"/>
                </a:lnTo>
                <a:lnTo>
                  <a:pt x="24" y="93"/>
                </a:lnTo>
                <a:lnTo>
                  <a:pt x="24" y="93"/>
                </a:lnTo>
                <a:lnTo>
                  <a:pt x="23" y="93"/>
                </a:lnTo>
                <a:lnTo>
                  <a:pt x="22" y="94"/>
                </a:lnTo>
                <a:lnTo>
                  <a:pt x="22" y="94"/>
                </a:lnTo>
                <a:lnTo>
                  <a:pt x="21" y="94"/>
                </a:lnTo>
                <a:lnTo>
                  <a:pt x="21" y="93"/>
                </a:lnTo>
                <a:lnTo>
                  <a:pt x="20" y="93"/>
                </a:lnTo>
                <a:lnTo>
                  <a:pt x="20" y="92"/>
                </a:lnTo>
                <a:lnTo>
                  <a:pt x="20" y="92"/>
                </a:lnTo>
                <a:lnTo>
                  <a:pt x="19" y="92"/>
                </a:lnTo>
                <a:lnTo>
                  <a:pt x="19" y="92"/>
                </a:lnTo>
                <a:lnTo>
                  <a:pt x="18" y="92"/>
                </a:lnTo>
                <a:lnTo>
                  <a:pt x="18" y="92"/>
                </a:lnTo>
                <a:lnTo>
                  <a:pt x="18" y="91"/>
                </a:lnTo>
                <a:lnTo>
                  <a:pt x="18" y="91"/>
                </a:lnTo>
                <a:lnTo>
                  <a:pt x="18" y="90"/>
                </a:lnTo>
                <a:lnTo>
                  <a:pt x="18" y="90"/>
                </a:lnTo>
                <a:lnTo>
                  <a:pt x="18" y="89"/>
                </a:lnTo>
                <a:lnTo>
                  <a:pt x="17" y="89"/>
                </a:lnTo>
                <a:lnTo>
                  <a:pt x="18" y="88"/>
                </a:lnTo>
                <a:lnTo>
                  <a:pt x="18" y="88"/>
                </a:lnTo>
                <a:lnTo>
                  <a:pt x="19" y="87"/>
                </a:lnTo>
                <a:lnTo>
                  <a:pt x="19" y="87"/>
                </a:lnTo>
                <a:lnTo>
                  <a:pt x="20" y="87"/>
                </a:lnTo>
                <a:lnTo>
                  <a:pt x="20" y="87"/>
                </a:lnTo>
                <a:lnTo>
                  <a:pt x="21" y="87"/>
                </a:lnTo>
                <a:lnTo>
                  <a:pt x="22" y="86"/>
                </a:lnTo>
                <a:lnTo>
                  <a:pt x="23" y="86"/>
                </a:lnTo>
                <a:lnTo>
                  <a:pt x="23" y="86"/>
                </a:lnTo>
                <a:lnTo>
                  <a:pt x="23" y="85"/>
                </a:lnTo>
                <a:lnTo>
                  <a:pt x="23" y="84"/>
                </a:lnTo>
                <a:lnTo>
                  <a:pt x="22" y="84"/>
                </a:lnTo>
                <a:lnTo>
                  <a:pt x="23" y="83"/>
                </a:lnTo>
                <a:lnTo>
                  <a:pt x="22" y="82"/>
                </a:lnTo>
                <a:lnTo>
                  <a:pt x="22" y="81"/>
                </a:lnTo>
                <a:lnTo>
                  <a:pt x="22" y="81"/>
                </a:lnTo>
                <a:lnTo>
                  <a:pt x="22" y="80"/>
                </a:lnTo>
                <a:lnTo>
                  <a:pt x="22" y="79"/>
                </a:lnTo>
                <a:lnTo>
                  <a:pt x="21" y="78"/>
                </a:lnTo>
                <a:lnTo>
                  <a:pt x="22" y="78"/>
                </a:lnTo>
                <a:lnTo>
                  <a:pt x="22" y="77"/>
                </a:lnTo>
                <a:lnTo>
                  <a:pt x="21" y="76"/>
                </a:lnTo>
                <a:lnTo>
                  <a:pt x="21" y="76"/>
                </a:lnTo>
                <a:lnTo>
                  <a:pt x="21" y="75"/>
                </a:lnTo>
                <a:lnTo>
                  <a:pt x="21" y="74"/>
                </a:lnTo>
                <a:lnTo>
                  <a:pt x="21" y="74"/>
                </a:lnTo>
                <a:lnTo>
                  <a:pt x="21" y="73"/>
                </a:lnTo>
                <a:lnTo>
                  <a:pt x="21" y="72"/>
                </a:lnTo>
                <a:lnTo>
                  <a:pt x="22" y="71"/>
                </a:lnTo>
                <a:lnTo>
                  <a:pt x="22" y="71"/>
                </a:lnTo>
                <a:lnTo>
                  <a:pt x="22" y="70"/>
                </a:lnTo>
                <a:lnTo>
                  <a:pt x="22" y="70"/>
                </a:lnTo>
                <a:lnTo>
                  <a:pt x="22" y="70"/>
                </a:lnTo>
                <a:lnTo>
                  <a:pt x="22" y="69"/>
                </a:lnTo>
                <a:lnTo>
                  <a:pt x="22" y="68"/>
                </a:lnTo>
                <a:lnTo>
                  <a:pt x="22" y="68"/>
                </a:lnTo>
                <a:lnTo>
                  <a:pt x="23" y="67"/>
                </a:lnTo>
                <a:lnTo>
                  <a:pt x="23" y="64"/>
                </a:lnTo>
                <a:lnTo>
                  <a:pt x="23" y="63"/>
                </a:lnTo>
                <a:lnTo>
                  <a:pt x="24" y="61"/>
                </a:lnTo>
                <a:lnTo>
                  <a:pt x="25" y="58"/>
                </a:lnTo>
                <a:lnTo>
                  <a:pt x="26" y="56"/>
                </a:lnTo>
                <a:lnTo>
                  <a:pt x="27" y="53"/>
                </a:lnTo>
                <a:lnTo>
                  <a:pt x="27" y="51"/>
                </a:lnTo>
                <a:lnTo>
                  <a:pt x="28" y="49"/>
                </a:lnTo>
                <a:lnTo>
                  <a:pt x="29" y="47"/>
                </a:lnTo>
                <a:lnTo>
                  <a:pt x="29" y="46"/>
                </a:lnTo>
                <a:lnTo>
                  <a:pt x="31" y="44"/>
                </a:lnTo>
                <a:lnTo>
                  <a:pt x="32" y="42"/>
                </a:lnTo>
                <a:lnTo>
                  <a:pt x="33" y="41"/>
                </a:lnTo>
                <a:lnTo>
                  <a:pt x="35" y="39"/>
                </a:lnTo>
                <a:lnTo>
                  <a:pt x="37" y="39"/>
                </a:lnTo>
                <a:lnTo>
                  <a:pt x="40" y="39"/>
                </a:lnTo>
                <a:lnTo>
                  <a:pt x="43" y="38"/>
                </a:lnTo>
                <a:lnTo>
                  <a:pt x="45" y="38"/>
                </a:lnTo>
                <a:lnTo>
                  <a:pt x="46" y="38"/>
                </a:lnTo>
                <a:lnTo>
                  <a:pt x="46" y="37"/>
                </a:lnTo>
                <a:lnTo>
                  <a:pt x="47" y="37"/>
                </a:lnTo>
                <a:lnTo>
                  <a:pt x="47" y="37"/>
                </a:lnTo>
                <a:lnTo>
                  <a:pt x="50" y="35"/>
                </a:lnTo>
                <a:lnTo>
                  <a:pt x="50" y="34"/>
                </a:lnTo>
                <a:lnTo>
                  <a:pt x="50" y="34"/>
                </a:lnTo>
                <a:lnTo>
                  <a:pt x="51" y="33"/>
                </a:lnTo>
                <a:lnTo>
                  <a:pt x="51" y="29"/>
                </a:lnTo>
                <a:lnTo>
                  <a:pt x="52" y="26"/>
                </a:lnTo>
                <a:lnTo>
                  <a:pt x="52" y="23"/>
                </a:lnTo>
                <a:lnTo>
                  <a:pt x="54" y="20"/>
                </a:lnTo>
                <a:lnTo>
                  <a:pt x="58" y="20"/>
                </a:lnTo>
                <a:lnTo>
                  <a:pt x="59" y="17"/>
                </a:lnTo>
                <a:lnTo>
                  <a:pt x="60" y="14"/>
                </a:lnTo>
                <a:lnTo>
                  <a:pt x="61" y="11"/>
                </a:lnTo>
                <a:lnTo>
                  <a:pt x="62" y="8"/>
                </a:lnTo>
                <a:lnTo>
                  <a:pt x="62" y="6"/>
                </a:lnTo>
                <a:lnTo>
                  <a:pt x="63" y="4"/>
                </a:lnTo>
                <a:lnTo>
                  <a:pt x="64" y="3"/>
                </a:lnTo>
                <a:lnTo>
                  <a:pt x="65" y="2"/>
                </a:lnTo>
                <a:lnTo>
                  <a:pt x="67" y="1"/>
                </a:lnTo>
                <a:lnTo>
                  <a:pt x="69" y="0"/>
                </a:lnTo>
                <a:lnTo>
                  <a:pt x="69" y="1"/>
                </a:lnTo>
                <a:lnTo>
                  <a:pt x="71" y="2"/>
                </a:lnTo>
              </a:path>
            </a:pathLst>
          </a:custGeom>
          <a:grpFill/>
          <a:ln w="9525">
            <a:solidFill>
              <a:schemeClr val="bg1">
                <a:lumMod val="65000"/>
              </a:schemeClr>
            </a:solidFill>
            <a:prstDash val="solid"/>
            <a:round/>
            <a:headEnd/>
            <a:tailEnd/>
          </a:ln>
        </xdr:spPr>
      </xdr:sp>
      <xdr:sp macro="" textlink="">
        <xdr:nvSpPr>
          <xdr:cNvPr id="202" name="GIN003001"/>
          <xdr:cNvSpPr>
            <a:spLocks noChangeAspect="1"/>
          </xdr:cNvSpPr>
        </xdr:nvSpPr>
        <xdr:spPr bwMode="auto">
          <a:xfrm>
            <a:off x="6847610" y="3599397"/>
            <a:ext cx="991095" cy="674544"/>
          </a:xfrm>
          <a:custGeom>
            <a:avLst/>
            <a:gdLst>
              <a:gd name="T0" fmla="*/ 80 w 106"/>
              <a:gd name="T1" fmla="*/ 7 h 74"/>
              <a:gd name="T2" fmla="*/ 74 w 106"/>
              <a:gd name="T3" fmla="*/ 13 h 74"/>
              <a:gd name="T4" fmla="*/ 71 w 106"/>
              <a:gd name="T5" fmla="*/ 16 h 74"/>
              <a:gd name="T6" fmla="*/ 71 w 106"/>
              <a:gd name="T7" fmla="*/ 19 h 74"/>
              <a:gd name="T8" fmla="*/ 70 w 106"/>
              <a:gd name="T9" fmla="*/ 21 h 74"/>
              <a:gd name="T10" fmla="*/ 68 w 106"/>
              <a:gd name="T11" fmla="*/ 22 h 74"/>
              <a:gd name="T12" fmla="*/ 66 w 106"/>
              <a:gd name="T13" fmla="*/ 23 h 74"/>
              <a:gd name="T14" fmla="*/ 64 w 106"/>
              <a:gd name="T15" fmla="*/ 25 h 74"/>
              <a:gd name="T16" fmla="*/ 62 w 106"/>
              <a:gd name="T17" fmla="*/ 25 h 74"/>
              <a:gd name="T18" fmla="*/ 61 w 106"/>
              <a:gd name="T19" fmla="*/ 27 h 74"/>
              <a:gd name="T20" fmla="*/ 63 w 106"/>
              <a:gd name="T21" fmla="*/ 28 h 74"/>
              <a:gd name="T22" fmla="*/ 65 w 106"/>
              <a:gd name="T23" fmla="*/ 29 h 74"/>
              <a:gd name="T24" fmla="*/ 67 w 106"/>
              <a:gd name="T25" fmla="*/ 30 h 74"/>
              <a:gd name="T26" fmla="*/ 68 w 106"/>
              <a:gd name="T27" fmla="*/ 32 h 74"/>
              <a:gd name="T28" fmla="*/ 70 w 106"/>
              <a:gd name="T29" fmla="*/ 32 h 74"/>
              <a:gd name="T30" fmla="*/ 72 w 106"/>
              <a:gd name="T31" fmla="*/ 33 h 74"/>
              <a:gd name="T32" fmla="*/ 75 w 106"/>
              <a:gd name="T33" fmla="*/ 34 h 74"/>
              <a:gd name="T34" fmla="*/ 77 w 106"/>
              <a:gd name="T35" fmla="*/ 34 h 74"/>
              <a:gd name="T36" fmla="*/ 78 w 106"/>
              <a:gd name="T37" fmla="*/ 35 h 74"/>
              <a:gd name="T38" fmla="*/ 81 w 106"/>
              <a:gd name="T39" fmla="*/ 37 h 74"/>
              <a:gd name="T40" fmla="*/ 82 w 106"/>
              <a:gd name="T41" fmla="*/ 38 h 74"/>
              <a:gd name="T42" fmla="*/ 84 w 106"/>
              <a:gd name="T43" fmla="*/ 40 h 74"/>
              <a:gd name="T44" fmla="*/ 92 w 106"/>
              <a:gd name="T45" fmla="*/ 40 h 74"/>
              <a:gd name="T46" fmla="*/ 100 w 106"/>
              <a:gd name="T47" fmla="*/ 39 h 74"/>
              <a:gd name="T48" fmla="*/ 105 w 106"/>
              <a:gd name="T49" fmla="*/ 52 h 74"/>
              <a:gd name="T50" fmla="*/ 100 w 106"/>
              <a:gd name="T51" fmla="*/ 57 h 74"/>
              <a:gd name="T52" fmla="*/ 83 w 106"/>
              <a:gd name="T53" fmla="*/ 57 h 74"/>
              <a:gd name="T54" fmla="*/ 76 w 106"/>
              <a:gd name="T55" fmla="*/ 63 h 74"/>
              <a:gd name="T56" fmla="*/ 68 w 106"/>
              <a:gd name="T57" fmla="*/ 65 h 74"/>
              <a:gd name="T58" fmla="*/ 53 w 106"/>
              <a:gd name="T59" fmla="*/ 61 h 74"/>
              <a:gd name="T60" fmla="*/ 40 w 106"/>
              <a:gd name="T61" fmla="*/ 60 h 74"/>
              <a:gd name="T62" fmla="*/ 36 w 106"/>
              <a:gd name="T63" fmla="*/ 62 h 74"/>
              <a:gd name="T64" fmla="*/ 33 w 106"/>
              <a:gd name="T65" fmla="*/ 64 h 74"/>
              <a:gd name="T66" fmla="*/ 24 w 106"/>
              <a:gd name="T67" fmla="*/ 71 h 74"/>
              <a:gd name="T68" fmla="*/ 22 w 106"/>
              <a:gd name="T69" fmla="*/ 74 h 74"/>
              <a:gd name="T70" fmla="*/ 15 w 106"/>
              <a:gd name="T71" fmla="*/ 74 h 74"/>
              <a:gd name="T72" fmla="*/ 8 w 106"/>
              <a:gd name="T73" fmla="*/ 68 h 74"/>
              <a:gd name="T74" fmla="*/ 1 w 106"/>
              <a:gd name="T75" fmla="*/ 60 h 74"/>
              <a:gd name="T76" fmla="*/ 4 w 106"/>
              <a:gd name="T77" fmla="*/ 50 h 74"/>
              <a:gd name="T78" fmla="*/ 8 w 106"/>
              <a:gd name="T79" fmla="*/ 38 h 74"/>
              <a:gd name="T80" fmla="*/ 0 w 106"/>
              <a:gd name="T81" fmla="*/ 24 h 74"/>
              <a:gd name="T82" fmla="*/ 14 w 106"/>
              <a:gd name="T83" fmla="*/ 18 h 74"/>
              <a:gd name="T84" fmla="*/ 30 w 106"/>
              <a:gd name="T85" fmla="*/ 12 h 74"/>
              <a:gd name="T86" fmla="*/ 37 w 106"/>
              <a:gd name="T87" fmla="*/ 17 h 74"/>
              <a:gd name="T88" fmla="*/ 41 w 106"/>
              <a:gd name="T89" fmla="*/ 21 h 74"/>
              <a:gd name="T90" fmla="*/ 49 w 106"/>
              <a:gd name="T91" fmla="*/ 16 h 74"/>
              <a:gd name="T92" fmla="*/ 57 w 106"/>
              <a:gd name="T93" fmla="*/ 13 h 74"/>
              <a:gd name="T94" fmla="*/ 60 w 106"/>
              <a:gd name="T95" fmla="*/ 11 h 74"/>
              <a:gd name="T96" fmla="*/ 63 w 106"/>
              <a:gd name="T97" fmla="*/ 10 h 74"/>
              <a:gd name="T98" fmla="*/ 66 w 106"/>
              <a:gd name="T99" fmla="*/ 8 h 74"/>
              <a:gd name="T100" fmla="*/ 67 w 106"/>
              <a:gd name="T101" fmla="*/ 6 h 74"/>
              <a:gd name="T102" fmla="*/ 71 w 106"/>
              <a:gd name="T103" fmla="*/ 2 h 74"/>
              <a:gd name="T104" fmla="*/ 77 w 106"/>
              <a:gd name="T105" fmla="*/ 3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106" h="74">
                <a:moveTo>
                  <a:pt x="79" y="1"/>
                </a:moveTo>
                <a:lnTo>
                  <a:pt x="79" y="2"/>
                </a:lnTo>
                <a:lnTo>
                  <a:pt x="79" y="3"/>
                </a:lnTo>
                <a:lnTo>
                  <a:pt x="80" y="4"/>
                </a:lnTo>
                <a:lnTo>
                  <a:pt x="80" y="6"/>
                </a:lnTo>
                <a:lnTo>
                  <a:pt x="80" y="7"/>
                </a:lnTo>
                <a:lnTo>
                  <a:pt x="79" y="9"/>
                </a:lnTo>
                <a:lnTo>
                  <a:pt x="78" y="9"/>
                </a:lnTo>
                <a:lnTo>
                  <a:pt x="78" y="9"/>
                </a:lnTo>
                <a:lnTo>
                  <a:pt x="77" y="12"/>
                </a:lnTo>
                <a:lnTo>
                  <a:pt x="75" y="12"/>
                </a:lnTo>
                <a:lnTo>
                  <a:pt x="74" y="13"/>
                </a:lnTo>
                <a:lnTo>
                  <a:pt x="72" y="15"/>
                </a:lnTo>
                <a:lnTo>
                  <a:pt x="72" y="15"/>
                </a:lnTo>
                <a:lnTo>
                  <a:pt x="72" y="15"/>
                </a:lnTo>
                <a:lnTo>
                  <a:pt x="72" y="15"/>
                </a:lnTo>
                <a:lnTo>
                  <a:pt x="72" y="16"/>
                </a:lnTo>
                <a:lnTo>
                  <a:pt x="71" y="16"/>
                </a:lnTo>
                <a:lnTo>
                  <a:pt x="71" y="17"/>
                </a:lnTo>
                <a:lnTo>
                  <a:pt x="71" y="17"/>
                </a:lnTo>
                <a:lnTo>
                  <a:pt x="71" y="18"/>
                </a:lnTo>
                <a:lnTo>
                  <a:pt x="71" y="18"/>
                </a:lnTo>
                <a:lnTo>
                  <a:pt x="71" y="19"/>
                </a:lnTo>
                <a:lnTo>
                  <a:pt x="71" y="19"/>
                </a:lnTo>
                <a:lnTo>
                  <a:pt x="71" y="19"/>
                </a:lnTo>
                <a:lnTo>
                  <a:pt x="71" y="20"/>
                </a:lnTo>
                <a:lnTo>
                  <a:pt x="70" y="20"/>
                </a:lnTo>
                <a:lnTo>
                  <a:pt x="70" y="20"/>
                </a:lnTo>
                <a:lnTo>
                  <a:pt x="70" y="21"/>
                </a:lnTo>
                <a:lnTo>
                  <a:pt x="70" y="21"/>
                </a:lnTo>
                <a:lnTo>
                  <a:pt x="70" y="21"/>
                </a:lnTo>
                <a:lnTo>
                  <a:pt x="70" y="22"/>
                </a:lnTo>
                <a:lnTo>
                  <a:pt x="69" y="22"/>
                </a:lnTo>
                <a:lnTo>
                  <a:pt x="69" y="22"/>
                </a:lnTo>
                <a:lnTo>
                  <a:pt x="69" y="22"/>
                </a:lnTo>
                <a:lnTo>
                  <a:pt x="68" y="22"/>
                </a:lnTo>
                <a:lnTo>
                  <a:pt x="68" y="22"/>
                </a:lnTo>
                <a:lnTo>
                  <a:pt x="67" y="23"/>
                </a:lnTo>
                <a:lnTo>
                  <a:pt x="67" y="23"/>
                </a:lnTo>
                <a:lnTo>
                  <a:pt x="67" y="23"/>
                </a:lnTo>
                <a:lnTo>
                  <a:pt x="66" y="23"/>
                </a:lnTo>
                <a:lnTo>
                  <a:pt x="66" y="23"/>
                </a:lnTo>
                <a:lnTo>
                  <a:pt x="65" y="23"/>
                </a:lnTo>
                <a:lnTo>
                  <a:pt x="65" y="23"/>
                </a:lnTo>
                <a:lnTo>
                  <a:pt x="65" y="23"/>
                </a:lnTo>
                <a:lnTo>
                  <a:pt x="65" y="24"/>
                </a:lnTo>
                <a:lnTo>
                  <a:pt x="64" y="24"/>
                </a:lnTo>
                <a:lnTo>
                  <a:pt x="64" y="25"/>
                </a:lnTo>
                <a:lnTo>
                  <a:pt x="64" y="25"/>
                </a:lnTo>
                <a:lnTo>
                  <a:pt x="64" y="25"/>
                </a:lnTo>
                <a:lnTo>
                  <a:pt x="63" y="25"/>
                </a:lnTo>
                <a:lnTo>
                  <a:pt x="63" y="25"/>
                </a:lnTo>
                <a:lnTo>
                  <a:pt x="62" y="25"/>
                </a:lnTo>
                <a:lnTo>
                  <a:pt x="62" y="25"/>
                </a:lnTo>
                <a:lnTo>
                  <a:pt x="62" y="25"/>
                </a:lnTo>
                <a:lnTo>
                  <a:pt x="62" y="25"/>
                </a:lnTo>
                <a:lnTo>
                  <a:pt x="61" y="26"/>
                </a:lnTo>
                <a:lnTo>
                  <a:pt x="61" y="26"/>
                </a:lnTo>
                <a:lnTo>
                  <a:pt x="61" y="26"/>
                </a:lnTo>
                <a:lnTo>
                  <a:pt x="61" y="27"/>
                </a:lnTo>
                <a:lnTo>
                  <a:pt x="61" y="27"/>
                </a:lnTo>
                <a:lnTo>
                  <a:pt x="61" y="27"/>
                </a:lnTo>
                <a:lnTo>
                  <a:pt x="62" y="28"/>
                </a:lnTo>
                <a:lnTo>
                  <a:pt x="62" y="28"/>
                </a:lnTo>
                <a:lnTo>
                  <a:pt x="62" y="28"/>
                </a:lnTo>
                <a:lnTo>
                  <a:pt x="63" y="28"/>
                </a:lnTo>
                <a:lnTo>
                  <a:pt x="63" y="28"/>
                </a:lnTo>
                <a:lnTo>
                  <a:pt x="64" y="28"/>
                </a:lnTo>
                <a:lnTo>
                  <a:pt x="64" y="28"/>
                </a:lnTo>
                <a:lnTo>
                  <a:pt x="65" y="29"/>
                </a:lnTo>
                <a:lnTo>
                  <a:pt x="65" y="29"/>
                </a:lnTo>
                <a:lnTo>
                  <a:pt x="65" y="29"/>
                </a:lnTo>
                <a:lnTo>
                  <a:pt x="65" y="29"/>
                </a:lnTo>
                <a:lnTo>
                  <a:pt x="65" y="29"/>
                </a:lnTo>
                <a:lnTo>
                  <a:pt x="66" y="29"/>
                </a:lnTo>
                <a:lnTo>
                  <a:pt x="66" y="30"/>
                </a:lnTo>
                <a:lnTo>
                  <a:pt x="67" y="30"/>
                </a:lnTo>
                <a:lnTo>
                  <a:pt x="67" y="30"/>
                </a:lnTo>
                <a:lnTo>
                  <a:pt x="67" y="30"/>
                </a:lnTo>
                <a:lnTo>
                  <a:pt x="68" y="31"/>
                </a:lnTo>
                <a:lnTo>
                  <a:pt x="68" y="31"/>
                </a:lnTo>
                <a:lnTo>
                  <a:pt x="68" y="31"/>
                </a:lnTo>
                <a:lnTo>
                  <a:pt x="68" y="31"/>
                </a:lnTo>
                <a:lnTo>
                  <a:pt x="68" y="32"/>
                </a:lnTo>
                <a:lnTo>
                  <a:pt x="69" y="32"/>
                </a:lnTo>
                <a:lnTo>
                  <a:pt x="69" y="32"/>
                </a:lnTo>
                <a:lnTo>
                  <a:pt x="69" y="32"/>
                </a:lnTo>
                <a:lnTo>
                  <a:pt x="69" y="32"/>
                </a:lnTo>
                <a:lnTo>
                  <a:pt x="70" y="32"/>
                </a:lnTo>
                <a:lnTo>
                  <a:pt x="70" y="32"/>
                </a:lnTo>
                <a:lnTo>
                  <a:pt x="71" y="32"/>
                </a:lnTo>
                <a:lnTo>
                  <a:pt x="71" y="32"/>
                </a:lnTo>
                <a:lnTo>
                  <a:pt x="71" y="32"/>
                </a:lnTo>
                <a:lnTo>
                  <a:pt x="71" y="33"/>
                </a:lnTo>
                <a:lnTo>
                  <a:pt x="72" y="33"/>
                </a:lnTo>
                <a:lnTo>
                  <a:pt x="72" y="33"/>
                </a:lnTo>
                <a:lnTo>
                  <a:pt x="72" y="33"/>
                </a:lnTo>
                <a:lnTo>
                  <a:pt x="73" y="33"/>
                </a:lnTo>
                <a:lnTo>
                  <a:pt x="74" y="33"/>
                </a:lnTo>
                <a:lnTo>
                  <a:pt x="74" y="34"/>
                </a:lnTo>
                <a:lnTo>
                  <a:pt x="74" y="34"/>
                </a:lnTo>
                <a:lnTo>
                  <a:pt x="75" y="34"/>
                </a:lnTo>
                <a:lnTo>
                  <a:pt x="75" y="34"/>
                </a:lnTo>
                <a:lnTo>
                  <a:pt x="75" y="34"/>
                </a:lnTo>
                <a:lnTo>
                  <a:pt x="76" y="34"/>
                </a:lnTo>
                <a:lnTo>
                  <a:pt x="76" y="34"/>
                </a:lnTo>
                <a:lnTo>
                  <a:pt x="77" y="34"/>
                </a:lnTo>
                <a:lnTo>
                  <a:pt x="77" y="34"/>
                </a:lnTo>
                <a:lnTo>
                  <a:pt x="77" y="35"/>
                </a:lnTo>
                <a:lnTo>
                  <a:pt x="77" y="35"/>
                </a:lnTo>
                <a:lnTo>
                  <a:pt x="78" y="35"/>
                </a:lnTo>
                <a:lnTo>
                  <a:pt x="78" y="35"/>
                </a:lnTo>
                <a:lnTo>
                  <a:pt x="78" y="35"/>
                </a:lnTo>
                <a:lnTo>
                  <a:pt x="78" y="35"/>
                </a:lnTo>
                <a:lnTo>
                  <a:pt x="79" y="36"/>
                </a:lnTo>
                <a:lnTo>
                  <a:pt x="79" y="36"/>
                </a:lnTo>
                <a:lnTo>
                  <a:pt x="80" y="36"/>
                </a:lnTo>
                <a:lnTo>
                  <a:pt x="80" y="36"/>
                </a:lnTo>
                <a:lnTo>
                  <a:pt x="80" y="36"/>
                </a:lnTo>
                <a:lnTo>
                  <a:pt x="81" y="37"/>
                </a:lnTo>
                <a:lnTo>
                  <a:pt x="81" y="37"/>
                </a:lnTo>
                <a:lnTo>
                  <a:pt x="81" y="37"/>
                </a:lnTo>
                <a:lnTo>
                  <a:pt x="81" y="37"/>
                </a:lnTo>
                <a:lnTo>
                  <a:pt x="82" y="38"/>
                </a:lnTo>
                <a:lnTo>
                  <a:pt x="82" y="38"/>
                </a:lnTo>
                <a:lnTo>
                  <a:pt x="82" y="38"/>
                </a:lnTo>
                <a:lnTo>
                  <a:pt x="82" y="38"/>
                </a:lnTo>
                <a:lnTo>
                  <a:pt x="83" y="39"/>
                </a:lnTo>
                <a:lnTo>
                  <a:pt x="83" y="39"/>
                </a:lnTo>
                <a:lnTo>
                  <a:pt x="83" y="39"/>
                </a:lnTo>
                <a:lnTo>
                  <a:pt x="83" y="40"/>
                </a:lnTo>
                <a:lnTo>
                  <a:pt x="84" y="40"/>
                </a:lnTo>
                <a:lnTo>
                  <a:pt x="84" y="40"/>
                </a:lnTo>
                <a:lnTo>
                  <a:pt x="84" y="41"/>
                </a:lnTo>
                <a:lnTo>
                  <a:pt x="87" y="40"/>
                </a:lnTo>
                <a:lnTo>
                  <a:pt x="89" y="40"/>
                </a:lnTo>
                <a:lnTo>
                  <a:pt x="91" y="40"/>
                </a:lnTo>
                <a:lnTo>
                  <a:pt x="92" y="40"/>
                </a:lnTo>
                <a:lnTo>
                  <a:pt x="93" y="40"/>
                </a:lnTo>
                <a:lnTo>
                  <a:pt x="94" y="39"/>
                </a:lnTo>
                <a:lnTo>
                  <a:pt x="96" y="38"/>
                </a:lnTo>
                <a:lnTo>
                  <a:pt x="98" y="38"/>
                </a:lnTo>
                <a:lnTo>
                  <a:pt x="100" y="38"/>
                </a:lnTo>
                <a:lnTo>
                  <a:pt x="100" y="39"/>
                </a:lnTo>
                <a:lnTo>
                  <a:pt x="101" y="42"/>
                </a:lnTo>
                <a:lnTo>
                  <a:pt x="101" y="44"/>
                </a:lnTo>
                <a:lnTo>
                  <a:pt x="102" y="46"/>
                </a:lnTo>
                <a:lnTo>
                  <a:pt x="103" y="48"/>
                </a:lnTo>
                <a:lnTo>
                  <a:pt x="105" y="50"/>
                </a:lnTo>
                <a:lnTo>
                  <a:pt x="105" y="52"/>
                </a:lnTo>
                <a:lnTo>
                  <a:pt x="106" y="55"/>
                </a:lnTo>
                <a:lnTo>
                  <a:pt x="106" y="57"/>
                </a:lnTo>
                <a:lnTo>
                  <a:pt x="106" y="58"/>
                </a:lnTo>
                <a:lnTo>
                  <a:pt x="104" y="59"/>
                </a:lnTo>
                <a:lnTo>
                  <a:pt x="104" y="60"/>
                </a:lnTo>
                <a:lnTo>
                  <a:pt x="100" y="57"/>
                </a:lnTo>
                <a:lnTo>
                  <a:pt x="96" y="55"/>
                </a:lnTo>
                <a:lnTo>
                  <a:pt x="94" y="55"/>
                </a:lnTo>
                <a:lnTo>
                  <a:pt x="90" y="55"/>
                </a:lnTo>
                <a:lnTo>
                  <a:pt x="87" y="55"/>
                </a:lnTo>
                <a:lnTo>
                  <a:pt x="87" y="56"/>
                </a:lnTo>
                <a:lnTo>
                  <a:pt x="83" y="57"/>
                </a:lnTo>
                <a:lnTo>
                  <a:pt x="82" y="59"/>
                </a:lnTo>
                <a:lnTo>
                  <a:pt x="80" y="62"/>
                </a:lnTo>
                <a:lnTo>
                  <a:pt x="79" y="63"/>
                </a:lnTo>
                <a:lnTo>
                  <a:pt x="78" y="64"/>
                </a:lnTo>
                <a:lnTo>
                  <a:pt x="77" y="64"/>
                </a:lnTo>
                <a:lnTo>
                  <a:pt x="76" y="63"/>
                </a:lnTo>
                <a:lnTo>
                  <a:pt x="76" y="63"/>
                </a:lnTo>
                <a:lnTo>
                  <a:pt x="75" y="62"/>
                </a:lnTo>
                <a:lnTo>
                  <a:pt x="75" y="65"/>
                </a:lnTo>
                <a:lnTo>
                  <a:pt x="74" y="68"/>
                </a:lnTo>
                <a:lnTo>
                  <a:pt x="71" y="66"/>
                </a:lnTo>
                <a:lnTo>
                  <a:pt x="68" y="65"/>
                </a:lnTo>
                <a:lnTo>
                  <a:pt x="65" y="65"/>
                </a:lnTo>
                <a:lnTo>
                  <a:pt x="63" y="64"/>
                </a:lnTo>
                <a:lnTo>
                  <a:pt x="60" y="61"/>
                </a:lnTo>
                <a:lnTo>
                  <a:pt x="60" y="61"/>
                </a:lnTo>
                <a:lnTo>
                  <a:pt x="56" y="60"/>
                </a:lnTo>
                <a:lnTo>
                  <a:pt x="53" y="61"/>
                </a:lnTo>
                <a:lnTo>
                  <a:pt x="49" y="63"/>
                </a:lnTo>
                <a:lnTo>
                  <a:pt x="47" y="63"/>
                </a:lnTo>
                <a:lnTo>
                  <a:pt x="45" y="63"/>
                </a:lnTo>
                <a:lnTo>
                  <a:pt x="44" y="62"/>
                </a:lnTo>
                <a:lnTo>
                  <a:pt x="42" y="60"/>
                </a:lnTo>
                <a:lnTo>
                  <a:pt x="40" y="60"/>
                </a:lnTo>
                <a:lnTo>
                  <a:pt x="39" y="60"/>
                </a:lnTo>
                <a:lnTo>
                  <a:pt x="38" y="61"/>
                </a:lnTo>
                <a:lnTo>
                  <a:pt x="37" y="62"/>
                </a:lnTo>
                <a:lnTo>
                  <a:pt x="37" y="62"/>
                </a:lnTo>
                <a:lnTo>
                  <a:pt x="37" y="62"/>
                </a:lnTo>
                <a:lnTo>
                  <a:pt x="36" y="62"/>
                </a:lnTo>
                <a:lnTo>
                  <a:pt x="36" y="62"/>
                </a:lnTo>
                <a:lnTo>
                  <a:pt x="36" y="63"/>
                </a:lnTo>
                <a:lnTo>
                  <a:pt x="35" y="63"/>
                </a:lnTo>
                <a:lnTo>
                  <a:pt x="34" y="64"/>
                </a:lnTo>
                <a:lnTo>
                  <a:pt x="34" y="64"/>
                </a:lnTo>
                <a:lnTo>
                  <a:pt x="33" y="64"/>
                </a:lnTo>
                <a:lnTo>
                  <a:pt x="31" y="65"/>
                </a:lnTo>
                <a:lnTo>
                  <a:pt x="29" y="66"/>
                </a:lnTo>
                <a:lnTo>
                  <a:pt x="28" y="67"/>
                </a:lnTo>
                <a:lnTo>
                  <a:pt x="26" y="68"/>
                </a:lnTo>
                <a:lnTo>
                  <a:pt x="25" y="70"/>
                </a:lnTo>
                <a:lnTo>
                  <a:pt x="24" y="71"/>
                </a:lnTo>
                <a:lnTo>
                  <a:pt x="23" y="72"/>
                </a:lnTo>
                <a:lnTo>
                  <a:pt x="23" y="73"/>
                </a:lnTo>
                <a:lnTo>
                  <a:pt x="23" y="73"/>
                </a:lnTo>
                <a:lnTo>
                  <a:pt x="23" y="73"/>
                </a:lnTo>
                <a:lnTo>
                  <a:pt x="22" y="74"/>
                </a:lnTo>
                <a:lnTo>
                  <a:pt x="22" y="74"/>
                </a:lnTo>
                <a:lnTo>
                  <a:pt x="21" y="74"/>
                </a:lnTo>
                <a:lnTo>
                  <a:pt x="20" y="74"/>
                </a:lnTo>
                <a:lnTo>
                  <a:pt x="19" y="74"/>
                </a:lnTo>
                <a:lnTo>
                  <a:pt x="17" y="74"/>
                </a:lnTo>
                <a:lnTo>
                  <a:pt x="17" y="74"/>
                </a:lnTo>
                <a:lnTo>
                  <a:pt x="15" y="74"/>
                </a:lnTo>
                <a:lnTo>
                  <a:pt x="14" y="74"/>
                </a:lnTo>
                <a:lnTo>
                  <a:pt x="13" y="72"/>
                </a:lnTo>
                <a:lnTo>
                  <a:pt x="13" y="70"/>
                </a:lnTo>
                <a:lnTo>
                  <a:pt x="13" y="68"/>
                </a:lnTo>
                <a:lnTo>
                  <a:pt x="11" y="68"/>
                </a:lnTo>
                <a:lnTo>
                  <a:pt x="8" y="68"/>
                </a:lnTo>
                <a:lnTo>
                  <a:pt x="6" y="67"/>
                </a:lnTo>
                <a:lnTo>
                  <a:pt x="4" y="65"/>
                </a:lnTo>
                <a:lnTo>
                  <a:pt x="2" y="64"/>
                </a:lnTo>
                <a:lnTo>
                  <a:pt x="0" y="64"/>
                </a:lnTo>
                <a:lnTo>
                  <a:pt x="0" y="62"/>
                </a:lnTo>
                <a:lnTo>
                  <a:pt x="1" y="60"/>
                </a:lnTo>
                <a:lnTo>
                  <a:pt x="1" y="58"/>
                </a:lnTo>
                <a:lnTo>
                  <a:pt x="1" y="57"/>
                </a:lnTo>
                <a:lnTo>
                  <a:pt x="1" y="56"/>
                </a:lnTo>
                <a:lnTo>
                  <a:pt x="2" y="53"/>
                </a:lnTo>
                <a:lnTo>
                  <a:pt x="3" y="53"/>
                </a:lnTo>
                <a:lnTo>
                  <a:pt x="4" y="50"/>
                </a:lnTo>
                <a:lnTo>
                  <a:pt x="4" y="47"/>
                </a:lnTo>
                <a:lnTo>
                  <a:pt x="6" y="46"/>
                </a:lnTo>
                <a:lnTo>
                  <a:pt x="7" y="44"/>
                </a:lnTo>
                <a:lnTo>
                  <a:pt x="7" y="42"/>
                </a:lnTo>
                <a:lnTo>
                  <a:pt x="6" y="41"/>
                </a:lnTo>
                <a:lnTo>
                  <a:pt x="8" y="38"/>
                </a:lnTo>
                <a:lnTo>
                  <a:pt x="7" y="35"/>
                </a:lnTo>
                <a:lnTo>
                  <a:pt x="9" y="32"/>
                </a:lnTo>
                <a:lnTo>
                  <a:pt x="7" y="29"/>
                </a:lnTo>
                <a:lnTo>
                  <a:pt x="3" y="27"/>
                </a:lnTo>
                <a:lnTo>
                  <a:pt x="0" y="27"/>
                </a:lnTo>
                <a:lnTo>
                  <a:pt x="0" y="24"/>
                </a:lnTo>
                <a:lnTo>
                  <a:pt x="2" y="20"/>
                </a:lnTo>
                <a:lnTo>
                  <a:pt x="5" y="16"/>
                </a:lnTo>
                <a:lnTo>
                  <a:pt x="7" y="15"/>
                </a:lnTo>
                <a:lnTo>
                  <a:pt x="11" y="16"/>
                </a:lnTo>
                <a:lnTo>
                  <a:pt x="14" y="17"/>
                </a:lnTo>
                <a:lnTo>
                  <a:pt x="14" y="18"/>
                </a:lnTo>
                <a:lnTo>
                  <a:pt x="17" y="17"/>
                </a:lnTo>
                <a:lnTo>
                  <a:pt x="21" y="16"/>
                </a:lnTo>
                <a:lnTo>
                  <a:pt x="24" y="16"/>
                </a:lnTo>
                <a:lnTo>
                  <a:pt x="28" y="14"/>
                </a:lnTo>
                <a:lnTo>
                  <a:pt x="29" y="13"/>
                </a:lnTo>
                <a:lnTo>
                  <a:pt x="30" y="12"/>
                </a:lnTo>
                <a:lnTo>
                  <a:pt x="32" y="12"/>
                </a:lnTo>
                <a:lnTo>
                  <a:pt x="34" y="10"/>
                </a:lnTo>
                <a:lnTo>
                  <a:pt x="36" y="9"/>
                </a:lnTo>
                <a:lnTo>
                  <a:pt x="37" y="11"/>
                </a:lnTo>
                <a:lnTo>
                  <a:pt x="37" y="14"/>
                </a:lnTo>
                <a:lnTo>
                  <a:pt x="37" y="17"/>
                </a:lnTo>
                <a:lnTo>
                  <a:pt x="36" y="19"/>
                </a:lnTo>
                <a:lnTo>
                  <a:pt x="36" y="21"/>
                </a:lnTo>
                <a:lnTo>
                  <a:pt x="36" y="22"/>
                </a:lnTo>
                <a:lnTo>
                  <a:pt x="38" y="23"/>
                </a:lnTo>
                <a:lnTo>
                  <a:pt x="39" y="22"/>
                </a:lnTo>
                <a:lnTo>
                  <a:pt x="41" y="21"/>
                </a:lnTo>
                <a:lnTo>
                  <a:pt x="42" y="20"/>
                </a:lnTo>
                <a:lnTo>
                  <a:pt x="45" y="19"/>
                </a:lnTo>
                <a:lnTo>
                  <a:pt x="48" y="19"/>
                </a:lnTo>
                <a:lnTo>
                  <a:pt x="48" y="17"/>
                </a:lnTo>
                <a:lnTo>
                  <a:pt x="49" y="16"/>
                </a:lnTo>
                <a:lnTo>
                  <a:pt x="49" y="16"/>
                </a:lnTo>
                <a:lnTo>
                  <a:pt x="50" y="15"/>
                </a:lnTo>
                <a:lnTo>
                  <a:pt x="53" y="16"/>
                </a:lnTo>
                <a:lnTo>
                  <a:pt x="54" y="15"/>
                </a:lnTo>
                <a:lnTo>
                  <a:pt x="55" y="12"/>
                </a:lnTo>
                <a:lnTo>
                  <a:pt x="56" y="13"/>
                </a:lnTo>
                <a:lnTo>
                  <a:pt x="57" y="13"/>
                </a:lnTo>
                <a:lnTo>
                  <a:pt x="57" y="12"/>
                </a:lnTo>
                <a:lnTo>
                  <a:pt x="58" y="12"/>
                </a:lnTo>
                <a:lnTo>
                  <a:pt x="58" y="12"/>
                </a:lnTo>
                <a:lnTo>
                  <a:pt x="59" y="12"/>
                </a:lnTo>
                <a:lnTo>
                  <a:pt x="59" y="11"/>
                </a:lnTo>
                <a:lnTo>
                  <a:pt x="60" y="11"/>
                </a:lnTo>
                <a:lnTo>
                  <a:pt x="60" y="10"/>
                </a:lnTo>
                <a:lnTo>
                  <a:pt x="61" y="10"/>
                </a:lnTo>
                <a:lnTo>
                  <a:pt x="61" y="11"/>
                </a:lnTo>
                <a:lnTo>
                  <a:pt x="62" y="10"/>
                </a:lnTo>
                <a:lnTo>
                  <a:pt x="62" y="9"/>
                </a:lnTo>
                <a:lnTo>
                  <a:pt x="63" y="10"/>
                </a:lnTo>
                <a:lnTo>
                  <a:pt x="63" y="9"/>
                </a:lnTo>
                <a:lnTo>
                  <a:pt x="64" y="9"/>
                </a:lnTo>
                <a:lnTo>
                  <a:pt x="64" y="8"/>
                </a:lnTo>
                <a:lnTo>
                  <a:pt x="65" y="9"/>
                </a:lnTo>
                <a:lnTo>
                  <a:pt x="65" y="8"/>
                </a:lnTo>
                <a:lnTo>
                  <a:pt x="66" y="8"/>
                </a:lnTo>
                <a:lnTo>
                  <a:pt x="65" y="7"/>
                </a:lnTo>
                <a:lnTo>
                  <a:pt x="66" y="7"/>
                </a:lnTo>
                <a:lnTo>
                  <a:pt x="66" y="6"/>
                </a:lnTo>
                <a:lnTo>
                  <a:pt x="67" y="7"/>
                </a:lnTo>
                <a:lnTo>
                  <a:pt x="67" y="6"/>
                </a:lnTo>
                <a:lnTo>
                  <a:pt x="67" y="6"/>
                </a:lnTo>
                <a:lnTo>
                  <a:pt x="68" y="5"/>
                </a:lnTo>
                <a:lnTo>
                  <a:pt x="69" y="5"/>
                </a:lnTo>
                <a:lnTo>
                  <a:pt x="70" y="5"/>
                </a:lnTo>
                <a:lnTo>
                  <a:pt x="69" y="4"/>
                </a:lnTo>
                <a:lnTo>
                  <a:pt x="70" y="3"/>
                </a:lnTo>
                <a:lnTo>
                  <a:pt x="71" y="2"/>
                </a:lnTo>
                <a:lnTo>
                  <a:pt x="72" y="3"/>
                </a:lnTo>
                <a:lnTo>
                  <a:pt x="72" y="2"/>
                </a:lnTo>
                <a:lnTo>
                  <a:pt x="72" y="2"/>
                </a:lnTo>
                <a:lnTo>
                  <a:pt x="74" y="2"/>
                </a:lnTo>
                <a:lnTo>
                  <a:pt x="75" y="3"/>
                </a:lnTo>
                <a:lnTo>
                  <a:pt x="77" y="3"/>
                </a:lnTo>
                <a:lnTo>
                  <a:pt x="77" y="1"/>
                </a:lnTo>
                <a:lnTo>
                  <a:pt x="78" y="1"/>
                </a:lnTo>
                <a:lnTo>
                  <a:pt x="78" y="0"/>
                </a:lnTo>
                <a:lnTo>
                  <a:pt x="79" y="1"/>
                </a:lnTo>
              </a:path>
            </a:pathLst>
          </a:custGeom>
          <a:grpFill/>
          <a:ln w="9525">
            <a:solidFill>
              <a:schemeClr val="bg1">
                <a:lumMod val="65000"/>
              </a:schemeClr>
            </a:solidFill>
            <a:prstDash val="solid"/>
            <a:round/>
            <a:headEnd/>
            <a:tailEnd/>
          </a:ln>
        </xdr:spPr>
      </xdr:sp>
      <xdr:sp macro="" textlink="">
        <xdr:nvSpPr>
          <xdr:cNvPr id="203" name="GIN007001"/>
          <xdr:cNvSpPr>
            <a:spLocks noChangeAspect="1"/>
          </xdr:cNvSpPr>
        </xdr:nvSpPr>
        <xdr:spPr bwMode="auto">
          <a:xfrm>
            <a:off x="5923684" y="3453122"/>
            <a:ext cx="717715" cy="748639"/>
          </a:xfrm>
          <a:custGeom>
            <a:avLst/>
            <a:gdLst>
              <a:gd name="T0" fmla="*/ 50 w 76"/>
              <a:gd name="T1" fmla="*/ 2 h 81"/>
              <a:gd name="T2" fmla="*/ 53 w 76"/>
              <a:gd name="T3" fmla="*/ 5 h 81"/>
              <a:gd name="T4" fmla="*/ 55 w 76"/>
              <a:gd name="T5" fmla="*/ 8 h 81"/>
              <a:gd name="T6" fmla="*/ 62 w 76"/>
              <a:gd name="T7" fmla="*/ 12 h 81"/>
              <a:gd name="T8" fmla="*/ 62 w 76"/>
              <a:gd name="T9" fmla="*/ 15 h 81"/>
              <a:gd name="T10" fmla="*/ 61 w 76"/>
              <a:gd name="T11" fmla="*/ 20 h 81"/>
              <a:gd name="T12" fmla="*/ 62 w 76"/>
              <a:gd name="T13" fmla="*/ 24 h 81"/>
              <a:gd name="T14" fmla="*/ 67 w 76"/>
              <a:gd name="T15" fmla="*/ 29 h 81"/>
              <a:gd name="T16" fmla="*/ 73 w 76"/>
              <a:gd name="T17" fmla="*/ 30 h 81"/>
              <a:gd name="T18" fmla="*/ 76 w 76"/>
              <a:gd name="T19" fmla="*/ 34 h 81"/>
              <a:gd name="T20" fmla="*/ 74 w 76"/>
              <a:gd name="T21" fmla="*/ 40 h 81"/>
              <a:gd name="T22" fmla="*/ 72 w 76"/>
              <a:gd name="T23" fmla="*/ 42 h 81"/>
              <a:gd name="T24" fmla="*/ 67 w 76"/>
              <a:gd name="T25" fmla="*/ 44 h 81"/>
              <a:gd name="T26" fmla="*/ 61 w 76"/>
              <a:gd name="T27" fmla="*/ 44 h 81"/>
              <a:gd name="T28" fmla="*/ 56 w 76"/>
              <a:gd name="T29" fmla="*/ 42 h 81"/>
              <a:gd name="T30" fmla="*/ 51 w 76"/>
              <a:gd name="T31" fmla="*/ 43 h 81"/>
              <a:gd name="T32" fmla="*/ 50 w 76"/>
              <a:gd name="T33" fmla="*/ 46 h 81"/>
              <a:gd name="T34" fmla="*/ 47 w 76"/>
              <a:gd name="T35" fmla="*/ 49 h 81"/>
              <a:gd name="T36" fmla="*/ 44 w 76"/>
              <a:gd name="T37" fmla="*/ 47 h 81"/>
              <a:gd name="T38" fmla="*/ 40 w 76"/>
              <a:gd name="T39" fmla="*/ 49 h 81"/>
              <a:gd name="T40" fmla="*/ 34 w 76"/>
              <a:gd name="T41" fmla="*/ 52 h 81"/>
              <a:gd name="T42" fmla="*/ 32 w 76"/>
              <a:gd name="T43" fmla="*/ 51 h 81"/>
              <a:gd name="T44" fmla="*/ 30 w 76"/>
              <a:gd name="T45" fmla="*/ 57 h 81"/>
              <a:gd name="T46" fmla="*/ 27 w 76"/>
              <a:gd name="T47" fmla="*/ 66 h 81"/>
              <a:gd name="T48" fmla="*/ 22 w 76"/>
              <a:gd name="T49" fmla="*/ 71 h 81"/>
              <a:gd name="T50" fmla="*/ 21 w 76"/>
              <a:gd name="T51" fmla="*/ 78 h 81"/>
              <a:gd name="T52" fmla="*/ 15 w 76"/>
              <a:gd name="T53" fmla="*/ 80 h 81"/>
              <a:gd name="T54" fmla="*/ 11 w 76"/>
              <a:gd name="T55" fmla="*/ 81 h 81"/>
              <a:gd name="T56" fmla="*/ 9 w 76"/>
              <a:gd name="T57" fmla="*/ 79 h 81"/>
              <a:gd name="T58" fmla="*/ 6 w 76"/>
              <a:gd name="T59" fmla="*/ 78 h 81"/>
              <a:gd name="T60" fmla="*/ 5 w 76"/>
              <a:gd name="T61" fmla="*/ 74 h 81"/>
              <a:gd name="T62" fmla="*/ 1 w 76"/>
              <a:gd name="T63" fmla="*/ 73 h 81"/>
              <a:gd name="T64" fmla="*/ 0 w 76"/>
              <a:gd name="T65" fmla="*/ 71 h 81"/>
              <a:gd name="T66" fmla="*/ 1 w 76"/>
              <a:gd name="T67" fmla="*/ 66 h 81"/>
              <a:gd name="T68" fmla="*/ 3 w 76"/>
              <a:gd name="T69" fmla="*/ 66 h 81"/>
              <a:gd name="T70" fmla="*/ 6 w 76"/>
              <a:gd name="T71" fmla="*/ 62 h 81"/>
              <a:gd name="T72" fmla="*/ 7 w 76"/>
              <a:gd name="T73" fmla="*/ 58 h 81"/>
              <a:gd name="T74" fmla="*/ 9 w 76"/>
              <a:gd name="T75" fmla="*/ 53 h 81"/>
              <a:gd name="T76" fmla="*/ 13 w 76"/>
              <a:gd name="T77" fmla="*/ 50 h 81"/>
              <a:gd name="T78" fmla="*/ 15 w 76"/>
              <a:gd name="T79" fmla="*/ 44 h 81"/>
              <a:gd name="T80" fmla="*/ 13 w 76"/>
              <a:gd name="T81" fmla="*/ 38 h 81"/>
              <a:gd name="T82" fmla="*/ 14 w 76"/>
              <a:gd name="T83" fmla="*/ 36 h 81"/>
              <a:gd name="T84" fmla="*/ 16 w 76"/>
              <a:gd name="T85" fmla="*/ 34 h 81"/>
              <a:gd name="T86" fmla="*/ 19 w 76"/>
              <a:gd name="T87" fmla="*/ 31 h 81"/>
              <a:gd name="T88" fmla="*/ 21 w 76"/>
              <a:gd name="T89" fmla="*/ 27 h 81"/>
              <a:gd name="T90" fmla="*/ 21 w 76"/>
              <a:gd name="T91" fmla="*/ 27 h 81"/>
              <a:gd name="T92" fmla="*/ 21 w 76"/>
              <a:gd name="T93" fmla="*/ 24 h 81"/>
              <a:gd name="T94" fmla="*/ 22 w 76"/>
              <a:gd name="T95" fmla="*/ 23 h 81"/>
              <a:gd name="T96" fmla="*/ 23 w 76"/>
              <a:gd name="T97" fmla="*/ 24 h 81"/>
              <a:gd name="T98" fmla="*/ 24 w 76"/>
              <a:gd name="T99" fmla="*/ 26 h 81"/>
              <a:gd name="T100" fmla="*/ 26 w 76"/>
              <a:gd name="T101" fmla="*/ 26 h 81"/>
              <a:gd name="T102" fmla="*/ 27 w 76"/>
              <a:gd name="T103" fmla="*/ 24 h 81"/>
              <a:gd name="T104" fmla="*/ 28 w 76"/>
              <a:gd name="T105" fmla="*/ 22 h 81"/>
              <a:gd name="T106" fmla="*/ 30 w 76"/>
              <a:gd name="T107" fmla="*/ 21 h 81"/>
              <a:gd name="T108" fmla="*/ 31 w 76"/>
              <a:gd name="T109" fmla="*/ 20 h 81"/>
              <a:gd name="T110" fmla="*/ 31 w 76"/>
              <a:gd name="T111" fmla="*/ 16 h 81"/>
              <a:gd name="T112" fmla="*/ 30 w 76"/>
              <a:gd name="T113" fmla="*/ 14 h 81"/>
              <a:gd name="T114" fmla="*/ 34 w 76"/>
              <a:gd name="T115" fmla="*/ 11 h 81"/>
              <a:gd name="T116" fmla="*/ 37 w 76"/>
              <a:gd name="T117" fmla="*/ 3 h 81"/>
              <a:gd name="T118" fmla="*/ 43 w 76"/>
              <a:gd name="T119" fmla="*/ 1 h 81"/>
              <a:gd name="T120" fmla="*/ 47 w 76"/>
              <a:gd name="T121" fmla="*/ 1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76" h="81">
                <a:moveTo>
                  <a:pt x="47" y="1"/>
                </a:moveTo>
                <a:lnTo>
                  <a:pt x="49" y="1"/>
                </a:lnTo>
                <a:lnTo>
                  <a:pt x="50" y="2"/>
                </a:lnTo>
                <a:lnTo>
                  <a:pt x="51" y="4"/>
                </a:lnTo>
                <a:lnTo>
                  <a:pt x="52" y="4"/>
                </a:lnTo>
                <a:lnTo>
                  <a:pt x="53" y="5"/>
                </a:lnTo>
                <a:lnTo>
                  <a:pt x="53" y="7"/>
                </a:lnTo>
                <a:lnTo>
                  <a:pt x="54" y="8"/>
                </a:lnTo>
                <a:lnTo>
                  <a:pt x="55" y="8"/>
                </a:lnTo>
                <a:lnTo>
                  <a:pt x="59" y="9"/>
                </a:lnTo>
                <a:lnTo>
                  <a:pt x="61" y="10"/>
                </a:lnTo>
                <a:lnTo>
                  <a:pt x="62" y="12"/>
                </a:lnTo>
                <a:lnTo>
                  <a:pt x="63" y="14"/>
                </a:lnTo>
                <a:lnTo>
                  <a:pt x="63" y="15"/>
                </a:lnTo>
                <a:lnTo>
                  <a:pt x="62" y="15"/>
                </a:lnTo>
                <a:lnTo>
                  <a:pt x="62" y="15"/>
                </a:lnTo>
                <a:lnTo>
                  <a:pt x="61" y="18"/>
                </a:lnTo>
                <a:lnTo>
                  <a:pt x="61" y="20"/>
                </a:lnTo>
                <a:lnTo>
                  <a:pt x="61" y="21"/>
                </a:lnTo>
                <a:lnTo>
                  <a:pt x="61" y="23"/>
                </a:lnTo>
                <a:lnTo>
                  <a:pt x="62" y="24"/>
                </a:lnTo>
                <a:lnTo>
                  <a:pt x="63" y="27"/>
                </a:lnTo>
                <a:lnTo>
                  <a:pt x="64" y="27"/>
                </a:lnTo>
                <a:lnTo>
                  <a:pt x="67" y="29"/>
                </a:lnTo>
                <a:lnTo>
                  <a:pt x="69" y="30"/>
                </a:lnTo>
                <a:lnTo>
                  <a:pt x="72" y="30"/>
                </a:lnTo>
                <a:lnTo>
                  <a:pt x="73" y="30"/>
                </a:lnTo>
                <a:lnTo>
                  <a:pt x="75" y="30"/>
                </a:lnTo>
                <a:lnTo>
                  <a:pt x="76" y="31"/>
                </a:lnTo>
                <a:lnTo>
                  <a:pt x="76" y="34"/>
                </a:lnTo>
                <a:lnTo>
                  <a:pt x="76" y="37"/>
                </a:lnTo>
                <a:lnTo>
                  <a:pt x="75" y="39"/>
                </a:lnTo>
                <a:lnTo>
                  <a:pt x="74" y="40"/>
                </a:lnTo>
                <a:lnTo>
                  <a:pt x="74" y="40"/>
                </a:lnTo>
                <a:lnTo>
                  <a:pt x="73" y="42"/>
                </a:lnTo>
                <a:lnTo>
                  <a:pt x="72" y="42"/>
                </a:lnTo>
                <a:lnTo>
                  <a:pt x="70" y="44"/>
                </a:lnTo>
                <a:lnTo>
                  <a:pt x="68" y="45"/>
                </a:lnTo>
                <a:lnTo>
                  <a:pt x="67" y="44"/>
                </a:lnTo>
                <a:lnTo>
                  <a:pt x="65" y="44"/>
                </a:lnTo>
                <a:lnTo>
                  <a:pt x="64" y="45"/>
                </a:lnTo>
                <a:lnTo>
                  <a:pt x="61" y="44"/>
                </a:lnTo>
                <a:lnTo>
                  <a:pt x="59" y="42"/>
                </a:lnTo>
                <a:lnTo>
                  <a:pt x="57" y="42"/>
                </a:lnTo>
                <a:lnTo>
                  <a:pt x="56" y="42"/>
                </a:lnTo>
                <a:lnTo>
                  <a:pt x="54" y="42"/>
                </a:lnTo>
                <a:lnTo>
                  <a:pt x="53" y="42"/>
                </a:lnTo>
                <a:lnTo>
                  <a:pt x="51" y="43"/>
                </a:lnTo>
                <a:lnTo>
                  <a:pt x="50" y="44"/>
                </a:lnTo>
                <a:lnTo>
                  <a:pt x="50" y="45"/>
                </a:lnTo>
                <a:lnTo>
                  <a:pt x="50" y="46"/>
                </a:lnTo>
                <a:lnTo>
                  <a:pt x="50" y="47"/>
                </a:lnTo>
                <a:lnTo>
                  <a:pt x="49" y="47"/>
                </a:lnTo>
                <a:lnTo>
                  <a:pt x="47" y="49"/>
                </a:lnTo>
                <a:lnTo>
                  <a:pt x="46" y="49"/>
                </a:lnTo>
                <a:lnTo>
                  <a:pt x="45" y="49"/>
                </a:lnTo>
                <a:lnTo>
                  <a:pt x="44" y="47"/>
                </a:lnTo>
                <a:lnTo>
                  <a:pt x="43" y="47"/>
                </a:lnTo>
                <a:lnTo>
                  <a:pt x="42" y="48"/>
                </a:lnTo>
                <a:lnTo>
                  <a:pt x="40" y="49"/>
                </a:lnTo>
                <a:lnTo>
                  <a:pt x="39" y="51"/>
                </a:lnTo>
                <a:lnTo>
                  <a:pt x="37" y="51"/>
                </a:lnTo>
                <a:lnTo>
                  <a:pt x="34" y="52"/>
                </a:lnTo>
                <a:lnTo>
                  <a:pt x="34" y="52"/>
                </a:lnTo>
                <a:lnTo>
                  <a:pt x="33" y="50"/>
                </a:lnTo>
                <a:lnTo>
                  <a:pt x="32" y="51"/>
                </a:lnTo>
                <a:lnTo>
                  <a:pt x="31" y="52"/>
                </a:lnTo>
                <a:lnTo>
                  <a:pt x="31" y="53"/>
                </a:lnTo>
                <a:lnTo>
                  <a:pt x="30" y="57"/>
                </a:lnTo>
                <a:lnTo>
                  <a:pt x="30" y="59"/>
                </a:lnTo>
                <a:lnTo>
                  <a:pt x="29" y="64"/>
                </a:lnTo>
                <a:lnTo>
                  <a:pt x="27" y="66"/>
                </a:lnTo>
                <a:lnTo>
                  <a:pt x="25" y="66"/>
                </a:lnTo>
                <a:lnTo>
                  <a:pt x="22" y="69"/>
                </a:lnTo>
                <a:lnTo>
                  <a:pt x="22" y="71"/>
                </a:lnTo>
                <a:lnTo>
                  <a:pt x="22" y="72"/>
                </a:lnTo>
                <a:lnTo>
                  <a:pt x="21" y="75"/>
                </a:lnTo>
                <a:lnTo>
                  <a:pt x="21" y="78"/>
                </a:lnTo>
                <a:lnTo>
                  <a:pt x="19" y="79"/>
                </a:lnTo>
                <a:lnTo>
                  <a:pt x="17" y="80"/>
                </a:lnTo>
                <a:lnTo>
                  <a:pt x="15" y="80"/>
                </a:lnTo>
                <a:lnTo>
                  <a:pt x="14" y="79"/>
                </a:lnTo>
                <a:lnTo>
                  <a:pt x="12" y="80"/>
                </a:lnTo>
                <a:lnTo>
                  <a:pt x="11" y="81"/>
                </a:lnTo>
                <a:lnTo>
                  <a:pt x="11" y="80"/>
                </a:lnTo>
                <a:lnTo>
                  <a:pt x="10" y="80"/>
                </a:lnTo>
                <a:lnTo>
                  <a:pt x="9" y="79"/>
                </a:lnTo>
                <a:lnTo>
                  <a:pt x="8" y="78"/>
                </a:lnTo>
                <a:lnTo>
                  <a:pt x="7" y="79"/>
                </a:lnTo>
                <a:lnTo>
                  <a:pt x="6" y="78"/>
                </a:lnTo>
                <a:lnTo>
                  <a:pt x="7" y="76"/>
                </a:lnTo>
                <a:lnTo>
                  <a:pt x="5" y="74"/>
                </a:lnTo>
                <a:lnTo>
                  <a:pt x="5" y="74"/>
                </a:lnTo>
                <a:lnTo>
                  <a:pt x="3" y="74"/>
                </a:lnTo>
                <a:lnTo>
                  <a:pt x="2" y="74"/>
                </a:lnTo>
                <a:lnTo>
                  <a:pt x="1" y="73"/>
                </a:lnTo>
                <a:lnTo>
                  <a:pt x="1" y="73"/>
                </a:lnTo>
                <a:lnTo>
                  <a:pt x="1" y="72"/>
                </a:lnTo>
                <a:lnTo>
                  <a:pt x="0" y="71"/>
                </a:lnTo>
                <a:lnTo>
                  <a:pt x="1" y="68"/>
                </a:lnTo>
                <a:lnTo>
                  <a:pt x="2" y="67"/>
                </a:lnTo>
                <a:lnTo>
                  <a:pt x="1" y="66"/>
                </a:lnTo>
                <a:lnTo>
                  <a:pt x="2" y="66"/>
                </a:lnTo>
                <a:lnTo>
                  <a:pt x="2" y="66"/>
                </a:lnTo>
                <a:lnTo>
                  <a:pt x="3" y="66"/>
                </a:lnTo>
                <a:lnTo>
                  <a:pt x="4" y="65"/>
                </a:lnTo>
                <a:lnTo>
                  <a:pt x="5" y="64"/>
                </a:lnTo>
                <a:lnTo>
                  <a:pt x="6" y="62"/>
                </a:lnTo>
                <a:lnTo>
                  <a:pt x="6" y="62"/>
                </a:lnTo>
                <a:lnTo>
                  <a:pt x="7" y="60"/>
                </a:lnTo>
                <a:lnTo>
                  <a:pt x="7" y="58"/>
                </a:lnTo>
                <a:lnTo>
                  <a:pt x="10" y="55"/>
                </a:lnTo>
                <a:lnTo>
                  <a:pt x="9" y="54"/>
                </a:lnTo>
                <a:lnTo>
                  <a:pt x="9" y="53"/>
                </a:lnTo>
                <a:lnTo>
                  <a:pt x="11" y="51"/>
                </a:lnTo>
                <a:lnTo>
                  <a:pt x="11" y="49"/>
                </a:lnTo>
                <a:lnTo>
                  <a:pt x="13" y="50"/>
                </a:lnTo>
                <a:lnTo>
                  <a:pt x="14" y="50"/>
                </a:lnTo>
                <a:lnTo>
                  <a:pt x="14" y="47"/>
                </a:lnTo>
                <a:lnTo>
                  <a:pt x="15" y="44"/>
                </a:lnTo>
                <a:lnTo>
                  <a:pt x="16" y="42"/>
                </a:lnTo>
                <a:lnTo>
                  <a:pt x="14" y="40"/>
                </a:lnTo>
                <a:lnTo>
                  <a:pt x="13" y="38"/>
                </a:lnTo>
                <a:lnTo>
                  <a:pt x="12" y="37"/>
                </a:lnTo>
                <a:lnTo>
                  <a:pt x="11" y="36"/>
                </a:lnTo>
                <a:lnTo>
                  <a:pt x="14" y="36"/>
                </a:lnTo>
                <a:lnTo>
                  <a:pt x="15" y="35"/>
                </a:lnTo>
                <a:lnTo>
                  <a:pt x="16" y="35"/>
                </a:lnTo>
                <a:lnTo>
                  <a:pt x="16" y="34"/>
                </a:lnTo>
                <a:lnTo>
                  <a:pt x="18" y="32"/>
                </a:lnTo>
                <a:lnTo>
                  <a:pt x="18" y="31"/>
                </a:lnTo>
                <a:lnTo>
                  <a:pt x="19" y="31"/>
                </a:lnTo>
                <a:lnTo>
                  <a:pt x="20" y="30"/>
                </a:lnTo>
                <a:lnTo>
                  <a:pt x="21" y="29"/>
                </a:lnTo>
                <a:lnTo>
                  <a:pt x="21" y="27"/>
                </a:lnTo>
                <a:lnTo>
                  <a:pt x="21" y="27"/>
                </a:lnTo>
                <a:lnTo>
                  <a:pt x="21" y="27"/>
                </a:lnTo>
                <a:lnTo>
                  <a:pt x="21" y="27"/>
                </a:lnTo>
                <a:lnTo>
                  <a:pt x="21" y="26"/>
                </a:lnTo>
                <a:lnTo>
                  <a:pt x="21" y="25"/>
                </a:lnTo>
                <a:lnTo>
                  <a:pt x="21" y="24"/>
                </a:lnTo>
                <a:lnTo>
                  <a:pt x="21" y="23"/>
                </a:lnTo>
                <a:lnTo>
                  <a:pt x="22" y="23"/>
                </a:lnTo>
                <a:lnTo>
                  <a:pt x="22" y="23"/>
                </a:lnTo>
                <a:lnTo>
                  <a:pt x="23" y="23"/>
                </a:lnTo>
                <a:lnTo>
                  <a:pt x="23" y="24"/>
                </a:lnTo>
                <a:lnTo>
                  <a:pt x="23" y="24"/>
                </a:lnTo>
                <a:lnTo>
                  <a:pt x="24" y="25"/>
                </a:lnTo>
                <a:lnTo>
                  <a:pt x="24" y="26"/>
                </a:lnTo>
                <a:lnTo>
                  <a:pt x="24" y="26"/>
                </a:lnTo>
                <a:lnTo>
                  <a:pt x="25" y="26"/>
                </a:lnTo>
                <a:lnTo>
                  <a:pt x="25" y="26"/>
                </a:lnTo>
                <a:lnTo>
                  <a:pt x="26" y="26"/>
                </a:lnTo>
                <a:lnTo>
                  <a:pt x="26" y="25"/>
                </a:lnTo>
                <a:lnTo>
                  <a:pt x="27" y="25"/>
                </a:lnTo>
                <a:lnTo>
                  <a:pt x="27" y="24"/>
                </a:lnTo>
                <a:lnTo>
                  <a:pt x="30" y="24"/>
                </a:lnTo>
                <a:lnTo>
                  <a:pt x="28" y="23"/>
                </a:lnTo>
                <a:lnTo>
                  <a:pt x="28" y="22"/>
                </a:lnTo>
                <a:lnTo>
                  <a:pt x="27" y="21"/>
                </a:lnTo>
                <a:lnTo>
                  <a:pt x="28" y="21"/>
                </a:lnTo>
                <a:lnTo>
                  <a:pt x="30" y="21"/>
                </a:lnTo>
                <a:lnTo>
                  <a:pt x="29" y="21"/>
                </a:lnTo>
                <a:lnTo>
                  <a:pt x="29" y="21"/>
                </a:lnTo>
                <a:lnTo>
                  <a:pt x="31" y="20"/>
                </a:lnTo>
                <a:lnTo>
                  <a:pt x="32" y="18"/>
                </a:lnTo>
                <a:lnTo>
                  <a:pt x="31" y="18"/>
                </a:lnTo>
                <a:lnTo>
                  <a:pt x="31" y="16"/>
                </a:lnTo>
                <a:lnTo>
                  <a:pt x="30" y="15"/>
                </a:lnTo>
                <a:lnTo>
                  <a:pt x="30" y="14"/>
                </a:lnTo>
                <a:lnTo>
                  <a:pt x="30" y="14"/>
                </a:lnTo>
                <a:lnTo>
                  <a:pt x="32" y="12"/>
                </a:lnTo>
                <a:lnTo>
                  <a:pt x="34" y="11"/>
                </a:lnTo>
                <a:lnTo>
                  <a:pt x="34" y="11"/>
                </a:lnTo>
                <a:lnTo>
                  <a:pt x="36" y="8"/>
                </a:lnTo>
                <a:lnTo>
                  <a:pt x="37" y="5"/>
                </a:lnTo>
                <a:lnTo>
                  <a:pt x="37" y="3"/>
                </a:lnTo>
                <a:lnTo>
                  <a:pt x="39" y="1"/>
                </a:lnTo>
                <a:lnTo>
                  <a:pt x="41" y="1"/>
                </a:lnTo>
                <a:lnTo>
                  <a:pt x="43" y="1"/>
                </a:lnTo>
                <a:lnTo>
                  <a:pt x="44" y="1"/>
                </a:lnTo>
                <a:lnTo>
                  <a:pt x="45" y="0"/>
                </a:lnTo>
                <a:lnTo>
                  <a:pt x="47" y="1"/>
                </a:lnTo>
              </a:path>
            </a:pathLst>
          </a:custGeom>
          <a:grpFill/>
          <a:ln w="9525">
            <a:solidFill>
              <a:schemeClr val="bg1">
                <a:lumMod val="65000"/>
              </a:schemeClr>
            </a:solidFill>
            <a:prstDash val="solid"/>
            <a:round/>
            <a:headEnd/>
            <a:tailEnd/>
          </a:ln>
        </xdr:spPr>
      </xdr:sp>
      <xdr:sp macro="" textlink="">
        <xdr:nvSpPr>
          <xdr:cNvPr id="204" name="GIN007003"/>
          <xdr:cNvSpPr>
            <a:spLocks noChangeAspect="1"/>
          </xdr:cNvSpPr>
        </xdr:nvSpPr>
        <xdr:spPr bwMode="auto">
          <a:xfrm>
            <a:off x="5479349" y="3416321"/>
            <a:ext cx="755321" cy="785440"/>
          </a:xfrm>
          <a:custGeom>
            <a:avLst/>
            <a:gdLst>
              <a:gd name="T0" fmla="*/ 43 w 78"/>
              <a:gd name="T1" fmla="*/ 3 h 85"/>
              <a:gd name="T2" fmla="*/ 47 w 78"/>
              <a:gd name="T3" fmla="*/ 6 h 85"/>
              <a:gd name="T4" fmla="*/ 47 w 78"/>
              <a:gd name="T5" fmla="*/ 11 h 85"/>
              <a:gd name="T6" fmla="*/ 48 w 78"/>
              <a:gd name="T7" fmla="*/ 15 h 85"/>
              <a:gd name="T8" fmla="*/ 49 w 78"/>
              <a:gd name="T9" fmla="*/ 18 h 85"/>
              <a:gd name="T10" fmla="*/ 53 w 78"/>
              <a:gd name="T11" fmla="*/ 19 h 85"/>
              <a:gd name="T12" fmla="*/ 55 w 78"/>
              <a:gd name="T13" fmla="*/ 20 h 85"/>
              <a:gd name="T14" fmla="*/ 57 w 78"/>
              <a:gd name="T15" fmla="*/ 16 h 85"/>
              <a:gd name="T16" fmla="*/ 64 w 78"/>
              <a:gd name="T17" fmla="*/ 16 h 85"/>
              <a:gd name="T18" fmla="*/ 71 w 78"/>
              <a:gd name="T19" fmla="*/ 17 h 85"/>
              <a:gd name="T20" fmla="*/ 76 w 78"/>
              <a:gd name="T21" fmla="*/ 18 h 85"/>
              <a:gd name="T22" fmla="*/ 78 w 78"/>
              <a:gd name="T23" fmla="*/ 22 h 85"/>
              <a:gd name="T24" fmla="*/ 76 w 78"/>
              <a:gd name="T25" fmla="*/ 25 h 85"/>
              <a:gd name="T26" fmla="*/ 74 w 78"/>
              <a:gd name="T27" fmla="*/ 27 h 85"/>
              <a:gd name="T28" fmla="*/ 72 w 78"/>
              <a:gd name="T29" fmla="*/ 29 h 85"/>
              <a:gd name="T30" fmla="*/ 70 w 78"/>
              <a:gd name="T31" fmla="*/ 30 h 85"/>
              <a:gd name="T32" fmla="*/ 69 w 78"/>
              <a:gd name="T33" fmla="*/ 28 h 85"/>
              <a:gd name="T34" fmla="*/ 67 w 78"/>
              <a:gd name="T35" fmla="*/ 27 h 85"/>
              <a:gd name="T36" fmla="*/ 67 w 78"/>
              <a:gd name="T37" fmla="*/ 31 h 85"/>
              <a:gd name="T38" fmla="*/ 67 w 78"/>
              <a:gd name="T39" fmla="*/ 33 h 85"/>
              <a:gd name="T40" fmla="*/ 64 w 78"/>
              <a:gd name="T41" fmla="*/ 36 h 85"/>
              <a:gd name="T42" fmla="*/ 60 w 78"/>
              <a:gd name="T43" fmla="*/ 40 h 85"/>
              <a:gd name="T44" fmla="*/ 60 w 78"/>
              <a:gd name="T45" fmla="*/ 44 h 85"/>
              <a:gd name="T46" fmla="*/ 60 w 78"/>
              <a:gd name="T47" fmla="*/ 54 h 85"/>
              <a:gd name="T48" fmla="*/ 55 w 78"/>
              <a:gd name="T49" fmla="*/ 57 h 85"/>
              <a:gd name="T50" fmla="*/ 53 w 78"/>
              <a:gd name="T51" fmla="*/ 64 h 85"/>
              <a:gd name="T52" fmla="*/ 50 w 78"/>
              <a:gd name="T53" fmla="*/ 69 h 85"/>
              <a:gd name="T54" fmla="*/ 47 w 78"/>
              <a:gd name="T55" fmla="*/ 70 h 85"/>
              <a:gd name="T56" fmla="*/ 45 w 78"/>
              <a:gd name="T57" fmla="*/ 71 h 85"/>
              <a:gd name="T58" fmla="*/ 40 w 78"/>
              <a:gd name="T59" fmla="*/ 74 h 85"/>
              <a:gd name="T60" fmla="*/ 35 w 78"/>
              <a:gd name="T61" fmla="*/ 77 h 85"/>
              <a:gd name="T62" fmla="*/ 29 w 78"/>
              <a:gd name="T63" fmla="*/ 81 h 85"/>
              <a:gd name="T64" fmla="*/ 25 w 78"/>
              <a:gd name="T65" fmla="*/ 84 h 85"/>
              <a:gd name="T66" fmla="*/ 22 w 78"/>
              <a:gd name="T67" fmla="*/ 83 h 85"/>
              <a:gd name="T68" fmla="*/ 18 w 78"/>
              <a:gd name="T69" fmla="*/ 81 h 85"/>
              <a:gd name="T70" fmla="*/ 14 w 78"/>
              <a:gd name="T71" fmla="*/ 80 h 85"/>
              <a:gd name="T72" fmla="*/ 10 w 78"/>
              <a:gd name="T73" fmla="*/ 78 h 85"/>
              <a:gd name="T74" fmla="*/ 3 w 78"/>
              <a:gd name="T75" fmla="*/ 81 h 85"/>
              <a:gd name="T76" fmla="*/ 2 w 78"/>
              <a:gd name="T77" fmla="*/ 76 h 85"/>
              <a:gd name="T78" fmla="*/ 1 w 78"/>
              <a:gd name="T79" fmla="*/ 72 h 85"/>
              <a:gd name="T80" fmla="*/ 2 w 78"/>
              <a:gd name="T81" fmla="*/ 70 h 85"/>
              <a:gd name="T82" fmla="*/ 3 w 78"/>
              <a:gd name="T83" fmla="*/ 64 h 85"/>
              <a:gd name="T84" fmla="*/ 4 w 78"/>
              <a:gd name="T85" fmla="*/ 59 h 85"/>
              <a:gd name="T86" fmla="*/ 2 w 78"/>
              <a:gd name="T87" fmla="*/ 53 h 85"/>
              <a:gd name="T88" fmla="*/ 2 w 78"/>
              <a:gd name="T89" fmla="*/ 47 h 85"/>
              <a:gd name="T90" fmla="*/ 7 w 78"/>
              <a:gd name="T91" fmla="*/ 37 h 85"/>
              <a:gd name="T92" fmla="*/ 12 w 78"/>
              <a:gd name="T93" fmla="*/ 33 h 85"/>
              <a:gd name="T94" fmla="*/ 15 w 78"/>
              <a:gd name="T95" fmla="*/ 31 h 85"/>
              <a:gd name="T96" fmla="*/ 18 w 78"/>
              <a:gd name="T97" fmla="*/ 25 h 85"/>
              <a:gd name="T98" fmla="*/ 19 w 78"/>
              <a:gd name="T99" fmla="*/ 25 h 85"/>
              <a:gd name="T100" fmla="*/ 20 w 78"/>
              <a:gd name="T101" fmla="*/ 21 h 85"/>
              <a:gd name="T102" fmla="*/ 22 w 78"/>
              <a:gd name="T103" fmla="*/ 15 h 85"/>
              <a:gd name="T104" fmla="*/ 24 w 78"/>
              <a:gd name="T105" fmla="*/ 12 h 85"/>
              <a:gd name="T106" fmla="*/ 25 w 78"/>
              <a:gd name="T107" fmla="*/ 10 h 85"/>
              <a:gd name="T108" fmla="*/ 28 w 78"/>
              <a:gd name="T109" fmla="*/ 8 h 85"/>
              <a:gd name="T110" fmla="*/ 32 w 78"/>
              <a:gd name="T111" fmla="*/ 5 h 85"/>
              <a:gd name="T112" fmla="*/ 31 w 78"/>
              <a:gd name="T113" fmla="*/ 3 h 85"/>
              <a:gd name="T114" fmla="*/ 34 w 78"/>
              <a:gd name="T115" fmla="*/ 1 h 85"/>
              <a:gd name="T116" fmla="*/ 38 w 78"/>
              <a:gd name="T117" fmla="*/ 1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78" h="85">
                <a:moveTo>
                  <a:pt x="41" y="0"/>
                </a:moveTo>
                <a:lnTo>
                  <a:pt x="41" y="2"/>
                </a:lnTo>
                <a:lnTo>
                  <a:pt x="42" y="3"/>
                </a:lnTo>
                <a:lnTo>
                  <a:pt x="43" y="3"/>
                </a:lnTo>
                <a:lnTo>
                  <a:pt x="44" y="3"/>
                </a:lnTo>
                <a:lnTo>
                  <a:pt x="45" y="5"/>
                </a:lnTo>
                <a:lnTo>
                  <a:pt x="47" y="5"/>
                </a:lnTo>
                <a:lnTo>
                  <a:pt x="47" y="6"/>
                </a:lnTo>
                <a:lnTo>
                  <a:pt x="47" y="7"/>
                </a:lnTo>
                <a:lnTo>
                  <a:pt x="47" y="8"/>
                </a:lnTo>
                <a:lnTo>
                  <a:pt x="47" y="9"/>
                </a:lnTo>
                <a:lnTo>
                  <a:pt x="47" y="11"/>
                </a:lnTo>
                <a:lnTo>
                  <a:pt x="47" y="12"/>
                </a:lnTo>
                <a:lnTo>
                  <a:pt x="47" y="13"/>
                </a:lnTo>
                <a:lnTo>
                  <a:pt x="48" y="14"/>
                </a:lnTo>
                <a:lnTo>
                  <a:pt x="48" y="15"/>
                </a:lnTo>
                <a:lnTo>
                  <a:pt x="48" y="16"/>
                </a:lnTo>
                <a:lnTo>
                  <a:pt x="48" y="17"/>
                </a:lnTo>
                <a:lnTo>
                  <a:pt x="49" y="17"/>
                </a:lnTo>
                <a:lnTo>
                  <a:pt x="49" y="18"/>
                </a:lnTo>
                <a:lnTo>
                  <a:pt x="50" y="19"/>
                </a:lnTo>
                <a:lnTo>
                  <a:pt x="51" y="19"/>
                </a:lnTo>
                <a:lnTo>
                  <a:pt x="52" y="19"/>
                </a:lnTo>
                <a:lnTo>
                  <a:pt x="53" y="19"/>
                </a:lnTo>
                <a:lnTo>
                  <a:pt x="53" y="20"/>
                </a:lnTo>
                <a:lnTo>
                  <a:pt x="54" y="20"/>
                </a:lnTo>
                <a:lnTo>
                  <a:pt x="55" y="21"/>
                </a:lnTo>
                <a:lnTo>
                  <a:pt x="55" y="20"/>
                </a:lnTo>
                <a:lnTo>
                  <a:pt x="56" y="18"/>
                </a:lnTo>
                <a:lnTo>
                  <a:pt x="57" y="18"/>
                </a:lnTo>
                <a:lnTo>
                  <a:pt x="57" y="16"/>
                </a:lnTo>
                <a:lnTo>
                  <a:pt x="57" y="16"/>
                </a:lnTo>
                <a:lnTo>
                  <a:pt x="58" y="16"/>
                </a:lnTo>
                <a:lnTo>
                  <a:pt x="59" y="16"/>
                </a:lnTo>
                <a:lnTo>
                  <a:pt x="60" y="16"/>
                </a:lnTo>
                <a:lnTo>
                  <a:pt x="64" y="16"/>
                </a:lnTo>
                <a:lnTo>
                  <a:pt x="68" y="15"/>
                </a:lnTo>
                <a:lnTo>
                  <a:pt x="69" y="15"/>
                </a:lnTo>
                <a:lnTo>
                  <a:pt x="70" y="15"/>
                </a:lnTo>
                <a:lnTo>
                  <a:pt x="71" y="17"/>
                </a:lnTo>
                <a:lnTo>
                  <a:pt x="72" y="19"/>
                </a:lnTo>
                <a:lnTo>
                  <a:pt x="73" y="19"/>
                </a:lnTo>
                <a:lnTo>
                  <a:pt x="75" y="19"/>
                </a:lnTo>
                <a:lnTo>
                  <a:pt x="76" y="18"/>
                </a:lnTo>
                <a:lnTo>
                  <a:pt x="76" y="19"/>
                </a:lnTo>
                <a:lnTo>
                  <a:pt x="77" y="20"/>
                </a:lnTo>
                <a:lnTo>
                  <a:pt x="77" y="22"/>
                </a:lnTo>
                <a:lnTo>
                  <a:pt x="78" y="22"/>
                </a:lnTo>
                <a:lnTo>
                  <a:pt x="77" y="24"/>
                </a:lnTo>
                <a:lnTo>
                  <a:pt x="75" y="25"/>
                </a:lnTo>
                <a:lnTo>
                  <a:pt x="75" y="25"/>
                </a:lnTo>
                <a:lnTo>
                  <a:pt x="76" y="25"/>
                </a:lnTo>
                <a:lnTo>
                  <a:pt x="74" y="25"/>
                </a:lnTo>
                <a:lnTo>
                  <a:pt x="73" y="25"/>
                </a:lnTo>
                <a:lnTo>
                  <a:pt x="74" y="26"/>
                </a:lnTo>
                <a:lnTo>
                  <a:pt x="74" y="27"/>
                </a:lnTo>
                <a:lnTo>
                  <a:pt x="76" y="28"/>
                </a:lnTo>
                <a:lnTo>
                  <a:pt x="73" y="28"/>
                </a:lnTo>
                <a:lnTo>
                  <a:pt x="73" y="29"/>
                </a:lnTo>
                <a:lnTo>
                  <a:pt x="72" y="29"/>
                </a:lnTo>
                <a:lnTo>
                  <a:pt x="72" y="30"/>
                </a:lnTo>
                <a:lnTo>
                  <a:pt x="71" y="30"/>
                </a:lnTo>
                <a:lnTo>
                  <a:pt x="71" y="30"/>
                </a:lnTo>
                <a:lnTo>
                  <a:pt x="70" y="30"/>
                </a:lnTo>
                <a:lnTo>
                  <a:pt x="70" y="30"/>
                </a:lnTo>
                <a:lnTo>
                  <a:pt x="70" y="29"/>
                </a:lnTo>
                <a:lnTo>
                  <a:pt x="69" y="28"/>
                </a:lnTo>
                <a:lnTo>
                  <a:pt x="69" y="28"/>
                </a:lnTo>
                <a:lnTo>
                  <a:pt x="69" y="27"/>
                </a:lnTo>
                <a:lnTo>
                  <a:pt x="68" y="27"/>
                </a:lnTo>
                <a:lnTo>
                  <a:pt x="68" y="27"/>
                </a:lnTo>
                <a:lnTo>
                  <a:pt x="67" y="27"/>
                </a:lnTo>
                <a:lnTo>
                  <a:pt x="67" y="28"/>
                </a:lnTo>
                <a:lnTo>
                  <a:pt x="67" y="29"/>
                </a:lnTo>
                <a:lnTo>
                  <a:pt x="67" y="30"/>
                </a:lnTo>
                <a:lnTo>
                  <a:pt x="67" y="31"/>
                </a:lnTo>
                <a:lnTo>
                  <a:pt x="67" y="31"/>
                </a:lnTo>
                <a:lnTo>
                  <a:pt x="67" y="31"/>
                </a:lnTo>
                <a:lnTo>
                  <a:pt x="67" y="31"/>
                </a:lnTo>
                <a:lnTo>
                  <a:pt x="67" y="33"/>
                </a:lnTo>
                <a:lnTo>
                  <a:pt x="66" y="34"/>
                </a:lnTo>
                <a:lnTo>
                  <a:pt x="65" y="35"/>
                </a:lnTo>
                <a:lnTo>
                  <a:pt x="64" y="35"/>
                </a:lnTo>
                <a:lnTo>
                  <a:pt x="64" y="36"/>
                </a:lnTo>
                <a:lnTo>
                  <a:pt x="62" y="38"/>
                </a:lnTo>
                <a:lnTo>
                  <a:pt x="62" y="39"/>
                </a:lnTo>
                <a:lnTo>
                  <a:pt x="61" y="39"/>
                </a:lnTo>
                <a:lnTo>
                  <a:pt x="60" y="40"/>
                </a:lnTo>
                <a:lnTo>
                  <a:pt x="57" y="40"/>
                </a:lnTo>
                <a:lnTo>
                  <a:pt x="58" y="41"/>
                </a:lnTo>
                <a:lnTo>
                  <a:pt x="59" y="42"/>
                </a:lnTo>
                <a:lnTo>
                  <a:pt x="60" y="44"/>
                </a:lnTo>
                <a:lnTo>
                  <a:pt x="62" y="46"/>
                </a:lnTo>
                <a:lnTo>
                  <a:pt x="61" y="48"/>
                </a:lnTo>
                <a:lnTo>
                  <a:pt x="60" y="51"/>
                </a:lnTo>
                <a:lnTo>
                  <a:pt x="60" y="54"/>
                </a:lnTo>
                <a:lnTo>
                  <a:pt x="59" y="54"/>
                </a:lnTo>
                <a:lnTo>
                  <a:pt x="57" y="53"/>
                </a:lnTo>
                <a:lnTo>
                  <a:pt x="57" y="55"/>
                </a:lnTo>
                <a:lnTo>
                  <a:pt x="55" y="57"/>
                </a:lnTo>
                <a:lnTo>
                  <a:pt x="55" y="58"/>
                </a:lnTo>
                <a:lnTo>
                  <a:pt x="56" y="59"/>
                </a:lnTo>
                <a:lnTo>
                  <a:pt x="53" y="62"/>
                </a:lnTo>
                <a:lnTo>
                  <a:pt x="53" y="64"/>
                </a:lnTo>
                <a:lnTo>
                  <a:pt x="52" y="66"/>
                </a:lnTo>
                <a:lnTo>
                  <a:pt x="52" y="66"/>
                </a:lnTo>
                <a:lnTo>
                  <a:pt x="51" y="68"/>
                </a:lnTo>
                <a:lnTo>
                  <a:pt x="50" y="69"/>
                </a:lnTo>
                <a:lnTo>
                  <a:pt x="49" y="70"/>
                </a:lnTo>
                <a:lnTo>
                  <a:pt x="48" y="70"/>
                </a:lnTo>
                <a:lnTo>
                  <a:pt x="48" y="70"/>
                </a:lnTo>
                <a:lnTo>
                  <a:pt x="47" y="70"/>
                </a:lnTo>
                <a:lnTo>
                  <a:pt x="47" y="70"/>
                </a:lnTo>
                <a:lnTo>
                  <a:pt x="47" y="69"/>
                </a:lnTo>
                <a:lnTo>
                  <a:pt x="45" y="70"/>
                </a:lnTo>
                <a:lnTo>
                  <a:pt x="45" y="71"/>
                </a:lnTo>
                <a:lnTo>
                  <a:pt x="44" y="71"/>
                </a:lnTo>
                <a:lnTo>
                  <a:pt x="43" y="72"/>
                </a:lnTo>
                <a:lnTo>
                  <a:pt x="41" y="73"/>
                </a:lnTo>
                <a:lnTo>
                  <a:pt x="40" y="74"/>
                </a:lnTo>
                <a:lnTo>
                  <a:pt x="39" y="75"/>
                </a:lnTo>
                <a:lnTo>
                  <a:pt x="37" y="76"/>
                </a:lnTo>
                <a:lnTo>
                  <a:pt x="36" y="77"/>
                </a:lnTo>
                <a:lnTo>
                  <a:pt x="35" y="77"/>
                </a:lnTo>
                <a:lnTo>
                  <a:pt x="34" y="77"/>
                </a:lnTo>
                <a:lnTo>
                  <a:pt x="33" y="77"/>
                </a:lnTo>
                <a:lnTo>
                  <a:pt x="32" y="77"/>
                </a:lnTo>
                <a:lnTo>
                  <a:pt x="29" y="81"/>
                </a:lnTo>
                <a:lnTo>
                  <a:pt x="28" y="82"/>
                </a:lnTo>
                <a:lnTo>
                  <a:pt x="28" y="82"/>
                </a:lnTo>
                <a:lnTo>
                  <a:pt x="26" y="84"/>
                </a:lnTo>
                <a:lnTo>
                  <a:pt x="25" y="84"/>
                </a:lnTo>
                <a:lnTo>
                  <a:pt x="23" y="85"/>
                </a:lnTo>
                <a:lnTo>
                  <a:pt x="22" y="84"/>
                </a:lnTo>
                <a:lnTo>
                  <a:pt x="22" y="83"/>
                </a:lnTo>
                <a:lnTo>
                  <a:pt x="22" y="83"/>
                </a:lnTo>
                <a:lnTo>
                  <a:pt x="21" y="83"/>
                </a:lnTo>
                <a:lnTo>
                  <a:pt x="21" y="82"/>
                </a:lnTo>
                <a:lnTo>
                  <a:pt x="20" y="81"/>
                </a:lnTo>
                <a:lnTo>
                  <a:pt x="18" y="81"/>
                </a:lnTo>
                <a:lnTo>
                  <a:pt x="17" y="80"/>
                </a:lnTo>
                <a:lnTo>
                  <a:pt x="16" y="79"/>
                </a:lnTo>
                <a:lnTo>
                  <a:pt x="15" y="79"/>
                </a:lnTo>
                <a:lnTo>
                  <a:pt x="14" y="80"/>
                </a:lnTo>
                <a:lnTo>
                  <a:pt x="12" y="80"/>
                </a:lnTo>
                <a:lnTo>
                  <a:pt x="11" y="79"/>
                </a:lnTo>
                <a:lnTo>
                  <a:pt x="11" y="78"/>
                </a:lnTo>
                <a:lnTo>
                  <a:pt x="10" y="78"/>
                </a:lnTo>
                <a:lnTo>
                  <a:pt x="8" y="80"/>
                </a:lnTo>
                <a:lnTo>
                  <a:pt x="6" y="81"/>
                </a:lnTo>
                <a:lnTo>
                  <a:pt x="6" y="81"/>
                </a:lnTo>
                <a:lnTo>
                  <a:pt x="3" y="81"/>
                </a:lnTo>
                <a:lnTo>
                  <a:pt x="3" y="79"/>
                </a:lnTo>
                <a:lnTo>
                  <a:pt x="3" y="78"/>
                </a:lnTo>
                <a:lnTo>
                  <a:pt x="3" y="77"/>
                </a:lnTo>
                <a:lnTo>
                  <a:pt x="2" y="76"/>
                </a:lnTo>
                <a:lnTo>
                  <a:pt x="1" y="75"/>
                </a:lnTo>
                <a:lnTo>
                  <a:pt x="0" y="74"/>
                </a:lnTo>
                <a:lnTo>
                  <a:pt x="0" y="73"/>
                </a:lnTo>
                <a:lnTo>
                  <a:pt x="1" y="72"/>
                </a:lnTo>
                <a:lnTo>
                  <a:pt x="1" y="72"/>
                </a:lnTo>
                <a:lnTo>
                  <a:pt x="1" y="72"/>
                </a:lnTo>
                <a:lnTo>
                  <a:pt x="2" y="72"/>
                </a:lnTo>
                <a:lnTo>
                  <a:pt x="2" y="70"/>
                </a:lnTo>
                <a:lnTo>
                  <a:pt x="4" y="67"/>
                </a:lnTo>
                <a:lnTo>
                  <a:pt x="4" y="66"/>
                </a:lnTo>
                <a:lnTo>
                  <a:pt x="3" y="66"/>
                </a:lnTo>
                <a:lnTo>
                  <a:pt x="3" y="64"/>
                </a:lnTo>
                <a:lnTo>
                  <a:pt x="3" y="63"/>
                </a:lnTo>
                <a:lnTo>
                  <a:pt x="4" y="62"/>
                </a:lnTo>
                <a:lnTo>
                  <a:pt x="5" y="60"/>
                </a:lnTo>
                <a:lnTo>
                  <a:pt x="4" y="59"/>
                </a:lnTo>
                <a:lnTo>
                  <a:pt x="3" y="59"/>
                </a:lnTo>
                <a:lnTo>
                  <a:pt x="3" y="57"/>
                </a:lnTo>
                <a:lnTo>
                  <a:pt x="2" y="54"/>
                </a:lnTo>
                <a:lnTo>
                  <a:pt x="2" y="53"/>
                </a:lnTo>
                <a:lnTo>
                  <a:pt x="2" y="52"/>
                </a:lnTo>
                <a:lnTo>
                  <a:pt x="1" y="51"/>
                </a:lnTo>
                <a:lnTo>
                  <a:pt x="2" y="49"/>
                </a:lnTo>
                <a:lnTo>
                  <a:pt x="2" y="47"/>
                </a:lnTo>
                <a:lnTo>
                  <a:pt x="3" y="44"/>
                </a:lnTo>
                <a:lnTo>
                  <a:pt x="3" y="40"/>
                </a:lnTo>
                <a:lnTo>
                  <a:pt x="5" y="38"/>
                </a:lnTo>
                <a:lnTo>
                  <a:pt x="7" y="37"/>
                </a:lnTo>
                <a:lnTo>
                  <a:pt x="8" y="36"/>
                </a:lnTo>
                <a:lnTo>
                  <a:pt x="8" y="35"/>
                </a:lnTo>
                <a:lnTo>
                  <a:pt x="9" y="34"/>
                </a:lnTo>
                <a:lnTo>
                  <a:pt x="12" y="33"/>
                </a:lnTo>
                <a:lnTo>
                  <a:pt x="12" y="31"/>
                </a:lnTo>
                <a:lnTo>
                  <a:pt x="13" y="31"/>
                </a:lnTo>
                <a:lnTo>
                  <a:pt x="15" y="32"/>
                </a:lnTo>
                <a:lnTo>
                  <a:pt x="15" y="31"/>
                </a:lnTo>
                <a:lnTo>
                  <a:pt x="16" y="28"/>
                </a:lnTo>
                <a:lnTo>
                  <a:pt x="17" y="27"/>
                </a:lnTo>
                <a:lnTo>
                  <a:pt x="17" y="26"/>
                </a:lnTo>
                <a:lnTo>
                  <a:pt x="18" y="25"/>
                </a:lnTo>
                <a:lnTo>
                  <a:pt x="19" y="25"/>
                </a:lnTo>
                <a:lnTo>
                  <a:pt x="18" y="25"/>
                </a:lnTo>
                <a:lnTo>
                  <a:pt x="18" y="25"/>
                </a:lnTo>
                <a:lnTo>
                  <a:pt x="19" y="25"/>
                </a:lnTo>
                <a:lnTo>
                  <a:pt x="19" y="23"/>
                </a:lnTo>
                <a:lnTo>
                  <a:pt x="19" y="23"/>
                </a:lnTo>
                <a:lnTo>
                  <a:pt x="20" y="21"/>
                </a:lnTo>
                <a:lnTo>
                  <a:pt x="20" y="21"/>
                </a:lnTo>
                <a:lnTo>
                  <a:pt x="21" y="19"/>
                </a:lnTo>
                <a:lnTo>
                  <a:pt x="22" y="17"/>
                </a:lnTo>
                <a:lnTo>
                  <a:pt x="22" y="16"/>
                </a:lnTo>
                <a:lnTo>
                  <a:pt x="22" y="15"/>
                </a:lnTo>
                <a:lnTo>
                  <a:pt x="22" y="14"/>
                </a:lnTo>
                <a:lnTo>
                  <a:pt x="23" y="13"/>
                </a:lnTo>
                <a:lnTo>
                  <a:pt x="24" y="12"/>
                </a:lnTo>
                <a:lnTo>
                  <a:pt x="24" y="12"/>
                </a:lnTo>
                <a:lnTo>
                  <a:pt x="25" y="12"/>
                </a:lnTo>
                <a:lnTo>
                  <a:pt x="25" y="11"/>
                </a:lnTo>
                <a:lnTo>
                  <a:pt x="25" y="10"/>
                </a:lnTo>
                <a:lnTo>
                  <a:pt x="25" y="10"/>
                </a:lnTo>
                <a:lnTo>
                  <a:pt x="26" y="10"/>
                </a:lnTo>
                <a:lnTo>
                  <a:pt x="27" y="10"/>
                </a:lnTo>
                <a:lnTo>
                  <a:pt x="28" y="8"/>
                </a:lnTo>
                <a:lnTo>
                  <a:pt x="28" y="8"/>
                </a:lnTo>
                <a:lnTo>
                  <a:pt x="30" y="8"/>
                </a:lnTo>
                <a:lnTo>
                  <a:pt x="31" y="7"/>
                </a:lnTo>
                <a:lnTo>
                  <a:pt x="32" y="6"/>
                </a:lnTo>
                <a:lnTo>
                  <a:pt x="32" y="5"/>
                </a:lnTo>
                <a:lnTo>
                  <a:pt x="33" y="4"/>
                </a:lnTo>
                <a:lnTo>
                  <a:pt x="32" y="4"/>
                </a:lnTo>
                <a:lnTo>
                  <a:pt x="32" y="3"/>
                </a:lnTo>
                <a:lnTo>
                  <a:pt x="31" y="3"/>
                </a:lnTo>
                <a:lnTo>
                  <a:pt x="32" y="3"/>
                </a:lnTo>
                <a:lnTo>
                  <a:pt x="33" y="3"/>
                </a:lnTo>
                <a:lnTo>
                  <a:pt x="34" y="2"/>
                </a:lnTo>
                <a:lnTo>
                  <a:pt x="34" y="1"/>
                </a:lnTo>
                <a:lnTo>
                  <a:pt x="35" y="2"/>
                </a:lnTo>
                <a:lnTo>
                  <a:pt x="37" y="1"/>
                </a:lnTo>
                <a:lnTo>
                  <a:pt x="37" y="1"/>
                </a:lnTo>
                <a:lnTo>
                  <a:pt x="38" y="1"/>
                </a:lnTo>
                <a:lnTo>
                  <a:pt x="39" y="0"/>
                </a:lnTo>
                <a:lnTo>
                  <a:pt x="41" y="0"/>
                </a:lnTo>
              </a:path>
            </a:pathLst>
          </a:custGeom>
          <a:grpFill/>
          <a:ln w="9525">
            <a:solidFill>
              <a:schemeClr val="bg1">
                <a:lumMod val="65000"/>
              </a:schemeClr>
            </a:solidFill>
            <a:prstDash val="solid"/>
            <a:round/>
            <a:headEnd/>
            <a:tailEnd/>
          </a:ln>
        </xdr:spPr>
      </xdr:sp>
      <xdr:sp macro="" textlink="">
        <xdr:nvSpPr>
          <xdr:cNvPr id="205" name="GIN005006"/>
          <xdr:cNvSpPr>
            <a:spLocks noChangeAspect="1"/>
          </xdr:cNvSpPr>
        </xdr:nvSpPr>
        <xdr:spPr bwMode="auto">
          <a:xfrm>
            <a:off x="4558269" y="3387746"/>
            <a:ext cx="1108240" cy="886195"/>
          </a:xfrm>
          <a:custGeom>
            <a:avLst/>
            <a:gdLst>
              <a:gd name="T0" fmla="*/ 52 w 117"/>
              <a:gd name="T1" fmla="*/ 0 h 97"/>
              <a:gd name="T2" fmla="*/ 55 w 117"/>
              <a:gd name="T3" fmla="*/ 8 h 97"/>
              <a:gd name="T4" fmla="*/ 67 w 117"/>
              <a:gd name="T5" fmla="*/ 4 h 97"/>
              <a:gd name="T6" fmla="*/ 69 w 117"/>
              <a:gd name="T7" fmla="*/ 12 h 97"/>
              <a:gd name="T8" fmla="*/ 75 w 117"/>
              <a:gd name="T9" fmla="*/ 32 h 97"/>
              <a:gd name="T10" fmla="*/ 75 w 117"/>
              <a:gd name="T11" fmla="*/ 26 h 97"/>
              <a:gd name="T12" fmla="*/ 77 w 117"/>
              <a:gd name="T13" fmla="*/ 24 h 97"/>
              <a:gd name="T14" fmla="*/ 81 w 117"/>
              <a:gd name="T15" fmla="*/ 22 h 97"/>
              <a:gd name="T16" fmla="*/ 84 w 117"/>
              <a:gd name="T17" fmla="*/ 20 h 97"/>
              <a:gd name="T18" fmla="*/ 86 w 117"/>
              <a:gd name="T19" fmla="*/ 20 h 97"/>
              <a:gd name="T20" fmla="*/ 90 w 117"/>
              <a:gd name="T21" fmla="*/ 19 h 97"/>
              <a:gd name="T22" fmla="*/ 94 w 117"/>
              <a:gd name="T23" fmla="*/ 19 h 97"/>
              <a:gd name="T24" fmla="*/ 97 w 117"/>
              <a:gd name="T25" fmla="*/ 19 h 97"/>
              <a:gd name="T26" fmla="*/ 100 w 117"/>
              <a:gd name="T27" fmla="*/ 26 h 97"/>
              <a:gd name="T28" fmla="*/ 108 w 117"/>
              <a:gd name="T29" fmla="*/ 24 h 97"/>
              <a:gd name="T30" fmla="*/ 117 w 117"/>
              <a:gd name="T31" fmla="*/ 27 h 97"/>
              <a:gd name="T32" fmla="*/ 116 w 117"/>
              <a:gd name="T33" fmla="*/ 29 h 97"/>
              <a:gd name="T34" fmla="*/ 111 w 117"/>
              <a:gd name="T35" fmla="*/ 35 h 97"/>
              <a:gd name="T36" fmla="*/ 105 w 117"/>
              <a:gd name="T37" fmla="*/ 41 h 97"/>
              <a:gd name="T38" fmla="*/ 99 w 117"/>
              <a:gd name="T39" fmla="*/ 55 h 97"/>
              <a:gd name="T40" fmla="*/ 102 w 117"/>
              <a:gd name="T41" fmla="*/ 63 h 97"/>
              <a:gd name="T42" fmla="*/ 102 w 117"/>
              <a:gd name="T43" fmla="*/ 70 h 97"/>
              <a:gd name="T44" fmla="*/ 99 w 117"/>
              <a:gd name="T45" fmla="*/ 76 h 97"/>
              <a:gd name="T46" fmla="*/ 100 w 117"/>
              <a:gd name="T47" fmla="*/ 81 h 97"/>
              <a:gd name="T48" fmla="*/ 95 w 117"/>
              <a:gd name="T49" fmla="*/ 91 h 97"/>
              <a:gd name="T50" fmla="*/ 91 w 117"/>
              <a:gd name="T51" fmla="*/ 96 h 97"/>
              <a:gd name="T52" fmla="*/ 84 w 117"/>
              <a:gd name="T53" fmla="*/ 93 h 97"/>
              <a:gd name="T54" fmla="*/ 77 w 117"/>
              <a:gd name="T55" fmla="*/ 96 h 97"/>
              <a:gd name="T56" fmla="*/ 69 w 117"/>
              <a:gd name="T57" fmla="*/ 92 h 97"/>
              <a:gd name="T58" fmla="*/ 64 w 117"/>
              <a:gd name="T59" fmla="*/ 88 h 97"/>
              <a:gd name="T60" fmla="*/ 60 w 117"/>
              <a:gd name="T61" fmla="*/ 86 h 97"/>
              <a:gd name="T62" fmla="*/ 58 w 117"/>
              <a:gd name="T63" fmla="*/ 83 h 97"/>
              <a:gd name="T64" fmla="*/ 57 w 117"/>
              <a:gd name="T65" fmla="*/ 77 h 97"/>
              <a:gd name="T66" fmla="*/ 62 w 117"/>
              <a:gd name="T67" fmla="*/ 71 h 97"/>
              <a:gd name="T68" fmla="*/ 59 w 117"/>
              <a:gd name="T69" fmla="*/ 68 h 97"/>
              <a:gd name="T70" fmla="*/ 56 w 117"/>
              <a:gd name="T71" fmla="*/ 68 h 97"/>
              <a:gd name="T72" fmla="*/ 52 w 117"/>
              <a:gd name="T73" fmla="*/ 69 h 97"/>
              <a:gd name="T74" fmla="*/ 53 w 117"/>
              <a:gd name="T75" fmla="*/ 61 h 97"/>
              <a:gd name="T76" fmla="*/ 50 w 117"/>
              <a:gd name="T77" fmla="*/ 57 h 97"/>
              <a:gd name="T78" fmla="*/ 37 w 117"/>
              <a:gd name="T79" fmla="*/ 65 h 97"/>
              <a:gd name="T80" fmla="*/ 29 w 117"/>
              <a:gd name="T81" fmla="*/ 69 h 97"/>
              <a:gd name="T82" fmla="*/ 27 w 117"/>
              <a:gd name="T83" fmla="*/ 67 h 97"/>
              <a:gd name="T84" fmla="*/ 19 w 117"/>
              <a:gd name="T85" fmla="*/ 62 h 97"/>
              <a:gd name="T86" fmla="*/ 13 w 117"/>
              <a:gd name="T87" fmla="*/ 64 h 97"/>
              <a:gd name="T88" fmla="*/ 9 w 117"/>
              <a:gd name="T89" fmla="*/ 69 h 97"/>
              <a:gd name="T90" fmla="*/ 6 w 117"/>
              <a:gd name="T91" fmla="*/ 70 h 97"/>
              <a:gd name="T92" fmla="*/ 1 w 117"/>
              <a:gd name="T93" fmla="*/ 61 h 97"/>
              <a:gd name="T94" fmla="*/ 12 w 117"/>
              <a:gd name="T95" fmla="*/ 48 h 97"/>
              <a:gd name="T96" fmla="*/ 20 w 117"/>
              <a:gd name="T97" fmla="*/ 40 h 97"/>
              <a:gd name="T98" fmla="*/ 18 w 117"/>
              <a:gd name="T99" fmla="*/ 30 h 97"/>
              <a:gd name="T100" fmla="*/ 23 w 117"/>
              <a:gd name="T101" fmla="*/ 20 h 97"/>
              <a:gd name="T102" fmla="*/ 20 w 117"/>
              <a:gd name="T103" fmla="*/ 16 h 97"/>
              <a:gd name="T104" fmla="*/ 17 w 117"/>
              <a:gd name="T105" fmla="*/ 12 h 97"/>
              <a:gd name="T106" fmla="*/ 14 w 117"/>
              <a:gd name="T107" fmla="*/ 9 h 97"/>
              <a:gd name="T108" fmla="*/ 24 w 117"/>
              <a:gd name="T109" fmla="*/ 5 h 97"/>
              <a:gd name="T110" fmla="*/ 35 w 117"/>
              <a:gd name="T111" fmla="*/ 4 h 9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117" h="97">
                <a:moveTo>
                  <a:pt x="44" y="0"/>
                </a:moveTo>
                <a:lnTo>
                  <a:pt x="46" y="0"/>
                </a:lnTo>
                <a:lnTo>
                  <a:pt x="46" y="0"/>
                </a:lnTo>
                <a:lnTo>
                  <a:pt x="49" y="1"/>
                </a:lnTo>
                <a:lnTo>
                  <a:pt x="50" y="0"/>
                </a:lnTo>
                <a:lnTo>
                  <a:pt x="52" y="0"/>
                </a:lnTo>
                <a:lnTo>
                  <a:pt x="53" y="1"/>
                </a:lnTo>
                <a:lnTo>
                  <a:pt x="54" y="2"/>
                </a:lnTo>
                <a:lnTo>
                  <a:pt x="52" y="7"/>
                </a:lnTo>
                <a:lnTo>
                  <a:pt x="52" y="9"/>
                </a:lnTo>
                <a:lnTo>
                  <a:pt x="54" y="9"/>
                </a:lnTo>
                <a:lnTo>
                  <a:pt x="55" y="8"/>
                </a:lnTo>
                <a:lnTo>
                  <a:pt x="57" y="7"/>
                </a:lnTo>
                <a:lnTo>
                  <a:pt x="60" y="6"/>
                </a:lnTo>
                <a:lnTo>
                  <a:pt x="62" y="4"/>
                </a:lnTo>
                <a:lnTo>
                  <a:pt x="64" y="4"/>
                </a:lnTo>
                <a:lnTo>
                  <a:pt x="65" y="4"/>
                </a:lnTo>
                <a:lnTo>
                  <a:pt x="67" y="4"/>
                </a:lnTo>
                <a:lnTo>
                  <a:pt x="68" y="3"/>
                </a:lnTo>
                <a:lnTo>
                  <a:pt x="69" y="4"/>
                </a:lnTo>
                <a:lnTo>
                  <a:pt x="70" y="5"/>
                </a:lnTo>
                <a:lnTo>
                  <a:pt x="68" y="9"/>
                </a:lnTo>
                <a:lnTo>
                  <a:pt x="68" y="10"/>
                </a:lnTo>
                <a:lnTo>
                  <a:pt x="69" y="12"/>
                </a:lnTo>
                <a:lnTo>
                  <a:pt x="70" y="15"/>
                </a:lnTo>
                <a:lnTo>
                  <a:pt x="71" y="20"/>
                </a:lnTo>
                <a:lnTo>
                  <a:pt x="73" y="23"/>
                </a:lnTo>
                <a:lnTo>
                  <a:pt x="73" y="28"/>
                </a:lnTo>
                <a:lnTo>
                  <a:pt x="75" y="32"/>
                </a:lnTo>
                <a:lnTo>
                  <a:pt x="75" y="32"/>
                </a:lnTo>
                <a:lnTo>
                  <a:pt x="76" y="32"/>
                </a:lnTo>
                <a:lnTo>
                  <a:pt x="76" y="31"/>
                </a:lnTo>
                <a:lnTo>
                  <a:pt x="77" y="31"/>
                </a:lnTo>
                <a:lnTo>
                  <a:pt x="77" y="31"/>
                </a:lnTo>
                <a:lnTo>
                  <a:pt x="76" y="29"/>
                </a:lnTo>
                <a:lnTo>
                  <a:pt x="75" y="26"/>
                </a:lnTo>
                <a:lnTo>
                  <a:pt x="74" y="25"/>
                </a:lnTo>
                <a:lnTo>
                  <a:pt x="75" y="24"/>
                </a:lnTo>
                <a:lnTo>
                  <a:pt x="75" y="24"/>
                </a:lnTo>
                <a:lnTo>
                  <a:pt x="76" y="24"/>
                </a:lnTo>
                <a:lnTo>
                  <a:pt x="77" y="24"/>
                </a:lnTo>
                <a:lnTo>
                  <a:pt x="77" y="24"/>
                </a:lnTo>
                <a:lnTo>
                  <a:pt x="78" y="24"/>
                </a:lnTo>
                <a:lnTo>
                  <a:pt x="78" y="24"/>
                </a:lnTo>
                <a:lnTo>
                  <a:pt x="79" y="23"/>
                </a:lnTo>
                <a:lnTo>
                  <a:pt x="79" y="23"/>
                </a:lnTo>
                <a:lnTo>
                  <a:pt x="81" y="23"/>
                </a:lnTo>
                <a:lnTo>
                  <a:pt x="81" y="22"/>
                </a:lnTo>
                <a:lnTo>
                  <a:pt x="82" y="22"/>
                </a:lnTo>
                <a:lnTo>
                  <a:pt x="83" y="21"/>
                </a:lnTo>
                <a:lnTo>
                  <a:pt x="83" y="21"/>
                </a:lnTo>
                <a:lnTo>
                  <a:pt x="83" y="21"/>
                </a:lnTo>
                <a:lnTo>
                  <a:pt x="83" y="21"/>
                </a:lnTo>
                <a:lnTo>
                  <a:pt x="84" y="20"/>
                </a:lnTo>
                <a:lnTo>
                  <a:pt x="85" y="20"/>
                </a:lnTo>
                <a:lnTo>
                  <a:pt x="85" y="20"/>
                </a:lnTo>
                <a:lnTo>
                  <a:pt x="85" y="20"/>
                </a:lnTo>
                <a:lnTo>
                  <a:pt x="86" y="20"/>
                </a:lnTo>
                <a:lnTo>
                  <a:pt x="86" y="20"/>
                </a:lnTo>
                <a:lnTo>
                  <a:pt x="86" y="20"/>
                </a:lnTo>
                <a:lnTo>
                  <a:pt x="87" y="20"/>
                </a:lnTo>
                <a:lnTo>
                  <a:pt x="88" y="20"/>
                </a:lnTo>
                <a:lnTo>
                  <a:pt x="88" y="20"/>
                </a:lnTo>
                <a:lnTo>
                  <a:pt x="89" y="20"/>
                </a:lnTo>
                <a:lnTo>
                  <a:pt x="90" y="19"/>
                </a:lnTo>
                <a:lnTo>
                  <a:pt x="90" y="19"/>
                </a:lnTo>
                <a:lnTo>
                  <a:pt x="90" y="19"/>
                </a:lnTo>
                <a:lnTo>
                  <a:pt x="91" y="19"/>
                </a:lnTo>
                <a:lnTo>
                  <a:pt x="91" y="20"/>
                </a:lnTo>
                <a:lnTo>
                  <a:pt x="92" y="20"/>
                </a:lnTo>
                <a:lnTo>
                  <a:pt x="93" y="20"/>
                </a:lnTo>
                <a:lnTo>
                  <a:pt x="94" y="19"/>
                </a:lnTo>
                <a:lnTo>
                  <a:pt x="94" y="19"/>
                </a:lnTo>
                <a:lnTo>
                  <a:pt x="95" y="19"/>
                </a:lnTo>
                <a:lnTo>
                  <a:pt x="96" y="19"/>
                </a:lnTo>
                <a:lnTo>
                  <a:pt x="96" y="19"/>
                </a:lnTo>
                <a:lnTo>
                  <a:pt x="97" y="19"/>
                </a:lnTo>
                <a:lnTo>
                  <a:pt x="97" y="19"/>
                </a:lnTo>
                <a:lnTo>
                  <a:pt x="98" y="20"/>
                </a:lnTo>
                <a:lnTo>
                  <a:pt x="98" y="20"/>
                </a:lnTo>
                <a:lnTo>
                  <a:pt x="98" y="20"/>
                </a:lnTo>
                <a:lnTo>
                  <a:pt x="99" y="21"/>
                </a:lnTo>
                <a:lnTo>
                  <a:pt x="100" y="22"/>
                </a:lnTo>
                <a:lnTo>
                  <a:pt x="100" y="26"/>
                </a:lnTo>
                <a:lnTo>
                  <a:pt x="100" y="27"/>
                </a:lnTo>
                <a:lnTo>
                  <a:pt x="101" y="27"/>
                </a:lnTo>
                <a:lnTo>
                  <a:pt x="104" y="28"/>
                </a:lnTo>
                <a:lnTo>
                  <a:pt x="105" y="27"/>
                </a:lnTo>
                <a:lnTo>
                  <a:pt x="107" y="26"/>
                </a:lnTo>
                <a:lnTo>
                  <a:pt x="108" y="24"/>
                </a:lnTo>
                <a:lnTo>
                  <a:pt x="109" y="23"/>
                </a:lnTo>
                <a:lnTo>
                  <a:pt x="110" y="23"/>
                </a:lnTo>
                <a:lnTo>
                  <a:pt x="111" y="24"/>
                </a:lnTo>
                <a:lnTo>
                  <a:pt x="112" y="25"/>
                </a:lnTo>
                <a:lnTo>
                  <a:pt x="116" y="26"/>
                </a:lnTo>
                <a:lnTo>
                  <a:pt x="117" y="27"/>
                </a:lnTo>
                <a:lnTo>
                  <a:pt x="117" y="27"/>
                </a:lnTo>
                <a:lnTo>
                  <a:pt x="117" y="29"/>
                </a:lnTo>
                <a:lnTo>
                  <a:pt x="116" y="29"/>
                </a:lnTo>
                <a:lnTo>
                  <a:pt x="116" y="29"/>
                </a:lnTo>
                <a:lnTo>
                  <a:pt x="117" y="29"/>
                </a:lnTo>
                <a:lnTo>
                  <a:pt x="116" y="29"/>
                </a:lnTo>
                <a:lnTo>
                  <a:pt x="115" y="30"/>
                </a:lnTo>
                <a:lnTo>
                  <a:pt x="115" y="31"/>
                </a:lnTo>
                <a:lnTo>
                  <a:pt x="114" y="32"/>
                </a:lnTo>
                <a:lnTo>
                  <a:pt x="113" y="35"/>
                </a:lnTo>
                <a:lnTo>
                  <a:pt x="113" y="36"/>
                </a:lnTo>
                <a:lnTo>
                  <a:pt x="111" y="35"/>
                </a:lnTo>
                <a:lnTo>
                  <a:pt x="110" y="35"/>
                </a:lnTo>
                <a:lnTo>
                  <a:pt x="110" y="37"/>
                </a:lnTo>
                <a:lnTo>
                  <a:pt x="107" y="38"/>
                </a:lnTo>
                <a:lnTo>
                  <a:pt x="106" y="39"/>
                </a:lnTo>
                <a:lnTo>
                  <a:pt x="106" y="40"/>
                </a:lnTo>
                <a:lnTo>
                  <a:pt x="105" y="41"/>
                </a:lnTo>
                <a:lnTo>
                  <a:pt x="103" y="42"/>
                </a:lnTo>
                <a:lnTo>
                  <a:pt x="101" y="44"/>
                </a:lnTo>
                <a:lnTo>
                  <a:pt x="101" y="48"/>
                </a:lnTo>
                <a:lnTo>
                  <a:pt x="100" y="51"/>
                </a:lnTo>
                <a:lnTo>
                  <a:pt x="100" y="53"/>
                </a:lnTo>
                <a:lnTo>
                  <a:pt x="99" y="55"/>
                </a:lnTo>
                <a:lnTo>
                  <a:pt x="100" y="56"/>
                </a:lnTo>
                <a:lnTo>
                  <a:pt x="100" y="57"/>
                </a:lnTo>
                <a:lnTo>
                  <a:pt x="100" y="58"/>
                </a:lnTo>
                <a:lnTo>
                  <a:pt x="101" y="61"/>
                </a:lnTo>
                <a:lnTo>
                  <a:pt x="101" y="63"/>
                </a:lnTo>
                <a:lnTo>
                  <a:pt x="102" y="63"/>
                </a:lnTo>
                <a:lnTo>
                  <a:pt x="103" y="64"/>
                </a:lnTo>
                <a:lnTo>
                  <a:pt x="102" y="66"/>
                </a:lnTo>
                <a:lnTo>
                  <a:pt x="101" y="67"/>
                </a:lnTo>
                <a:lnTo>
                  <a:pt x="101" y="68"/>
                </a:lnTo>
                <a:lnTo>
                  <a:pt x="101" y="70"/>
                </a:lnTo>
                <a:lnTo>
                  <a:pt x="102" y="70"/>
                </a:lnTo>
                <a:lnTo>
                  <a:pt x="102" y="71"/>
                </a:lnTo>
                <a:lnTo>
                  <a:pt x="100" y="74"/>
                </a:lnTo>
                <a:lnTo>
                  <a:pt x="100" y="76"/>
                </a:lnTo>
                <a:lnTo>
                  <a:pt x="99" y="76"/>
                </a:lnTo>
                <a:lnTo>
                  <a:pt x="99" y="76"/>
                </a:lnTo>
                <a:lnTo>
                  <a:pt x="99" y="76"/>
                </a:lnTo>
                <a:lnTo>
                  <a:pt x="98" y="77"/>
                </a:lnTo>
                <a:lnTo>
                  <a:pt x="98" y="78"/>
                </a:lnTo>
                <a:lnTo>
                  <a:pt x="99" y="79"/>
                </a:lnTo>
                <a:lnTo>
                  <a:pt x="100" y="80"/>
                </a:lnTo>
                <a:lnTo>
                  <a:pt x="101" y="81"/>
                </a:lnTo>
                <a:lnTo>
                  <a:pt x="100" y="81"/>
                </a:lnTo>
                <a:lnTo>
                  <a:pt x="99" y="82"/>
                </a:lnTo>
                <a:lnTo>
                  <a:pt x="98" y="84"/>
                </a:lnTo>
                <a:lnTo>
                  <a:pt x="99" y="85"/>
                </a:lnTo>
                <a:lnTo>
                  <a:pt x="98" y="86"/>
                </a:lnTo>
                <a:lnTo>
                  <a:pt x="96" y="89"/>
                </a:lnTo>
                <a:lnTo>
                  <a:pt x="95" y="91"/>
                </a:lnTo>
                <a:lnTo>
                  <a:pt x="95" y="92"/>
                </a:lnTo>
                <a:lnTo>
                  <a:pt x="95" y="92"/>
                </a:lnTo>
                <a:lnTo>
                  <a:pt x="94" y="93"/>
                </a:lnTo>
                <a:lnTo>
                  <a:pt x="94" y="94"/>
                </a:lnTo>
                <a:lnTo>
                  <a:pt x="91" y="96"/>
                </a:lnTo>
                <a:lnTo>
                  <a:pt x="91" y="96"/>
                </a:lnTo>
                <a:lnTo>
                  <a:pt x="91" y="95"/>
                </a:lnTo>
                <a:lnTo>
                  <a:pt x="91" y="95"/>
                </a:lnTo>
                <a:lnTo>
                  <a:pt x="89" y="94"/>
                </a:lnTo>
                <a:lnTo>
                  <a:pt x="87" y="93"/>
                </a:lnTo>
                <a:lnTo>
                  <a:pt x="86" y="93"/>
                </a:lnTo>
                <a:lnTo>
                  <a:pt x="84" y="93"/>
                </a:lnTo>
                <a:lnTo>
                  <a:pt x="82" y="95"/>
                </a:lnTo>
                <a:lnTo>
                  <a:pt x="81" y="96"/>
                </a:lnTo>
                <a:lnTo>
                  <a:pt x="79" y="97"/>
                </a:lnTo>
                <a:lnTo>
                  <a:pt x="78" y="96"/>
                </a:lnTo>
                <a:lnTo>
                  <a:pt x="77" y="96"/>
                </a:lnTo>
                <a:lnTo>
                  <a:pt x="77" y="96"/>
                </a:lnTo>
                <a:lnTo>
                  <a:pt x="75" y="96"/>
                </a:lnTo>
                <a:lnTo>
                  <a:pt x="73" y="95"/>
                </a:lnTo>
                <a:lnTo>
                  <a:pt x="70" y="94"/>
                </a:lnTo>
                <a:lnTo>
                  <a:pt x="70" y="95"/>
                </a:lnTo>
                <a:lnTo>
                  <a:pt x="69" y="93"/>
                </a:lnTo>
                <a:lnTo>
                  <a:pt x="69" y="92"/>
                </a:lnTo>
                <a:lnTo>
                  <a:pt x="69" y="92"/>
                </a:lnTo>
                <a:lnTo>
                  <a:pt x="68" y="92"/>
                </a:lnTo>
                <a:lnTo>
                  <a:pt x="67" y="92"/>
                </a:lnTo>
                <a:lnTo>
                  <a:pt x="65" y="90"/>
                </a:lnTo>
                <a:lnTo>
                  <a:pt x="64" y="89"/>
                </a:lnTo>
                <a:lnTo>
                  <a:pt x="64" y="88"/>
                </a:lnTo>
                <a:lnTo>
                  <a:pt x="62" y="88"/>
                </a:lnTo>
                <a:lnTo>
                  <a:pt x="62" y="88"/>
                </a:lnTo>
                <a:lnTo>
                  <a:pt x="62" y="87"/>
                </a:lnTo>
                <a:lnTo>
                  <a:pt x="61" y="87"/>
                </a:lnTo>
                <a:lnTo>
                  <a:pt x="60" y="86"/>
                </a:lnTo>
                <a:lnTo>
                  <a:pt x="60" y="86"/>
                </a:lnTo>
                <a:lnTo>
                  <a:pt x="60" y="86"/>
                </a:lnTo>
                <a:lnTo>
                  <a:pt x="59" y="85"/>
                </a:lnTo>
                <a:lnTo>
                  <a:pt x="58" y="85"/>
                </a:lnTo>
                <a:lnTo>
                  <a:pt x="57" y="85"/>
                </a:lnTo>
                <a:lnTo>
                  <a:pt x="57" y="85"/>
                </a:lnTo>
                <a:lnTo>
                  <a:pt x="58" y="83"/>
                </a:lnTo>
                <a:lnTo>
                  <a:pt x="58" y="81"/>
                </a:lnTo>
                <a:lnTo>
                  <a:pt x="58" y="81"/>
                </a:lnTo>
                <a:lnTo>
                  <a:pt x="57" y="79"/>
                </a:lnTo>
                <a:lnTo>
                  <a:pt x="56" y="78"/>
                </a:lnTo>
                <a:lnTo>
                  <a:pt x="57" y="77"/>
                </a:lnTo>
                <a:lnTo>
                  <a:pt x="57" y="77"/>
                </a:lnTo>
                <a:lnTo>
                  <a:pt x="58" y="75"/>
                </a:lnTo>
                <a:lnTo>
                  <a:pt x="59" y="75"/>
                </a:lnTo>
                <a:lnTo>
                  <a:pt x="59" y="74"/>
                </a:lnTo>
                <a:lnTo>
                  <a:pt x="59" y="74"/>
                </a:lnTo>
                <a:lnTo>
                  <a:pt x="61" y="72"/>
                </a:lnTo>
                <a:lnTo>
                  <a:pt x="62" y="71"/>
                </a:lnTo>
                <a:lnTo>
                  <a:pt x="62" y="71"/>
                </a:lnTo>
                <a:lnTo>
                  <a:pt x="62" y="71"/>
                </a:lnTo>
                <a:lnTo>
                  <a:pt x="60" y="69"/>
                </a:lnTo>
                <a:lnTo>
                  <a:pt x="60" y="69"/>
                </a:lnTo>
                <a:lnTo>
                  <a:pt x="59" y="68"/>
                </a:lnTo>
                <a:lnTo>
                  <a:pt x="59" y="68"/>
                </a:lnTo>
                <a:lnTo>
                  <a:pt x="58" y="68"/>
                </a:lnTo>
                <a:lnTo>
                  <a:pt x="57" y="67"/>
                </a:lnTo>
                <a:lnTo>
                  <a:pt x="57" y="67"/>
                </a:lnTo>
                <a:lnTo>
                  <a:pt x="56" y="67"/>
                </a:lnTo>
                <a:lnTo>
                  <a:pt x="56" y="68"/>
                </a:lnTo>
                <a:lnTo>
                  <a:pt x="56" y="68"/>
                </a:lnTo>
                <a:lnTo>
                  <a:pt x="55" y="68"/>
                </a:lnTo>
                <a:lnTo>
                  <a:pt x="55" y="68"/>
                </a:lnTo>
                <a:lnTo>
                  <a:pt x="54" y="68"/>
                </a:lnTo>
                <a:lnTo>
                  <a:pt x="54" y="69"/>
                </a:lnTo>
                <a:lnTo>
                  <a:pt x="53" y="69"/>
                </a:lnTo>
                <a:lnTo>
                  <a:pt x="52" y="69"/>
                </a:lnTo>
                <a:lnTo>
                  <a:pt x="52" y="69"/>
                </a:lnTo>
                <a:lnTo>
                  <a:pt x="52" y="69"/>
                </a:lnTo>
                <a:lnTo>
                  <a:pt x="52" y="68"/>
                </a:lnTo>
                <a:lnTo>
                  <a:pt x="52" y="65"/>
                </a:lnTo>
                <a:lnTo>
                  <a:pt x="53" y="63"/>
                </a:lnTo>
                <a:lnTo>
                  <a:pt x="53" y="61"/>
                </a:lnTo>
                <a:lnTo>
                  <a:pt x="53" y="61"/>
                </a:lnTo>
                <a:lnTo>
                  <a:pt x="53" y="60"/>
                </a:lnTo>
                <a:lnTo>
                  <a:pt x="52" y="59"/>
                </a:lnTo>
                <a:lnTo>
                  <a:pt x="50" y="58"/>
                </a:lnTo>
                <a:lnTo>
                  <a:pt x="50" y="57"/>
                </a:lnTo>
                <a:lnTo>
                  <a:pt x="50" y="57"/>
                </a:lnTo>
                <a:lnTo>
                  <a:pt x="50" y="57"/>
                </a:lnTo>
                <a:lnTo>
                  <a:pt x="49" y="57"/>
                </a:lnTo>
                <a:lnTo>
                  <a:pt x="48" y="57"/>
                </a:lnTo>
                <a:lnTo>
                  <a:pt x="45" y="58"/>
                </a:lnTo>
                <a:lnTo>
                  <a:pt x="40" y="63"/>
                </a:lnTo>
                <a:lnTo>
                  <a:pt x="37" y="65"/>
                </a:lnTo>
                <a:lnTo>
                  <a:pt x="37" y="66"/>
                </a:lnTo>
                <a:lnTo>
                  <a:pt x="32" y="70"/>
                </a:lnTo>
                <a:lnTo>
                  <a:pt x="30" y="70"/>
                </a:lnTo>
                <a:lnTo>
                  <a:pt x="30" y="70"/>
                </a:lnTo>
                <a:lnTo>
                  <a:pt x="30" y="70"/>
                </a:lnTo>
                <a:lnTo>
                  <a:pt x="29" y="69"/>
                </a:lnTo>
                <a:lnTo>
                  <a:pt x="29" y="69"/>
                </a:lnTo>
                <a:lnTo>
                  <a:pt x="29" y="68"/>
                </a:lnTo>
                <a:lnTo>
                  <a:pt x="29" y="68"/>
                </a:lnTo>
                <a:lnTo>
                  <a:pt x="29" y="67"/>
                </a:lnTo>
                <a:lnTo>
                  <a:pt x="27" y="67"/>
                </a:lnTo>
                <a:lnTo>
                  <a:pt x="27" y="67"/>
                </a:lnTo>
                <a:lnTo>
                  <a:pt x="26" y="64"/>
                </a:lnTo>
                <a:lnTo>
                  <a:pt x="25" y="64"/>
                </a:lnTo>
                <a:lnTo>
                  <a:pt x="23" y="64"/>
                </a:lnTo>
                <a:lnTo>
                  <a:pt x="22" y="64"/>
                </a:lnTo>
                <a:lnTo>
                  <a:pt x="21" y="64"/>
                </a:lnTo>
                <a:lnTo>
                  <a:pt x="19" y="62"/>
                </a:lnTo>
                <a:lnTo>
                  <a:pt x="18" y="61"/>
                </a:lnTo>
                <a:lnTo>
                  <a:pt x="17" y="63"/>
                </a:lnTo>
                <a:lnTo>
                  <a:pt x="16" y="63"/>
                </a:lnTo>
                <a:lnTo>
                  <a:pt x="15" y="64"/>
                </a:lnTo>
                <a:lnTo>
                  <a:pt x="15" y="64"/>
                </a:lnTo>
                <a:lnTo>
                  <a:pt x="13" y="64"/>
                </a:lnTo>
                <a:lnTo>
                  <a:pt x="11" y="63"/>
                </a:lnTo>
                <a:lnTo>
                  <a:pt x="11" y="64"/>
                </a:lnTo>
                <a:lnTo>
                  <a:pt x="10" y="64"/>
                </a:lnTo>
                <a:lnTo>
                  <a:pt x="10" y="65"/>
                </a:lnTo>
                <a:lnTo>
                  <a:pt x="10" y="68"/>
                </a:lnTo>
                <a:lnTo>
                  <a:pt x="9" y="69"/>
                </a:lnTo>
                <a:lnTo>
                  <a:pt x="8" y="68"/>
                </a:lnTo>
                <a:lnTo>
                  <a:pt x="7" y="68"/>
                </a:lnTo>
                <a:lnTo>
                  <a:pt x="7" y="69"/>
                </a:lnTo>
                <a:lnTo>
                  <a:pt x="8" y="70"/>
                </a:lnTo>
                <a:lnTo>
                  <a:pt x="7" y="71"/>
                </a:lnTo>
                <a:lnTo>
                  <a:pt x="6" y="70"/>
                </a:lnTo>
                <a:lnTo>
                  <a:pt x="2" y="66"/>
                </a:lnTo>
                <a:lnTo>
                  <a:pt x="1" y="65"/>
                </a:lnTo>
                <a:lnTo>
                  <a:pt x="0" y="65"/>
                </a:lnTo>
                <a:lnTo>
                  <a:pt x="0" y="64"/>
                </a:lnTo>
                <a:lnTo>
                  <a:pt x="0" y="63"/>
                </a:lnTo>
                <a:lnTo>
                  <a:pt x="1" y="61"/>
                </a:lnTo>
                <a:lnTo>
                  <a:pt x="3" y="57"/>
                </a:lnTo>
                <a:lnTo>
                  <a:pt x="4" y="55"/>
                </a:lnTo>
                <a:lnTo>
                  <a:pt x="5" y="53"/>
                </a:lnTo>
                <a:lnTo>
                  <a:pt x="6" y="51"/>
                </a:lnTo>
                <a:lnTo>
                  <a:pt x="10" y="49"/>
                </a:lnTo>
                <a:lnTo>
                  <a:pt x="12" y="48"/>
                </a:lnTo>
                <a:lnTo>
                  <a:pt x="16" y="46"/>
                </a:lnTo>
                <a:lnTo>
                  <a:pt x="20" y="44"/>
                </a:lnTo>
                <a:lnTo>
                  <a:pt x="20" y="42"/>
                </a:lnTo>
                <a:lnTo>
                  <a:pt x="20" y="41"/>
                </a:lnTo>
                <a:lnTo>
                  <a:pt x="20" y="42"/>
                </a:lnTo>
                <a:lnTo>
                  <a:pt x="20" y="40"/>
                </a:lnTo>
                <a:lnTo>
                  <a:pt x="20" y="39"/>
                </a:lnTo>
                <a:lnTo>
                  <a:pt x="16" y="34"/>
                </a:lnTo>
                <a:lnTo>
                  <a:pt x="16" y="33"/>
                </a:lnTo>
                <a:lnTo>
                  <a:pt x="17" y="32"/>
                </a:lnTo>
                <a:lnTo>
                  <a:pt x="17" y="32"/>
                </a:lnTo>
                <a:lnTo>
                  <a:pt x="18" y="30"/>
                </a:lnTo>
                <a:lnTo>
                  <a:pt x="19" y="29"/>
                </a:lnTo>
                <a:lnTo>
                  <a:pt x="21" y="28"/>
                </a:lnTo>
                <a:lnTo>
                  <a:pt x="23" y="26"/>
                </a:lnTo>
                <a:lnTo>
                  <a:pt x="23" y="24"/>
                </a:lnTo>
                <a:lnTo>
                  <a:pt x="23" y="23"/>
                </a:lnTo>
                <a:lnTo>
                  <a:pt x="23" y="20"/>
                </a:lnTo>
                <a:lnTo>
                  <a:pt x="22" y="19"/>
                </a:lnTo>
                <a:lnTo>
                  <a:pt x="19" y="19"/>
                </a:lnTo>
                <a:lnTo>
                  <a:pt x="19" y="18"/>
                </a:lnTo>
                <a:lnTo>
                  <a:pt x="19" y="18"/>
                </a:lnTo>
                <a:lnTo>
                  <a:pt x="19" y="17"/>
                </a:lnTo>
                <a:lnTo>
                  <a:pt x="20" y="16"/>
                </a:lnTo>
                <a:lnTo>
                  <a:pt x="20" y="15"/>
                </a:lnTo>
                <a:lnTo>
                  <a:pt x="20" y="15"/>
                </a:lnTo>
                <a:lnTo>
                  <a:pt x="19" y="14"/>
                </a:lnTo>
                <a:lnTo>
                  <a:pt x="18" y="13"/>
                </a:lnTo>
                <a:lnTo>
                  <a:pt x="17" y="13"/>
                </a:lnTo>
                <a:lnTo>
                  <a:pt x="17" y="12"/>
                </a:lnTo>
                <a:lnTo>
                  <a:pt x="17" y="12"/>
                </a:lnTo>
                <a:lnTo>
                  <a:pt x="15" y="11"/>
                </a:lnTo>
                <a:lnTo>
                  <a:pt x="14" y="10"/>
                </a:lnTo>
                <a:lnTo>
                  <a:pt x="13" y="9"/>
                </a:lnTo>
                <a:lnTo>
                  <a:pt x="13" y="8"/>
                </a:lnTo>
                <a:lnTo>
                  <a:pt x="14" y="9"/>
                </a:lnTo>
                <a:lnTo>
                  <a:pt x="16" y="9"/>
                </a:lnTo>
                <a:lnTo>
                  <a:pt x="17" y="8"/>
                </a:lnTo>
                <a:lnTo>
                  <a:pt x="18" y="7"/>
                </a:lnTo>
                <a:lnTo>
                  <a:pt x="19" y="7"/>
                </a:lnTo>
                <a:lnTo>
                  <a:pt x="22" y="6"/>
                </a:lnTo>
                <a:lnTo>
                  <a:pt x="24" y="5"/>
                </a:lnTo>
                <a:lnTo>
                  <a:pt x="24" y="5"/>
                </a:lnTo>
                <a:lnTo>
                  <a:pt x="27" y="4"/>
                </a:lnTo>
                <a:lnTo>
                  <a:pt x="28" y="5"/>
                </a:lnTo>
                <a:lnTo>
                  <a:pt x="29" y="5"/>
                </a:lnTo>
                <a:lnTo>
                  <a:pt x="34" y="5"/>
                </a:lnTo>
                <a:lnTo>
                  <a:pt x="35" y="4"/>
                </a:lnTo>
                <a:lnTo>
                  <a:pt x="37" y="3"/>
                </a:lnTo>
                <a:lnTo>
                  <a:pt x="40" y="0"/>
                </a:lnTo>
                <a:lnTo>
                  <a:pt x="40" y="0"/>
                </a:lnTo>
                <a:lnTo>
                  <a:pt x="41" y="0"/>
                </a:lnTo>
                <a:lnTo>
                  <a:pt x="44" y="0"/>
                </a:lnTo>
              </a:path>
            </a:pathLst>
          </a:custGeom>
          <a:grpFill/>
          <a:ln w="9525">
            <a:solidFill>
              <a:schemeClr val="bg1">
                <a:lumMod val="65000"/>
              </a:schemeClr>
            </a:solidFill>
            <a:prstDash val="solid"/>
            <a:round/>
            <a:headEnd/>
            <a:tailEnd/>
          </a:ln>
        </xdr:spPr>
      </xdr:sp>
      <xdr:sp macro="" textlink="">
        <xdr:nvSpPr>
          <xdr:cNvPr id="206" name="GIN004003"/>
          <xdr:cNvSpPr>
            <a:spLocks noChangeAspect="1"/>
          </xdr:cNvSpPr>
        </xdr:nvSpPr>
        <xdr:spPr bwMode="auto">
          <a:xfrm>
            <a:off x="7422449" y="3340121"/>
            <a:ext cx="1416381" cy="1700213"/>
          </a:xfrm>
          <a:custGeom>
            <a:avLst/>
            <a:gdLst>
              <a:gd name="T0" fmla="*/ 64 w 150"/>
              <a:gd name="T1" fmla="*/ 3 h 186"/>
              <a:gd name="T2" fmla="*/ 71 w 150"/>
              <a:gd name="T3" fmla="*/ 5 h 186"/>
              <a:gd name="T4" fmla="*/ 78 w 150"/>
              <a:gd name="T5" fmla="*/ 5 h 186"/>
              <a:gd name="T6" fmla="*/ 84 w 150"/>
              <a:gd name="T7" fmla="*/ 6 h 186"/>
              <a:gd name="T8" fmla="*/ 89 w 150"/>
              <a:gd name="T9" fmla="*/ 4 h 186"/>
              <a:gd name="T10" fmla="*/ 91 w 150"/>
              <a:gd name="T11" fmla="*/ 5 h 186"/>
              <a:gd name="T12" fmla="*/ 97 w 150"/>
              <a:gd name="T13" fmla="*/ 9 h 186"/>
              <a:gd name="T14" fmla="*/ 101 w 150"/>
              <a:gd name="T15" fmla="*/ 19 h 186"/>
              <a:gd name="T16" fmla="*/ 106 w 150"/>
              <a:gd name="T17" fmla="*/ 27 h 186"/>
              <a:gd name="T18" fmla="*/ 108 w 150"/>
              <a:gd name="T19" fmla="*/ 39 h 186"/>
              <a:gd name="T20" fmla="*/ 112 w 150"/>
              <a:gd name="T21" fmla="*/ 46 h 186"/>
              <a:gd name="T22" fmla="*/ 118 w 150"/>
              <a:gd name="T23" fmla="*/ 50 h 186"/>
              <a:gd name="T24" fmla="*/ 125 w 150"/>
              <a:gd name="T25" fmla="*/ 52 h 186"/>
              <a:gd name="T26" fmla="*/ 132 w 150"/>
              <a:gd name="T27" fmla="*/ 53 h 186"/>
              <a:gd name="T28" fmla="*/ 140 w 150"/>
              <a:gd name="T29" fmla="*/ 55 h 186"/>
              <a:gd name="T30" fmla="*/ 148 w 150"/>
              <a:gd name="T31" fmla="*/ 56 h 186"/>
              <a:gd name="T32" fmla="*/ 143 w 150"/>
              <a:gd name="T33" fmla="*/ 73 h 186"/>
              <a:gd name="T34" fmla="*/ 123 w 150"/>
              <a:gd name="T35" fmla="*/ 87 h 186"/>
              <a:gd name="T36" fmla="*/ 118 w 150"/>
              <a:gd name="T37" fmla="*/ 107 h 186"/>
              <a:gd name="T38" fmla="*/ 118 w 150"/>
              <a:gd name="T39" fmla="*/ 117 h 186"/>
              <a:gd name="T40" fmla="*/ 115 w 150"/>
              <a:gd name="T41" fmla="*/ 123 h 186"/>
              <a:gd name="T42" fmla="*/ 116 w 150"/>
              <a:gd name="T43" fmla="*/ 128 h 186"/>
              <a:gd name="T44" fmla="*/ 120 w 150"/>
              <a:gd name="T45" fmla="*/ 132 h 186"/>
              <a:gd name="T46" fmla="*/ 120 w 150"/>
              <a:gd name="T47" fmla="*/ 138 h 186"/>
              <a:gd name="T48" fmla="*/ 116 w 150"/>
              <a:gd name="T49" fmla="*/ 144 h 186"/>
              <a:gd name="T50" fmla="*/ 114 w 150"/>
              <a:gd name="T51" fmla="*/ 149 h 186"/>
              <a:gd name="T52" fmla="*/ 117 w 150"/>
              <a:gd name="T53" fmla="*/ 154 h 186"/>
              <a:gd name="T54" fmla="*/ 114 w 150"/>
              <a:gd name="T55" fmla="*/ 159 h 186"/>
              <a:gd name="T56" fmla="*/ 110 w 150"/>
              <a:gd name="T57" fmla="*/ 163 h 186"/>
              <a:gd name="T58" fmla="*/ 106 w 150"/>
              <a:gd name="T59" fmla="*/ 169 h 186"/>
              <a:gd name="T60" fmla="*/ 101 w 150"/>
              <a:gd name="T61" fmla="*/ 172 h 186"/>
              <a:gd name="T62" fmla="*/ 97 w 150"/>
              <a:gd name="T63" fmla="*/ 174 h 186"/>
              <a:gd name="T64" fmla="*/ 79 w 150"/>
              <a:gd name="T65" fmla="*/ 177 h 186"/>
              <a:gd name="T66" fmla="*/ 68 w 150"/>
              <a:gd name="T67" fmla="*/ 178 h 186"/>
              <a:gd name="T68" fmla="*/ 56 w 150"/>
              <a:gd name="T69" fmla="*/ 185 h 186"/>
              <a:gd name="T70" fmla="*/ 49 w 150"/>
              <a:gd name="T71" fmla="*/ 175 h 186"/>
              <a:gd name="T72" fmla="*/ 52 w 150"/>
              <a:gd name="T73" fmla="*/ 155 h 186"/>
              <a:gd name="T74" fmla="*/ 54 w 150"/>
              <a:gd name="T75" fmla="*/ 142 h 186"/>
              <a:gd name="T76" fmla="*/ 64 w 150"/>
              <a:gd name="T77" fmla="*/ 127 h 186"/>
              <a:gd name="T78" fmla="*/ 66 w 150"/>
              <a:gd name="T79" fmla="*/ 113 h 186"/>
              <a:gd name="T80" fmla="*/ 73 w 150"/>
              <a:gd name="T81" fmla="*/ 104 h 186"/>
              <a:gd name="T82" fmla="*/ 75 w 150"/>
              <a:gd name="T83" fmla="*/ 95 h 186"/>
              <a:gd name="T84" fmla="*/ 75 w 150"/>
              <a:gd name="T85" fmla="*/ 88 h 186"/>
              <a:gd name="T86" fmla="*/ 68 w 150"/>
              <a:gd name="T87" fmla="*/ 93 h 186"/>
              <a:gd name="T88" fmla="*/ 60 w 150"/>
              <a:gd name="T89" fmla="*/ 86 h 186"/>
              <a:gd name="T90" fmla="*/ 50 w 150"/>
              <a:gd name="T91" fmla="*/ 88 h 186"/>
              <a:gd name="T92" fmla="*/ 43 w 150"/>
              <a:gd name="T93" fmla="*/ 88 h 186"/>
              <a:gd name="T94" fmla="*/ 35 w 150"/>
              <a:gd name="T95" fmla="*/ 66 h 186"/>
              <a:gd name="T96" fmla="*/ 21 w 150"/>
              <a:gd name="T97" fmla="*/ 66 h 186"/>
              <a:gd name="T98" fmla="*/ 17 w 150"/>
              <a:gd name="T99" fmla="*/ 63 h 186"/>
              <a:gd name="T100" fmla="*/ 11 w 150"/>
              <a:gd name="T101" fmla="*/ 61 h 186"/>
              <a:gd name="T102" fmla="*/ 7 w 150"/>
              <a:gd name="T103" fmla="*/ 59 h 186"/>
              <a:gd name="T104" fmla="*/ 2 w 150"/>
              <a:gd name="T105" fmla="*/ 56 h 186"/>
              <a:gd name="T106" fmla="*/ 2 w 150"/>
              <a:gd name="T107" fmla="*/ 53 h 186"/>
              <a:gd name="T108" fmla="*/ 7 w 150"/>
              <a:gd name="T109" fmla="*/ 50 h 186"/>
              <a:gd name="T110" fmla="*/ 10 w 150"/>
              <a:gd name="T111" fmla="*/ 46 h 186"/>
              <a:gd name="T112" fmla="*/ 17 w 150"/>
              <a:gd name="T113" fmla="*/ 37 h 186"/>
              <a:gd name="T114" fmla="*/ 21 w 150"/>
              <a:gd name="T115" fmla="*/ 27 h 186"/>
              <a:gd name="T116" fmla="*/ 27 w 150"/>
              <a:gd name="T117" fmla="*/ 24 h 186"/>
              <a:gd name="T118" fmla="*/ 45 w 150"/>
              <a:gd name="T119" fmla="*/ 12 h 186"/>
              <a:gd name="T120" fmla="*/ 56 w 150"/>
              <a:gd name="T121" fmla="*/ 4 h 1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50" h="186">
                <a:moveTo>
                  <a:pt x="58" y="1"/>
                </a:moveTo>
                <a:lnTo>
                  <a:pt x="58" y="3"/>
                </a:lnTo>
                <a:lnTo>
                  <a:pt x="57" y="4"/>
                </a:lnTo>
                <a:lnTo>
                  <a:pt x="56" y="5"/>
                </a:lnTo>
                <a:lnTo>
                  <a:pt x="56" y="6"/>
                </a:lnTo>
                <a:lnTo>
                  <a:pt x="58" y="6"/>
                </a:lnTo>
                <a:lnTo>
                  <a:pt x="59" y="5"/>
                </a:lnTo>
                <a:lnTo>
                  <a:pt x="59" y="5"/>
                </a:lnTo>
                <a:lnTo>
                  <a:pt x="60" y="3"/>
                </a:lnTo>
                <a:lnTo>
                  <a:pt x="60" y="2"/>
                </a:lnTo>
                <a:lnTo>
                  <a:pt x="61" y="2"/>
                </a:lnTo>
                <a:lnTo>
                  <a:pt x="62" y="3"/>
                </a:lnTo>
                <a:lnTo>
                  <a:pt x="63" y="4"/>
                </a:lnTo>
                <a:lnTo>
                  <a:pt x="64" y="3"/>
                </a:lnTo>
                <a:lnTo>
                  <a:pt x="65" y="3"/>
                </a:lnTo>
                <a:lnTo>
                  <a:pt x="65" y="2"/>
                </a:lnTo>
                <a:lnTo>
                  <a:pt x="64" y="1"/>
                </a:lnTo>
                <a:lnTo>
                  <a:pt x="65" y="1"/>
                </a:lnTo>
                <a:lnTo>
                  <a:pt x="65" y="1"/>
                </a:lnTo>
                <a:lnTo>
                  <a:pt x="65" y="1"/>
                </a:lnTo>
                <a:lnTo>
                  <a:pt x="66" y="1"/>
                </a:lnTo>
                <a:lnTo>
                  <a:pt x="67" y="2"/>
                </a:lnTo>
                <a:lnTo>
                  <a:pt x="68" y="3"/>
                </a:lnTo>
                <a:lnTo>
                  <a:pt x="69" y="3"/>
                </a:lnTo>
                <a:lnTo>
                  <a:pt x="70" y="2"/>
                </a:lnTo>
                <a:lnTo>
                  <a:pt x="70" y="4"/>
                </a:lnTo>
                <a:lnTo>
                  <a:pt x="70" y="5"/>
                </a:lnTo>
                <a:lnTo>
                  <a:pt x="71" y="5"/>
                </a:lnTo>
                <a:lnTo>
                  <a:pt x="72" y="5"/>
                </a:lnTo>
                <a:lnTo>
                  <a:pt x="74" y="4"/>
                </a:lnTo>
                <a:lnTo>
                  <a:pt x="74" y="5"/>
                </a:lnTo>
                <a:lnTo>
                  <a:pt x="73" y="6"/>
                </a:lnTo>
                <a:lnTo>
                  <a:pt x="72" y="7"/>
                </a:lnTo>
                <a:lnTo>
                  <a:pt x="73" y="8"/>
                </a:lnTo>
                <a:lnTo>
                  <a:pt x="74" y="8"/>
                </a:lnTo>
                <a:lnTo>
                  <a:pt x="75" y="8"/>
                </a:lnTo>
                <a:lnTo>
                  <a:pt x="76" y="8"/>
                </a:lnTo>
                <a:lnTo>
                  <a:pt x="77" y="8"/>
                </a:lnTo>
                <a:lnTo>
                  <a:pt x="76" y="6"/>
                </a:lnTo>
                <a:lnTo>
                  <a:pt x="76" y="5"/>
                </a:lnTo>
                <a:lnTo>
                  <a:pt x="77" y="4"/>
                </a:lnTo>
                <a:lnTo>
                  <a:pt x="78" y="5"/>
                </a:lnTo>
                <a:lnTo>
                  <a:pt x="79" y="5"/>
                </a:lnTo>
                <a:lnTo>
                  <a:pt x="81" y="5"/>
                </a:lnTo>
                <a:lnTo>
                  <a:pt x="82" y="4"/>
                </a:lnTo>
                <a:lnTo>
                  <a:pt x="82" y="4"/>
                </a:lnTo>
                <a:lnTo>
                  <a:pt x="83" y="4"/>
                </a:lnTo>
                <a:lnTo>
                  <a:pt x="83" y="4"/>
                </a:lnTo>
                <a:lnTo>
                  <a:pt x="82" y="5"/>
                </a:lnTo>
                <a:lnTo>
                  <a:pt x="82" y="6"/>
                </a:lnTo>
                <a:lnTo>
                  <a:pt x="81" y="7"/>
                </a:lnTo>
                <a:lnTo>
                  <a:pt x="81" y="7"/>
                </a:lnTo>
                <a:lnTo>
                  <a:pt x="81" y="8"/>
                </a:lnTo>
                <a:lnTo>
                  <a:pt x="82" y="8"/>
                </a:lnTo>
                <a:lnTo>
                  <a:pt x="83" y="7"/>
                </a:lnTo>
                <a:lnTo>
                  <a:pt x="84" y="6"/>
                </a:lnTo>
                <a:lnTo>
                  <a:pt x="84" y="5"/>
                </a:lnTo>
                <a:lnTo>
                  <a:pt x="84" y="4"/>
                </a:lnTo>
                <a:lnTo>
                  <a:pt x="85" y="3"/>
                </a:lnTo>
                <a:lnTo>
                  <a:pt x="86" y="2"/>
                </a:lnTo>
                <a:lnTo>
                  <a:pt x="86" y="2"/>
                </a:lnTo>
                <a:lnTo>
                  <a:pt x="86" y="2"/>
                </a:lnTo>
                <a:lnTo>
                  <a:pt x="87" y="1"/>
                </a:lnTo>
                <a:lnTo>
                  <a:pt x="87" y="2"/>
                </a:lnTo>
                <a:lnTo>
                  <a:pt x="87" y="2"/>
                </a:lnTo>
                <a:lnTo>
                  <a:pt x="87" y="2"/>
                </a:lnTo>
                <a:lnTo>
                  <a:pt x="88" y="2"/>
                </a:lnTo>
                <a:lnTo>
                  <a:pt x="88" y="2"/>
                </a:lnTo>
                <a:lnTo>
                  <a:pt x="89" y="3"/>
                </a:lnTo>
                <a:lnTo>
                  <a:pt x="89" y="4"/>
                </a:lnTo>
                <a:lnTo>
                  <a:pt x="88" y="3"/>
                </a:lnTo>
                <a:lnTo>
                  <a:pt x="88" y="3"/>
                </a:lnTo>
                <a:lnTo>
                  <a:pt x="87" y="3"/>
                </a:lnTo>
                <a:lnTo>
                  <a:pt x="87" y="3"/>
                </a:lnTo>
                <a:lnTo>
                  <a:pt x="87" y="4"/>
                </a:lnTo>
                <a:lnTo>
                  <a:pt x="87" y="4"/>
                </a:lnTo>
                <a:lnTo>
                  <a:pt x="87" y="5"/>
                </a:lnTo>
                <a:lnTo>
                  <a:pt x="88" y="5"/>
                </a:lnTo>
                <a:lnTo>
                  <a:pt x="89" y="5"/>
                </a:lnTo>
                <a:lnTo>
                  <a:pt x="89" y="5"/>
                </a:lnTo>
                <a:lnTo>
                  <a:pt x="89" y="5"/>
                </a:lnTo>
                <a:lnTo>
                  <a:pt x="90" y="5"/>
                </a:lnTo>
                <a:lnTo>
                  <a:pt x="91" y="5"/>
                </a:lnTo>
                <a:lnTo>
                  <a:pt x="91" y="5"/>
                </a:lnTo>
                <a:lnTo>
                  <a:pt x="92" y="5"/>
                </a:lnTo>
                <a:lnTo>
                  <a:pt x="92" y="5"/>
                </a:lnTo>
                <a:lnTo>
                  <a:pt x="93" y="6"/>
                </a:lnTo>
                <a:lnTo>
                  <a:pt x="93" y="6"/>
                </a:lnTo>
                <a:lnTo>
                  <a:pt x="94" y="6"/>
                </a:lnTo>
                <a:lnTo>
                  <a:pt x="94" y="6"/>
                </a:lnTo>
                <a:lnTo>
                  <a:pt x="94" y="6"/>
                </a:lnTo>
                <a:lnTo>
                  <a:pt x="94" y="7"/>
                </a:lnTo>
                <a:lnTo>
                  <a:pt x="95" y="7"/>
                </a:lnTo>
                <a:lnTo>
                  <a:pt x="95" y="7"/>
                </a:lnTo>
                <a:lnTo>
                  <a:pt x="96" y="7"/>
                </a:lnTo>
                <a:lnTo>
                  <a:pt x="96" y="8"/>
                </a:lnTo>
                <a:lnTo>
                  <a:pt x="97" y="8"/>
                </a:lnTo>
                <a:lnTo>
                  <a:pt x="97" y="9"/>
                </a:lnTo>
                <a:lnTo>
                  <a:pt x="98" y="9"/>
                </a:lnTo>
                <a:lnTo>
                  <a:pt x="98" y="9"/>
                </a:lnTo>
                <a:lnTo>
                  <a:pt x="99" y="10"/>
                </a:lnTo>
                <a:lnTo>
                  <a:pt x="100" y="10"/>
                </a:lnTo>
                <a:lnTo>
                  <a:pt x="100" y="11"/>
                </a:lnTo>
                <a:lnTo>
                  <a:pt x="101" y="11"/>
                </a:lnTo>
                <a:lnTo>
                  <a:pt x="101" y="12"/>
                </a:lnTo>
                <a:lnTo>
                  <a:pt x="101" y="13"/>
                </a:lnTo>
                <a:lnTo>
                  <a:pt x="101" y="14"/>
                </a:lnTo>
                <a:lnTo>
                  <a:pt x="101" y="15"/>
                </a:lnTo>
                <a:lnTo>
                  <a:pt x="101" y="16"/>
                </a:lnTo>
                <a:lnTo>
                  <a:pt x="101" y="17"/>
                </a:lnTo>
                <a:lnTo>
                  <a:pt x="101" y="18"/>
                </a:lnTo>
                <a:lnTo>
                  <a:pt x="101" y="19"/>
                </a:lnTo>
                <a:lnTo>
                  <a:pt x="101" y="19"/>
                </a:lnTo>
                <a:lnTo>
                  <a:pt x="102" y="20"/>
                </a:lnTo>
                <a:lnTo>
                  <a:pt x="102" y="21"/>
                </a:lnTo>
                <a:lnTo>
                  <a:pt x="103" y="21"/>
                </a:lnTo>
                <a:lnTo>
                  <a:pt x="103" y="21"/>
                </a:lnTo>
                <a:lnTo>
                  <a:pt x="104" y="22"/>
                </a:lnTo>
                <a:lnTo>
                  <a:pt x="104" y="22"/>
                </a:lnTo>
                <a:lnTo>
                  <a:pt x="105" y="22"/>
                </a:lnTo>
                <a:lnTo>
                  <a:pt x="105" y="23"/>
                </a:lnTo>
                <a:lnTo>
                  <a:pt x="105" y="24"/>
                </a:lnTo>
                <a:lnTo>
                  <a:pt x="105" y="25"/>
                </a:lnTo>
                <a:lnTo>
                  <a:pt x="106" y="26"/>
                </a:lnTo>
                <a:lnTo>
                  <a:pt x="106" y="26"/>
                </a:lnTo>
                <a:lnTo>
                  <a:pt x="106" y="27"/>
                </a:lnTo>
                <a:lnTo>
                  <a:pt x="106" y="28"/>
                </a:lnTo>
                <a:lnTo>
                  <a:pt x="106" y="30"/>
                </a:lnTo>
                <a:lnTo>
                  <a:pt x="107" y="30"/>
                </a:lnTo>
                <a:lnTo>
                  <a:pt x="107" y="31"/>
                </a:lnTo>
                <a:lnTo>
                  <a:pt x="107" y="32"/>
                </a:lnTo>
                <a:lnTo>
                  <a:pt x="107" y="32"/>
                </a:lnTo>
                <a:lnTo>
                  <a:pt x="107" y="33"/>
                </a:lnTo>
                <a:lnTo>
                  <a:pt x="107" y="34"/>
                </a:lnTo>
                <a:lnTo>
                  <a:pt x="107" y="35"/>
                </a:lnTo>
                <a:lnTo>
                  <a:pt x="107" y="36"/>
                </a:lnTo>
                <a:lnTo>
                  <a:pt x="107" y="37"/>
                </a:lnTo>
                <a:lnTo>
                  <a:pt x="107" y="37"/>
                </a:lnTo>
                <a:lnTo>
                  <a:pt x="108" y="38"/>
                </a:lnTo>
                <a:lnTo>
                  <a:pt x="108" y="39"/>
                </a:lnTo>
                <a:lnTo>
                  <a:pt x="108" y="40"/>
                </a:lnTo>
                <a:lnTo>
                  <a:pt x="108" y="41"/>
                </a:lnTo>
                <a:lnTo>
                  <a:pt x="108" y="41"/>
                </a:lnTo>
                <a:lnTo>
                  <a:pt x="109" y="42"/>
                </a:lnTo>
                <a:lnTo>
                  <a:pt x="109" y="42"/>
                </a:lnTo>
                <a:lnTo>
                  <a:pt x="109" y="43"/>
                </a:lnTo>
                <a:lnTo>
                  <a:pt x="110" y="43"/>
                </a:lnTo>
                <a:lnTo>
                  <a:pt x="110" y="43"/>
                </a:lnTo>
                <a:lnTo>
                  <a:pt x="110" y="44"/>
                </a:lnTo>
                <a:lnTo>
                  <a:pt x="110" y="44"/>
                </a:lnTo>
                <a:lnTo>
                  <a:pt x="111" y="45"/>
                </a:lnTo>
                <a:lnTo>
                  <a:pt x="111" y="45"/>
                </a:lnTo>
                <a:lnTo>
                  <a:pt x="111" y="46"/>
                </a:lnTo>
                <a:lnTo>
                  <a:pt x="112" y="46"/>
                </a:lnTo>
                <a:lnTo>
                  <a:pt x="112" y="46"/>
                </a:lnTo>
                <a:lnTo>
                  <a:pt x="112" y="47"/>
                </a:lnTo>
                <a:lnTo>
                  <a:pt x="112" y="47"/>
                </a:lnTo>
                <a:lnTo>
                  <a:pt x="113" y="47"/>
                </a:lnTo>
                <a:lnTo>
                  <a:pt x="113" y="48"/>
                </a:lnTo>
                <a:lnTo>
                  <a:pt x="114" y="48"/>
                </a:lnTo>
                <a:lnTo>
                  <a:pt x="114" y="49"/>
                </a:lnTo>
                <a:lnTo>
                  <a:pt x="115" y="49"/>
                </a:lnTo>
                <a:lnTo>
                  <a:pt x="115" y="49"/>
                </a:lnTo>
                <a:lnTo>
                  <a:pt x="116" y="49"/>
                </a:lnTo>
                <a:lnTo>
                  <a:pt x="116" y="49"/>
                </a:lnTo>
                <a:lnTo>
                  <a:pt x="117" y="50"/>
                </a:lnTo>
                <a:lnTo>
                  <a:pt x="117" y="50"/>
                </a:lnTo>
                <a:lnTo>
                  <a:pt x="118" y="50"/>
                </a:lnTo>
                <a:lnTo>
                  <a:pt x="118" y="50"/>
                </a:lnTo>
                <a:lnTo>
                  <a:pt x="119" y="50"/>
                </a:lnTo>
                <a:lnTo>
                  <a:pt x="119" y="50"/>
                </a:lnTo>
                <a:lnTo>
                  <a:pt x="119" y="51"/>
                </a:lnTo>
                <a:lnTo>
                  <a:pt x="120" y="51"/>
                </a:lnTo>
                <a:lnTo>
                  <a:pt x="120" y="51"/>
                </a:lnTo>
                <a:lnTo>
                  <a:pt x="121" y="51"/>
                </a:lnTo>
                <a:lnTo>
                  <a:pt x="122" y="51"/>
                </a:lnTo>
                <a:lnTo>
                  <a:pt x="122" y="51"/>
                </a:lnTo>
                <a:lnTo>
                  <a:pt x="123" y="52"/>
                </a:lnTo>
                <a:lnTo>
                  <a:pt x="123" y="52"/>
                </a:lnTo>
                <a:lnTo>
                  <a:pt x="124" y="52"/>
                </a:lnTo>
                <a:lnTo>
                  <a:pt x="124" y="52"/>
                </a:lnTo>
                <a:lnTo>
                  <a:pt x="125" y="52"/>
                </a:lnTo>
                <a:lnTo>
                  <a:pt x="125" y="52"/>
                </a:lnTo>
                <a:lnTo>
                  <a:pt x="126" y="52"/>
                </a:lnTo>
                <a:lnTo>
                  <a:pt x="126" y="53"/>
                </a:lnTo>
                <a:lnTo>
                  <a:pt x="127" y="53"/>
                </a:lnTo>
                <a:lnTo>
                  <a:pt x="127" y="53"/>
                </a:lnTo>
                <a:lnTo>
                  <a:pt x="128" y="53"/>
                </a:lnTo>
                <a:lnTo>
                  <a:pt x="128" y="53"/>
                </a:lnTo>
                <a:lnTo>
                  <a:pt x="129" y="53"/>
                </a:lnTo>
                <a:lnTo>
                  <a:pt x="130" y="53"/>
                </a:lnTo>
                <a:lnTo>
                  <a:pt x="130" y="53"/>
                </a:lnTo>
                <a:lnTo>
                  <a:pt x="131" y="53"/>
                </a:lnTo>
                <a:lnTo>
                  <a:pt x="131" y="53"/>
                </a:lnTo>
                <a:lnTo>
                  <a:pt x="132" y="53"/>
                </a:lnTo>
                <a:lnTo>
                  <a:pt x="132" y="53"/>
                </a:lnTo>
                <a:lnTo>
                  <a:pt x="133" y="53"/>
                </a:lnTo>
                <a:lnTo>
                  <a:pt x="134" y="53"/>
                </a:lnTo>
                <a:lnTo>
                  <a:pt x="134" y="53"/>
                </a:lnTo>
                <a:lnTo>
                  <a:pt x="135" y="54"/>
                </a:lnTo>
                <a:lnTo>
                  <a:pt x="135" y="54"/>
                </a:lnTo>
                <a:lnTo>
                  <a:pt x="135" y="54"/>
                </a:lnTo>
                <a:lnTo>
                  <a:pt x="136" y="54"/>
                </a:lnTo>
                <a:lnTo>
                  <a:pt x="136" y="54"/>
                </a:lnTo>
                <a:lnTo>
                  <a:pt x="137" y="54"/>
                </a:lnTo>
                <a:lnTo>
                  <a:pt x="138" y="54"/>
                </a:lnTo>
                <a:lnTo>
                  <a:pt x="138" y="54"/>
                </a:lnTo>
                <a:lnTo>
                  <a:pt x="139" y="54"/>
                </a:lnTo>
                <a:lnTo>
                  <a:pt x="139" y="54"/>
                </a:lnTo>
                <a:lnTo>
                  <a:pt x="140" y="55"/>
                </a:lnTo>
                <a:lnTo>
                  <a:pt x="140" y="55"/>
                </a:lnTo>
                <a:lnTo>
                  <a:pt x="141" y="55"/>
                </a:lnTo>
                <a:lnTo>
                  <a:pt x="141" y="55"/>
                </a:lnTo>
                <a:lnTo>
                  <a:pt x="142" y="55"/>
                </a:lnTo>
                <a:lnTo>
                  <a:pt x="143" y="56"/>
                </a:lnTo>
                <a:lnTo>
                  <a:pt x="143" y="56"/>
                </a:lnTo>
                <a:lnTo>
                  <a:pt x="143" y="56"/>
                </a:lnTo>
                <a:lnTo>
                  <a:pt x="144" y="56"/>
                </a:lnTo>
                <a:lnTo>
                  <a:pt x="145" y="56"/>
                </a:lnTo>
                <a:lnTo>
                  <a:pt x="145" y="56"/>
                </a:lnTo>
                <a:lnTo>
                  <a:pt x="146" y="56"/>
                </a:lnTo>
                <a:lnTo>
                  <a:pt x="147" y="56"/>
                </a:lnTo>
                <a:lnTo>
                  <a:pt x="147" y="56"/>
                </a:lnTo>
                <a:lnTo>
                  <a:pt x="148" y="56"/>
                </a:lnTo>
                <a:lnTo>
                  <a:pt x="148" y="56"/>
                </a:lnTo>
                <a:lnTo>
                  <a:pt x="148" y="56"/>
                </a:lnTo>
                <a:lnTo>
                  <a:pt x="149" y="56"/>
                </a:lnTo>
                <a:lnTo>
                  <a:pt x="150" y="56"/>
                </a:lnTo>
                <a:lnTo>
                  <a:pt x="150" y="56"/>
                </a:lnTo>
                <a:lnTo>
                  <a:pt x="148" y="59"/>
                </a:lnTo>
                <a:lnTo>
                  <a:pt x="148" y="62"/>
                </a:lnTo>
                <a:lnTo>
                  <a:pt x="147" y="65"/>
                </a:lnTo>
                <a:lnTo>
                  <a:pt x="147" y="69"/>
                </a:lnTo>
                <a:lnTo>
                  <a:pt x="146" y="70"/>
                </a:lnTo>
                <a:lnTo>
                  <a:pt x="146" y="70"/>
                </a:lnTo>
                <a:lnTo>
                  <a:pt x="146" y="71"/>
                </a:lnTo>
                <a:lnTo>
                  <a:pt x="143" y="73"/>
                </a:lnTo>
                <a:lnTo>
                  <a:pt x="143" y="73"/>
                </a:lnTo>
                <a:lnTo>
                  <a:pt x="142" y="73"/>
                </a:lnTo>
                <a:lnTo>
                  <a:pt x="142" y="74"/>
                </a:lnTo>
                <a:lnTo>
                  <a:pt x="141" y="74"/>
                </a:lnTo>
                <a:lnTo>
                  <a:pt x="139" y="74"/>
                </a:lnTo>
                <a:lnTo>
                  <a:pt x="136" y="75"/>
                </a:lnTo>
                <a:lnTo>
                  <a:pt x="133" y="75"/>
                </a:lnTo>
                <a:lnTo>
                  <a:pt x="131" y="75"/>
                </a:lnTo>
                <a:lnTo>
                  <a:pt x="129" y="77"/>
                </a:lnTo>
                <a:lnTo>
                  <a:pt x="128" y="78"/>
                </a:lnTo>
                <a:lnTo>
                  <a:pt x="127" y="80"/>
                </a:lnTo>
                <a:lnTo>
                  <a:pt x="125" y="82"/>
                </a:lnTo>
                <a:lnTo>
                  <a:pt x="125" y="83"/>
                </a:lnTo>
                <a:lnTo>
                  <a:pt x="124" y="85"/>
                </a:lnTo>
                <a:lnTo>
                  <a:pt x="123" y="87"/>
                </a:lnTo>
                <a:lnTo>
                  <a:pt x="123" y="89"/>
                </a:lnTo>
                <a:lnTo>
                  <a:pt x="122" y="92"/>
                </a:lnTo>
                <a:lnTo>
                  <a:pt x="121" y="94"/>
                </a:lnTo>
                <a:lnTo>
                  <a:pt x="120" y="97"/>
                </a:lnTo>
                <a:lnTo>
                  <a:pt x="119" y="99"/>
                </a:lnTo>
                <a:lnTo>
                  <a:pt x="119" y="100"/>
                </a:lnTo>
                <a:lnTo>
                  <a:pt x="119" y="103"/>
                </a:lnTo>
                <a:lnTo>
                  <a:pt x="118" y="104"/>
                </a:lnTo>
                <a:lnTo>
                  <a:pt x="118" y="104"/>
                </a:lnTo>
                <a:lnTo>
                  <a:pt x="118" y="105"/>
                </a:lnTo>
                <a:lnTo>
                  <a:pt x="118" y="106"/>
                </a:lnTo>
                <a:lnTo>
                  <a:pt x="118" y="106"/>
                </a:lnTo>
                <a:lnTo>
                  <a:pt x="118" y="106"/>
                </a:lnTo>
                <a:lnTo>
                  <a:pt x="118" y="107"/>
                </a:lnTo>
                <a:lnTo>
                  <a:pt x="118" y="107"/>
                </a:lnTo>
                <a:lnTo>
                  <a:pt x="117" y="108"/>
                </a:lnTo>
                <a:lnTo>
                  <a:pt x="117" y="109"/>
                </a:lnTo>
                <a:lnTo>
                  <a:pt x="117" y="110"/>
                </a:lnTo>
                <a:lnTo>
                  <a:pt x="117" y="110"/>
                </a:lnTo>
                <a:lnTo>
                  <a:pt x="117" y="111"/>
                </a:lnTo>
                <a:lnTo>
                  <a:pt x="117" y="112"/>
                </a:lnTo>
                <a:lnTo>
                  <a:pt x="117" y="112"/>
                </a:lnTo>
                <a:lnTo>
                  <a:pt x="118" y="113"/>
                </a:lnTo>
                <a:lnTo>
                  <a:pt x="118" y="114"/>
                </a:lnTo>
                <a:lnTo>
                  <a:pt x="117" y="114"/>
                </a:lnTo>
                <a:lnTo>
                  <a:pt x="118" y="115"/>
                </a:lnTo>
                <a:lnTo>
                  <a:pt x="118" y="116"/>
                </a:lnTo>
                <a:lnTo>
                  <a:pt x="118" y="117"/>
                </a:lnTo>
                <a:lnTo>
                  <a:pt x="118" y="117"/>
                </a:lnTo>
                <a:lnTo>
                  <a:pt x="118" y="118"/>
                </a:lnTo>
                <a:lnTo>
                  <a:pt x="119" y="119"/>
                </a:lnTo>
                <a:lnTo>
                  <a:pt x="118" y="120"/>
                </a:lnTo>
                <a:lnTo>
                  <a:pt x="119" y="120"/>
                </a:lnTo>
                <a:lnTo>
                  <a:pt x="119" y="121"/>
                </a:lnTo>
                <a:lnTo>
                  <a:pt x="119" y="122"/>
                </a:lnTo>
                <a:lnTo>
                  <a:pt x="119" y="122"/>
                </a:lnTo>
                <a:lnTo>
                  <a:pt x="118" y="122"/>
                </a:lnTo>
                <a:lnTo>
                  <a:pt x="117" y="123"/>
                </a:lnTo>
                <a:lnTo>
                  <a:pt x="116" y="123"/>
                </a:lnTo>
                <a:lnTo>
                  <a:pt x="116" y="123"/>
                </a:lnTo>
                <a:lnTo>
                  <a:pt x="115" y="123"/>
                </a:lnTo>
                <a:lnTo>
                  <a:pt x="115" y="123"/>
                </a:lnTo>
                <a:lnTo>
                  <a:pt x="114" y="124"/>
                </a:lnTo>
                <a:lnTo>
                  <a:pt x="114" y="124"/>
                </a:lnTo>
                <a:lnTo>
                  <a:pt x="113" y="125"/>
                </a:lnTo>
                <a:lnTo>
                  <a:pt x="114" y="125"/>
                </a:lnTo>
                <a:lnTo>
                  <a:pt x="114" y="126"/>
                </a:lnTo>
                <a:lnTo>
                  <a:pt x="114" y="126"/>
                </a:lnTo>
                <a:lnTo>
                  <a:pt x="114" y="127"/>
                </a:lnTo>
                <a:lnTo>
                  <a:pt x="114" y="127"/>
                </a:lnTo>
                <a:lnTo>
                  <a:pt x="114" y="128"/>
                </a:lnTo>
                <a:lnTo>
                  <a:pt x="114" y="128"/>
                </a:lnTo>
                <a:lnTo>
                  <a:pt x="115" y="128"/>
                </a:lnTo>
                <a:lnTo>
                  <a:pt x="115" y="128"/>
                </a:lnTo>
                <a:lnTo>
                  <a:pt x="116" y="128"/>
                </a:lnTo>
                <a:lnTo>
                  <a:pt x="116" y="128"/>
                </a:lnTo>
                <a:lnTo>
                  <a:pt x="116" y="129"/>
                </a:lnTo>
                <a:lnTo>
                  <a:pt x="117" y="129"/>
                </a:lnTo>
                <a:lnTo>
                  <a:pt x="117" y="130"/>
                </a:lnTo>
                <a:lnTo>
                  <a:pt x="118" y="130"/>
                </a:lnTo>
                <a:lnTo>
                  <a:pt x="118" y="130"/>
                </a:lnTo>
                <a:lnTo>
                  <a:pt x="119" y="129"/>
                </a:lnTo>
                <a:lnTo>
                  <a:pt x="120" y="129"/>
                </a:lnTo>
                <a:lnTo>
                  <a:pt x="120" y="129"/>
                </a:lnTo>
                <a:lnTo>
                  <a:pt x="121" y="130"/>
                </a:lnTo>
                <a:lnTo>
                  <a:pt x="121" y="130"/>
                </a:lnTo>
                <a:lnTo>
                  <a:pt x="121" y="131"/>
                </a:lnTo>
                <a:lnTo>
                  <a:pt x="121" y="131"/>
                </a:lnTo>
                <a:lnTo>
                  <a:pt x="121" y="132"/>
                </a:lnTo>
                <a:lnTo>
                  <a:pt x="120" y="132"/>
                </a:lnTo>
                <a:lnTo>
                  <a:pt x="120" y="133"/>
                </a:lnTo>
                <a:lnTo>
                  <a:pt x="119" y="133"/>
                </a:lnTo>
                <a:lnTo>
                  <a:pt x="119" y="133"/>
                </a:lnTo>
                <a:lnTo>
                  <a:pt x="119" y="133"/>
                </a:lnTo>
                <a:lnTo>
                  <a:pt x="118" y="134"/>
                </a:lnTo>
                <a:lnTo>
                  <a:pt x="118" y="134"/>
                </a:lnTo>
                <a:lnTo>
                  <a:pt x="118" y="135"/>
                </a:lnTo>
                <a:lnTo>
                  <a:pt x="118" y="135"/>
                </a:lnTo>
                <a:lnTo>
                  <a:pt x="118" y="136"/>
                </a:lnTo>
                <a:lnTo>
                  <a:pt x="118" y="136"/>
                </a:lnTo>
                <a:lnTo>
                  <a:pt x="119" y="136"/>
                </a:lnTo>
                <a:lnTo>
                  <a:pt x="119" y="137"/>
                </a:lnTo>
                <a:lnTo>
                  <a:pt x="119" y="137"/>
                </a:lnTo>
                <a:lnTo>
                  <a:pt x="120" y="138"/>
                </a:lnTo>
                <a:lnTo>
                  <a:pt x="120" y="139"/>
                </a:lnTo>
                <a:lnTo>
                  <a:pt x="120" y="139"/>
                </a:lnTo>
                <a:lnTo>
                  <a:pt x="120" y="140"/>
                </a:lnTo>
                <a:lnTo>
                  <a:pt x="121" y="140"/>
                </a:lnTo>
                <a:lnTo>
                  <a:pt x="121" y="141"/>
                </a:lnTo>
                <a:lnTo>
                  <a:pt x="120" y="141"/>
                </a:lnTo>
                <a:lnTo>
                  <a:pt x="119" y="141"/>
                </a:lnTo>
                <a:lnTo>
                  <a:pt x="119" y="141"/>
                </a:lnTo>
                <a:lnTo>
                  <a:pt x="118" y="142"/>
                </a:lnTo>
                <a:lnTo>
                  <a:pt x="117" y="142"/>
                </a:lnTo>
                <a:lnTo>
                  <a:pt x="117" y="143"/>
                </a:lnTo>
                <a:lnTo>
                  <a:pt x="117" y="143"/>
                </a:lnTo>
                <a:lnTo>
                  <a:pt x="116" y="144"/>
                </a:lnTo>
                <a:lnTo>
                  <a:pt x="116" y="144"/>
                </a:lnTo>
                <a:lnTo>
                  <a:pt x="115" y="145"/>
                </a:lnTo>
                <a:lnTo>
                  <a:pt x="114" y="145"/>
                </a:lnTo>
                <a:lnTo>
                  <a:pt x="114" y="145"/>
                </a:lnTo>
                <a:lnTo>
                  <a:pt x="113" y="145"/>
                </a:lnTo>
                <a:lnTo>
                  <a:pt x="113" y="146"/>
                </a:lnTo>
                <a:lnTo>
                  <a:pt x="112" y="146"/>
                </a:lnTo>
                <a:lnTo>
                  <a:pt x="111" y="147"/>
                </a:lnTo>
                <a:lnTo>
                  <a:pt x="111" y="147"/>
                </a:lnTo>
                <a:lnTo>
                  <a:pt x="112" y="147"/>
                </a:lnTo>
                <a:lnTo>
                  <a:pt x="112" y="148"/>
                </a:lnTo>
                <a:lnTo>
                  <a:pt x="113" y="148"/>
                </a:lnTo>
                <a:lnTo>
                  <a:pt x="113" y="149"/>
                </a:lnTo>
                <a:lnTo>
                  <a:pt x="113" y="149"/>
                </a:lnTo>
                <a:lnTo>
                  <a:pt x="114" y="149"/>
                </a:lnTo>
                <a:lnTo>
                  <a:pt x="114" y="150"/>
                </a:lnTo>
                <a:lnTo>
                  <a:pt x="114" y="150"/>
                </a:lnTo>
                <a:lnTo>
                  <a:pt x="114" y="150"/>
                </a:lnTo>
                <a:lnTo>
                  <a:pt x="114" y="151"/>
                </a:lnTo>
                <a:lnTo>
                  <a:pt x="114" y="151"/>
                </a:lnTo>
                <a:lnTo>
                  <a:pt x="114" y="151"/>
                </a:lnTo>
                <a:lnTo>
                  <a:pt x="115" y="152"/>
                </a:lnTo>
                <a:lnTo>
                  <a:pt x="115" y="152"/>
                </a:lnTo>
                <a:lnTo>
                  <a:pt x="116" y="152"/>
                </a:lnTo>
                <a:lnTo>
                  <a:pt x="116" y="152"/>
                </a:lnTo>
                <a:lnTo>
                  <a:pt x="117" y="152"/>
                </a:lnTo>
                <a:lnTo>
                  <a:pt x="117" y="153"/>
                </a:lnTo>
                <a:lnTo>
                  <a:pt x="117" y="153"/>
                </a:lnTo>
                <a:lnTo>
                  <a:pt x="117" y="154"/>
                </a:lnTo>
                <a:lnTo>
                  <a:pt x="117" y="154"/>
                </a:lnTo>
                <a:lnTo>
                  <a:pt x="117" y="155"/>
                </a:lnTo>
                <a:lnTo>
                  <a:pt x="116" y="155"/>
                </a:lnTo>
                <a:lnTo>
                  <a:pt x="116" y="155"/>
                </a:lnTo>
                <a:lnTo>
                  <a:pt x="116" y="155"/>
                </a:lnTo>
                <a:lnTo>
                  <a:pt x="115" y="156"/>
                </a:lnTo>
                <a:lnTo>
                  <a:pt x="115" y="156"/>
                </a:lnTo>
                <a:lnTo>
                  <a:pt x="115" y="157"/>
                </a:lnTo>
                <a:lnTo>
                  <a:pt x="114" y="157"/>
                </a:lnTo>
                <a:lnTo>
                  <a:pt x="114" y="158"/>
                </a:lnTo>
                <a:lnTo>
                  <a:pt x="114" y="158"/>
                </a:lnTo>
                <a:lnTo>
                  <a:pt x="114" y="158"/>
                </a:lnTo>
                <a:lnTo>
                  <a:pt x="114" y="159"/>
                </a:lnTo>
                <a:lnTo>
                  <a:pt x="114" y="159"/>
                </a:lnTo>
                <a:lnTo>
                  <a:pt x="113" y="160"/>
                </a:lnTo>
                <a:lnTo>
                  <a:pt x="113" y="159"/>
                </a:lnTo>
                <a:lnTo>
                  <a:pt x="113" y="160"/>
                </a:lnTo>
                <a:lnTo>
                  <a:pt x="113" y="160"/>
                </a:lnTo>
                <a:lnTo>
                  <a:pt x="112" y="160"/>
                </a:lnTo>
                <a:lnTo>
                  <a:pt x="112" y="160"/>
                </a:lnTo>
                <a:lnTo>
                  <a:pt x="112" y="160"/>
                </a:lnTo>
                <a:lnTo>
                  <a:pt x="111" y="160"/>
                </a:lnTo>
                <a:lnTo>
                  <a:pt x="111" y="161"/>
                </a:lnTo>
                <a:lnTo>
                  <a:pt x="110" y="161"/>
                </a:lnTo>
                <a:lnTo>
                  <a:pt x="110" y="162"/>
                </a:lnTo>
                <a:lnTo>
                  <a:pt x="110" y="162"/>
                </a:lnTo>
                <a:lnTo>
                  <a:pt x="110" y="163"/>
                </a:lnTo>
                <a:lnTo>
                  <a:pt x="110" y="163"/>
                </a:lnTo>
                <a:lnTo>
                  <a:pt x="110" y="164"/>
                </a:lnTo>
                <a:lnTo>
                  <a:pt x="109" y="164"/>
                </a:lnTo>
                <a:lnTo>
                  <a:pt x="109" y="164"/>
                </a:lnTo>
                <a:lnTo>
                  <a:pt x="109" y="165"/>
                </a:lnTo>
                <a:lnTo>
                  <a:pt x="109" y="166"/>
                </a:lnTo>
                <a:lnTo>
                  <a:pt x="108" y="166"/>
                </a:lnTo>
                <a:lnTo>
                  <a:pt x="107" y="167"/>
                </a:lnTo>
                <a:lnTo>
                  <a:pt x="107" y="167"/>
                </a:lnTo>
                <a:lnTo>
                  <a:pt x="107" y="167"/>
                </a:lnTo>
                <a:lnTo>
                  <a:pt x="107" y="168"/>
                </a:lnTo>
                <a:lnTo>
                  <a:pt x="106" y="168"/>
                </a:lnTo>
                <a:lnTo>
                  <a:pt x="106" y="169"/>
                </a:lnTo>
                <a:lnTo>
                  <a:pt x="106" y="169"/>
                </a:lnTo>
                <a:lnTo>
                  <a:pt x="106" y="169"/>
                </a:lnTo>
                <a:lnTo>
                  <a:pt x="106" y="170"/>
                </a:lnTo>
                <a:lnTo>
                  <a:pt x="105" y="170"/>
                </a:lnTo>
                <a:lnTo>
                  <a:pt x="105" y="171"/>
                </a:lnTo>
                <a:lnTo>
                  <a:pt x="105" y="171"/>
                </a:lnTo>
                <a:lnTo>
                  <a:pt x="104" y="171"/>
                </a:lnTo>
                <a:lnTo>
                  <a:pt x="104" y="171"/>
                </a:lnTo>
                <a:lnTo>
                  <a:pt x="103" y="171"/>
                </a:lnTo>
                <a:lnTo>
                  <a:pt x="103" y="171"/>
                </a:lnTo>
                <a:lnTo>
                  <a:pt x="103" y="172"/>
                </a:lnTo>
                <a:lnTo>
                  <a:pt x="103" y="172"/>
                </a:lnTo>
                <a:lnTo>
                  <a:pt x="102" y="171"/>
                </a:lnTo>
                <a:lnTo>
                  <a:pt x="102" y="172"/>
                </a:lnTo>
                <a:lnTo>
                  <a:pt x="101" y="172"/>
                </a:lnTo>
                <a:lnTo>
                  <a:pt x="101" y="172"/>
                </a:lnTo>
                <a:lnTo>
                  <a:pt x="100" y="172"/>
                </a:lnTo>
                <a:lnTo>
                  <a:pt x="100" y="172"/>
                </a:lnTo>
                <a:lnTo>
                  <a:pt x="100" y="172"/>
                </a:lnTo>
                <a:lnTo>
                  <a:pt x="99" y="172"/>
                </a:lnTo>
                <a:lnTo>
                  <a:pt x="99" y="172"/>
                </a:lnTo>
                <a:lnTo>
                  <a:pt x="98" y="172"/>
                </a:lnTo>
                <a:lnTo>
                  <a:pt x="98" y="173"/>
                </a:lnTo>
                <a:lnTo>
                  <a:pt x="98" y="173"/>
                </a:lnTo>
                <a:lnTo>
                  <a:pt x="97" y="172"/>
                </a:lnTo>
                <a:lnTo>
                  <a:pt x="97" y="173"/>
                </a:lnTo>
                <a:lnTo>
                  <a:pt x="96" y="173"/>
                </a:lnTo>
                <a:lnTo>
                  <a:pt x="96" y="173"/>
                </a:lnTo>
                <a:lnTo>
                  <a:pt x="96" y="173"/>
                </a:lnTo>
                <a:lnTo>
                  <a:pt x="97" y="174"/>
                </a:lnTo>
                <a:lnTo>
                  <a:pt x="97" y="174"/>
                </a:lnTo>
                <a:lnTo>
                  <a:pt x="97" y="174"/>
                </a:lnTo>
                <a:lnTo>
                  <a:pt x="97" y="174"/>
                </a:lnTo>
                <a:lnTo>
                  <a:pt x="97" y="175"/>
                </a:lnTo>
                <a:lnTo>
                  <a:pt x="96" y="175"/>
                </a:lnTo>
                <a:lnTo>
                  <a:pt x="94" y="174"/>
                </a:lnTo>
                <a:lnTo>
                  <a:pt x="91" y="173"/>
                </a:lnTo>
                <a:lnTo>
                  <a:pt x="88" y="174"/>
                </a:lnTo>
                <a:lnTo>
                  <a:pt x="87" y="176"/>
                </a:lnTo>
                <a:lnTo>
                  <a:pt x="84" y="178"/>
                </a:lnTo>
                <a:lnTo>
                  <a:pt x="82" y="179"/>
                </a:lnTo>
                <a:lnTo>
                  <a:pt x="81" y="178"/>
                </a:lnTo>
                <a:lnTo>
                  <a:pt x="80" y="178"/>
                </a:lnTo>
                <a:lnTo>
                  <a:pt x="79" y="177"/>
                </a:lnTo>
                <a:lnTo>
                  <a:pt x="79" y="175"/>
                </a:lnTo>
                <a:lnTo>
                  <a:pt x="79" y="174"/>
                </a:lnTo>
                <a:lnTo>
                  <a:pt x="78" y="173"/>
                </a:lnTo>
                <a:lnTo>
                  <a:pt x="77" y="172"/>
                </a:lnTo>
                <a:lnTo>
                  <a:pt x="77" y="172"/>
                </a:lnTo>
                <a:lnTo>
                  <a:pt x="76" y="171"/>
                </a:lnTo>
                <a:lnTo>
                  <a:pt x="75" y="170"/>
                </a:lnTo>
                <a:lnTo>
                  <a:pt x="73" y="170"/>
                </a:lnTo>
                <a:lnTo>
                  <a:pt x="72" y="172"/>
                </a:lnTo>
                <a:lnTo>
                  <a:pt x="72" y="173"/>
                </a:lnTo>
                <a:lnTo>
                  <a:pt x="71" y="175"/>
                </a:lnTo>
                <a:lnTo>
                  <a:pt x="70" y="176"/>
                </a:lnTo>
                <a:lnTo>
                  <a:pt x="69" y="177"/>
                </a:lnTo>
                <a:lnTo>
                  <a:pt x="68" y="178"/>
                </a:lnTo>
                <a:lnTo>
                  <a:pt x="67" y="179"/>
                </a:lnTo>
                <a:lnTo>
                  <a:pt x="67" y="180"/>
                </a:lnTo>
                <a:lnTo>
                  <a:pt x="67" y="181"/>
                </a:lnTo>
                <a:lnTo>
                  <a:pt x="66" y="182"/>
                </a:lnTo>
                <a:lnTo>
                  <a:pt x="65" y="182"/>
                </a:lnTo>
                <a:lnTo>
                  <a:pt x="65" y="183"/>
                </a:lnTo>
                <a:lnTo>
                  <a:pt x="64" y="183"/>
                </a:lnTo>
                <a:lnTo>
                  <a:pt x="63" y="184"/>
                </a:lnTo>
                <a:lnTo>
                  <a:pt x="62" y="184"/>
                </a:lnTo>
                <a:lnTo>
                  <a:pt x="61" y="185"/>
                </a:lnTo>
                <a:lnTo>
                  <a:pt x="60" y="186"/>
                </a:lnTo>
                <a:lnTo>
                  <a:pt x="59" y="185"/>
                </a:lnTo>
                <a:lnTo>
                  <a:pt x="57" y="185"/>
                </a:lnTo>
                <a:lnTo>
                  <a:pt x="56" y="185"/>
                </a:lnTo>
                <a:lnTo>
                  <a:pt x="55" y="186"/>
                </a:lnTo>
                <a:lnTo>
                  <a:pt x="53" y="185"/>
                </a:lnTo>
                <a:lnTo>
                  <a:pt x="52" y="185"/>
                </a:lnTo>
                <a:lnTo>
                  <a:pt x="51" y="184"/>
                </a:lnTo>
                <a:lnTo>
                  <a:pt x="50" y="183"/>
                </a:lnTo>
                <a:lnTo>
                  <a:pt x="49" y="183"/>
                </a:lnTo>
                <a:lnTo>
                  <a:pt x="48" y="184"/>
                </a:lnTo>
                <a:lnTo>
                  <a:pt x="48" y="184"/>
                </a:lnTo>
                <a:lnTo>
                  <a:pt x="48" y="182"/>
                </a:lnTo>
                <a:lnTo>
                  <a:pt x="47" y="181"/>
                </a:lnTo>
                <a:lnTo>
                  <a:pt x="47" y="179"/>
                </a:lnTo>
                <a:lnTo>
                  <a:pt x="49" y="177"/>
                </a:lnTo>
                <a:lnTo>
                  <a:pt x="49" y="176"/>
                </a:lnTo>
                <a:lnTo>
                  <a:pt x="49" y="175"/>
                </a:lnTo>
                <a:lnTo>
                  <a:pt x="49" y="173"/>
                </a:lnTo>
                <a:lnTo>
                  <a:pt x="49" y="171"/>
                </a:lnTo>
                <a:lnTo>
                  <a:pt x="49" y="171"/>
                </a:lnTo>
                <a:lnTo>
                  <a:pt x="49" y="170"/>
                </a:lnTo>
                <a:lnTo>
                  <a:pt x="49" y="168"/>
                </a:lnTo>
                <a:lnTo>
                  <a:pt x="48" y="167"/>
                </a:lnTo>
                <a:lnTo>
                  <a:pt x="49" y="165"/>
                </a:lnTo>
                <a:lnTo>
                  <a:pt x="50" y="164"/>
                </a:lnTo>
                <a:lnTo>
                  <a:pt x="51" y="163"/>
                </a:lnTo>
                <a:lnTo>
                  <a:pt x="53" y="162"/>
                </a:lnTo>
                <a:lnTo>
                  <a:pt x="53" y="160"/>
                </a:lnTo>
                <a:lnTo>
                  <a:pt x="52" y="159"/>
                </a:lnTo>
                <a:lnTo>
                  <a:pt x="52" y="157"/>
                </a:lnTo>
                <a:lnTo>
                  <a:pt x="52" y="155"/>
                </a:lnTo>
                <a:lnTo>
                  <a:pt x="53" y="154"/>
                </a:lnTo>
                <a:lnTo>
                  <a:pt x="53" y="154"/>
                </a:lnTo>
                <a:lnTo>
                  <a:pt x="55" y="154"/>
                </a:lnTo>
                <a:lnTo>
                  <a:pt x="55" y="153"/>
                </a:lnTo>
                <a:lnTo>
                  <a:pt x="55" y="152"/>
                </a:lnTo>
                <a:lnTo>
                  <a:pt x="56" y="152"/>
                </a:lnTo>
                <a:lnTo>
                  <a:pt x="57" y="151"/>
                </a:lnTo>
                <a:lnTo>
                  <a:pt x="56" y="149"/>
                </a:lnTo>
                <a:lnTo>
                  <a:pt x="56" y="148"/>
                </a:lnTo>
                <a:lnTo>
                  <a:pt x="55" y="146"/>
                </a:lnTo>
                <a:lnTo>
                  <a:pt x="55" y="144"/>
                </a:lnTo>
                <a:lnTo>
                  <a:pt x="54" y="143"/>
                </a:lnTo>
                <a:lnTo>
                  <a:pt x="54" y="142"/>
                </a:lnTo>
                <a:lnTo>
                  <a:pt x="54" y="142"/>
                </a:lnTo>
                <a:lnTo>
                  <a:pt x="53" y="141"/>
                </a:lnTo>
                <a:lnTo>
                  <a:pt x="54" y="139"/>
                </a:lnTo>
                <a:lnTo>
                  <a:pt x="55" y="139"/>
                </a:lnTo>
                <a:lnTo>
                  <a:pt x="57" y="136"/>
                </a:lnTo>
                <a:lnTo>
                  <a:pt x="57" y="135"/>
                </a:lnTo>
                <a:lnTo>
                  <a:pt x="57" y="133"/>
                </a:lnTo>
                <a:lnTo>
                  <a:pt x="57" y="132"/>
                </a:lnTo>
                <a:lnTo>
                  <a:pt x="57" y="131"/>
                </a:lnTo>
                <a:lnTo>
                  <a:pt x="59" y="131"/>
                </a:lnTo>
                <a:lnTo>
                  <a:pt x="60" y="130"/>
                </a:lnTo>
                <a:lnTo>
                  <a:pt x="61" y="130"/>
                </a:lnTo>
                <a:lnTo>
                  <a:pt x="62" y="129"/>
                </a:lnTo>
                <a:lnTo>
                  <a:pt x="63" y="129"/>
                </a:lnTo>
                <a:lnTo>
                  <a:pt x="64" y="127"/>
                </a:lnTo>
                <a:lnTo>
                  <a:pt x="63" y="126"/>
                </a:lnTo>
                <a:lnTo>
                  <a:pt x="64" y="126"/>
                </a:lnTo>
                <a:lnTo>
                  <a:pt x="65" y="125"/>
                </a:lnTo>
                <a:lnTo>
                  <a:pt x="66" y="125"/>
                </a:lnTo>
                <a:lnTo>
                  <a:pt x="66" y="123"/>
                </a:lnTo>
                <a:lnTo>
                  <a:pt x="67" y="123"/>
                </a:lnTo>
                <a:lnTo>
                  <a:pt x="68" y="122"/>
                </a:lnTo>
                <a:lnTo>
                  <a:pt x="69" y="120"/>
                </a:lnTo>
                <a:lnTo>
                  <a:pt x="68" y="119"/>
                </a:lnTo>
                <a:lnTo>
                  <a:pt x="67" y="117"/>
                </a:lnTo>
                <a:lnTo>
                  <a:pt x="66" y="116"/>
                </a:lnTo>
                <a:lnTo>
                  <a:pt x="67" y="113"/>
                </a:lnTo>
                <a:lnTo>
                  <a:pt x="67" y="112"/>
                </a:lnTo>
                <a:lnTo>
                  <a:pt x="66" y="113"/>
                </a:lnTo>
                <a:lnTo>
                  <a:pt x="66" y="112"/>
                </a:lnTo>
                <a:lnTo>
                  <a:pt x="67" y="111"/>
                </a:lnTo>
                <a:lnTo>
                  <a:pt x="67" y="109"/>
                </a:lnTo>
                <a:lnTo>
                  <a:pt x="66" y="109"/>
                </a:lnTo>
                <a:lnTo>
                  <a:pt x="65" y="109"/>
                </a:lnTo>
                <a:lnTo>
                  <a:pt x="65" y="107"/>
                </a:lnTo>
                <a:lnTo>
                  <a:pt x="67" y="107"/>
                </a:lnTo>
                <a:lnTo>
                  <a:pt x="70" y="109"/>
                </a:lnTo>
                <a:lnTo>
                  <a:pt x="71" y="109"/>
                </a:lnTo>
                <a:lnTo>
                  <a:pt x="73" y="107"/>
                </a:lnTo>
                <a:lnTo>
                  <a:pt x="72" y="106"/>
                </a:lnTo>
                <a:lnTo>
                  <a:pt x="74" y="106"/>
                </a:lnTo>
                <a:lnTo>
                  <a:pt x="74" y="105"/>
                </a:lnTo>
                <a:lnTo>
                  <a:pt x="73" y="104"/>
                </a:lnTo>
                <a:lnTo>
                  <a:pt x="74" y="102"/>
                </a:lnTo>
                <a:lnTo>
                  <a:pt x="74" y="101"/>
                </a:lnTo>
                <a:lnTo>
                  <a:pt x="74" y="101"/>
                </a:lnTo>
                <a:lnTo>
                  <a:pt x="76" y="101"/>
                </a:lnTo>
                <a:lnTo>
                  <a:pt x="77" y="100"/>
                </a:lnTo>
                <a:lnTo>
                  <a:pt x="76" y="99"/>
                </a:lnTo>
                <a:lnTo>
                  <a:pt x="76" y="99"/>
                </a:lnTo>
                <a:lnTo>
                  <a:pt x="74" y="99"/>
                </a:lnTo>
                <a:lnTo>
                  <a:pt x="74" y="98"/>
                </a:lnTo>
                <a:lnTo>
                  <a:pt x="74" y="97"/>
                </a:lnTo>
                <a:lnTo>
                  <a:pt x="74" y="96"/>
                </a:lnTo>
                <a:lnTo>
                  <a:pt x="74" y="95"/>
                </a:lnTo>
                <a:lnTo>
                  <a:pt x="74" y="95"/>
                </a:lnTo>
                <a:lnTo>
                  <a:pt x="75" y="95"/>
                </a:lnTo>
                <a:lnTo>
                  <a:pt x="76" y="96"/>
                </a:lnTo>
                <a:lnTo>
                  <a:pt x="77" y="96"/>
                </a:lnTo>
                <a:lnTo>
                  <a:pt x="78" y="96"/>
                </a:lnTo>
                <a:lnTo>
                  <a:pt x="78" y="95"/>
                </a:lnTo>
                <a:lnTo>
                  <a:pt x="77" y="94"/>
                </a:lnTo>
                <a:lnTo>
                  <a:pt x="78" y="93"/>
                </a:lnTo>
                <a:lnTo>
                  <a:pt x="78" y="92"/>
                </a:lnTo>
                <a:lnTo>
                  <a:pt x="77" y="92"/>
                </a:lnTo>
                <a:lnTo>
                  <a:pt x="75" y="92"/>
                </a:lnTo>
                <a:lnTo>
                  <a:pt x="76" y="91"/>
                </a:lnTo>
                <a:lnTo>
                  <a:pt x="76" y="90"/>
                </a:lnTo>
                <a:lnTo>
                  <a:pt x="76" y="90"/>
                </a:lnTo>
                <a:lnTo>
                  <a:pt x="75" y="89"/>
                </a:lnTo>
                <a:lnTo>
                  <a:pt x="75" y="88"/>
                </a:lnTo>
                <a:lnTo>
                  <a:pt x="75" y="88"/>
                </a:lnTo>
                <a:lnTo>
                  <a:pt x="74" y="89"/>
                </a:lnTo>
                <a:lnTo>
                  <a:pt x="74" y="90"/>
                </a:lnTo>
                <a:lnTo>
                  <a:pt x="74" y="92"/>
                </a:lnTo>
                <a:lnTo>
                  <a:pt x="72" y="93"/>
                </a:lnTo>
                <a:lnTo>
                  <a:pt x="72" y="93"/>
                </a:lnTo>
                <a:lnTo>
                  <a:pt x="71" y="93"/>
                </a:lnTo>
                <a:lnTo>
                  <a:pt x="71" y="94"/>
                </a:lnTo>
                <a:lnTo>
                  <a:pt x="71" y="95"/>
                </a:lnTo>
                <a:lnTo>
                  <a:pt x="70" y="95"/>
                </a:lnTo>
                <a:lnTo>
                  <a:pt x="71" y="97"/>
                </a:lnTo>
                <a:lnTo>
                  <a:pt x="70" y="97"/>
                </a:lnTo>
                <a:lnTo>
                  <a:pt x="69" y="95"/>
                </a:lnTo>
                <a:lnTo>
                  <a:pt x="68" y="93"/>
                </a:lnTo>
                <a:lnTo>
                  <a:pt x="67" y="93"/>
                </a:lnTo>
                <a:lnTo>
                  <a:pt x="66" y="93"/>
                </a:lnTo>
                <a:lnTo>
                  <a:pt x="66" y="91"/>
                </a:lnTo>
                <a:lnTo>
                  <a:pt x="66" y="91"/>
                </a:lnTo>
                <a:lnTo>
                  <a:pt x="67" y="90"/>
                </a:lnTo>
                <a:lnTo>
                  <a:pt x="68" y="89"/>
                </a:lnTo>
                <a:lnTo>
                  <a:pt x="67" y="89"/>
                </a:lnTo>
                <a:lnTo>
                  <a:pt x="65" y="90"/>
                </a:lnTo>
                <a:lnTo>
                  <a:pt x="64" y="90"/>
                </a:lnTo>
                <a:lnTo>
                  <a:pt x="62" y="90"/>
                </a:lnTo>
                <a:lnTo>
                  <a:pt x="60" y="89"/>
                </a:lnTo>
                <a:lnTo>
                  <a:pt x="60" y="88"/>
                </a:lnTo>
                <a:lnTo>
                  <a:pt x="60" y="87"/>
                </a:lnTo>
                <a:lnTo>
                  <a:pt x="60" y="86"/>
                </a:lnTo>
                <a:lnTo>
                  <a:pt x="59" y="87"/>
                </a:lnTo>
                <a:lnTo>
                  <a:pt x="58" y="88"/>
                </a:lnTo>
                <a:lnTo>
                  <a:pt x="57" y="88"/>
                </a:lnTo>
                <a:lnTo>
                  <a:pt x="56" y="89"/>
                </a:lnTo>
                <a:lnTo>
                  <a:pt x="56" y="90"/>
                </a:lnTo>
                <a:lnTo>
                  <a:pt x="56" y="91"/>
                </a:lnTo>
                <a:lnTo>
                  <a:pt x="55" y="91"/>
                </a:lnTo>
                <a:lnTo>
                  <a:pt x="54" y="91"/>
                </a:lnTo>
                <a:lnTo>
                  <a:pt x="54" y="90"/>
                </a:lnTo>
                <a:lnTo>
                  <a:pt x="54" y="88"/>
                </a:lnTo>
                <a:lnTo>
                  <a:pt x="53" y="88"/>
                </a:lnTo>
                <a:lnTo>
                  <a:pt x="52" y="88"/>
                </a:lnTo>
                <a:lnTo>
                  <a:pt x="51" y="89"/>
                </a:lnTo>
                <a:lnTo>
                  <a:pt x="50" y="88"/>
                </a:lnTo>
                <a:lnTo>
                  <a:pt x="49" y="87"/>
                </a:lnTo>
                <a:lnTo>
                  <a:pt x="49" y="88"/>
                </a:lnTo>
                <a:lnTo>
                  <a:pt x="49" y="89"/>
                </a:lnTo>
                <a:lnTo>
                  <a:pt x="48" y="91"/>
                </a:lnTo>
                <a:lnTo>
                  <a:pt x="48" y="91"/>
                </a:lnTo>
                <a:lnTo>
                  <a:pt x="48" y="90"/>
                </a:lnTo>
                <a:lnTo>
                  <a:pt x="47" y="90"/>
                </a:lnTo>
                <a:lnTo>
                  <a:pt x="46" y="90"/>
                </a:lnTo>
                <a:lnTo>
                  <a:pt x="46" y="90"/>
                </a:lnTo>
                <a:lnTo>
                  <a:pt x="45" y="89"/>
                </a:lnTo>
                <a:lnTo>
                  <a:pt x="45" y="89"/>
                </a:lnTo>
                <a:lnTo>
                  <a:pt x="44" y="89"/>
                </a:lnTo>
                <a:lnTo>
                  <a:pt x="43" y="88"/>
                </a:lnTo>
                <a:lnTo>
                  <a:pt x="43" y="88"/>
                </a:lnTo>
                <a:lnTo>
                  <a:pt x="43" y="87"/>
                </a:lnTo>
                <a:lnTo>
                  <a:pt x="45" y="86"/>
                </a:lnTo>
                <a:lnTo>
                  <a:pt x="45" y="85"/>
                </a:lnTo>
                <a:lnTo>
                  <a:pt x="45" y="83"/>
                </a:lnTo>
                <a:lnTo>
                  <a:pt x="44" y="80"/>
                </a:lnTo>
                <a:lnTo>
                  <a:pt x="44" y="78"/>
                </a:lnTo>
                <a:lnTo>
                  <a:pt x="42" y="76"/>
                </a:lnTo>
                <a:lnTo>
                  <a:pt x="41" y="74"/>
                </a:lnTo>
                <a:lnTo>
                  <a:pt x="40" y="72"/>
                </a:lnTo>
                <a:lnTo>
                  <a:pt x="40" y="70"/>
                </a:lnTo>
                <a:lnTo>
                  <a:pt x="39" y="67"/>
                </a:lnTo>
                <a:lnTo>
                  <a:pt x="39" y="66"/>
                </a:lnTo>
                <a:lnTo>
                  <a:pt x="37" y="66"/>
                </a:lnTo>
                <a:lnTo>
                  <a:pt x="35" y="66"/>
                </a:lnTo>
                <a:lnTo>
                  <a:pt x="33" y="67"/>
                </a:lnTo>
                <a:lnTo>
                  <a:pt x="32" y="68"/>
                </a:lnTo>
                <a:lnTo>
                  <a:pt x="31" y="68"/>
                </a:lnTo>
                <a:lnTo>
                  <a:pt x="30" y="68"/>
                </a:lnTo>
                <a:lnTo>
                  <a:pt x="28" y="68"/>
                </a:lnTo>
                <a:lnTo>
                  <a:pt x="26" y="68"/>
                </a:lnTo>
                <a:lnTo>
                  <a:pt x="23" y="69"/>
                </a:lnTo>
                <a:lnTo>
                  <a:pt x="23" y="68"/>
                </a:lnTo>
                <a:lnTo>
                  <a:pt x="23" y="68"/>
                </a:lnTo>
                <a:lnTo>
                  <a:pt x="22" y="68"/>
                </a:lnTo>
                <a:lnTo>
                  <a:pt x="22" y="67"/>
                </a:lnTo>
                <a:lnTo>
                  <a:pt x="22" y="67"/>
                </a:lnTo>
                <a:lnTo>
                  <a:pt x="22" y="67"/>
                </a:lnTo>
                <a:lnTo>
                  <a:pt x="21" y="66"/>
                </a:lnTo>
                <a:lnTo>
                  <a:pt x="21" y="66"/>
                </a:lnTo>
                <a:lnTo>
                  <a:pt x="21" y="66"/>
                </a:lnTo>
                <a:lnTo>
                  <a:pt x="21" y="66"/>
                </a:lnTo>
                <a:lnTo>
                  <a:pt x="20" y="65"/>
                </a:lnTo>
                <a:lnTo>
                  <a:pt x="20" y="65"/>
                </a:lnTo>
                <a:lnTo>
                  <a:pt x="20" y="65"/>
                </a:lnTo>
                <a:lnTo>
                  <a:pt x="20" y="65"/>
                </a:lnTo>
                <a:lnTo>
                  <a:pt x="19" y="64"/>
                </a:lnTo>
                <a:lnTo>
                  <a:pt x="19" y="64"/>
                </a:lnTo>
                <a:lnTo>
                  <a:pt x="19" y="64"/>
                </a:lnTo>
                <a:lnTo>
                  <a:pt x="18" y="64"/>
                </a:lnTo>
                <a:lnTo>
                  <a:pt x="18" y="64"/>
                </a:lnTo>
                <a:lnTo>
                  <a:pt x="17" y="63"/>
                </a:lnTo>
                <a:lnTo>
                  <a:pt x="17" y="63"/>
                </a:lnTo>
                <a:lnTo>
                  <a:pt x="17" y="63"/>
                </a:lnTo>
                <a:lnTo>
                  <a:pt x="17" y="63"/>
                </a:lnTo>
                <a:lnTo>
                  <a:pt x="16" y="63"/>
                </a:lnTo>
                <a:lnTo>
                  <a:pt x="16" y="62"/>
                </a:lnTo>
                <a:lnTo>
                  <a:pt x="15" y="62"/>
                </a:lnTo>
                <a:lnTo>
                  <a:pt x="15" y="62"/>
                </a:lnTo>
                <a:lnTo>
                  <a:pt x="14" y="62"/>
                </a:lnTo>
                <a:lnTo>
                  <a:pt x="14" y="62"/>
                </a:lnTo>
                <a:lnTo>
                  <a:pt x="14" y="62"/>
                </a:lnTo>
                <a:lnTo>
                  <a:pt x="13" y="62"/>
                </a:lnTo>
                <a:lnTo>
                  <a:pt x="13" y="62"/>
                </a:lnTo>
                <a:lnTo>
                  <a:pt x="13" y="61"/>
                </a:lnTo>
                <a:lnTo>
                  <a:pt x="12" y="61"/>
                </a:lnTo>
                <a:lnTo>
                  <a:pt x="11" y="61"/>
                </a:lnTo>
                <a:lnTo>
                  <a:pt x="11" y="61"/>
                </a:lnTo>
                <a:lnTo>
                  <a:pt x="10" y="61"/>
                </a:lnTo>
                <a:lnTo>
                  <a:pt x="10" y="60"/>
                </a:lnTo>
                <a:lnTo>
                  <a:pt x="10" y="60"/>
                </a:lnTo>
                <a:lnTo>
                  <a:pt x="9" y="60"/>
                </a:lnTo>
                <a:lnTo>
                  <a:pt x="9" y="60"/>
                </a:lnTo>
                <a:lnTo>
                  <a:pt x="8" y="60"/>
                </a:lnTo>
                <a:lnTo>
                  <a:pt x="8" y="60"/>
                </a:lnTo>
                <a:lnTo>
                  <a:pt x="8" y="60"/>
                </a:lnTo>
                <a:lnTo>
                  <a:pt x="7" y="60"/>
                </a:lnTo>
                <a:lnTo>
                  <a:pt x="7" y="59"/>
                </a:lnTo>
                <a:lnTo>
                  <a:pt x="7" y="59"/>
                </a:lnTo>
                <a:lnTo>
                  <a:pt x="7" y="59"/>
                </a:lnTo>
                <a:lnTo>
                  <a:pt x="7" y="59"/>
                </a:lnTo>
                <a:lnTo>
                  <a:pt x="6" y="58"/>
                </a:lnTo>
                <a:lnTo>
                  <a:pt x="6" y="58"/>
                </a:lnTo>
                <a:lnTo>
                  <a:pt x="6" y="58"/>
                </a:lnTo>
                <a:lnTo>
                  <a:pt x="5" y="58"/>
                </a:lnTo>
                <a:lnTo>
                  <a:pt x="5" y="57"/>
                </a:lnTo>
                <a:lnTo>
                  <a:pt x="4" y="57"/>
                </a:lnTo>
                <a:lnTo>
                  <a:pt x="4" y="57"/>
                </a:lnTo>
                <a:lnTo>
                  <a:pt x="4" y="57"/>
                </a:lnTo>
                <a:lnTo>
                  <a:pt x="4" y="57"/>
                </a:lnTo>
                <a:lnTo>
                  <a:pt x="4" y="57"/>
                </a:lnTo>
                <a:lnTo>
                  <a:pt x="3" y="56"/>
                </a:lnTo>
                <a:lnTo>
                  <a:pt x="3" y="56"/>
                </a:lnTo>
                <a:lnTo>
                  <a:pt x="2" y="56"/>
                </a:lnTo>
                <a:lnTo>
                  <a:pt x="2" y="56"/>
                </a:lnTo>
                <a:lnTo>
                  <a:pt x="1" y="56"/>
                </a:lnTo>
                <a:lnTo>
                  <a:pt x="1" y="56"/>
                </a:lnTo>
                <a:lnTo>
                  <a:pt x="1" y="56"/>
                </a:lnTo>
                <a:lnTo>
                  <a:pt x="0" y="55"/>
                </a:lnTo>
                <a:lnTo>
                  <a:pt x="0" y="55"/>
                </a:lnTo>
                <a:lnTo>
                  <a:pt x="0" y="55"/>
                </a:lnTo>
                <a:lnTo>
                  <a:pt x="0" y="54"/>
                </a:lnTo>
                <a:lnTo>
                  <a:pt x="0" y="54"/>
                </a:lnTo>
                <a:lnTo>
                  <a:pt x="0" y="54"/>
                </a:lnTo>
                <a:lnTo>
                  <a:pt x="1" y="53"/>
                </a:lnTo>
                <a:lnTo>
                  <a:pt x="1" y="53"/>
                </a:lnTo>
                <a:lnTo>
                  <a:pt x="1" y="53"/>
                </a:lnTo>
                <a:lnTo>
                  <a:pt x="1" y="53"/>
                </a:lnTo>
                <a:lnTo>
                  <a:pt x="2" y="53"/>
                </a:lnTo>
                <a:lnTo>
                  <a:pt x="2" y="53"/>
                </a:lnTo>
                <a:lnTo>
                  <a:pt x="3" y="53"/>
                </a:lnTo>
                <a:lnTo>
                  <a:pt x="3" y="53"/>
                </a:lnTo>
                <a:lnTo>
                  <a:pt x="3" y="52"/>
                </a:lnTo>
                <a:lnTo>
                  <a:pt x="4" y="52"/>
                </a:lnTo>
                <a:lnTo>
                  <a:pt x="4" y="51"/>
                </a:lnTo>
                <a:lnTo>
                  <a:pt x="4" y="51"/>
                </a:lnTo>
                <a:lnTo>
                  <a:pt x="5" y="51"/>
                </a:lnTo>
                <a:lnTo>
                  <a:pt x="5" y="51"/>
                </a:lnTo>
                <a:lnTo>
                  <a:pt x="6" y="51"/>
                </a:lnTo>
                <a:lnTo>
                  <a:pt x="6" y="51"/>
                </a:lnTo>
                <a:lnTo>
                  <a:pt x="6" y="51"/>
                </a:lnTo>
                <a:lnTo>
                  <a:pt x="7" y="50"/>
                </a:lnTo>
                <a:lnTo>
                  <a:pt x="7" y="50"/>
                </a:lnTo>
                <a:lnTo>
                  <a:pt x="8" y="50"/>
                </a:lnTo>
                <a:lnTo>
                  <a:pt x="8" y="50"/>
                </a:lnTo>
                <a:lnTo>
                  <a:pt x="8" y="50"/>
                </a:lnTo>
                <a:lnTo>
                  <a:pt x="9" y="50"/>
                </a:lnTo>
                <a:lnTo>
                  <a:pt x="9" y="49"/>
                </a:lnTo>
                <a:lnTo>
                  <a:pt x="9" y="49"/>
                </a:lnTo>
                <a:lnTo>
                  <a:pt x="9" y="49"/>
                </a:lnTo>
                <a:lnTo>
                  <a:pt x="9" y="48"/>
                </a:lnTo>
                <a:lnTo>
                  <a:pt x="9" y="48"/>
                </a:lnTo>
                <a:lnTo>
                  <a:pt x="10" y="48"/>
                </a:lnTo>
                <a:lnTo>
                  <a:pt x="10" y="47"/>
                </a:lnTo>
                <a:lnTo>
                  <a:pt x="10" y="47"/>
                </a:lnTo>
                <a:lnTo>
                  <a:pt x="10" y="47"/>
                </a:lnTo>
                <a:lnTo>
                  <a:pt x="10" y="46"/>
                </a:lnTo>
                <a:lnTo>
                  <a:pt x="10" y="46"/>
                </a:lnTo>
                <a:lnTo>
                  <a:pt x="10" y="45"/>
                </a:lnTo>
                <a:lnTo>
                  <a:pt x="10" y="45"/>
                </a:lnTo>
                <a:lnTo>
                  <a:pt x="10" y="44"/>
                </a:lnTo>
                <a:lnTo>
                  <a:pt x="11" y="44"/>
                </a:lnTo>
                <a:lnTo>
                  <a:pt x="11" y="43"/>
                </a:lnTo>
                <a:lnTo>
                  <a:pt x="11" y="43"/>
                </a:lnTo>
                <a:lnTo>
                  <a:pt x="11" y="43"/>
                </a:lnTo>
                <a:lnTo>
                  <a:pt x="11" y="43"/>
                </a:lnTo>
                <a:lnTo>
                  <a:pt x="13" y="41"/>
                </a:lnTo>
                <a:lnTo>
                  <a:pt x="14" y="40"/>
                </a:lnTo>
                <a:lnTo>
                  <a:pt x="16" y="40"/>
                </a:lnTo>
                <a:lnTo>
                  <a:pt x="17" y="37"/>
                </a:lnTo>
                <a:lnTo>
                  <a:pt x="17" y="37"/>
                </a:lnTo>
                <a:lnTo>
                  <a:pt x="18" y="37"/>
                </a:lnTo>
                <a:lnTo>
                  <a:pt x="19" y="35"/>
                </a:lnTo>
                <a:lnTo>
                  <a:pt x="19" y="34"/>
                </a:lnTo>
                <a:lnTo>
                  <a:pt x="19" y="32"/>
                </a:lnTo>
                <a:lnTo>
                  <a:pt x="18" y="31"/>
                </a:lnTo>
                <a:lnTo>
                  <a:pt x="18" y="30"/>
                </a:lnTo>
                <a:lnTo>
                  <a:pt x="18" y="29"/>
                </a:lnTo>
                <a:lnTo>
                  <a:pt x="18" y="28"/>
                </a:lnTo>
                <a:lnTo>
                  <a:pt x="19" y="29"/>
                </a:lnTo>
                <a:lnTo>
                  <a:pt x="20" y="27"/>
                </a:lnTo>
                <a:lnTo>
                  <a:pt x="20" y="27"/>
                </a:lnTo>
                <a:lnTo>
                  <a:pt x="21" y="27"/>
                </a:lnTo>
                <a:lnTo>
                  <a:pt x="21" y="27"/>
                </a:lnTo>
                <a:lnTo>
                  <a:pt x="21" y="27"/>
                </a:lnTo>
                <a:lnTo>
                  <a:pt x="22" y="27"/>
                </a:lnTo>
                <a:lnTo>
                  <a:pt x="22" y="27"/>
                </a:lnTo>
                <a:lnTo>
                  <a:pt x="23" y="27"/>
                </a:lnTo>
                <a:lnTo>
                  <a:pt x="23" y="26"/>
                </a:lnTo>
                <a:lnTo>
                  <a:pt x="23" y="25"/>
                </a:lnTo>
                <a:lnTo>
                  <a:pt x="24" y="25"/>
                </a:lnTo>
                <a:lnTo>
                  <a:pt x="24" y="25"/>
                </a:lnTo>
                <a:lnTo>
                  <a:pt x="25" y="25"/>
                </a:lnTo>
                <a:lnTo>
                  <a:pt x="26" y="25"/>
                </a:lnTo>
                <a:lnTo>
                  <a:pt x="27" y="25"/>
                </a:lnTo>
                <a:lnTo>
                  <a:pt x="26" y="24"/>
                </a:lnTo>
                <a:lnTo>
                  <a:pt x="26" y="23"/>
                </a:lnTo>
                <a:lnTo>
                  <a:pt x="26" y="23"/>
                </a:lnTo>
                <a:lnTo>
                  <a:pt x="27" y="24"/>
                </a:lnTo>
                <a:lnTo>
                  <a:pt x="29" y="24"/>
                </a:lnTo>
                <a:lnTo>
                  <a:pt x="31" y="25"/>
                </a:lnTo>
                <a:lnTo>
                  <a:pt x="33" y="25"/>
                </a:lnTo>
                <a:lnTo>
                  <a:pt x="35" y="24"/>
                </a:lnTo>
                <a:lnTo>
                  <a:pt x="36" y="24"/>
                </a:lnTo>
                <a:lnTo>
                  <a:pt x="39" y="23"/>
                </a:lnTo>
                <a:lnTo>
                  <a:pt x="46" y="18"/>
                </a:lnTo>
                <a:lnTo>
                  <a:pt x="43" y="16"/>
                </a:lnTo>
                <a:lnTo>
                  <a:pt x="43" y="16"/>
                </a:lnTo>
                <a:lnTo>
                  <a:pt x="42" y="15"/>
                </a:lnTo>
                <a:lnTo>
                  <a:pt x="42" y="15"/>
                </a:lnTo>
                <a:lnTo>
                  <a:pt x="42" y="14"/>
                </a:lnTo>
                <a:lnTo>
                  <a:pt x="43" y="13"/>
                </a:lnTo>
                <a:lnTo>
                  <a:pt x="45" y="12"/>
                </a:lnTo>
                <a:lnTo>
                  <a:pt x="49" y="12"/>
                </a:lnTo>
                <a:lnTo>
                  <a:pt x="51" y="11"/>
                </a:lnTo>
                <a:lnTo>
                  <a:pt x="52" y="11"/>
                </a:lnTo>
                <a:lnTo>
                  <a:pt x="52" y="10"/>
                </a:lnTo>
                <a:lnTo>
                  <a:pt x="53" y="9"/>
                </a:lnTo>
                <a:lnTo>
                  <a:pt x="53" y="9"/>
                </a:lnTo>
                <a:lnTo>
                  <a:pt x="54" y="8"/>
                </a:lnTo>
                <a:lnTo>
                  <a:pt x="55" y="6"/>
                </a:lnTo>
                <a:lnTo>
                  <a:pt x="55" y="6"/>
                </a:lnTo>
                <a:lnTo>
                  <a:pt x="54" y="5"/>
                </a:lnTo>
                <a:lnTo>
                  <a:pt x="54" y="4"/>
                </a:lnTo>
                <a:lnTo>
                  <a:pt x="54" y="3"/>
                </a:lnTo>
                <a:lnTo>
                  <a:pt x="55" y="2"/>
                </a:lnTo>
                <a:lnTo>
                  <a:pt x="56" y="4"/>
                </a:lnTo>
                <a:lnTo>
                  <a:pt x="57" y="3"/>
                </a:lnTo>
                <a:lnTo>
                  <a:pt x="57" y="2"/>
                </a:lnTo>
                <a:lnTo>
                  <a:pt x="57" y="1"/>
                </a:lnTo>
                <a:lnTo>
                  <a:pt x="57" y="0"/>
                </a:lnTo>
                <a:lnTo>
                  <a:pt x="58" y="1"/>
                </a:lnTo>
              </a:path>
            </a:pathLst>
          </a:custGeom>
          <a:grpFill/>
          <a:ln w="9525">
            <a:solidFill>
              <a:schemeClr val="bg1">
                <a:lumMod val="65000"/>
              </a:schemeClr>
            </a:solidFill>
            <a:prstDash val="solid"/>
            <a:round/>
            <a:headEnd/>
            <a:tailEnd/>
          </a:ln>
        </xdr:spPr>
      </xdr:sp>
      <xdr:sp macro="" textlink="">
        <xdr:nvSpPr>
          <xdr:cNvPr id="207" name="GIN004004"/>
          <xdr:cNvSpPr>
            <a:spLocks noChangeAspect="1"/>
          </xdr:cNvSpPr>
        </xdr:nvSpPr>
        <xdr:spPr bwMode="auto">
          <a:xfrm>
            <a:off x="8981705" y="3144116"/>
            <a:ext cx="1187780" cy="1486456"/>
          </a:xfrm>
          <a:custGeom>
            <a:avLst/>
            <a:gdLst>
              <a:gd name="T0" fmla="*/ 53 w 126"/>
              <a:gd name="T1" fmla="*/ 6 h 161"/>
              <a:gd name="T2" fmla="*/ 58 w 126"/>
              <a:gd name="T3" fmla="*/ 16 h 161"/>
              <a:gd name="T4" fmla="*/ 63 w 126"/>
              <a:gd name="T5" fmla="*/ 19 h 161"/>
              <a:gd name="T6" fmla="*/ 69 w 126"/>
              <a:gd name="T7" fmla="*/ 16 h 161"/>
              <a:gd name="T8" fmla="*/ 71 w 126"/>
              <a:gd name="T9" fmla="*/ 23 h 161"/>
              <a:gd name="T10" fmla="*/ 79 w 126"/>
              <a:gd name="T11" fmla="*/ 25 h 161"/>
              <a:gd name="T12" fmla="*/ 80 w 126"/>
              <a:gd name="T13" fmla="*/ 27 h 161"/>
              <a:gd name="T14" fmla="*/ 84 w 126"/>
              <a:gd name="T15" fmla="*/ 31 h 161"/>
              <a:gd name="T16" fmla="*/ 80 w 126"/>
              <a:gd name="T17" fmla="*/ 36 h 161"/>
              <a:gd name="T18" fmla="*/ 72 w 126"/>
              <a:gd name="T19" fmla="*/ 36 h 161"/>
              <a:gd name="T20" fmla="*/ 72 w 126"/>
              <a:gd name="T21" fmla="*/ 41 h 161"/>
              <a:gd name="T22" fmla="*/ 66 w 126"/>
              <a:gd name="T23" fmla="*/ 42 h 161"/>
              <a:gd name="T24" fmla="*/ 64 w 126"/>
              <a:gd name="T25" fmla="*/ 50 h 161"/>
              <a:gd name="T26" fmla="*/ 59 w 126"/>
              <a:gd name="T27" fmla="*/ 52 h 161"/>
              <a:gd name="T28" fmla="*/ 57 w 126"/>
              <a:gd name="T29" fmla="*/ 58 h 161"/>
              <a:gd name="T30" fmla="*/ 54 w 126"/>
              <a:gd name="T31" fmla="*/ 66 h 161"/>
              <a:gd name="T32" fmla="*/ 60 w 126"/>
              <a:gd name="T33" fmla="*/ 67 h 161"/>
              <a:gd name="T34" fmla="*/ 65 w 126"/>
              <a:gd name="T35" fmla="*/ 66 h 161"/>
              <a:gd name="T36" fmla="*/ 73 w 126"/>
              <a:gd name="T37" fmla="*/ 57 h 161"/>
              <a:gd name="T38" fmla="*/ 82 w 126"/>
              <a:gd name="T39" fmla="*/ 56 h 161"/>
              <a:gd name="T40" fmla="*/ 90 w 126"/>
              <a:gd name="T41" fmla="*/ 60 h 161"/>
              <a:gd name="T42" fmla="*/ 93 w 126"/>
              <a:gd name="T43" fmla="*/ 71 h 161"/>
              <a:gd name="T44" fmla="*/ 91 w 126"/>
              <a:gd name="T45" fmla="*/ 79 h 161"/>
              <a:gd name="T46" fmla="*/ 89 w 126"/>
              <a:gd name="T47" fmla="*/ 86 h 161"/>
              <a:gd name="T48" fmla="*/ 91 w 126"/>
              <a:gd name="T49" fmla="*/ 95 h 161"/>
              <a:gd name="T50" fmla="*/ 93 w 126"/>
              <a:gd name="T51" fmla="*/ 103 h 161"/>
              <a:gd name="T52" fmla="*/ 95 w 126"/>
              <a:gd name="T53" fmla="*/ 111 h 161"/>
              <a:gd name="T54" fmla="*/ 98 w 126"/>
              <a:gd name="T55" fmla="*/ 120 h 161"/>
              <a:gd name="T56" fmla="*/ 107 w 126"/>
              <a:gd name="T57" fmla="*/ 119 h 161"/>
              <a:gd name="T58" fmla="*/ 112 w 126"/>
              <a:gd name="T59" fmla="*/ 126 h 161"/>
              <a:gd name="T60" fmla="*/ 124 w 126"/>
              <a:gd name="T61" fmla="*/ 133 h 161"/>
              <a:gd name="T62" fmla="*/ 124 w 126"/>
              <a:gd name="T63" fmla="*/ 142 h 161"/>
              <a:gd name="T64" fmla="*/ 119 w 126"/>
              <a:gd name="T65" fmla="*/ 151 h 161"/>
              <a:gd name="T66" fmla="*/ 108 w 126"/>
              <a:gd name="T67" fmla="*/ 160 h 161"/>
              <a:gd name="T68" fmla="*/ 102 w 126"/>
              <a:gd name="T69" fmla="*/ 159 h 161"/>
              <a:gd name="T70" fmla="*/ 96 w 126"/>
              <a:gd name="T71" fmla="*/ 155 h 161"/>
              <a:gd name="T72" fmla="*/ 86 w 126"/>
              <a:gd name="T73" fmla="*/ 152 h 161"/>
              <a:gd name="T74" fmla="*/ 76 w 126"/>
              <a:gd name="T75" fmla="*/ 150 h 161"/>
              <a:gd name="T76" fmla="*/ 67 w 126"/>
              <a:gd name="T77" fmla="*/ 146 h 161"/>
              <a:gd name="T78" fmla="*/ 58 w 126"/>
              <a:gd name="T79" fmla="*/ 141 h 161"/>
              <a:gd name="T80" fmla="*/ 45 w 126"/>
              <a:gd name="T81" fmla="*/ 137 h 161"/>
              <a:gd name="T82" fmla="*/ 35 w 126"/>
              <a:gd name="T83" fmla="*/ 124 h 161"/>
              <a:gd name="T84" fmla="*/ 31 w 126"/>
              <a:gd name="T85" fmla="*/ 118 h 161"/>
              <a:gd name="T86" fmla="*/ 30 w 126"/>
              <a:gd name="T87" fmla="*/ 115 h 161"/>
              <a:gd name="T88" fmla="*/ 30 w 126"/>
              <a:gd name="T89" fmla="*/ 112 h 161"/>
              <a:gd name="T90" fmla="*/ 31 w 126"/>
              <a:gd name="T91" fmla="*/ 102 h 161"/>
              <a:gd name="T92" fmla="*/ 19 w 126"/>
              <a:gd name="T93" fmla="*/ 94 h 161"/>
              <a:gd name="T94" fmla="*/ 13 w 126"/>
              <a:gd name="T95" fmla="*/ 80 h 161"/>
              <a:gd name="T96" fmla="*/ 2 w 126"/>
              <a:gd name="T97" fmla="*/ 63 h 161"/>
              <a:gd name="T98" fmla="*/ 0 w 126"/>
              <a:gd name="T99" fmla="*/ 56 h 161"/>
              <a:gd name="T100" fmla="*/ 3 w 126"/>
              <a:gd name="T101" fmla="*/ 53 h 161"/>
              <a:gd name="T102" fmla="*/ 9 w 126"/>
              <a:gd name="T103" fmla="*/ 48 h 161"/>
              <a:gd name="T104" fmla="*/ 12 w 126"/>
              <a:gd name="T105" fmla="*/ 45 h 161"/>
              <a:gd name="T106" fmla="*/ 19 w 126"/>
              <a:gd name="T107" fmla="*/ 32 h 161"/>
              <a:gd name="T108" fmla="*/ 23 w 126"/>
              <a:gd name="T109" fmla="*/ 21 h 161"/>
              <a:gd name="T110" fmla="*/ 32 w 126"/>
              <a:gd name="T111" fmla="*/ 18 h 161"/>
              <a:gd name="T112" fmla="*/ 38 w 126"/>
              <a:gd name="T113" fmla="*/ 13 h 161"/>
              <a:gd name="T114" fmla="*/ 43 w 126"/>
              <a:gd name="T115" fmla="*/ 10 h 161"/>
              <a:gd name="T116" fmla="*/ 45 w 126"/>
              <a:gd name="T117" fmla="*/ 4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26" h="161">
                <a:moveTo>
                  <a:pt x="53" y="0"/>
                </a:moveTo>
                <a:lnTo>
                  <a:pt x="53" y="0"/>
                </a:lnTo>
                <a:lnTo>
                  <a:pt x="54" y="1"/>
                </a:lnTo>
                <a:lnTo>
                  <a:pt x="54" y="2"/>
                </a:lnTo>
                <a:lnTo>
                  <a:pt x="53" y="5"/>
                </a:lnTo>
                <a:lnTo>
                  <a:pt x="53" y="6"/>
                </a:lnTo>
                <a:lnTo>
                  <a:pt x="53" y="6"/>
                </a:lnTo>
                <a:lnTo>
                  <a:pt x="53" y="6"/>
                </a:lnTo>
                <a:lnTo>
                  <a:pt x="54" y="7"/>
                </a:lnTo>
                <a:lnTo>
                  <a:pt x="55" y="8"/>
                </a:lnTo>
                <a:lnTo>
                  <a:pt x="55" y="11"/>
                </a:lnTo>
                <a:lnTo>
                  <a:pt x="56" y="12"/>
                </a:lnTo>
                <a:lnTo>
                  <a:pt x="56" y="13"/>
                </a:lnTo>
                <a:lnTo>
                  <a:pt x="57" y="14"/>
                </a:lnTo>
                <a:lnTo>
                  <a:pt x="57" y="15"/>
                </a:lnTo>
                <a:lnTo>
                  <a:pt x="58" y="16"/>
                </a:lnTo>
                <a:lnTo>
                  <a:pt x="58" y="16"/>
                </a:lnTo>
                <a:lnTo>
                  <a:pt x="60" y="17"/>
                </a:lnTo>
                <a:lnTo>
                  <a:pt x="60" y="18"/>
                </a:lnTo>
                <a:lnTo>
                  <a:pt x="60" y="18"/>
                </a:lnTo>
                <a:lnTo>
                  <a:pt x="61" y="18"/>
                </a:lnTo>
                <a:lnTo>
                  <a:pt x="62" y="18"/>
                </a:lnTo>
                <a:lnTo>
                  <a:pt x="62" y="18"/>
                </a:lnTo>
                <a:lnTo>
                  <a:pt x="63" y="19"/>
                </a:lnTo>
                <a:lnTo>
                  <a:pt x="64" y="19"/>
                </a:lnTo>
                <a:lnTo>
                  <a:pt x="64" y="19"/>
                </a:lnTo>
                <a:lnTo>
                  <a:pt x="65" y="17"/>
                </a:lnTo>
                <a:lnTo>
                  <a:pt x="67" y="16"/>
                </a:lnTo>
                <a:lnTo>
                  <a:pt x="68" y="16"/>
                </a:lnTo>
                <a:lnTo>
                  <a:pt x="68" y="16"/>
                </a:lnTo>
                <a:lnTo>
                  <a:pt x="68" y="16"/>
                </a:lnTo>
                <a:lnTo>
                  <a:pt x="69" y="16"/>
                </a:lnTo>
                <a:lnTo>
                  <a:pt x="69" y="17"/>
                </a:lnTo>
                <a:lnTo>
                  <a:pt x="70" y="19"/>
                </a:lnTo>
                <a:lnTo>
                  <a:pt x="69" y="19"/>
                </a:lnTo>
                <a:lnTo>
                  <a:pt x="69" y="20"/>
                </a:lnTo>
                <a:lnTo>
                  <a:pt x="69" y="20"/>
                </a:lnTo>
                <a:lnTo>
                  <a:pt x="70" y="21"/>
                </a:lnTo>
                <a:lnTo>
                  <a:pt x="70" y="21"/>
                </a:lnTo>
                <a:lnTo>
                  <a:pt x="71" y="23"/>
                </a:lnTo>
                <a:lnTo>
                  <a:pt x="72" y="24"/>
                </a:lnTo>
                <a:lnTo>
                  <a:pt x="73" y="24"/>
                </a:lnTo>
                <a:lnTo>
                  <a:pt x="74" y="24"/>
                </a:lnTo>
                <a:lnTo>
                  <a:pt x="76" y="25"/>
                </a:lnTo>
                <a:lnTo>
                  <a:pt x="76" y="25"/>
                </a:lnTo>
                <a:lnTo>
                  <a:pt x="77" y="25"/>
                </a:lnTo>
                <a:lnTo>
                  <a:pt x="78" y="25"/>
                </a:lnTo>
                <a:lnTo>
                  <a:pt x="79" y="25"/>
                </a:lnTo>
                <a:lnTo>
                  <a:pt x="80" y="25"/>
                </a:lnTo>
                <a:lnTo>
                  <a:pt x="80" y="25"/>
                </a:lnTo>
                <a:lnTo>
                  <a:pt x="82" y="25"/>
                </a:lnTo>
                <a:lnTo>
                  <a:pt x="83" y="26"/>
                </a:lnTo>
                <a:lnTo>
                  <a:pt x="83" y="26"/>
                </a:lnTo>
                <a:lnTo>
                  <a:pt x="83" y="27"/>
                </a:lnTo>
                <a:lnTo>
                  <a:pt x="81" y="27"/>
                </a:lnTo>
                <a:lnTo>
                  <a:pt x="80" y="27"/>
                </a:lnTo>
                <a:lnTo>
                  <a:pt x="80" y="28"/>
                </a:lnTo>
                <a:lnTo>
                  <a:pt x="79" y="29"/>
                </a:lnTo>
                <a:lnTo>
                  <a:pt x="79" y="30"/>
                </a:lnTo>
                <a:lnTo>
                  <a:pt x="79" y="30"/>
                </a:lnTo>
                <a:lnTo>
                  <a:pt x="80" y="30"/>
                </a:lnTo>
                <a:lnTo>
                  <a:pt x="81" y="31"/>
                </a:lnTo>
                <a:lnTo>
                  <a:pt x="84" y="31"/>
                </a:lnTo>
                <a:lnTo>
                  <a:pt x="84" y="31"/>
                </a:lnTo>
                <a:lnTo>
                  <a:pt x="85" y="31"/>
                </a:lnTo>
                <a:lnTo>
                  <a:pt x="85" y="32"/>
                </a:lnTo>
                <a:lnTo>
                  <a:pt x="84" y="34"/>
                </a:lnTo>
                <a:lnTo>
                  <a:pt x="83" y="35"/>
                </a:lnTo>
                <a:lnTo>
                  <a:pt x="83" y="35"/>
                </a:lnTo>
                <a:lnTo>
                  <a:pt x="82" y="36"/>
                </a:lnTo>
                <a:lnTo>
                  <a:pt x="80" y="36"/>
                </a:lnTo>
                <a:lnTo>
                  <a:pt x="80" y="36"/>
                </a:lnTo>
                <a:lnTo>
                  <a:pt x="79" y="36"/>
                </a:lnTo>
                <a:lnTo>
                  <a:pt x="76" y="35"/>
                </a:lnTo>
                <a:lnTo>
                  <a:pt x="76" y="35"/>
                </a:lnTo>
                <a:lnTo>
                  <a:pt x="75" y="34"/>
                </a:lnTo>
                <a:lnTo>
                  <a:pt x="73" y="34"/>
                </a:lnTo>
                <a:lnTo>
                  <a:pt x="73" y="35"/>
                </a:lnTo>
                <a:lnTo>
                  <a:pt x="72" y="35"/>
                </a:lnTo>
                <a:lnTo>
                  <a:pt x="72" y="36"/>
                </a:lnTo>
                <a:lnTo>
                  <a:pt x="71" y="37"/>
                </a:lnTo>
                <a:lnTo>
                  <a:pt x="72" y="37"/>
                </a:lnTo>
                <a:lnTo>
                  <a:pt x="72" y="38"/>
                </a:lnTo>
                <a:lnTo>
                  <a:pt x="72" y="39"/>
                </a:lnTo>
                <a:lnTo>
                  <a:pt x="73" y="40"/>
                </a:lnTo>
                <a:lnTo>
                  <a:pt x="73" y="40"/>
                </a:lnTo>
                <a:lnTo>
                  <a:pt x="73" y="41"/>
                </a:lnTo>
                <a:lnTo>
                  <a:pt x="72" y="41"/>
                </a:lnTo>
                <a:lnTo>
                  <a:pt x="72" y="41"/>
                </a:lnTo>
                <a:lnTo>
                  <a:pt x="70" y="41"/>
                </a:lnTo>
                <a:lnTo>
                  <a:pt x="70" y="41"/>
                </a:lnTo>
                <a:lnTo>
                  <a:pt x="69" y="41"/>
                </a:lnTo>
                <a:lnTo>
                  <a:pt x="68" y="42"/>
                </a:lnTo>
                <a:lnTo>
                  <a:pt x="66" y="42"/>
                </a:lnTo>
                <a:lnTo>
                  <a:pt x="66" y="42"/>
                </a:lnTo>
                <a:lnTo>
                  <a:pt x="66" y="42"/>
                </a:lnTo>
                <a:lnTo>
                  <a:pt x="65" y="42"/>
                </a:lnTo>
                <a:lnTo>
                  <a:pt x="64" y="43"/>
                </a:lnTo>
                <a:lnTo>
                  <a:pt x="64" y="44"/>
                </a:lnTo>
                <a:lnTo>
                  <a:pt x="64" y="46"/>
                </a:lnTo>
                <a:lnTo>
                  <a:pt x="65" y="47"/>
                </a:lnTo>
                <a:lnTo>
                  <a:pt x="64" y="49"/>
                </a:lnTo>
                <a:lnTo>
                  <a:pt x="64" y="50"/>
                </a:lnTo>
                <a:lnTo>
                  <a:pt x="64" y="50"/>
                </a:lnTo>
                <a:lnTo>
                  <a:pt x="63" y="50"/>
                </a:lnTo>
                <a:lnTo>
                  <a:pt x="63" y="50"/>
                </a:lnTo>
                <a:lnTo>
                  <a:pt x="61" y="50"/>
                </a:lnTo>
                <a:lnTo>
                  <a:pt x="60" y="50"/>
                </a:lnTo>
                <a:lnTo>
                  <a:pt x="60" y="50"/>
                </a:lnTo>
                <a:lnTo>
                  <a:pt x="59" y="51"/>
                </a:lnTo>
                <a:lnTo>
                  <a:pt x="59" y="51"/>
                </a:lnTo>
                <a:lnTo>
                  <a:pt x="59" y="52"/>
                </a:lnTo>
                <a:lnTo>
                  <a:pt x="60" y="53"/>
                </a:lnTo>
                <a:lnTo>
                  <a:pt x="60" y="54"/>
                </a:lnTo>
                <a:lnTo>
                  <a:pt x="59" y="54"/>
                </a:lnTo>
                <a:lnTo>
                  <a:pt x="59" y="55"/>
                </a:lnTo>
                <a:lnTo>
                  <a:pt x="57" y="56"/>
                </a:lnTo>
                <a:lnTo>
                  <a:pt x="57" y="57"/>
                </a:lnTo>
                <a:lnTo>
                  <a:pt x="57" y="57"/>
                </a:lnTo>
                <a:lnTo>
                  <a:pt x="57" y="58"/>
                </a:lnTo>
                <a:lnTo>
                  <a:pt x="57" y="59"/>
                </a:lnTo>
                <a:lnTo>
                  <a:pt x="56" y="60"/>
                </a:lnTo>
                <a:lnTo>
                  <a:pt x="54" y="61"/>
                </a:lnTo>
                <a:lnTo>
                  <a:pt x="54" y="62"/>
                </a:lnTo>
                <a:lnTo>
                  <a:pt x="54" y="62"/>
                </a:lnTo>
                <a:lnTo>
                  <a:pt x="54" y="65"/>
                </a:lnTo>
                <a:lnTo>
                  <a:pt x="54" y="66"/>
                </a:lnTo>
                <a:lnTo>
                  <a:pt x="54" y="66"/>
                </a:lnTo>
                <a:lnTo>
                  <a:pt x="54" y="67"/>
                </a:lnTo>
                <a:lnTo>
                  <a:pt x="54" y="67"/>
                </a:lnTo>
                <a:lnTo>
                  <a:pt x="55" y="67"/>
                </a:lnTo>
                <a:lnTo>
                  <a:pt x="56" y="67"/>
                </a:lnTo>
                <a:lnTo>
                  <a:pt x="59" y="66"/>
                </a:lnTo>
                <a:lnTo>
                  <a:pt x="59" y="66"/>
                </a:lnTo>
                <a:lnTo>
                  <a:pt x="60" y="66"/>
                </a:lnTo>
                <a:lnTo>
                  <a:pt x="60" y="67"/>
                </a:lnTo>
                <a:lnTo>
                  <a:pt x="61" y="67"/>
                </a:lnTo>
                <a:lnTo>
                  <a:pt x="61" y="67"/>
                </a:lnTo>
                <a:lnTo>
                  <a:pt x="62" y="67"/>
                </a:lnTo>
                <a:lnTo>
                  <a:pt x="63" y="67"/>
                </a:lnTo>
                <a:lnTo>
                  <a:pt x="63" y="67"/>
                </a:lnTo>
                <a:lnTo>
                  <a:pt x="64" y="67"/>
                </a:lnTo>
                <a:lnTo>
                  <a:pt x="64" y="67"/>
                </a:lnTo>
                <a:lnTo>
                  <a:pt x="65" y="66"/>
                </a:lnTo>
                <a:lnTo>
                  <a:pt x="68" y="65"/>
                </a:lnTo>
                <a:lnTo>
                  <a:pt x="70" y="65"/>
                </a:lnTo>
                <a:lnTo>
                  <a:pt x="70" y="65"/>
                </a:lnTo>
                <a:lnTo>
                  <a:pt x="70" y="64"/>
                </a:lnTo>
                <a:lnTo>
                  <a:pt x="70" y="63"/>
                </a:lnTo>
                <a:lnTo>
                  <a:pt x="71" y="60"/>
                </a:lnTo>
                <a:lnTo>
                  <a:pt x="71" y="59"/>
                </a:lnTo>
                <a:lnTo>
                  <a:pt x="73" y="57"/>
                </a:lnTo>
                <a:lnTo>
                  <a:pt x="73" y="56"/>
                </a:lnTo>
                <a:lnTo>
                  <a:pt x="74" y="56"/>
                </a:lnTo>
                <a:lnTo>
                  <a:pt x="77" y="55"/>
                </a:lnTo>
                <a:lnTo>
                  <a:pt x="79" y="55"/>
                </a:lnTo>
                <a:lnTo>
                  <a:pt x="80" y="56"/>
                </a:lnTo>
                <a:lnTo>
                  <a:pt x="81" y="57"/>
                </a:lnTo>
                <a:lnTo>
                  <a:pt x="81" y="56"/>
                </a:lnTo>
                <a:lnTo>
                  <a:pt x="82" y="56"/>
                </a:lnTo>
                <a:lnTo>
                  <a:pt x="82" y="56"/>
                </a:lnTo>
                <a:lnTo>
                  <a:pt x="83" y="55"/>
                </a:lnTo>
                <a:lnTo>
                  <a:pt x="84" y="55"/>
                </a:lnTo>
                <a:lnTo>
                  <a:pt x="86" y="56"/>
                </a:lnTo>
                <a:lnTo>
                  <a:pt x="89" y="58"/>
                </a:lnTo>
                <a:lnTo>
                  <a:pt x="89" y="58"/>
                </a:lnTo>
                <a:lnTo>
                  <a:pt x="90" y="59"/>
                </a:lnTo>
                <a:lnTo>
                  <a:pt x="90" y="60"/>
                </a:lnTo>
                <a:lnTo>
                  <a:pt x="91" y="61"/>
                </a:lnTo>
                <a:lnTo>
                  <a:pt x="92" y="62"/>
                </a:lnTo>
                <a:lnTo>
                  <a:pt x="92" y="62"/>
                </a:lnTo>
                <a:lnTo>
                  <a:pt x="92" y="63"/>
                </a:lnTo>
                <a:lnTo>
                  <a:pt x="92" y="64"/>
                </a:lnTo>
                <a:lnTo>
                  <a:pt x="92" y="65"/>
                </a:lnTo>
                <a:lnTo>
                  <a:pt x="93" y="70"/>
                </a:lnTo>
                <a:lnTo>
                  <a:pt x="93" y="71"/>
                </a:lnTo>
                <a:lnTo>
                  <a:pt x="93" y="73"/>
                </a:lnTo>
                <a:lnTo>
                  <a:pt x="93" y="73"/>
                </a:lnTo>
                <a:lnTo>
                  <a:pt x="93" y="76"/>
                </a:lnTo>
                <a:lnTo>
                  <a:pt x="93" y="77"/>
                </a:lnTo>
                <a:lnTo>
                  <a:pt x="93" y="78"/>
                </a:lnTo>
                <a:lnTo>
                  <a:pt x="93" y="79"/>
                </a:lnTo>
                <a:lnTo>
                  <a:pt x="92" y="79"/>
                </a:lnTo>
                <a:lnTo>
                  <a:pt x="91" y="79"/>
                </a:lnTo>
                <a:lnTo>
                  <a:pt x="90" y="80"/>
                </a:lnTo>
                <a:lnTo>
                  <a:pt x="90" y="81"/>
                </a:lnTo>
                <a:lnTo>
                  <a:pt x="89" y="83"/>
                </a:lnTo>
                <a:lnTo>
                  <a:pt x="89" y="84"/>
                </a:lnTo>
                <a:lnTo>
                  <a:pt x="88" y="84"/>
                </a:lnTo>
                <a:lnTo>
                  <a:pt x="88" y="85"/>
                </a:lnTo>
                <a:lnTo>
                  <a:pt x="88" y="86"/>
                </a:lnTo>
                <a:lnTo>
                  <a:pt x="89" y="86"/>
                </a:lnTo>
                <a:lnTo>
                  <a:pt x="90" y="87"/>
                </a:lnTo>
                <a:lnTo>
                  <a:pt x="91" y="86"/>
                </a:lnTo>
                <a:lnTo>
                  <a:pt x="92" y="87"/>
                </a:lnTo>
                <a:lnTo>
                  <a:pt x="90" y="90"/>
                </a:lnTo>
                <a:lnTo>
                  <a:pt x="90" y="91"/>
                </a:lnTo>
                <a:lnTo>
                  <a:pt x="91" y="93"/>
                </a:lnTo>
                <a:lnTo>
                  <a:pt x="91" y="93"/>
                </a:lnTo>
                <a:lnTo>
                  <a:pt x="91" y="95"/>
                </a:lnTo>
                <a:lnTo>
                  <a:pt x="91" y="97"/>
                </a:lnTo>
                <a:lnTo>
                  <a:pt x="91" y="98"/>
                </a:lnTo>
                <a:lnTo>
                  <a:pt x="92" y="100"/>
                </a:lnTo>
                <a:lnTo>
                  <a:pt x="92" y="100"/>
                </a:lnTo>
                <a:lnTo>
                  <a:pt x="92" y="102"/>
                </a:lnTo>
                <a:lnTo>
                  <a:pt x="92" y="102"/>
                </a:lnTo>
                <a:lnTo>
                  <a:pt x="92" y="103"/>
                </a:lnTo>
                <a:lnTo>
                  <a:pt x="93" y="103"/>
                </a:lnTo>
                <a:lnTo>
                  <a:pt x="94" y="104"/>
                </a:lnTo>
                <a:lnTo>
                  <a:pt x="94" y="104"/>
                </a:lnTo>
                <a:lnTo>
                  <a:pt x="94" y="106"/>
                </a:lnTo>
                <a:lnTo>
                  <a:pt x="93" y="108"/>
                </a:lnTo>
                <a:lnTo>
                  <a:pt x="93" y="110"/>
                </a:lnTo>
                <a:lnTo>
                  <a:pt x="94" y="110"/>
                </a:lnTo>
                <a:lnTo>
                  <a:pt x="94" y="111"/>
                </a:lnTo>
                <a:lnTo>
                  <a:pt x="95" y="111"/>
                </a:lnTo>
                <a:lnTo>
                  <a:pt x="95" y="113"/>
                </a:lnTo>
                <a:lnTo>
                  <a:pt x="95" y="114"/>
                </a:lnTo>
                <a:lnTo>
                  <a:pt x="95" y="115"/>
                </a:lnTo>
                <a:lnTo>
                  <a:pt x="96" y="115"/>
                </a:lnTo>
                <a:lnTo>
                  <a:pt x="96" y="115"/>
                </a:lnTo>
                <a:lnTo>
                  <a:pt x="97" y="115"/>
                </a:lnTo>
                <a:lnTo>
                  <a:pt x="97" y="118"/>
                </a:lnTo>
                <a:lnTo>
                  <a:pt x="98" y="120"/>
                </a:lnTo>
                <a:lnTo>
                  <a:pt x="98" y="121"/>
                </a:lnTo>
                <a:lnTo>
                  <a:pt x="101" y="121"/>
                </a:lnTo>
                <a:lnTo>
                  <a:pt x="102" y="121"/>
                </a:lnTo>
                <a:lnTo>
                  <a:pt x="103" y="121"/>
                </a:lnTo>
                <a:lnTo>
                  <a:pt x="104" y="121"/>
                </a:lnTo>
                <a:lnTo>
                  <a:pt x="105" y="121"/>
                </a:lnTo>
                <a:lnTo>
                  <a:pt x="106" y="120"/>
                </a:lnTo>
                <a:lnTo>
                  <a:pt x="107" y="119"/>
                </a:lnTo>
                <a:lnTo>
                  <a:pt x="108" y="119"/>
                </a:lnTo>
                <a:lnTo>
                  <a:pt x="109" y="119"/>
                </a:lnTo>
                <a:lnTo>
                  <a:pt x="109" y="120"/>
                </a:lnTo>
                <a:lnTo>
                  <a:pt x="109" y="121"/>
                </a:lnTo>
                <a:lnTo>
                  <a:pt x="109" y="122"/>
                </a:lnTo>
                <a:lnTo>
                  <a:pt x="110" y="123"/>
                </a:lnTo>
                <a:lnTo>
                  <a:pt x="112" y="126"/>
                </a:lnTo>
                <a:lnTo>
                  <a:pt x="112" y="126"/>
                </a:lnTo>
                <a:lnTo>
                  <a:pt x="113" y="126"/>
                </a:lnTo>
                <a:lnTo>
                  <a:pt x="115" y="126"/>
                </a:lnTo>
                <a:lnTo>
                  <a:pt x="120" y="127"/>
                </a:lnTo>
                <a:lnTo>
                  <a:pt x="121" y="127"/>
                </a:lnTo>
                <a:lnTo>
                  <a:pt x="122" y="129"/>
                </a:lnTo>
                <a:lnTo>
                  <a:pt x="124" y="130"/>
                </a:lnTo>
                <a:lnTo>
                  <a:pt x="124" y="132"/>
                </a:lnTo>
                <a:lnTo>
                  <a:pt x="124" y="133"/>
                </a:lnTo>
                <a:lnTo>
                  <a:pt x="126" y="136"/>
                </a:lnTo>
                <a:lnTo>
                  <a:pt x="126" y="137"/>
                </a:lnTo>
                <a:lnTo>
                  <a:pt x="125" y="138"/>
                </a:lnTo>
                <a:lnTo>
                  <a:pt x="125" y="140"/>
                </a:lnTo>
                <a:lnTo>
                  <a:pt x="125" y="141"/>
                </a:lnTo>
                <a:lnTo>
                  <a:pt x="124" y="141"/>
                </a:lnTo>
                <a:lnTo>
                  <a:pt x="125" y="142"/>
                </a:lnTo>
                <a:lnTo>
                  <a:pt x="124" y="142"/>
                </a:lnTo>
                <a:lnTo>
                  <a:pt x="123" y="143"/>
                </a:lnTo>
                <a:lnTo>
                  <a:pt x="123" y="143"/>
                </a:lnTo>
                <a:lnTo>
                  <a:pt x="122" y="143"/>
                </a:lnTo>
                <a:lnTo>
                  <a:pt x="122" y="145"/>
                </a:lnTo>
                <a:lnTo>
                  <a:pt x="122" y="146"/>
                </a:lnTo>
                <a:lnTo>
                  <a:pt x="120" y="149"/>
                </a:lnTo>
                <a:lnTo>
                  <a:pt x="119" y="150"/>
                </a:lnTo>
                <a:lnTo>
                  <a:pt x="119" y="151"/>
                </a:lnTo>
                <a:lnTo>
                  <a:pt x="118" y="152"/>
                </a:lnTo>
                <a:lnTo>
                  <a:pt x="116" y="153"/>
                </a:lnTo>
                <a:lnTo>
                  <a:pt x="113" y="155"/>
                </a:lnTo>
                <a:lnTo>
                  <a:pt x="111" y="156"/>
                </a:lnTo>
                <a:lnTo>
                  <a:pt x="110" y="156"/>
                </a:lnTo>
                <a:lnTo>
                  <a:pt x="109" y="157"/>
                </a:lnTo>
                <a:lnTo>
                  <a:pt x="108" y="159"/>
                </a:lnTo>
                <a:lnTo>
                  <a:pt x="108" y="160"/>
                </a:lnTo>
                <a:lnTo>
                  <a:pt x="107" y="160"/>
                </a:lnTo>
                <a:lnTo>
                  <a:pt x="107" y="161"/>
                </a:lnTo>
                <a:lnTo>
                  <a:pt x="105" y="160"/>
                </a:lnTo>
                <a:lnTo>
                  <a:pt x="104" y="160"/>
                </a:lnTo>
                <a:lnTo>
                  <a:pt x="103" y="159"/>
                </a:lnTo>
                <a:lnTo>
                  <a:pt x="103" y="158"/>
                </a:lnTo>
                <a:lnTo>
                  <a:pt x="102" y="158"/>
                </a:lnTo>
                <a:lnTo>
                  <a:pt x="102" y="159"/>
                </a:lnTo>
                <a:lnTo>
                  <a:pt x="99" y="160"/>
                </a:lnTo>
                <a:lnTo>
                  <a:pt x="99" y="158"/>
                </a:lnTo>
                <a:lnTo>
                  <a:pt x="99" y="158"/>
                </a:lnTo>
                <a:lnTo>
                  <a:pt x="98" y="157"/>
                </a:lnTo>
                <a:lnTo>
                  <a:pt x="96" y="158"/>
                </a:lnTo>
                <a:lnTo>
                  <a:pt x="95" y="157"/>
                </a:lnTo>
                <a:lnTo>
                  <a:pt x="95" y="156"/>
                </a:lnTo>
                <a:lnTo>
                  <a:pt x="96" y="155"/>
                </a:lnTo>
                <a:lnTo>
                  <a:pt x="95" y="155"/>
                </a:lnTo>
                <a:lnTo>
                  <a:pt x="94" y="155"/>
                </a:lnTo>
                <a:lnTo>
                  <a:pt x="93" y="157"/>
                </a:lnTo>
                <a:lnTo>
                  <a:pt x="92" y="156"/>
                </a:lnTo>
                <a:lnTo>
                  <a:pt x="91" y="154"/>
                </a:lnTo>
                <a:lnTo>
                  <a:pt x="89" y="153"/>
                </a:lnTo>
                <a:lnTo>
                  <a:pt x="87" y="153"/>
                </a:lnTo>
                <a:lnTo>
                  <a:pt x="86" y="152"/>
                </a:lnTo>
                <a:lnTo>
                  <a:pt x="84" y="151"/>
                </a:lnTo>
                <a:lnTo>
                  <a:pt x="83" y="151"/>
                </a:lnTo>
                <a:lnTo>
                  <a:pt x="82" y="152"/>
                </a:lnTo>
                <a:lnTo>
                  <a:pt x="81" y="150"/>
                </a:lnTo>
                <a:lnTo>
                  <a:pt x="80" y="151"/>
                </a:lnTo>
                <a:lnTo>
                  <a:pt x="78" y="151"/>
                </a:lnTo>
                <a:lnTo>
                  <a:pt x="77" y="150"/>
                </a:lnTo>
                <a:lnTo>
                  <a:pt x="76" y="150"/>
                </a:lnTo>
                <a:lnTo>
                  <a:pt x="75" y="151"/>
                </a:lnTo>
                <a:lnTo>
                  <a:pt x="74" y="150"/>
                </a:lnTo>
                <a:lnTo>
                  <a:pt x="72" y="149"/>
                </a:lnTo>
                <a:lnTo>
                  <a:pt x="71" y="147"/>
                </a:lnTo>
                <a:lnTo>
                  <a:pt x="70" y="147"/>
                </a:lnTo>
                <a:lnTo>
                  <a:pt x="69" y="146"/>
                </a:lnTo>
                <a:lnTo>
                  <a:pt x="68" y="145"/>
                </a:lnTo>
                <a:lnTo>
                  <a:pt x="67" y="146"/>
                </a:lnTo>
                <a:lnTo>
                  <a:pt x="66" y="146"/>
                </a:lnTo>
                <a:lnTo>
                  <a:pt x="64" y="145"/>
                </a:lnTo>
                <a:lnTo>
                  <a:pt x="63" y="143"/>
                </a:lnTo>
                <a:lnTo>
                  <a:pt x="60" y="145"/>
                </a:lnTo>
                <a:lnTo>
                  <a:pt x="60" y="144"/>
                </a:lnTo>
                <a:lnTo>
                  <a:pt x="59" y="144"/>
                </a:lnTo>
                <a:lnTo>
                  <a:pt x="58" y="142"/>
                </a:lnTo>
                <a:lnTo>
                  <a:pt x="58" y="141"/>
                </a:lnTo>
                <a:lnTo>
                  <a:pt x="57" y="140"/>
                </a:lnTo>
                <a:lnTo>
                  <a:pt x="56" y="140"/>
                </a:lnTo>
                <a:lnTo>
                  <a:pt x="54" y="140"/>
                </a:lnTo>
                <a:lnTo>
                  <a:pt x="53" y="140"/>
                </a:lnTo>
                <a:lnTo>
                  <a:pt x="51" y="140"/>
                </a:lnTo>
                <a:lnTo>
                  <a:pt x="48" y="140"/>
                </a:lnTo>
                <a:lnTo>
                  <a:pt x="47" y="139"/>
                </a:lnTo>
                <a:lnTo>
                  <a:pt x="45" y="137"/>
                </a:lnTo>
                <a:lnTo>
                  <a:pt x="42" y="135"/>
                </a:lnTo>
                <a:lnTo>
                  <a:pt x="41" y="134"/>
                </a:lnTo>
                <a:lnTo>
                  <a:pt x="40" y="132"/>
                </a:lnTo>
                <a:lnTo>
                  <a:pt x="39" y="130"/>
                </a:lnTo>
                <a:lnTo>
                  <a:pt x="38" y="129"/>
                </a:lnTo>
                <a:lnTo>
                  <a:pt x="37" y="127"/>
                </a:lnTo>
                <a:lnTo>
                  <a:pt x="36" y="125"/>
                </a:lnTo>
                <a:lnTo>
                  <a:pt x="35" y="124"/>
                </a:lnTo>
                <a:lnTo>
                  <a:pt x="34" y="122"/>
                </a:lnTo>
                <a:lnTo>
                  <a:pt x="34" y="121"/>
                </a:lnTo>
                <a:lnTo>
                  <a:pt x="33" y="118"/>
                </a:lnTo>
                <a:lnTo>
                  <a:pt x="33" y="118"/>
                </a:lnTo>
                <a:lnTo>
                  <a:pt x="32" y="118"/>
                </a:lnTo>
                <a:lnTo>
                  <a:pt x="31" y="118"/>
                </a:lnTo>
                <a:lnTo>
                  <a:pt x="31" y="118"/>
                </a:lnTo>
                <a:lnTo>
                  <a:pt x="31" y="118"/>
                </a:lnTo>
                <a:lnTo>
                  <a:pt x="31" y="117"/>
                </a:lnTo>
                <a:lnTo>
                  <a:pt x="30" y="117"/>
                </a:lnTo>
                <a:lnTo>
                  <a:pt x="30" y="117"/>
                </a:lnTo>
                <a:lnTo>
                  <a:pt x="30" y="116"/>
                </a:lnTo>
                <a:lnTo>
                  <a:pt x="30" y="116"/>
                </a:lnTo>
                <a:lnTo>
                  <a:pt x="30" y="115"/>
                </a:lnTo>
                <a:lnTo>
                  <a:pt x="30" y="115"/>
                </a:lnTo>
                <a:lnTo>
                  <a:pt x="30" y="115"/>
                </a:lnTo>
                <a:lnTo>
                  <a:pt x="30" y="114"/>
                </a:lnTo>
                <a:lnTo>
                  <a:pt x="30" y="114"/>
                </a:lnTo>
                <a:lnTo>
                  <a:pt x="30" y="114"/>
                </a:lnTo>
                <a:lnTo>
                  <a:pt x="30" y="113"/>
                </a:lnTo>
                <a:lnTo>
                  <a:pt x="30" y="113"/>
                </a:lnTo>
                <a:lnTo>
                  <a:pt x="30" y="113"/>
                </a:lnTo>
                <a:lnTo>
                  <a:pt x="30" y="112"/>
                </a:lnTo>
                <a:lnTo>
                  <a:pt x="30" y="112"/>
                </a:lnTo>
                <a:lnTo>
                  <a:pt x="31" y="111"/>
                </a:lnTo>
                <a:lnTo>
                  <a:pt x="32" y="110"/>
                </a:lnTo>
                <a:lnTo>
                  <a:pt x="32" y="109"/>
                </a:lnTo>
                <a:lnTo>
                  <a:pt x="32" y="108"/>
                </a:lnTo>
                <a:lnTo>
                  <a:pt x="32" y="107"/>
                </a:lnTo>
                <a:lnTo>
                  <a:pt x="32" y="105"/>
                </a:lnTo>
                <a:lnTo>
                  <a:pt x="31" y="103"/>
                </a:lnTo>
                <a:lnTo>
                  <a:pt x="31" y="102"/>
                </a:lnTo>
                <a:lnTo>
                  <a:pt x="30" y="100"/>
                </a:lnTo>
                <a:lnTo>
                  <a:pt x="29" y="99"/>
                </a:lnTo>
                <a:lnTo>
                  <a:pt x="29" y="99"/>
                </a:lnTo>
                <a:lnTo>
                  <a:pt x="27" y="98"/>
                </a:lnTo>
                <a:lnTo>
                  <a:pt x="25" y="97"/>
                </a:lnTo>
                <a:lnTo>
                  <a:pt x="23" y="96"/>
                </a:lnTo>
                <a:lnTo>
                  <a:pt x="21" y="95"/>
                </a:lnTo>
                <a:lnTo>
                  <a:pt x="19" y="94"/>
                </a:lnTo>
                <a:lnTo>
                  <a:pt x="18" y="94"/>
                </a:lnTo>
                <a:lnTo>
                  <a:pt x="17" y="92"/>
                </a:lnTo>
                <a:lnTo>
                  <a:pt x="16" y="91"/>
                </a:lnTo>
                <a:lnTo>
                  <a:pt x="16" y="90"/>
                </a:lnTo>
                <a:lnTo>
                  <a:pt x="15" y="88"/>
                </a:lnTo>
                <a:lnTo>
                  <a:pt x="15" y="86"/>
                </a:lnTo>
                <a:lnTo>
                  <a:pt x="14" y="82"/>
                </a:lnTo>
                <a:lnTo>
                  <a:pt x="13" y="80"/>
                </a:lnTo>
                <a:lnTo>
                  <a:pt x="13" y="77"/>
                </a:lnTo>
                <a:lnTo>
                  <a:pt x="12" y="75"/>
                </a:lnTo>
                <a:lnTo>
                  <a:pt x="11" y="73"/>
                </a:lnTo>
                <a:lnTo>
                  <a:pt x="11" y="69"/>
                </a:lnTo>
                <a:lnTo>
                  <a:pt x="9" y="67"/>
                </a:lnTo>
                <a:lnTo>
                  <a:pt x="8" y="65"/>
                </a:lnTo>
                <a:lnTo>
                  <a:pt x="5" y="65"/>
                </a:lnTo>
                <a:lnTo>
                  <a:pt x="2" y="63"/>
                </a:lnTo>
                <a:lnTo>
                  <a:pt x="3" y="63"/>
                </a:lnTo>
                <a:lnTo>
                  <a:pt x="4" y="61"/>
                </a:lnTo>
                <a:lnTo>
                  <a:pt x="6" y="61"/>
                </a:lnTo>
                <a:lnTo>
                  <a:pt x="6" y="59"/>
                </a:lnTo>
                <a:lnTo>
                  <a:pt x="3" y="59"/>
                </a:lnTo>
                <a:lnTo>
                  <a:pt x="2" y="58"/>
                </a:lnTo>
                <a:lnTo>
                  <a:pt x="0" y="57"/>
                </a:lnTo>
                <a:lnTo>
                  <a:pt x="0" y="56"/>
                </a:lnTo>
                <a:lnTo>
                  <a:pt x="0" y="56"/>
                </a:lnTo>
                <a:lnTo>
                  <a:pt x="0" y="56"/>
                </a:lnTo>
                <a:lnTo>
                  <a:pt x="0" y="55"/>
                </a:lnTo>
                <a:lnTo>
                  <a:pt x="0" y="55"/>
                </a:lnTo>
                <a:lnTo>
                  <a:pt x="1" y="54"/>
                </a:lnTo>
                <a:lnTo>
                  <a:pt x="2" y="54"/>
                </a:lnTo>
                <a:lnTo>
                  <a:pt x="2" y="54"/>
                </a:lnTo>
                <a:lnTo>
                  <a:pt x="3" y="53"/>
                </a:lnTo>
                <a:lnTo>
                  <a:pt x="3" y="53"/>
                </a:lnTo>
                <a:lnTo>
                  <a:pt x="4" y="52"/>
                </a:lnTo>
                <a:lnTo>
                  <a:pt x="5" y="51"/>
                </a:lnTo>
                <a:lnTo>
                  <a:pt x="6" y="51"/>
                </a:lnTo>
                <a:lnTo>
                  <a:pt x="6" y="50"/>
                </a:lnTo>
                <a:lnTo>
                  <a:pt x="7" y="49"/>
                </a:lnTo>
                <a:lnTo>
                  <a:pt x="8" y="49"/>
                </a:lnTo>
                <a:lnTo>
                  <a:pt x="9" y="48"/>
                </a:lnTo>
                <a:lnTo>
                  <a:pt x="9" y="48"/>
                </a:lnTo>
                <a:lnTo>
                  <a:pt x="9" y="47"/>
                </a:lnTo>
                <a:lnTo>
                  <a:pt x="10" y="47"/>
                </a:lnTo>
                <a:lnTo>
                  <a:pt x="10" y="47"/>
                </a:lnTo>
                <a:lnTo>
                  <a:pt x="11" y="46"/>
                </a:lnTo>
                <a:lnTo>
                  <a:pt x="11" y="46"/>
                </a:lnTo>
                <a:lnTo>
                  <a:pt x="11" y="46"/>
                </a:lnTo>
                <a:lnTo>
                  <a:pt x="12" y="45"/>
                </a:lnTo>
                <a:lnTo>
                  <a:pt x="12" y="44"/>
                </a:lnTo>
                <a:lnTo>
                  <a:pt x="12" y="42"/>
                </a:lnTo>
                <a:lnTo>
                  <a:pt x="14" y="39"/>
                </a:lnTo>
                <a:lnTo>
                  <a:pt x="15" y="38"/>
                </a:lnTo>
                <a:lnTo>
                  <a:pt x="16" y="37"/>
                </a:lnTo>
                <a:lnTo>
                  <a:pt x="17" y="36"/>
                </a:lnTo>
                <a:lnTo>
                  <a:pt x="18" y="35"/>
                </a:lnTo>
                <a:lnTo>
                  <a:pt x="19" y="32"/>
                </a:lnTo>
                <a:lnTo>
                  <a:pt x="21" y="30"/>
                </a:lnTo>
                <a:lnTo>
                  <a:pt x="22" y="28"/>
                </a:lnTo>
                <a:lnTo>
                  <a:pt x="23" y="26"/>
                </a:lnTo>
                <a:lnTo>
                  <a:pt x="24" y="25"/>
                </a:lnTo>
                <a:lnTo>
                  <a:pt x="25" y="24"/>
                </a:lnTo>
                <a:lnTo>
                  <a:pt x="25" y="24"/>
                </a:lnTo>
                <a:lnTo>
                  <a:pt x="25" y="23"/>
                </a:lnTo>
                <a:lnTo>
                  <a:pt x="23" y="21"/>
                </a:lnTo>
                <a:lnTo>
                  <a:pt x="24" y="21"/>
                </a:lnTo>
                <a:lnTo>
                  <a:pt x="25" y="21"/>
                </a:lnTo>
                <a:lnTo>
                  <a:pt x="27" y="20"/>
                </a:lnTo>
                <a:lnTo>
                  <a:pt x="28" y="20"/>
                </a:lnTo>
                <a:lnTo>
                  <a:pt x="29" y="19"/>
                </a:lnTo>
                <a:lnTo>
                  <a:pt x="30" y="19"/>
                </a:lnTo>
                <a:lnTo>
                  <a:pt x="31" y="19"/>
                </a:lnTo>
                <a:lnTo>
                  <a:pt x="32" y="18"/>
                </a:lnTo>
                <a:lnTo>
                  <a:pt x="33" y="18"/>
                </a:lnTo>
                <a:lnTo>
                  <a:pt x="34" y="17"/>
                </a:lnTo>
                <a:lnTo>
                  <a:pt x="35" y="16"/>
                </a:lnTo>
                <a:lnTo>
                  <a:pt x="35" y="15"/>
                </a:lnTo>
                <a:lnTo>
                  <a:pt x="36" y="15"/>
                </a:lnTo>
                <a:lnTo>
                  <a:pt x="36" y="14"/>
                </a:lnTo>
                <a:lnTo>
                  <a:pt x="37" y="14"/>
                </a:lnTo>
                <a:lnTo>
                  <a:pt x="38" y="13"/>
                </a:lnTo>
                <a:lnTo>
                  <a:pt x="38" y="13"/>
                </a:lnTo>
                <a:lnTo>
                  <a:pt x="39" y="12"/>
                </a:lnTo>
                <a:lnTo>
                  <a:pt x="40" y="12"/>
                </a:lnTo>
                <a:lnTo>
                  <a:pt x="41" y="12"/>
                </a:lnTo>
                <a:lnTo>
                  <a:pt x="41" y="12"/>
                </a:lnTo>
                <a:lnTo>
                  <a:pt x="42" y="11"/>
                </a:lnTo>
                <a:lnTo>
                  <a:pt x="42" y="10"/>
                </a:lnTo>
                <a:lnTo>
                  <a:pt x="43" y="10"/>
                </a:lnTo>
                <a:lnTo>
                  <a:pt x="43" y="9"/>
                </a:lnTo>
                <a:lnTo>
                  <a:pt x="44" y="9"/>
                </a:lnTo>
                <a:lnTo>
                  <a:pt x="44" y="8"/>
                </a:lnTo>
                <a:lnTo>
                  <a:pt x="44" y="7"/>
                </a:lnTo>
                <a:lnTo>
                  <a:pt x="44" y="6"/>
                </a:lnTo>
                <a:lnTo>
                  <a:pt x="44" y="6"/>
                </a:lnTo>
                <a:lnTo>
                  <a:pt x="45" y="5"/>
                </a:lnTo>
                <a:lnTo>
                  <a:pt x="45" y="4"/>
                </a:lnTo>
                <a:lnTo>
                  <a:pt x="45" y="3"/>
                </a:lnTo>
                <a:lnTo>
                  <a:pt x="46" y="3"/>
                </a:lnTo>
                <a:lnTo>
                  <a:pt x="46" y="3"/>
                </a:lnTo>
                <a:lnTo>
                  <a:pt x="48" y="1"/>
                </a:lnTo>
                <a:lnTo>
                  <a:pt x="50" y="1"/>
                </a:lnTo>
                <a:lnTo>
                  <a:pt x="51" y="0"/>
                </a:lnTo>
                <a:lnTo>
                  <a:pt x="53" y="0"/>
                </a:lnTo>
              </a:path>
            </a:pathLst>
          </a:custGeom>
          <a:grpFill/>
          <a:ln w="9525">
            <a:solidFill>
              <a:schemeClr val="bg1">
                <a:lumMod val="65000"/>
              </a:schemeClr>
            </a:solidFill>
            <a:prstDash val="solid"/>
            <a:round/>
            <a:headEnd/>
            <a:tailEnd/>
          </a:ln>
        </xdr:spPr>
      </xdr:sp>
      <xdr:sp macro="" textlink="">
        <xdr:nvSpPr>
          <xdr:cNvPr id="208" name="GIN006002"/>
          <xdr:cNvSpPr>
            <a:spLocks noChangeAspect="1"/>
          </xdr:cNvSpPr>
        </xdr:nvSpPr>
        <xdr:spPr bwMode="auto">
          <a:xfrm>
            <a:off x="5837959" y="3100509"/>
            <a:ext cx="587211" cy="510517"/>
          </a:xfrm>
          <a:custGeom>
            <a:avLst/>
            <a:gdLst>
              <a:gd name="T0" fmla="*/ 31 w 61"/>
              <a:gd name="T1" fmla="*/ 2 h 56"/>
              <a:gd name="T2" fmla="*/ 36 w 61"/>
              <a:gd name="T3" fmla="*/ 3 h 56"/>
              <a:gd name="T4" fmla="*/ 37 w 61"/>
              <a:gd name="T5" fmla="*/ 9 h 56"/>
              <a:gd name="T6" fmla="*/ 37 w 61"/>
              <a:gd name="T7" fmla="*/ 17 h 56"/>
              <a:gd name="T8" fmla="*/ 40 w 61"/>
              <a:gd name="T9" fmla="*/ 20 h 56"/>
              <a:gd name="T10" fmla="*/ 49 w 61"/>
              <a:gd name="T11" fmla="*/ 23 h 56"/>
              <a:gd name="T12" fmla="*/ 53 w 61"/>
              <a:gd name="T13" fmla="*/ 26 h 56"/>
              <a:gd name="T14" fmla="*/ 55 w 61"/>
              <a:gd name="T15" fmla="*/ 29 h 56"/>
              <a:gd name="T16" fmla="*/ 57 w 61"/>
              <a:gd name="T17" fmla="*/ 35 h 56"/>
              <a:gd name="T18" fmla="*/ 61 w 61"/>
              <a:gd name="T19" fmla="*/ 37 h 56"/>
              <a:gd name="T20" fmla="*/ 54 w 61"/>
              <a:gd name="T21" fmla="*/ 39 h 56"/>
              <a:gd name="T22" fmla="*/ 50 w 61"/>
              <a:gd name="T23" fmla="*/ 40 h 56"/>
              <a:gd name="T24" fmla="*/ 46 w 61"/>
              <a:gd name="T25" fmla="*/ 44 h 56"/>
              <a:gd name="T26" fmla="*/ 43 w 61"/>
              <a:gd name="T27" fmla="*/ 50 h 56"/>
              <a:gd name="T28" fmla="*/ 39 w 61"/>
              <a:gd name="T29" fmla="*/ 53 h 56"/>
              <a:gd name="T30" fmla="*/ 35 w 61"/>
              <a:gd name="T31" fmla="*/ 54 h 56"/>
              <a:gd name="T32" fmla="*/ 32 w 61"/>
              <a:gd name="T33" fmla="*/ 50 h 56"/>
              <a:gd name="T34" fmla="*/ 23 w 61"/>
              <a:gd name="T35" fmla="*/ 51 h 56"/>
              <a:gd name="T36" fmla="*/ 20 w 61"/>
              <a:gd name="T37" fmla="*/ 51 h 56"/>
              <a:gd name="T38" fmla="*/ 19 w 61"/>
              <a:gd name="T39" fmla="*/ 53 h 56"/>
              <a:gd name="T40" fmla="*/ 17 w 61"/>
              <a:gd name="T41" fmla="*/ 55 h 56"/>
              <a:gd name="T42" fmla="*/ 15 w 61"/>
              <a:gd name="T43" fmla="*/ 54 h 56"/>
              <a:gd name="T44" fmla="*/ 12 w 61"/>
              <a:gd name="T45" fmla="*/ 53 h 56"/>
              <a:gd name="T46" fmla="*/ 11 w 61"/>
              <a:gd name="T47" fmla="*/ 51 h 56"/>
              <a:gd name="T48" fmla="*/ 10 w 61"/>
              <a:gd name="T49" fmla="*/ 48 h 56"/>
              <a:gd name="T50" fmla="*/ 10 w 61"/>
              <a:gd name="T51" fmla="*/ 44 h 56"/>
              <a:gd name="T52" fmla="*/ 10 w 61"/>
              <a:gd name="T53" fmla="*/ 41 h 56"/>
              <a:gd name="T54" fmla="*/ 7 w 61"/>
              <a:gd name="T55" fmla="*/ 38 h 56"/>
              <a:gd name="T56" fmla="*/ 4 w 61"/>
              <a:gd name="T57" fmla="*/ 37 h 56"/>
              <a:gd name="T58" fmla="*/ 1 w 61"/>
              <a:gd name="T59" fmla="*/ 36 h 56"/>
              <a:gd name="T60" fmla="*/ 0 w 61"/>
              <a:gd name="T61" fmla="*/ 36 h 56"/>
              <a:gd name="T62" fmla="*/ 2 w 61"/>
              <a:gd name="T63" fmla="*/ 32 h 56"/>
              <a:gd name="T64" fmla="*/ 5 w 61"/>
              <a:gd name="T65" fmla="*/ 29 h 56"/>
              <a:gd name="T66" fmla="*/ 7 w 61"/>
              <a:gd name="T67" fmla="*/ 27 h 56"/>
              <a:gd name="T68" fmla="*/ 9 w 61"/>
              <a:gd name="T69" fmla="*/ 25 h 56"/>
              <a:gd name="T70" fmla="*/ 12 w 61"/>
              <a:gd name="T71" fmla="*/ 24 h 56"/>
              <a:gd name="T72" fmla="*/ 14 w 61"/>
              <a:gd name="T73" fmla="*/ 22 h 56"/>
              <a:gd name="T74" fmla="*/ 14 w 61"/>
              <a:gd name="T75" fmla="*/ 16 h 56"/>
              <a:gd name="T76" fmla="*/ 17 w 61"/>
              <a:gd name="T77" fmla="*/ 14 h 56"/>
              <a:gd name="T78" fmla="*/ 21 w 61"/>
              <a:gd name="T79" fmla="*/ 11 h 56"/>
              <a:gd name="T80" fmla="*/ 24 w 61"/>
              <a:gd name="T81" fmla="*/ 7 h 56"/>
              <a:gd name="T82" fmla="*/ 23 w 61"/>
              <a:gd name="T83" fmla="*/ 2 h 56"/>
              <a:gd name="T84" fmla="*/ 24 w 61"/>
              <a:gd name="T85" fmla="*/ 2 h 56"/>
              <a:gd name="T86" fmla="*/ 25 w 61"/>
              <a:gd name="T87" fmla="*/ 2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 h="56">
                <a:moveTo>
                  <a:pt x="28" y="0"/>
                </a:moveTo>
                <a:lnTo>
                  <a:pt x="30" y="2"/>
                </a:lnTo>
                <a:lnTo>
                  <a:pt x="31" y="2"/>
                </a:lnTo>
                <a:lnTo>
                  <a:pt x="33" y="3"/>
                </a:lnTo>
                <a:lnTo>
                  <a:pt x="34" y="3"/>
                </a:lnTo>
                <a:lnTo>
                  <a:pt x="36" y="3"/>
                </a:lnTo>
                <a:lnTo>
                  <a:pt x="36" y="4"/>
                </a:lnTo>
                <a:lnTo>
                  <a:pt x="36" y="6"/>
                </a:lnTo>
                <a:lnTo>
                  <a:pt x="37" y="9"/>
                </a:lnTo>
                <a:lnTo>
                  <a:pt x="38" y="12"/>
                </a:lnTo>
                <a:lnTo>
                  <a:pt x="38" y="15"/>
                </a:lnTo>
                <a:lnTo>
                  <a:pt x="37" y="17"/>
                </a:lnTo>
                <a:lnTo>
                  <a:pt x="37" y="19"/>
                </a:lnTo>
                <a:lnTo>
                  <a:pt x="38" y="20"/>
                </a:lnTo>
                <a:lnTo>
                  <a:pt x="40" y="20"/>
                </a:lnTo>
                <a:lnTo>
                  <a:pt x="43" y="20"/>
                </a:lnTo>
                <a:lnTo>
                  <a:pt x="47" y="21"/>
                </a:lnTo>
                <a:lnTo>
                  <a:pt x="49" y="23"/>
                </a:lnTo>
                <a:lnTo>
                  <a:pt x="51" y="24"/>
                </a:lnTo>
                <a:lnTo>
                  <a:pt x="52" y="25"/>
                </a:lnTo>
                <a:lnTo>
                  <a:pt x="53" y="26"/>
                </a:lnTo>
                <a:lnTo>
                  <a:pt x="54" y="26"/>
                </a:lnTo>
                <a:lnTo>
                  <a:pt x="54" y="27"/>
                </a:lnTo>
                <a:lnTo>
                  <a:pt x="55" y="29"/>
                </a:lnTo>
                <a:lnTo>
                  <a:pt x="55" y="30"/>
                </a:lnTo>
                <a:lnTo>
                  <a:pt x="55" y="33"/>
                </a:lnTo>
                <a:lnTo>
                  <a:pt x="57" y="35"/>
                </a:lnTo>
                <a:lnTo>
                  <a:pt x="59" y="36"/>
                </a:lnTo>
                <a:lnTo>
                  <a:pt x="61" y="37"/>
                </a:lnTo>
                <a:lnTo>
                  <a:pt x="61" y="37"/>
                </a:lnTo>
                <a:lnTo>
                  <a:pt x="58" y="40"/>
                </a:lnTo>
                <a:lnTo>
                  <a:pt x="56" y="40"/>
                </a:lnTo>
                <a:lnTo>
                  <a:pt x="54" y="39"/>
                </a:lnTo>
                <a:lnTo>
                  <a:pt x="53" y="40"/>
                </a:lnTo>
                <a:lnTo>
                  <a:pt x="52" y="40"/>
                </a:lnTo>
                <a:lnTo>
                  <a:pt x="50" y="40"/>
                </a:lnTo>
                <a:lnTo>
                  <a:pt x="48" y="40"/>
                </a:lnTo>
                <a:lnTo>
                  <a:pt x="46" y="42"/>
                </a:lnTo>
                <a:lnTo>
                  <a:pt x="46" y="44"/>
                </a:lnTo>
                <a:lnTo>
                  <a:pt x="45" y="47"/>
                </a:lnTo>
                <a:lnTo>
                  <a:pt x="43" y="50"/>
                </a:lnTo>
                <a:lnTo>
                  <a:pt x="43" y="50"/>
                </a:lnTo>
                <a:lnTo>
                  <a:pt x="41" y="51"/>
                </a:lnTo>
                <a:lnTo>
                  <a:pt x="39" y="53"/>
                </a:lnTo>
                <a:lnTo>
                  <a:pt x="39" y="53"/>
                </a:lnTo>
                <a:lnTo>
                  <a:pt x="38" y="54"/>
                </a:lnTo>
                <a:lnTo>
                  <a:pt x="36" y="54"/>
                </a:lnTo>
                <a:lnTo>
                  <a:pt x="35" y="54"/>
                </a:lnTo>
                <a:lnTo>
                  <a:pt x="34" y="52"/>
                </a:lnTo>
                <a:lnTo>
                  <a:pt x="33" y="50"/>
                </a:lnTo>
                <a:lnTo>
                  <a:pt x="32" y="50"/>
                </a:lnTo>
                <a:lnTo>
                  <a:pt x="31" y="50"/>
                </a:lnTo>
                <a:lnTo>
                  <a:pt x="27" y="51"/>
                </a:lnTo>
                <a:lnTo>
                  <a:pt x="23" y="51"/>
                </a:lnTo>
                <a:lnTo>
                  <a:pt x="22" y="51"/>
                </a:lnTo>
                <a:lnTo>
                  <a:pt x="21" y="51"/>
                </a:lnTo>
                <a:lnTo>
                  <a:pt x="20" y="51"/>
                </a:lnTo>
                <a:lnTo>
                  <a:pt x="20" y="51"/>
                </a:lnTo>
                <a:lnTo>
                  <a:pt x="20" y="53"/>
                </a:lnTo>
                <a:lnTo>
                  <a:pt x="19" y="53"/>
                </a:lnTo>
                <a:lnTo>
                  <a:pt x="18" y="55"/>
                </a:lnTo>
                <a:lnTo>
                  <a:pt x="18" y="56"/>
                </a:lnTo>
                <a:lnTo>
                  <a:pt x="17" y="55"/>
                </a:lnTo>
                <a:lnTo>
                  <a:pt x="16" y="55"/>
                </a:lnTo>
                <a:lnTo>
                  <a:pt x="16" y="54"/>
                </a:lnTo>
                <a:lnTo>
                  <a:pt x="15" y="54"/>
                </a:lnTo>
                <a:lnTo>
                  <a:pt x="14" y="54"/>
                </a:lnTo>
                <a:lnTo>
                  <a:pt x="13" y="54"/>
                </a:lnTo>
                <a:lnTo>
                  <a:pt x="12" y="53"/>
                </a:lnTo>
                <a:lnTo>
                  <a:pt x="12" y="52"/>
                </a:lnTo>
                <a:lnTo>
                  <a:pt x="11" y="52"/>
                </a:lnTo>
                <a:lnTo>
                  <a:pt x="11" y="51"/>
                </a:lnTo>
                <a:lnTo>
                  <a:pt x="11" y="50"/>
                </a:lnTo>
                <a:lnTo>
                  <a:pt x="11" y="49"/>
                </a:lnTo>
                <a:lnTo>
                  <a:pt x="10" y="48"/>
                </a:lnTo>
                <a:lnTo>
                  <a:pt x="10" y="47"/>
                </a:lnTo>
                <a:lnTo>
                  <a:pt x="10" y="46"/>
                </a:lnTo>
                <a:lnTo>
                  <a:pt x="10" y="44"/>
                </a:lnTo>
                <a:lnTo>
                  <a:pt x="10" y="43"/>
                </a:lnTo>
                <a:lnTo>
                  <a:pt x="10" y="42"/>
                </a:lnTo>
                <a:lnTo>
                  <a:pt x="10" y="41"/>
                </a:lnTo>
                <a:lnTo>
                  <a:pt x="10" y="40"/>
                </a:lnTo>
                <a:lnTo>
                  <a:pt x="8" y="40"/>
                </a:lnTo>
                <a:lnTo>
                  <a:pt x="7" y="38"/>
                </a:lnTo>
                <a:lnTo>
                  <a:pt x="6" y="38"/>
                </a:lnTo>
                <a:lnTo>
                  <a:pt x="5" y="38"/>
                </a:lnTo>
                <a:lnTo>
                  <a:pt x="4" y="37"/>
                </a:lnTo>
                <a:lnTo>
                  <a:pt x="4" y="35"/>
                </a:lnTo>
                <a:lnTo>
                  <a:pt x="2" y="35"/>
                </a:lnTo>
                <a:lnTo>
                  <a:pt x="1" y="36"/>
                </a:lnTo>
                <a:lnTo>
                  <a:pt x="0" y="36"/>
                </a:lnTo>
                <a:lnTo>
                  <a:pt x="0" y="36"/>
                </a:lnTo>
                <a:lnTo>
                  <a:pt x="0" y="36"/>
                </a:lnTo>
                <a:lnTo>
                  <a:pt x="0" y="34"/>
                </a:lnTo>
                <a:lnTo>
                  <a:pt x="1" y="34"/>
                </a:lnTo>
                <a:lnTo>
                  <a:pt x="2" y="32"/>
                </a:lnTo>
                <a:lnTo>
                  <a:pt x="3" y="32"/>
                </a:lnTo>
                <a:lnTo>
                  <a:pt x="4" y="31"/>
                </a:lnTo>
                <a:lnTo>
                  <a:pt x="5" y="29"/>
                </a:lnTo>
                <a:lnTo>
                  <a:pt x="6" y="28"/>
                </a:lnTo>
                <a:lnTo>
                  <a:pt x="6" y="28"/>
                </a:lnTo>
                <a:lnTo>
                  <a:pt x="7" y="27"/>
                </a:lnTo>
                <a:lnTo>
                  <a:pt x="8" y="26"/>
                </a:lnTo>
                <a:lnTo>
                  <a:pt x="9" y="26"/>
                </a:lnTo>
                <a:lnTo>
                  <a:pt x="9" y="25"/>
                </a:lnTo>
                <a:lnTo>
                  <a:pt x="10" y="25"/>
                </a:lnTo>
                <a:lnTo>
                  <a:pt x="12" y="24"/>
                </a:lnTo>
                <a:lnTo>
                  <a:pt x="12" y="24"/>
                </a:lnTo>
                <a:lnTo>
                  <a:pt x="13" y="24"/>
                </a:lnTo>
                <a:lnTo>
                  <a:pt x="13" y="23"/>
                </a:lnTo>
                <a:lnTo>
                  <a:pt x="14" y="22"/>
                </a:lnTo>
                <a:lnTo>
                  <a:pt x="14" y="21"/>
                </a:lnTo>
                <a:lnTo>
                  <a:pt x="14" y="19"/>
                </a:lnTo>
                <a:lnTo>
                  <a:pt x="14" y="16"/>
                </a:lnTo>
                <a:lnTo>
                  <a:pt x="14" y="15"/>
                </a:lnTo>
                <a:lnTo>
                  <a:pt x="15" y="15"/>
                </a:lnTo>
                <a:lnTo>
                  <a:pt x="17" y="14"/>
                </a:lnTo>
                <a:lnTo>
                  <a:pt x="18" y="13"/>
                </a:lnTo>
                <a:lnTo>
                  <a:pt x="20" y="12"/>
                </a:lnTo>
                <a:lnTo>
                  <a:pt x="21" y="11"/>
                </a:lnTo>
                <a:lnTo>
                  <a:pt x="23" y="10"/>
                </a:lnTo>
                <a:lnTo>
                  <a:pt x="25" y="8"/>
                </a:lnTo>
                <a:lnTo>
                  <a:pt x="24" y="7"/>
                </a:lnTo>
                <a:lnTo>
                  <a:pt x="23" y="4"/>
                </a:lnTo>
                <a:lnTo>
                  <a:pt x="22" y="3"/>
                </a:lnTo>
                <a:lnTo>
                  <a:pt x="23" y="2"/>
                </a:lnTo>
                <a:lnTo>
                  <a:pt x="24" y="2"/>
                </a:lnTo>
                <a:lnTo>
                  <a:pt x="24" y="2"/>
                </a:lnTo>
                <a:lnTo>
                  <a:pt x="24" y="2"/>
                </a:lnTo>
                <a:lnTo>
                  <a:pt x="25" y="2"/>
                </a:lnTo>
                <a:lnTo>
                  <a:pt x="25" y="2"/>
                </a:lnTo>
                <a:lnTo>
                  <a:pt x="25" y="2"/>
                </a:lnTo>
                <a:lnTo>
                  <a:pt x="28" y="0"/>
                </a:lnTo>
                <a:lnTo>
                  <a:pt x="28" y="0"/>
                </a:lnTo>
              </a:path>
            </a:pathLst>
          </a:custGeom>
          <a:grpFill/>
          <a:ln w="9525">
            <a:solidFill>
              <a:schemeClr val="bg1">
                <a:lumMod val="65000"/>
              </a:schemeClr>
            </a:solidFill>
            <a:prstDash val="solid"/>
            <a:round/>
            <a:headEnd/>
            <a:tailEnd/>
          </a:ln>
        </xdr:spPr>
      </xdr:sp>
      <xdr:sp macro="" textlink="">
        <xdr:nvSpPr>
          <xdr:cNvPr id="209" name="GIN006003"/>
          <xdr:cNvSpPr>
            <a:spLocks noChangeAspect="1"/>
          </xdr:cNvSpPr>
        </xdr:nvSpPr>
        <xdr:spPr bwMode="auto">
          <a:xfrm>
            <a:off x="5469824" y="2892260"/>
            <a:ext cx="606261" cy="747341"/>
          </a:xfrm>
          <a:custGeom>
            <a:avLst/>
            <a:gdLst>
              <a:gd name="T0" fmla="*/ 46 w 63"/>
              <a:gd name="T1" fmla="*/ 18 h 82"/>
              <a:gd name="T2" fmla="*/ 52 w 63"/>
              <a:gd name="T3" fmla="*/ 19 h 82"/>
              <a:gd name="T4" fmla="*/ 55 w 63"/>
              <a:gd name="T5" fmla="*/ 24 h 82"/>
              <a:gd name="T6" fmla="*/ 59 w 63"/>
              <a:gd name="T7" fmla="*/ 24 h 82"/>
              <a:gd name="T8" fmla="*/ 60 w 63"/>
              <a:gd name="T9" fmla="*/ 24 h 82"/>
              <a:gd name="T10" fmla="*/ 61 w 63"/>
              <a:gd name="T11" fmla="*/ 25 h 82"/>
              <a:gd name="T12" fmla="*/ 61 w 63"/>
              <a:gd name="T13" fmla="*/ 27 h 82"/>
              <a:gd name="T14" fmla="*/ 59 w 63"/>
              <a:gd name="T15" fmla="*/ 34 h 82"/>
              <a:gd name="T16" fmla="*/ 53 w 63"/>
              <a:gd name="T17" fmla="*/ 38 h 82"/>
              <a:gd name="T18" fmla="*/ 52 w 63"/>
              <a:gd name="T19" fmla="*/ 44 h 82"/>
              <a:gd name="T20" fmla="*/ 50 w 63"/>
              <a:gd name="T21" fmla="*/ 47 h 82"/>
              <a:gd name="T22" fmla="*/ 47 w 63"/>
              <a:gd name="T23" fmla="*/ 49 h 82"/>
              <a:gd name="T24" fmla="*/ 44 w 63"/>
              <a:gd name="T25" fmla="*/ 51 h 82"/>
              <a:gd name="T26" fmla="*/ 40 w 63"/>
              <a:gd name="T27" fmla="*/ 55 h 82"/>
              <a:gd name="T28" fmla="*/ 38 w 63"/>
              <a:gd name="T29" fmla="*/ 59 h 82"/>
              <a:gd name="T30" fmla="*/ 34 w 63"/>
              <a:gd name="T31" fmla="*/ 61 h 82"/>
              <a:gd name="T32" fmla="*/ 33 w 63"/>
              <a:gd name="T33" fmla="*/ 62 h 82"/>
              <a:gd name="T34" fmla="*/ 32 w 63"/>
              <a:gd name="T35" fmla="*/ 65 h 82"/>
              <a:gd name="T36" fmla="*/ 28 w 63"/>
              <a:gd name="T37" fmla="*/ 68 h 82"/>
              <a:gd name="T38" fmla="*/ 26 w 63"/>
              <a:gd name="T39" fmla="*/ 69 h 82"/>
              <a:gd name="T40" fmla="*/ 24 w 63"/>
              <a:gd name="T41" fmla="*/ 71 h 82"/>
              <a:gd name="T42" fmla="*/ 23 w 63"/>
              <a:gd name="T43" fmla="*/ 75 h 82"/>
              <a:gd name="T44" fmla="*/ 20 w 63"/>
              <a:gd name="T45" fmla="*/ 81 h 82"/>
              <a:gd name="T46" fmla="*/ 13 w 63"/>
              <a:gd name="T47" fmla="*/ 77 h 82"/>
              <a:gd name="T48" fmla="*/ 8 w 63"/>
              <a:gd name="T49" fmla="*/ 81 h 82"/>
              <a:gd name="T50" fmla="*/ 3 w 63"/>
              <a:gd name="T51" fmla="*/ 80 h 82"/>
              <a:gd name="T52" fmla="*/ 1 w 63"/>
              <a:gd name="T53" fmla="*/ 74 h 82"/>
              <a:gd name="T54" fmla="*/ 0 w 63"/>
              <a:gd name="T55" fmla="*/ 73 h 82"/>
              <a:gd name="T56" fmla="*/ 0 w 63"/>
              <a:gd name="T57" fmla="*/ 68 h 82"/>
              <a:gd name="T58" fmla="*/ 4 w 63"/>
              <a:gd name="T59" fmla="*/ 63 h 82"/>
              <a:gd name="T60" fmla="*/ 4 w 63"/>
              <a:gd name="T61" fmla="*/ 55 h 82"/>
              <a:gd name="T62" fmla="*/ 9 w 63"/>
              <a:gd name="T63" fmla="*/ 52 h 82"/>
              <a:gd name="T64" fmla="*/ 13 w 63"/>
              <a:gd name="T65" fmla="*/ 48 h 82"/>
              <a:gd name="T66" fmla="*/ 20 w 63"/>
              <a:gd name="T67" fmla="*/ 45 h 82"/>
              <a:gd name="T68" fmla="*/ 23 w 63"/>
              <a:gd name="T69" fmla="*/ 40 h 82"/>
              <a:gd name="T70" fmla="*/ 28 w 63"/>
              <a:gd name="T71" fmla="*/ 37 h 82"/>
              <a:gd name="T72" fmla="*/ 29 w 63"/>
              <a:gd name="T73" fmla="*/ 35 h 82"/>
              <a:gd name="T74" fmla="*/ 29 w 63"/>
              <a:gd name="T75" fmla="*/ 32 h 82"/>
              <a:gd name="T76" fmla="*/ 26 w 63"/>
              <a:gd name="T77" fmla="*/ 31 h 82"/>
              <a:gd name="T78" fmla="*/ 24 w 63"/>
              <a:gd name="T79" fmla="*/ 30 h 82"/>
              <a:gd name="T80" fmla="*/ 22 w 63"/>
              <a:gd name="T81" fmla="*/ 28 h 82"/>
              <a:gd name="T82" fmla="*/ 20 w 63"/>
              <a:gd name="T83" fmla="*/ 24 h 82"/>
              <a:gd name="T84" fmla="*/ 17 w 63"/>
              <a:gd name="T85" fmla="*/ 22 h 82"/>
              <a:gd name="T86" fmla="*/ 20 w 63"/>
              <a:gd name="T87" fmla="*/ 19 h 82"/>
              <a:gd name="T88" fmla="*/ 19 w 63"/>
              <a:gd name="T89" fmla="*/ 13 h 82"/>
              <a:gd name="T90" fmla="*/ 20 w 63"/>
              <a:gd name="T91" fmla="*/ 9 h 82"/>
              <a:gd name="T92" fmla="*/ 25 w 63"/>
              <a:gd name="T93" fmla="*/ 7 h 82"/>
              <a:gd name="T94" fmla="*/ 28 w 63"/>
              <a:gd name="T95" fmla="*/ 2 h 82"/>
              <a:gd name="T96" fmla="*/ 32 w 63"/>
              <a:gd name="T97" fmla="*/ 0 h 82"/>
              <a:gd name="T98" fmla="*/ 39 w 63"/>
              <a:gd name="T99" fmla="*/ 12 h 82"/>
              <a:gd name="T100" fmla="*/ 44 w 63"/>
              <a:gd name="T101" fmla="*/ 17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3" h="82">
                <a:moveTo>
                  <a:pt x="44" y="18"/>
                </a:moveTo>
                <a:lnTo>
                  <a:pt x="44" y="19"/>
                </a:lnTo>
                <a:lnTo>
                  <a:pt x="45" y="18"/>
                </a:lnTo>
                <a:lnTo>
                  <a:pt x="46" y="18"/>
                </a:lnTo>
                <a:lnTo>
                  <a:pt x="47" y="19"/>
                </a:lnTo>
                <a:lnTo>
                  <a:pt x="48" y="19"/>
                </a:lnTo>
                <a:lnTo>
                  <a:pt x="50" y="19"/>
                </a:lnTo>
                <a:lnTo>
                  <a:pt x="52" y="19"/>
                </a:lnTo>
                <a:lnTo>
                  <a:pt x="53" y="20"/>
                </a:lnTo>
                <a:lnTo>
                  <a:pt x="54" y="23"/>
                </a:lnTo>
                <a:lnTo>
                  <a:pt x="54" y="24"/>
                </a:lnTo>
                <a:lnTo>
                  <a:pt x="55" y="24"/>
                </a:lnTo>
                <a:lnTo>
                  <a:pt x="58" y="24"/>
                </a:lnTo>
                <a:lnTo>
                  <a:pt x="58" y="24"/>
                </a:lnTo>
                <a:lnTo>
                  <a:pt x="59" y="24"/>
                </a:lnTo>
                <a:lnTo>
                  <a:pt x="59" y="24"/>
                </a:lnTo>
                <a:lnTo>
                  <a:pt x="59" y="24"/>
                </a:lnTo>
                <a:lnTo>
                  <a:pt x="60" y="24"/>
                </a:lnTo>
                <a:lnTo>
                  <a:pt x="60" y="24"/>
                </a:lnTo>
                <a:lnTo>
                  <a:pt x="60" y="24"/>
                </a:lnTo>
                <a:lnTo>
                  <a:pt x="61" y="24"/>
                </a:lnTo>
                <a:lnTo>
                  <a:pt x="61" y="25"/>
                </a:lnTo>
                <a:lnTo>
                  <a:pt x="61" y="24"/>
                </a:lnTo>
                <a:lnTo>
                  <a:pt x="61" y="25"/>
                </a:lnTo>
                <a:lnTo>
                  <a:pt x="62" y="25"/>
                </a:lnTo>
                <a:lnTo>
                  <a:pt x="61" y="25"/>
                </a:lnTo>
                <a:lnTo>
                  <a:pt x="60" y="26"/>
                </a:lnTo>
                <a:lnTo>
                  <a:pt x="61" y="27"/>
                </a:lnTo>
                <a:lnTo>
                  <a:pt x="62" y="30"/>
                </a:lnTo>
                <a:lnTo>
                  <a:pt x="63" y="31"/>
                </a:lnTo>
                <a:lnTo>
                  <a:pt x="61" y="33"/>
                </a:lnTo>
                <a:lnTo>
                  <a:pt x="59" y="34"/>
                </a:lnTo>
                <a:lnTo>
                  <a:pt x="58" y="35"/>
                </a:lnTo>
                <a:lnTo>
                  <a:pt x="56" y="36"/>
                </a:lnTo>
                <a:lnTo>
                  <a:pt x="55" y="37"/>
                </a:lnTo>
                <a:lnTo>
                  <a:pt x="53" y="38"/>
                </a:lnTo>
                <a:lnTo>
                  <a:pt x="52" y="38"/>
                </a:lnTo>
                <a:lnTo>
                  <a:pt x="52" y="39"/>
                </a:lnTo>
                <a:lnTo>
                  <a:pt x="52" y="42"/>
                </a:lnTo>
                <a:lnTo>
                  <a:pt x="52" y="44"/>
                </a:lnTo>
                <a:lnTo>
                  <a:pt x="52" y="45"/>
                </a:lnTo>
                <a:lnTo>
                  <a:pt x="51" y="46"/>
                </a:lnTo>
                <a:lnTo>
                  <a:pt x="51" y="47"/>
                </a:lnTo>
                <a:lnTo>
                  <a:pt x="50" y="47"/>
                </a:lnTo>
                <a:lnTo>
                  <a:pt x="50" y="47"/>
                </a:lnTo>
                <a:lnTo>
                  <a:pt x="48" y="48"/>
                </a:lnTo>
                <a:lnTo>
                  <a:pt x="47" y="48"/>
                </a:lnTo>
                <a:lnTo>
                  <a:pt x="47" y="49"/>
                </a:lnTo>
                <a:lnTo>
                  <a:pt x="46" y="49"/>
                </a:lnTo>
                <a:lnTo>
                  <a:pt x="45" y="50"/>
                </a:lnTo>
                <a:lnTo>
                  <a:pt x="44" y="51"/>
                </a:lnTo>
                <a:lnTo>
                  <a:pt x="44" y="51"/>
                </a:lnTo>
                <a:lnTo>
                  <a:pt x="43" y="52"/>
                </a:lnTo>
                <a:lnTo>
                  <a:pt x="42" y="54"/>
                </a:lnTo>
                <a:lnTo>
                  <a:pt x="41" y="55"/>
                </a:lnTo>
                <a:lnTo>
                  <a:pt x="40" y="55"/>
                </a:lnTo>
                <a:lnTo>
                  <a:pt x="39" y="57"/>
                </a:lnTo>
                <a:lnTo>
                  <a:pt x="38" y="57"/>
                </a:lnTo>
                <a:lnTo>
                  <a:pt x="38" y="59"/>
                </a:lnTo>
                <a:lnTo>
                  <a:pt x="38" y="59"/>
                </a:lnTo>
                <a:lnTo>
                  <a:pt x="36" y="60"/>
                </a:lnTo>
                <a:lnTo>
                  <a:pt x="35" y="59"/>
                </a:lnTo>
                <a:lnTo>
                  <a:pt x="35" y="60"/>
                </a:lnTo>
                <a:lnTo>
                  <a:pt x="34" y="61"/>
                </a:lnTo>
                <a:lnTo>
                  <a:pt x="33" y="61"/>
                </a:lnTo>
                <a:lnTo>
                  <a:pt x="32" y="61"/>
                </a:lnTo>
                <a:lnTo>
                  <a:pt x="33" y="61"/>
                </a:lnTo>
                <a:lnTo>
                  <a:pt x="33" y="62"/>
                </a:lnTo>
                <a:lnTo>
                  <a:pt x="34" y="62"/>
                </a:lnTo>
                <a:lnTo>
                  <a:pt x="33" y="63"/>
                </a:lnTo>
                <a:lnTo>
                  <a:pt x="33" y="64"/>
                </a:lnTo>
                <a:lnTo>
                  <a:pt x="32" y="65"/>
                </a:lnTo>
                <a:lnTo>
                  <a:pt x="31" y="66"/>
                </a:lnTo>
                <a:lnTo>
                  <a:pt x="29" y="66"/>
                </a:lnTo>
                <a:lnTo>
                  <a:pt x="29" y="66"/>
                </a:lnTo>
                <a:lnTo>
                  <a:pt x="28" y="68"/>
                </a:lnTo>
                <a:lnTo>
                  <a:pt x="27" y="68"/>
                </a:lnTo>
                <a:lnTo>
                  <a:pt x="26" y="68"/>
                </a:lnTo>
                <a:lnTo>
                  <a:pt x="26" y="68"/>
                </a:lnTo>
                <a:lnTo>
                  <a:pt x="26" y="69"/>
                </a:lnTo>
                <a:lnTo>
                  <a:pt x="26" y="70"/>
                </a:lnTo>
                <a:lnTo>
                  <a:pt x="25" y="70"/>
                </a:lnTo>
                <a:lnTo>
                  <a:pt x="25" y="70"/>
                </a:lnTo>
                <a:lnTo>
                  <a:pt x="24" y="71"/>
                </a:lnTo>
                <a:lnTo>
                  <a:pt x="23" y="72"/>
                </a:lnTo>
                <a:lnTo>
                  <a:pt x="23" y="73"/>
                </a:lnTo>
                <a:lnTo>
                  <a:pt x="23" y="74"/>
                </a:lnTo>
                <a:lnTo>
                  <a:pt x="23" y="75"/>
                </a:lnTo>
                <a:lnTo>
                  <a:pt x="22" y="77"/>
                </a:lnTo>
                <a:lnTo>
                  <a:pt x="21" y="79"/>
                </a:lnTo>
                <a:lnTo>
                  <a:pt x="21" y="79"/>
                </a:lnTo>
                <a:lnTo>
                  <a:pt x="20" y="81"/>
                </a:lnTo>
                <a:lnTo>
                  <a:pt x="19" y="80"/>
                </a:lnTo>
                <a:lnTo>
                  <a:pt x="15" y="79"/>
                </a:lnTo>
                <a:lnTo>
                  <a:pt x="14" y="78"/>
                </a:lnTo>
                <a:lnTo>
                  <a:pt x="13" y="77"/>
                </a:lnTo>
                <a:lnTo>
                  <a:pt x="12" y="77"/>
                </a:lnTo>
                <a:lnTo>
                  <a:pt x="11" y="78"/>
                </a:lnTo>
                <a:lnTo>
                  <a:pt x="10" y="80"/>
                </a:lnTo>
                <a:lnTo>
                  <a:pt x="8" y="81"/>
                </a:lnTo>
                <a:lnTo>
                  <a:pt x="7" y="82"/>
                </a:lnTo>
                <a:lnTo>
                  <a:pt x="4" y="81"/>
                </a:lnTo>
                <a:lnTo>
                  <a:pt x="3" y="81"/>
                </a:lnTo>
                <a:lnTo>
                  <a:pt x="3" y="80"/>
                </a:lnTo>
                <a:lnTo>
                  <a:pt x="3" y="76"/>
                </a:lnTo>
                <a:lnTo>
                  <a:pt x="2" y="75"/>
                </a:lnTo>
                <a:lnTo>
                  <a:pt x="1" y="74"/>
                </a:lnTo>
                <a:lnTo>
                  <a:pt x="1" y="74"/>
                </a:lnTo>
                <a:lnTo>
                  <a:pt x="1" y="74"/>
                </a:lnTo>
                <a:lnTo>
                  <a:pt x="0" y="73"/>
                </a:lnTo>
                <a:lnTo>
                  <a:pt x="0" y="73"/>
                </a:lnTo>
                <a:lnTo>
                  <a:pt x="0" y="73"/>
                </a:lnTo>
                <a:lnTo>
                  <a:pt x="0" y="72"/>
                </a:lnTo>
                <a:lnTo>
                  <a:pt x="1" y="70"/>
                </a:lnTo>
                <a:lnTo>
                  <a:pt x="1" y="69"/>
                </a:lnTo>
                <a:lnTo>
                  <a:pt x="0" y="68"/>
                </a:lnTo>
                <a:lnTo>
                  <a:pt x="0" y="67"/>
                </a:lnTo>
                <a:lnTo>
                  <a:pt x="0" y="65"/>
                </a:lnTo>
                <a:lnTo>
                  <a:pt x="1" y="64"/>
                </a:lnTo>
                <a:lnTo>
                  <a:pt x="4" y="63"/>
                </a:lnTo>
                <a:lnTo>
                  <a:pt x="2" y="61"/>
                </a:lnTo>
                <a:lnTo>
                  <a:pt x="0" y="59"/>
                </a:lnTo>
                <a:lnTo>
                  <a:pt x="3" y="57"/>
                </a:lnTo>
                <a:lnTo>
                  <a:pt x="4" y="55"/>
                </a:lnTo>
                <a:lnTo>
                  <a:pt x="6" y="54"/>
                </a:lnTo>
                <a:lnTo>
                  <a:pt x="7" y="53"/>
                </a:lnTo>
                <a:lnTo>
                  <a:pt x="9" y="52"/>
                </a:lnTo>
                <a:lnTo>
                  <a:pt x="9" y="52"/>
                </a:lnTo>
                <a:lnTo>
                  <a:pt x="9" y="52"/>
                </a:lnTo>
                <a:lnTo>
                  <a:pt x="10" y="50"/>
                </a:lnTo>
                <a:lnTo>
                  <a:pt x="12" y="48"/>
                </a:lnTo>
                <a:lnTo>
                  <a:pt x="13" y="48"/>
                </a:lnTo>
                <a:lnTo>
                  <a:pt x="15" y="47"/>
                </a:lnTo>
                <a:lnTo>
                  <a:pt x="17" y="46"/>
                </a:lnTo>
                <a:lnTo>
                  <a:pt x="19" y="46"/>
                </a:lnTo>
                <a:lnTo>
                  <a:pt x="20" y="45"/>
                </a:lnTo>
                <a:lnTo>
                  <a:pt x="21" y="44"/>
                </a:lnTo>
                <a:lnTo>
                  <a:pt x="22" y="43"/>
                </a:lnTo>
                <a:lnTo>
                  <a:pt x="23" y="42"/>
                </a:lnTo>
                <a:lnTo>
                  <a:pt x="23" y="40"/>
                </a:lnTo>
                <a:lnTo>
                  <a:pt x="23" y="39"/>
                </a:lnTo>
                <a:lnTo>
                  <a:pt x="25" y="39"/>
                </a:lnTo>
                <a:lnTo>
                  <a:pt x="26" y="38"/>
                </a:lnTo>
                <a:lnTo>
                  <a:pt x="28" y="37"/>
                </a:lnTo>
                <a:lnTo>
                  <a:pt x="28" y="36"/>
                </a:lnTo>
                <a:lnTo>
                  <a:pt x="29" y="37"/>
                </a:lnTo>
                <a:lnTo>
                  <a:pt x="29" y="36"/>
                </a:lnTo>
                <a:lnTo>
                  <a:pt x="29" y="35"/>
                </a:lnTo>
                <a:lnTo>
                  <a:pt x="28" y="34"/>
                </a:lnTo>
                <a:lnTo>
                  <a:pt x="27" y="33"/>
                </a:lnTo>
                <a:lnTo>
                  <a:pt x="28" y="33"/>
                </a:lnTo>
                <a:lnTo>
                  <a:pt x="29" y="32"/>
                </a:lnTo>
                <a:lnTo>
                  <a:pt x="29" y="31"/>
                </a:lnTo>
                <a:lnTo>
                  <a:pt x="28" y="30"/>
                </a:lnTo>
                <a:lnTo>
                  <a:pt x="26" y="32"/>
                </a:lnTo>
                <a:lnTo>
                  <a:pt x="26" y="31"/>
                </a:lnTo>
                <a:lnTo>
                  <a:pt x="25" y="31"/>
                </a:lnTo>
                <a:lnTo>
                  <a:pt x="25" y="30"/>
                </a:lnTo>
                <a:lnTo>
                  <a:pt x="25" y="30"/>
                </a:lnTo>
                <a:lnTo>
                  <a:pt x="24" y="30"/>
                </a:lnTo>
                <a:lnTo>
                  <a:pt x="24" y="30"/>
                </a:lnTo>
                <a:lnTo>
                  <a:pt x="24" y="29"/>
                </a:lnTo>
                <a:lnTo>
                  <a:pt x="22" y="29"/>
                </a:lnTo>
                <a:lnTo>
                  <a:pt x="22" y="28"/>
                </a:lnTo>
                <a:lnTo>
                  <a:pt x="22" y="26"/>
                </a:lnTo>
                <a:lnTo>
                  <a:pt x="21" y="26"/>
                </a:lnTo>
                <a:lnTo>
                  <a:pt x="20" y="25"/>
                </a:lnTo>
                <a:lnTo>
                  <a:pt x="20" y="24"/>
                </a:lnTo>
                <a:lnTo>
                  <a:pt x="19" y="25"/>
                </a:lnTo>
                <a:lnTo>
                  <a:pt x="18" y="24"/>
                </a:lnTo>
                <a:lnTo>
                  <a:pt x="17" y="23"/>
                </a:lnTo>
                <a:lnTo>
                  <a:pt x="17" y="22"/>
                </a:lnTo>
                <a:lnTo>
                  <a:pt x="18" y="22"/>
                </a:lnTo>
                <a:lnTo>
                  <a:pt x="20" y="21"/>
                </a:lnTo>
                <a:lnTo>
                  <a:pt x="20" y="20"/>
                </a:lnTo>
                <a:lnTo>
                  <a:pt x="20" y="19"/>
                </a:lnTo>
                <a:lnTo>
                  <a:pt x="20" y="17"/>
                </a:lnTo>
                <a:lnTo>
                  <a:pt x="19" y="15"/>
                </a:lnTo>
                <a:lnTo>
                  <a:pt x="19" y="14"/>
                </a:lnTo>
                <a:lnTo>
                  <a:pt x="19" y="13"/>
                </a:lnTo>
                <a:lnTo>
                  <a:pt x="19" y="12"/>
                </a:lnTo>
                <a:lnTo>
                  <a:pt x="19" y="10"/>
                </a:lnTo>
                <a:lnTo>
                  <a:pt x="19" y="10"/>
                </a:lnTo>
                <a:lnTo>
                  <a:pt x="20" y="9"/>
                </a:lnTo>
                <a:lnTo>
                  <a:pt x="22" y="9"/>
                </a:lnTo>
                <a:lnTo>
                  <a:pt x="23" y="8"/>
                </a:lnTo>
                <a:lnTo>
                  <a:pt x="24" y="7"/>
                </a:lnTo>
                <a:lnTo>
                  <a:pt x="25" y="7"/>
                </a:lnTo>
                <a:lnTo>
                  <a:pt x="26" y="5"/>
                </a:lnTo>
                <a:lnTo>
                  <a:pt x="27" y="4"/>
                </a:lnTo>
                <a:lnTo>
                  <a:pt x="28" y="3"/>
                </a:lnTo>
                <a:lnTo>
                  <a:pt x="28" y="2"/>
                </a:lnTo>
                <a:lnTo>
                  <a:pt x="29" y="1"/>
                </a:lnTo>
                <a:lnTo>
                  <a:pt x="31" y="1"/>
                </a:lnTo>
                <a:lnTo>
                  <a:pt x="32" y="0"/>
                </a:lnTo>
                <a:lnTo>
                  <a:pt x="32" y="0"/>
                </a:lnTo>
                <a:lnTo>
                  <a:pt x="33" y="4"/>
                </a:lnTo>
                <a:lnTo>
                  <a:pt x="35" y="7"/>
                </a:lnTo>
                <a:lnTo>
                  <a:pt x="36" y="9"/>
                </a:lnTo>
                <a:lnTo>
                  <a:pt x="39" y="12"/>
                </a:lnTo>
                <a:lnTo>
                  <a:pt x="40" y="13"/>
                </a:lnTo>
                <a:lnTo>
                  <a:pt x="41" y="15"/>
                </a:lnTo>
                <a:lnTo>
                  <a:pt x="43" y="16"/>
                </a:lnTo>
                <a:lnTo>
                  <a:pt x="44" y="17"/>
                </a:lnTo>
                <a:lnTo>
                  <a:pt x="44" y="18"/>
                </a:lnTo>
              </a:path>
            </a:pathLst>
          </a:custGeom>
          <a:grpFill/>
          <a:ln w="9525">
            <a:solidFill>
              <a:schemeClr val="bg1">
                <a:lumMod val="65000"/>
              </a:schemeClr>
            </a:solidFill>
            <a:prstDash val="solid"/>
            <a:round/>
            <a:headEnd/>
            <a:tailEnd/>
          </a:ln>
        </xdr:spPr>
      </xdr:sp>
      <xdr:sp macro="" textlink="">
        <xdr:nvSpPr>
          <xdr:cNvPr id="210" name="GIN006005"/>
          <xdr:cNvSpPr>
            <a:spLocks noChangeAspect="1"/>
          </xdr:cNvSpPr>
        </xdr:nvSpPr>
        <xdr:spPr bwMode="auto">
          <a:xfrm>
            <a:off x="6396595" y="2801030"/>
            <a:ext cx="886320" cy="939945"/>
          </a:xfrm>
          <a:custGeom>
            <a:avLst/>
            <a:gdLst>
              <a:gd name="T0" fmla="*/ 84 w 95"/>
              <a:gd name="T1" fmla="*/ 5 h 103"/>
              <a:gd name="T2" fmla="*/ 87 w 95"/>
              <a:gd name="T3" fmla="*/ 11 h 103"/>
              <a:gd name="T4" fmla="*/ 91 w 95"/>
              <a:gd name="T5" fmla="*/ 13 h 103"/>
              <a:gd name="T6" fmla="*/ 93 w 95"/>
              <a:gd name="T7" fmla="*/ 16 h 103"/>
              <a:gd name="T8" fmla="*/ 93 w 95"/>
              <a:gd name="T9" fmla="*/ 28 h 103"/>
              <a:gd name="T10" fmla="*/ 86 w 95"/>
              <a:gd name="T11" fmla="*/ 34 h 103"/>
              <a:gd name="T12" fmla="*/ 85 w 95"/>
              <a:gd name="T13" fmla="*/ 39 h 103"/>
              <a:gd name="T14" fmla="*/ 82 w 95"/>
              <a:gd name="T15" fmla="*/ 43 h 103"/>
              <a:gd name="T16" fmla="*/ 80 w 95"/>
              <a:gd name="T17" fmla="*/ 47 h 103"/>
              <a:gd name="T18" fmla="*/ 86 w 95"/>
              <a:gd name="T19" fmla="*/ 49 h 103"/>
              <a:gd name="T20" fmla="*/ 87 w 95"/>
              <a:gd name="T21" fmla="*/ 53 h 103"/>
              <a:gd name="T22" fmla="*/ 83 w 95"/>
              <a:gd name="T23" fmla="*/ 58 h 103"/>
              <a:gd name="T24" fmla="*/ 76 w 95"/>
              <a:gd name="T25" fmla="*/ 61 h 103"/>
              <a:gd name="T26" fmla="*/ 67 w 95"/>
              <a:gd name="T27" fmla="*/ 75 h 103"/>
              <a:gd name="T28" fmla="*/ 61 w 95"/>
              <a:gd name="T29" fmla="*/ 75 h 103"/>
              <a:gd name="T30" fmla="*/ 60 w 95"/>
              <a:gd name="T31" fmla="*/ 79 h 103"/>
              <a:gd name="T32" fmla="*/ 45 w 95"/>
              <a:gd name="T33" fmla="*/ 91 h 103"/>
              <a:gd name="T34" fmla="*/ 36 w 95"/>
              <a:gd name="T35" fmla="*/ 93 h 103"/>
              <a:gd name="T36" fmla="*/ 33 w 95"/>
              <a:gd name="T37" fmla="*/ 96 h 103"/>
              <a:gd name="T38" fmla="*/ 27 w 95"/>
              <a:gd name="T39" fmla="*/ 103 h 103"/>
              <a:gd name="T40" fmla="*/ 18 w 95"/>
              <a:gd name="T41" fmla="*/ 101 h 103"/>
              <a:gd name="T42" fmla="*/ 12 w 95"/>
              <a:gd name="T43" fmla="*/ 93 h 103"/>
              <a:gd name="T44" fmla="*/ 14 w 95"/>
              <a:gd name="T45" fmla="*/ 87 h 103"/>
              <a:gd name="T46" fmla="*/ 6 w 95"/>
              <a:gd name="T47" fmla="*/ 80 h 103"/>
              <a:gd name="T48" fmla="*/ 2 w 95"/>
              <a:gd name="T49" fmla="*/ 76 h 103"/>
              <a:gd name="T50" fmla="*/ 3 w 95"/>
              <a:gd name="T51" fmla="*/ 69 h 103"/>
              <a:gd name="T52" fmla="*/ 6 w 95"/>
              <a:gd name="T53" fmla="*/ 63 h 103"/>
              <a:gd name="T54" fmla="*/ 14 w 95"/>
              <a:gd name="T55" fmla="*/ 52 h 103"/>
              <a:gd name="T56" fmla="*/ 22 w 95"/>
              <a:gd name="T57" fmla="*/ 43 h 103"/>
              <a:gd name="T58" fmla="*/ 26 w 95"/>
              <a:gd name="T59" fmla="*/ 42 h 103"/>
              <a:gd name="T60" fmla="*/ 29 w 95"/>
              <a:gd name="T61" fmla="*/ 40 h 103"/>
              <a:gd name="T62" fmla="*/ 31 w 95"/>
              <a:gd name="T63" fmla="*/ 39 h 103"/>
              <a:gd name="T64" fmla="*/ 33 w 95"/>
              <a:gd name="T65" fmla="*/ 38 h 103"/>
              <a:gd name="T66" fmla="*/ 34 w 95"/>
              <a:gd name="T67" fmla="*/ 37 h 103"/>
              <a:gd name="T68" fmla="*/ 36 w 95"/>
              <a:gd name="T69" fmla="*/ 32 h 103"/>
              <a:gd name="T70" fmla="*/ 43 w 95"/>
              <a:gd name="T71" fmla="*/ 22 h 103"/>
              <a:gd name="T72" fmla="*/ 46 w 95"/>
              <a:gd name="T73" fmla="*/ 23 h 103"/>
              <a:gd name="T74" fmla="*/ 47 w 95"/>
              <a:gd name="T75" fmla="*/ 22 h 103"/>
              <a:gd name="T76" fmla="*/ 48 w 95"/>
              <a:gd name="T77" fmla="*/ 20 h 103"/>
              <a:gd name="T78" fmla="*/ 50 w 95"/>
              <a:gd name="T79" fmla="*/ 19 h 103"/>
              <a:gd name="T80" fmla="*/ 52 w 95"/>
              <a:gd name="T81" fmla="*/ 18 h 103"/>
              <a:gd name="T82" fmla="*/ 53 w 95"/>
              <a:gd name="T83" fmla="*/ 16 h 103"/>
              <a:gd name="T84" fmla="*/ 55 w 95"/>
              <a:gd name="T85" fmla="*/ 14 h 103"/>
              <a:gd name="T86" fmla="*/ 56 w 95"/>
              <a:gd name="T87" fmla="*/ 12 h 103"/>
              <a:gd name="T88" fmla="*/ 59 w 95"/>
              <a:gd name="T89" fmla="*/ 13 h 103"/>
              <a:gd name="T90" fmla="*/ 60 w 95"/>
              <a:gd name="T91" fmla="*/ 12 h 103"/>
              <a:gd name="T92" fmla="*/ 62 w 95"/>
              <a:gd name="T93" fmla="*/ 11 h 103"/>
              <a:gd name="T94" fmla="*/ 64 w 95"/>
              <a:gd name="T95" fmla="*/ 10 h 103"/>
              <a:gd name="T96" fmla="*/ 66 w 95"/>
              <a:gd name="T97" fmla="*/ 7 h 103"/>
              <a:gd name="T98" fmla="*/ 67 w 95"/>
              <a:gd name="T99" fmla="*/ 4 h 103"/>
              <a:gd name="T100" fmla="*/ 69 w 95"/>
              <a:gd name="T101" fmla="*/ 2 h 103"/>
              <a:gd name="T102" fmla="*/ 74 w 95"/>
              <a:gd name="T103" fmla="*/ 4 h 103"/>
              <a:gd name="T104" fmla="*/ 81 w 95"/>
              <a:gd name="T105" fmla="*/ 2 h 103"/>
              <a:gd name="T106" fmla="*/ 83 w 95"/>
              <a:gd name="T107" fmla="*/ 0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95" h="103">
                <a:moveTo>
                  <a:pt x="83" y="0"/>
                </a:moveTo>
                <a:lnTo>
                  <a:pt x="84" y="1"/>
                </a:lnTo>
                <a:lnTo>
                  <a:pt x="84" y="2"/>
                </a:lnTo>
                <a:lnTo>
                  <a:pt x="85" y="4"/>
                </a:lnTo>
                <a:lnTo>
                  <a:pt x="84" y="5"/>
                </a:lnTo>
                <a:lnTo>
                  <a:pt x="84" y="8"/>
                </a:lnTo>
                <a:lnTo>
                  <a:pt x="84" y="9"/>
                </a:lnTo>
                <a:lnTo>
                  <a:pt x="85" y="10"/>
                </a:lnTo>
                <a:lnTo>
                  <a:pt x="86" y="11"/>
                </a:lnTo>
                <a:lnTo>
                  <a:pt x="87" y="11"/>
                </a:lnTo>
                <a:lnTo>
                  <a:pt x="87" y="11"/>
                </a:lnTo>
                <a:lnTo>
                  <a:pt x="89" y="11"/>
                </a:lnTo>
                <a:lnTo>
                  <a:pt x="90" y="11"/>
                </a:lnTo>
                <a:lnTo>
                  <a:pt x="90" y="12"/>
                </a:lnTo>
                <a:lnTo>
                  <a:pt x="91" y="13"/>
                </a:lnTo>
                <a:lnTo>
                  <a:pt x="93" y="14"/>
                </a:lnTo>
                <a:lnTo>
                  <a:pt x="94" y="14"/>
                </a:lnTo>
                <a:lnTo>
                  <a:pt x="95" y="15"/>
                </a:lnTo>
                <a:lnTo>
                  <a:pt x="94" y="15"/>
                </a:lnTo>
                <a:lnTo>
                  <a:pt x="93" y="16"/>
                </a:lnTo>
                <a:lnTo>
                  <a:pt x="92" y="17"/>
                </a:lnTo>
                <a:lnTo>
                  <a:pt x="92" y="19"/>
                </a:lnTo>
                <a:lnTo>
                  <a:pt x="93" y="22"/>
                </a:lnTo>
                <a:lnTo>
                  <a:pt x="92" y="24"/>
                </a:lnTo>
                <a:lnTo>
                  <a:pt x="93" y="28"/>
                </a:lnTo>
                <a:lnTo>
                  <a:pt x="92" y="30"/>
                </a:lnTo>
                <a:lnTo>
                  <a:pt x="91" y="32"/>
                </a:lnTo>
                <a:lnTo>
                  <a:pt x="90" y="34"/>
                </a:lnTo>
                <a:lnTo>
                  <a:pt x="88" y="33"/>
                </a:lnTo>
                <a:lnTo>
                  <a:pt x="86" y="34"/>
                </a:lnTo>
                <a:lnTo>
                  <a:pt x="84" y="36"/>
                </a:lnTo>
                <a:lnTo>
                  <a:pt x="84" y="37"/>
                </a:lnTo>
                <a:lnTo>
                  <a:pt x="84" y="38"/>
                </a:lnTo>
                <a:lnTo>
                  <a:pt x="84" y="38"/>
                </a:lnTo>
                <a:lnTo>
                  <a:pt x="85" y="39"/>
                </a:lnTo>
                <a:lnTo>
                  <a:pt x="85" y="40"/>
                </a:lnTo>
                <a:lnTo>
                  <a:pt x="85" y="40"/>
                </a:lnTo>
                <a:lnTo>
                  <a:pt x="84" y="41"/>
                </a:lnTo>
                <a:lnTo>
                  <a:pt x="83" y="42"/>
                </a:lnTo>
                <a:lnTo>
                  <a:pt x="82" y="43"/>
                </a:lnTo>
                <a:lnTo>
                  <a:pt x="81" y="44"/>
                </a:lnTo>
                <a:lnTo>
                  <a:pt x="79" y="44"/>
                </a:lnTo>
                <a:lnTo>
                  <a:pt x="79" y="45"/>
                </a:lnTo>
                <a:lnTo>
                  <a:pt x="79" y="46"/>
                </a:lnTo>
                <a:lnTo>
                  <a:pt x="80" y="47"/>
                </a:lnTo>
                <a:lnTo>
                  <a:pt x="80" y="49"/>
                </a:lnTo>
                <a:lnTo>
                  <a:pt x="82" y="49"/>
                </a:lnTo>
                <a:lnTo>
                  <a:pt x="83" y="49"/>
                </a:lnTo>
                <a:lnTo>
                  <a:pt x="85" y="49"/>
                </a:lnTo>
                <a:lnTo>
                  <a:pt x="86" y="49"/>
                </a:lnTo>
                <a:lnTo>
                  <a:pt x="87" y="50"/>
                </a:lnTo>
                <a:lnTo>
                  <a:pt x="88" y="51"/>
                </a:lnTo>
                <a:lnTo>
                  <a:pt x="88" y="52"/>
                </a:lnTo>
                <a:lnTo>
                  <a:pt x="87" y="52"/>
                </a:lnTo>
                <a:lnTo>
                  <a:pt x="87" y="53"/>
                </a:lnTo>
                <a:lnTo>
                  <a:pt x="87" y="55"/>
                </a:lnTo>
                <a:lnTo>
                  <a:pt x="87" y="56"/>
                </a:lnTo>
                <a:lnTo>
                  <a:pt x="86" y="56"/>
                </a:lnTo>
                <a:lnTo>
                  <a:pt x="84" y="58"/>
                </a:lnTo>
                <a:lnTo>
                  <a:pt x="83" y="58"/>
                </a:lnTo>
                <a:lnTo>
                  <a:pt x="82" y="59"/>
                </a:lnTo>
                <a:lnTo>
                  <a:pt x="81" y="60"/>
                </a:lnTo>
                <a:lnTo>
                  <a:pt x="79" y="60"/>
                </a:lnTo>
                <a:lnTo>
                  <a:pt x="78" y="60"/>
                </a:lnTo>
                <a:lnTo>
                  <a:pt x="76" y="61"/>
                </a:lnTo>
                <a:lnTo>
                  <a:pt x="73" y="62"/>
                </a:lnTo>
                <a:lnTo>
                  <a:pt x="71" y="65"/>
                </a:lnTo>
                <a:lnTo>
                  <a:pt x="68" y="68"/>
                </a:lnTo>
                <a:lnTo>
                  <a:pt x="67" y="71"/>
                </a:lnTo>
                <a:lnTo>
                  <a:pt x="67" y="75"/>
                </a:lnTo>
                <a:lnTo>
                  <a:pt x="65" y="75"/>
                </a:lnTo>
                <a:lnTo>
                  <a:pt x="66" y="76"/>
                </a:lnTo>
                <a:lnTo>
                  <a:pt x="64" y="76"/>
                </a:lnTo>
                <a:lnTo>
                  <a:pt x="62" y="75"/>
                </a:lnTo>
                <a:lnTo>
                  <a:pt x="61" y="75"/>
                </a:lnTo>
                <a:lnTo>
                  <a:pt x="62" y="77"/>
                </a:lnTo>
                <a:lnTo>
                  <a:pt x="62" y="78"/>
                </a:lnTo>
                <a:lnTo>
                  <a:pt x="62" y="79"/>
                </a:lnTo>
                <a:lnTo>
                  <a:pt x="61" y="79"/>
                </a:lnTo>
                <a:lnTo>
                  <a:pt x="60" y="79"/>
                </a:lnTo>
                <a:lnTo>
                  <a:pt x="56" y="80"/>
                </a:lnTo>
                <a:lnTo>
                  <a:pt x="54" y="81"/>
                </a:lnTo>
                <a:lnTo>
                  <a:pt x="50" y="83"/>
                </a:lnTo>
                <a:lnTo>
                  <a:pt x="47" y="88"/>
                </a:lnTo>
                <a:lnTo>
                  <a:pt x="45" y="91"/>
                </a:lnTo>
                <a:lnTo>
                  <a:pt x="43" y="92"/>
                </a:lnTo>
                <a:lnTo>
                  <a:pt x="41" y="93"/>
                </a:lnTo>
                <a:lnTo>
                  <a:pt x="39" y="94"/>
                </a:lnTo>
                <a:lnTo>
                  <a:pt x="38" y="94"/>
                </a:lnTo>
                <a:lnTo>
                  <a:pt x="36" y="93"/>
                </a:lnTo>
                <a:lnTo>
                  <a:pt x="36" y="93"/>
                </a:lnTo>
                <a:lnTo>
                  <a:pt x="35" y="94"/>
                </a:lnTo>
                <a:lnTo>
                  <a:pt x="35" y="95"/>
                </a:lnTo>
                <a:lnTo>
                  <a:pt x="34" y="96"/>
                </a:lnTo>
                <a:lnTo>
                  <a:pt x="33" y="96"/>
                </a:lnTo>
                <a:lnTo>
                  <a:pt x="33" y="97"/>
                </a:lnTo>
                <a:lnTo>
                  <a:pt x="32" y="97"/>
                </a:lnTo>
                <a:lnTo>
                  <a:pt x="30" y="98"/>
                </a:lnTo>
                <a:lnTo>
                  <a:pt x="30" y="99"/>
                </a:lnTo>
                <a:lnTo>
                  <a:pt x="27" y="103"/>
                </a:lnTo>
                <a:lnTo>
                  <a:pt x="26" y="102"/>
                </a:lnTo>
                <a:lnTo>
                  <a:pt x="24" y="102"/>
                </a:lnTo>
                <a:lnTo>
                  <a:pt x="23" y="102"/>
                </a:lnTo>
                <a:lnTo>
                  <a:pt x="20" y="102"/>
                </a:lnTo>
                <a:lnTo>
                  <a:pt x="18" y="101"/>
                </a:lnTo>
                <a:lnTo>
                  <a:pt x="15" y="99"/>
                </a:lnTo>
                <a:lnTo>
                  <a:pt x="14" y="99"/>
                </a:lnTo>
                <a:lnTo>
                  <a:pt x="13" y="96"/>
                </a:lnTo>
                <a:lnTo>
                  <a:pt x="12" y="95"/>
                </a:lnTo>
                <a:lnTo>
                  <a:pt x="12" y="93"/>
                </a:lnTo>
                <a:lnTo>
                  <a:pt x="12" y="92"/>
                </a:lnTo>
                <a:lnTo>
                  <a:pt x="12" y="90"/>
                </a:lnTo>
                <a:lnTo>
                  <a:pt x="13" y="87"/>
                </a:lnTo>
                <a:lnTo>
                  <a:pt x="13" y="87"/>
                </a:lnTo>
                <a:lnTo>
                  <a:pt x="14" y="87"/>
                </a:lnTo>
                <a:lnTo>
                  <a:pt x="14" y="86"/>
                </a:lnTo>
                <a:lnTo>
                  <a:pt x="13" y="84"/>
                </a:lnTo>
                <a:lnTo>
                  <a:pt x="12" y="82"/>
                </a:lnTo>
                <a:lnTo>
                  <a:pt x="10" y="81"/>
                </a:lnTo>
                <a:lnTo>
                  <a:pt x="6" y="80"/>
                </a:lnTo>
                <a:lnTo>
                  <a:pt x="5" y="80"/>
                </a:lnTo>
                <a:lnTo>
                  <a:pt x="4" y="79"/>
                </a:lnTo>
                <a:lnTo>
                  <a:pt x="4" y="77"/>
                </a:lnTo>
                <a:lnTo>
                  <a:pt x="3" y="76"/>
                </a:lnTo>
                <a:lnTo>
                  <a:pt x="2" y="76"/>
                </a:lnTo>
                <a:lnTo>
                  <a:pt x="1" y="74"/>
                </a:lnTo>
                <a:lnTo>
                  <a:pt x="0" y="73"/>
                </a:lnTo>
                <a:lnTo>
                  <a:pt x="3" y="70"/>
                </a:lnTo>
                <a:lnTo>
                  <a:pt x="3" y="70"/>
                </a:lnTo>
                <a:lnTo>
                  <a:pt x="3" y="69"/>
                </a:lnTo>
                <a:lnTo>
                  <a:pt x="4" y="68"/>
                </a:lnTo>
                <a:lnTo>
                  <a:pt x="4" y="65"/>
                </a:lnTo>
                <a:lnTo>
                  <a:pt x="5" y="63"/>
                </a:lnTo>
                <a:lnTo>
                  <a:pt x="5" y="63"/>
                </a:lnTo>
                <a:lnTo>
                  <a:pt x="6" y="63"/>
                </a:lnTo>
                <a:lnTo>
                  <a:pt x="7" y="61"/>
                </a:lnTo>
                <a:lnTo>
                  <a:pt x="9" y="59"/>
                </a:lnTo>
                <a:lnTo>
                  <a:pt x="12" y="56"/>
                </a:lnTo>
                <a:lnTo>
                  <a:pt x="13" y="55"/>
                </a:lnTo>
                <a:lnTo>
                  <a:pt x="14" y="52"/>
                </a:lnTo>
                <a:lnTo>
                  <a:pt x="15" y="50"/>
                </a:lnTo>
                <a:lnTo>
                  <a:pt x="16" y="49"/>
                </a:lnTo>
                <a:lnTo>
                  <a:pt x="19" y="47"/>
                </a:lnTo>
                <a:lnTo>
                  <a:pt x="21" y="44"/>
                </a:lnTo>
                <a:lnTo>
                  <a:pt x="22" y="43"/>
                </a:lnTo>
                <a:lnTo>
                  <a:pt x="23" y="43"/>
                </a:lnTo>
                <a:lnTo>
                  <a:pt x="25" y="42"/>
                </a:lnTo>
                <a:lnTo>
                  <a:pt x="26" y="42"/>
                </a:lnTo>
                <a:lnTo>
                  <a:pt x="26" y="42"/>
                </a:lnTo>
                <a:lnTo>
                  <a:pt x="26" y="42"/>
                </a:lnTo>
                <a:lnTo>
                  <a:pt x="27" y="42"/>
                </a:lnTo>
                <a:lnTo>
                  <a:pt x="28" y="41"/>
                </a:lnTo>
                <a:lnTo>
                  <a:pt x="28" y="40"/>
                </a:lnTo>
                <a:lnTo>
                  <a:pt x="29" y="40"/>
                </a:lnTo>
                <a:lnTo>
                  <a:pt x="29" y="40"/>
                </a:lnTo>
                <a:lnTo>
                  <a:pt x="29" y="39"/>
                </a:lnTo>
                <a:lnTo>
                  <a:pt x="29" y="39"/>
                </a:lnTo>
                <a:lnTo>
                  <a:pt x="30" y="39"/>
                </a:lnTo>
                <a:lnTo>
                  <a:pt x="30" y="39"/>
                </a:lnTo>
                <a:lnTo>
                  <a:pt x="31" y="39"/>
                </a:lnTo>
                <a:lnTo>
                  <a:pt x="31" y="39"/>
                </a:lnTo>
                <a:lnTo>
                  <a:pt x="31" y="38"/>
                </a:lnTo>
                <a:lnTo>
                  <a:pt x="32" y="38"/>
                </a:lnTo>
                <a:lnTo>
                  <a:pt x="32" y="38"/>
                </a:lnTo>
                <a:lnTo>
                  <a:pt x="33" y="38"/>
                </a:lnTo>
                <a:lnTo>
                  <a:pt x="33" y="38"/>
                </a:lnTo>
                <a:lnTo>
                  <a:pt x="33" y="38"/>
                </a:lnTo>
                <a:lnTo>
                  <a:pt x="33" y="38"/>
                </a:lnTo>
                <a:lnTo>
                  <a:pt x="34" y="38"/>
                </a:lnTo>
                <a:lnTo>
                  <a:pt x="34" y="37"/>
                </a:lnTo>
                <a:lnTo>
                  <a:pt x="34" y="37"/>
                </a:lnTo>
                <a:lnTo>
                  <a:pt x="34" y="36"/>
                </a:lnTo>
                <a:lnTo>
                  <a:pt x="34" y="35"/>
                </a:lnTo>
                <a:lnTo>
                  <a:pt x="35" y="33"/>
                </a:lnTo>
                <a:lnTo>
                  <a:pt x="36" y="32"/>
                </a:lnTo>
                <a:lnTo>
                  <a:pt x="39" y="30"/>
                </a:lnTo>
                <a:lnTo>
                  <a:pt x="40" y="27"/>
                </a:lnTo>
                <a:lnTo>
                  <a:pt x="40" y="25"/>
                </a:lnTo>
                <a:lnTo>
                  <a:pt x="42" y="23"/>
                </a:lnTo>
                <a:lnTo>
                  <a:pt x="43" y="22"/>
                </a:lnTo>
                <a:lnTo>
                  <a:pt x="43" y="23"/>
                </a:lnTo>
                <a:lnTo>
                  <a:pt x="44" y="23"/>
                </a:lnTo>
                <a:lnTo>
                  <a:pt x="46" y="24"/>
                </a:lnTo>
                <a:lnTo>
                  <a:pt x="46" y="24"/>
                </a:lnTo>
                <a:lnTo>
                  <a:pt x="46" y="23"/>
                </a:lnTo>
                <a:lnTo>
                  <a:pt x="47" y="23"/>
                </a:lnTo>
                <a:lnTo>
                  <a:pt x="47" y="23"/>
                </a:lnTo>
                <a:lnTo>
                  <a:pt x="47" y="23"/>
                </a:lnTo>
                <a:lnTo>
                  <a:pt x="47" y="22"/>
                </a:lnTo>
                <a:lnTo>
                  <a:pt x="47" y="22"/>
                </a:lnTo>
                <a:lnTo>
                  <a:pt x="48" y="21"/>
                </a:lnTo>
                <a:lnTo>
                  <a:pt x="48" y="21"/>
                </a:lnTo>
                <a:lnTo>
                  <a:pt x="48" y="21"/>
                </a:lnTo>
                <a:lnTo>
                  <a:pt x="48" y="20"/>
                </a:lnTo>
                <a:lnTo>
                  <a:pt x="48" y="20"/>
                </a:lnTo>
                <a:lnTo>
                  <a:pt x="48" y="20"/>
                </a:lnTo>
                <a:lnTo>
                  <a:pt x="49" y="20"/>
                </a:lnTo>
                <a:lnTo>
                  <a:pt x="49" y="20"/>
                </a:lnTo>
                <a:lnTo>
                  <a:pt x="49" y="20"/>
                </a:lnTo>
                <a:lnTo>
                  <a:pt x="50" y="19"/>
                </a:lnTo>
                <a:lnTo>
                  <a:pt x="50" y="19"/>
                </a:lnTo>
                <a:lnTo>
                  <a:pt x="51" y="19"/>
                </a:lnTo>
                <a:lnTo>
                  <a:pt x="51" y="19"/>
                </a:lnTo>
                <a:lnTo>
                  <a:pt x="52" y="18"/>
                </a:lnTo>
                <a:lnTo>
                  <a:pt x="52" y="18"/>
                </a:lnTo>
                <a:lnTo>
                  <a:pt x="52" y="17"/>
                </a:lnTo>
                <a:lnTo>
                  <a:pt x="53" y="17"/>
                </a:lnTo>
                <a:lnTo>
                  <a:pt x="53" y="17"/>
                </a:lnTo>
                <a:lnTo>
                  <a:pt x="53" y="16"/>
                </a:lnTo>
                <a:lnTo>
                  <a:pt x="53" y="16"/>
                </a:lnTo>
                <a:lnTo>
                  <a:pt x="54" y="16"/>
                </a:lnTo>
                <a:lnTo>
                  <a:pt x="54" y="15"/>
                </a:lnTo>
                <a:lnTo>
                  <a:pt x="54" y="14"/>
                </a:lnTo>
                <a:lnTo>
                  <a:pt x="55" y="14"/>
                </a:lnTo>
                <a:lnTo>
                  <a:pt x="55" y="14"/>
                </a:lnTo>
                <a:lnTo>
                  <a:pt x="55" y="13"/>
                </a:lnTo>
                <a:lnTo>
                  <a:pt x="55" y="13"/>
                </a:lnTo>
                <a:lnTo>
                  <a:pt x="56" y="13"/>
                </a:lnTo>
                <a:lnTo>
                  <a:pt x="56" y="13"/>
                </a:lnTo>
                <a:lnTo>
                  <a:pt x="56" y="12"/>
                </a:lnTo>
                <a:lnTo>
                  <a:pt x="57" y="12"/>
                </a:lnTo>
                <a:lnTo>
                  <a:pt x="57" y="12"/>
                </a:lnTo>
                <a:lnTo>
                  <a:pt x="58" y="12"/>
                </a:lnTo>
                <a:lnTo>
                  <a:pt x="58" y="12"/>
                </a:lnTo>
                <a:lnTo>
                  <a:pt x="59" y="13"/>
                </a:lnTo>
                <a:lnTo>
                  <a:pt x="59" y="12"/>
                </a:lnTo>
                <a:lnTo>
                  <a:pt x="59" y="12"/>
                </a:lnTo>
                <a:lnTo>
                  <a:pt x="60" y="12"/>
                </a:lnTo>
                <a:lnTo>
                  <a:pt x="60" y="12"/>
                </a:lnTo>
                <a:lnTo>
                  <a:pt x="60" y="12"/>
                </a:lnTo>
                <a:lnTo>
                  <a:pt x="60" y="12"/>
                </a:lnTo>
                <a:lnTo>
                  <a:pt x="61" y="12"/>
                </a:lnTo>
                <a:lnTo>
                  <a:pt x="61" y="12"/>
                </a:lnTo>
                <a:lnTo>
                  <a:pt x="61" y="11"/>
                </a:lnTo>
                <a:lnTo>
                  <a:pt x="62" y="11"/>
                </a:lnTo>
                <a:lnTo>
                  <a:pt x="62" y="11"/>
                </a:lnTo>
                <a:lnTo>
                  <a:pt x="63" y="11"/>
                </a:lnTo>
                <a:lnTo>
                  <a:pt x="63" y="10"/>
                </a:lnTo>
                <a:lnTo>
                  <a:pt x="64" y="10"/>
                </a:lnTo>
                <a:lnTo>
                  <a:pt x="64" y="10"/>
                </a:lnTo>
                <a:lnTo>
                  <a:pt x="65" y="9"/>
                </a:lnTo>
                <a:lnTo>
                  <a:pt x="65" y="9"/>
                </a:lnTo>
                <a:lnTo>
                  <a:pt x="65" y="8"/>
                </a:lnTo>
                <a:lnTo>
                  <a:pt x="65" y="7"/>
                </a:lnTo>
                <a:lnTo>
                  <a:pt x="66" y="7"/>
                </a:lnTo>
                <a:lnTo>
                  <a:pt x="66" y="6"/>
                </a:lnTo>
                <a:lnTo>
                  <a:pt x="66" y="6"/>
                </a:lnTo>
                <a:lnTo>
                  <a:pt x="66" y="5"/>
                </a:lnTo>
                <a:lnTo>
                  <a:pt x="67" y="5"/>
                </a:lnTo>
                <a:lnTo>
                  <a:pt x="67" y="4"/>
                </a:lnTo>
                <a:lnTo>
                  <a:pt x="67" y="4"/>
                </a:lnTo>
                <a:lnTo>
                  <a:pt x="68" y="4"/>
                </a:lnTo>
                <a:lnTo>
                  <a:pt x="68" y="3"/>
                </a:lnTo>
                <a:lnTo>
                  <a:pt x="68" y="3"/>
                </a:lnTo>
                <a:lnTo>
                  <a:pt x="69" y="2"/>
                </a:lnTo>
                <a:lnTo>
                  <a:pt x="69" y="2"/>
                </a:lnTo>
                <a:lnTo>
                  <a:pt x="70" y="2"/>
                </a:lnTo>
                <a:lnTo>
                  <a:pt x="70" y="2"/>
                </a:lnTo>
                <a:lnTo>
                  <a:pt x="71" y="2"/>
                </a:lnTo>
                <a:lnTo>
                  <a:pt x="74" y="4"/>
                </a:lnTo>
                <a:lnTo>
                  <a:pt x="75" y="4"/>
                </a:lnTo>
                <a:lnTo>
                  <a:pt x="76" y="4"/>
                </a:lnTo>
                <a:lnTo>
                  <a:pt x="78" y="2"/>
                </a:lnTo>
                <a:lnTo>
                  <a:pt x="79" y="2"/>
                </a:lnTo>
                <a:lnTo>
                  <a:pt x="81" y="2"/>
                </a:lnTo>
                <a:lnTo>
                  <a:pt x="81" y="2"/>
                </a:lnTo>
                <a:lnTo>
                  <a:pt x="82" y="1"/>
                </a:lnTo>
                <a:lnTo>
                  <a:pt x="83" y="1"/>
                </a:lnTo>
                <a:lnTo>
                  <a:pt x="83" y="0"/>
                </a:lnTo>
                <a:lnTo>
                  <a:pt x="83" y="0"/>
                </a:lnTo>
              </a:path>
            </a:pathLst>
          </a:custGeom>
          <a:grpFill/>
          <a:ln w="9525">
            <a:solidFill>
              <a:schemeClr val="bg1">
                <a:lumMod val="65000"/>
              </a:schemeClr>
            </a:solidFill>
            <a:prstDash val="solid"/>
            <a:round/>
            <a:headEnd/>
            <a:tailEnd/>
          </a:ln>
        </xdr:spPr>
      </xdr:sp>
      <xdr:sp macro="" textlink="">
        <xdr:nvSpPr>
          <xdr:cNvPr id="211" name="GIN006001"/>
          <xdr:cNvSpPr>
            <a:spLocks noChangeAspect="1"/>
          </xdr:cNvSpPr>
        </xdr:nvSpPr>
        <xdr:spPr bwMode="auto">
          <a:xfrm>
            <a:off x="6180860" y="2633600"/>
            <a:ext cx="876300" cy="807895"/>
          </a:xfrm>
          <a:custGeom>
            <a:avLst/>
            <a:gdLst>
              <a:gd name="T0" fmla="*/ 73 w 92"/>
              <a:gd name="T1" fmla="*/ 4 h 88"/>
              <a:gd name="T2" fmla="*/ 76 w 92"/>
              <a:gd name="T3" fmla="*/ 8 h 88"/>
              <a:gd name="T4" fmla="*/ 84 w 92"/>
              <a:gd name="T5" fmla="*/ 11 h 88"/>
              <a:gd name="T6" fmla="*/ 87 w 92"/>
              <a:gd name="T7" fmla="*/ 16 h 88"/>
              <a:gd name="T8" fmla="*/ 91 w 92"/>
              <a:gd name="T9" fmla="*/ 20 h 88"/>
              <a:gd name="T10" fmla="*/ 89 w 92"/>
              <a:gd name="T11" fmla="*/ 22 h 88"/>
              <a:gd name="T12" fmla="*/ 88 w 92"/>
              <a:gd name="T13" fmla="*/ 25 h 88"/>
              <a:gd name="T14" fmla="*/ 86 w 92"/>
              <a:gd name="T15" fmla="*/ 28 h 88"/>
              <a:gd name="T16" fmla="*/ 84 w 92"/>
              <a:gd name="T17" fmla="*/ 29 h 88"/>
              <a:gd name="T18" fmla="*/ 82 w 92"/>
              <a:gd name="T19" fmla="*/ 30 h 88"/>
              <a:gd name="T20" fmla="*/ 81 w 92"/>
              <a:gd name="T21" fmla="*/ 31 h 88"/>
              <a:gd name="T22" fmla="*/ 78 w 92"/>
              <a:gd name="T23" fmla="*/ 30 h 88"/>
              <a:gd name="T24" fmla="*/ 77 w 92"/>
              <a:gd name="T25" fmla="*/ 32 h 88"/>
              <a:gd name="T26" fmla="*/ 75 w 92"/>
              <a:gd name="T27" fmla="*/ 34 h 88"/>
              <a:gd name="T28" fmla="*/ 74 w 92"/>
              <a:gd name="T29" fmla="*/ 36 h 88"/>
              <a:gd name="T30" fmla="*/ 72 w 92"/>
              <a:gd name="T31" fmla="*/ 37 h 88"/>
              <a:gd name="T32" fmla="*/ 70 w 92"/>
              <a:gd name="T33" fmla="*/ 38 h 88"/>
              <a:gd name="T34" fmla="*/ 69 w 92"/>
              <a:gd name="T35" fmla="*/ 40 h 88"/>
              <a:gd name="T36" fmla="*/ 68 w 92"/>
              <a:gd name="T37" fmla="*/ 41 h 88"/>
              <a:gd name="T38" fmla="*/ 65 w 92"/>
              <a:gd name="T39" fmla="*/ 40 h 88"/>
              <a:gd name="T40" fmla="*/ 58 w 92"/>
              <a:gd name="T41" fmla="*/ 50 h 88"/>
              <a:gd name="T42" fmla="*/ 56 w 92"/>
              <a:gd name="T43" fmla="*/ 55 h 88"/>
              <a:gd name="T44" fmla="*/ 55 w 92"/>
              <a:gd name="T45" fmla="*/ 56 h 88"/>
              <a:gd name="T46" fmla="*/ 53 w 92"/>
              <a:gd name="T47" fmla="*/ 57 h 88"/>
              <a:gd name="T48" fmla="*/ 51 w 92"/>
              <a:gd name="T49" fmla="*/ 58 h 88"/>
              <a:gd name="T50" fmla="*/ 48 w 92"/>
              <a:gd name="T51" fmla="*/ 60 h 88"/>
              <a:gd name="T52" fmla="*/ 44 w 92"/>
              <a:gd name="T53" fmla="*/ 61 h 88"/>
              <a:gd name="T54" fmla="*/ 36 w 92"/>
              <a:gd name="T55" fmla="*/ 70 h 88"/>
              <a:gd name="T56" fmla="*/ 28 w 92"/>
              <a:gd name="T57" fmla="*/ 81 h 88"/>
              <a:gd name="T58" fmla="*/ 25 w 92"/>
              <a:gd name="T59" fmla="*/ 87 h 88"/>
              <a:gd name="T60" fmla="*/ 19 w 92"/>
              <a:gd name="T61" fmla="*/ 81 h 88"/>
              <a:gd name="T62" fmla="*/ 16 w 92"/>
              <a:gd name="T63" fmla="*/ 76 h 88"/>
              <a:gd name="T64" fmla="*/ 4 w 92"/>
              <a:gd name="T65" fmla="*/ 71 h 88"/>
              <a:gd name="T66" fmla="*/ 2 w 92"/>
              <a:gd name="T67" fmla="*/ 63 h 88"/>
              <a:gd name="T68" fmla="*/ 4 w 92"/>
              <a:gd name="T69" fmla="*/ 54 h 88"/>
              <a:gd name="T70" fmla="*/ 14 w 92"/>
              <a:gd name="T71" fmla="*/ 46 h 88"/>
              <a:gd name="T72" fmla="*/ 22 w 92"/>
              <a:gd name="T73" fmla="*/ 37 h 88"/>
              <a:gd name="T74" fmla="*/ 35 w 92"/>
              <a:gd name="T75" fmla="*/ 35 h 88"/>
              <a:gd name="T76" fmla="*/ 43 w 92"/>
              <a:gd name="T77" fmla="*/ 28 h 88"/>
              <a:gd name="T78" fmla="*/ 51 w 92"/>
              <a:gd name="T79" fmla="*/ 22 h 88"/>
              <a:gd name="T80" fmla="*/ 52 w 92"/>
              <a:gd name="T81" fmla="*/ 20 h 88"/>
              <a:gd name="T82" fmla="*/ 54 w 92"/>
              <a:gd name="T83" fmla="*/ 17 h 88"/>
              <a:gd name="T84" fmla="*/ 55 w 92"/>
              <a:gd name="T85" fmla="*/ 15 h 88"/>
              <a:gd name="T86" fmla="*/ 57 w 92"/>
              <a:gd name="T87" fmla="*/ 13 h 88"/>
              <a:gd name="T88" fmla="*/ 59 w 92"/>
              <a:gd name="T89" fmla="*/ 11 h 88"/>
              <a:gd name="T90" fmla="*/ 61 w 92"/>
              <a:gd name="T91" fmla="*/ 10 h 88"/>
              <a:gd name="T92" fmla="*/ 62 w 92"/>
              <a:gd name="T93" fmla="*/ 9 h 88"/>
              <a:gd name="T94" fmla="*/ 64 w 92"/>
              <a:gd name="T95" fmla="*/ 8 h 88"/>
              <a:gd name="T96" fmla="*/ 64 w 92"/>
              <a:gd name="T97" fmla="*/ 7 h 88"/>
              <a:gd name="T98" fmla="*/ 66 w 92"/>
              <a:gd name="T99" fmla="*/ 6 h 88"/>
              <a:gd name="T100" fmla="*/ 68 w 92"/>
              <a:gd name="T101" fmla="*/ 4 h 88"/>
              <a:gd name="T102" fmla="*/ 69 w 92"/>
              <a:gd name="T103" fmla="*/ 3 h 88"/>
              <a:gd name="T104" fmla="*/ 71 w 92"/>
              <a:gd name="T105" fmla="*/ 2 h 88"/>
              <a:gd name="T106" fmla="*/ 72 w 92"/>
              <a:gd name="T107" fmla="*/ 1 h 88"/>
              <a:gd name="T108" fmla="*/ 73 w 92"/>
              <a:gd name="T109" fmla="*/ 0 h 8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92" h="88">
                <a:moveTo>
                  <a:pt x="73" y="0"/>
                </a:moveTo>
                <a:lnTo>
                  <a:pt x="73" y="1"/>
                </a:lnTo>
                <a:lnTo>
                  <a:pt x="73" y="2"/>
                </a:lnTo>
                <a:lnTo>
                  <a:pt x="73" y="3"/>
                </a:lnTo>
                <a:lnTo>
                  <a:pt x="73" y="4"/>
                </a:lnTo>
                <a:lnTo>
                  <a:pt x="74" y="6"/>
                </a:lnTo>
                <a:lnTo>
                  <a:pt x="75" y="6"/>
                </a:lnTo>
                <a:lnTo>
                  <a:pt x="75" y="7"/>
                </a:lnTo>
                <a:lnTo>
                  <a:pt x="76" y="8"/>
                </a:lnTo>
                <a:lnTo>
                  <a:pt x="76" y="8"/>
                </a:lnTo>
                <a:lnTo>
                  <a:pt x="78" y="9"/>
                </a:lnTo>
                <a:lnTo>
                  <a:pt x="79" y="9"/>
                </a:lnTo>
                <a:lnTo>
                  <a:pt x="81" y="10"/>
                </a:lnTo>
                <a:lnTo>
                  <a:pt x="83" y="11"/>
                </a:lnTo>
                <a:lnTo>
                  <a:pt x="84" y="11"/>
                </a:lnTo>
                <a:lnTo>
                  <a:pt x="85" y="11"/>
                </a:lnTo>
                <a:lnTo>
                  <a:pt x="85" y="12"/>
                </a:lnTo>
                <a:lnTo>
                  <a:pt x="86" y="14"/>
                </a:lnTo>
                <a:lnTo>
                  <a:pt x="86" y="16"/>
                </a:lnTo>
                <a:lnTo>
                  <a:pt x="87" y="16"/>
                </a:lnTo>
                <a:lnTo>
                  <a:pt x="91" y="19"/>
                </a:lnTo>
                <a:lnTo>
                  <a:pt x="92" y="20"/>
                </a:lnTo>
                <a:lnTo>
                  <a:pt x="92" y="20"/>
                </a:lnTo>
                <a:lnTo>
                  <a:pt x="91" y="20"/>
                </a:lnTo>
                <a:lnTo>
                  <a:pt x="91" y="20"/>
                </a:lnTo>
                <a:lnTo>
                  <a:pt x="90" y="21"/>
                </a:lnTo>
                <a:lnTo>
                  <a:pt x="90" y="21"/>
                </a:lnTo>
                <a:lnTo>
                  <a:pt x="90" y="22"/>
                </a:lnTo>
                <a:lnTo>
                  <a:pt x="89" y="22"/>
                </a:lnTo>
                <a:lnTo>
                  <a:pt x="89" y="22"/>
                </a:lnTo>
                <a:lnTo>
                  <a:pt x="89" y="23"/>
                </a:lnTo>
                <a:lnTo>
                  <a:pt x="88" y="23"/>
                </a:lnTo>
                <a:lnTo>
                  <a:pt x="88" y="24"/>
                </a:lnTo>
                <a:lnTo>
                  <a:pt x="88" y="24"/>
                </a:lnTo>
                <a:lnTo>
                  <a:pt x="88" y="25"/>
                </a:lnTo>
                <a:lnTo>
                  <a:pt x="87" y="25"/>
                </a:lnTo>
                <a:lnTo>
                  <a:pt x="87" y="26"/>
                </a:lnTo>
                <a:lnTo>
                  <a:pt x="87" y="27"/>
                </a:lnTo>
                <a:lnTo>
                  <a:pt x="87" y="27"/>
                </a:lnTo>
                <a:lnTo>
                  <a:pt x="86" y="28"/>
                </a:lnTo>
                <a:lnTo>
                  <a:pt x="86" y="28"/>
                </a:lnTo>
                <a:lnTo>
                  <a:pt x="85" y="28"/>
                </a:lnTo>
                <a:lnTo>
                  <a:pt x="85" y="29"/>
                </a:lnTo>
                <a:lnTo>
                  <a:pt x="84" y="29"/>
                </a:lnTo>
                <a:lnTo>
                  <a:pt x="84" y="29"/>
                </a:lnTo>
                <a:lnTo>
                  <a:pt x="83" y="29"/>
                </a:lnTo>
                <a:lnTo>
                  <a:pt x="83" y="30"/>
                </a:lnTo>
                <a:lnTo>
                  <a:pt x="83" y="30"/>
                </a:lnTo>
                <a:lnTo>
                  <a:pt x="82" y="30"/>
                </a:lnTo>
                <a:lnTo>
                  <a:pt x="82" y="30"/>
                </a:lnTo>
                <a:lnTo>
                  <a:pt x="82" y="30"/>
                </a:lnTo>
                <a:lnTo>
                  <a:pt x="82" y="30"/>
                </a:lnTo>
                <a:lnTo>
                  <a:pt x="81" y="30"/>
                </a:lnTo>
                <a:lnTo>
                  <a:pt x="81" y="30"/>
                </a:lnTo>
                <a:lnTo>
                  <a:pt x="81" y="31"/>
                </a:lnTo>
                <a:lnTo>
                  <a:pt x="80" y="30"/>
                </a:lnTo>
                <a:lnTo>
                  <a:pt x="80" y="30"/>
                </a:lnTo>
                <a:lnTo>
                  <a:pt x="79" y="30"/>
                </a:lnTo>
                <a:lnTo>
                  <a:pt x="79" y="30"/>
                </a:lnTo>
                <a:lnTo>
                  <a:pt x="78" y="30"/>
                </a:lnTo>
                <a:lnTo>
                  <a:pt x="78" y="31"/>
                </a:lnTo>
                <a:lnTo>
                  <a:pt x="78" y="31"/>
                </a:lnTo>
                <a:lnTo>
                  <a:pt x="77" y="31"/>
                </a:lnTo>
                <a:lnTo>
                  <a:pt x="77" y="31"/>
                </a:lnTo>
                <a:lnTo>
                  <a:pt x="77" y="32"/>
                </a:lnTo>
                <a:lnTo>
                  <a:pt x="77" y="32"/>
                </a:lnTo>
                <a:lnTo>
                  <a:pt x="76" y="32"/>
                </a:lnTo>
                <a:lnTo>
                  <a:pt x="76" y="33"/>
                </a:lnTo>
                <a:lnTo>
                  <a:pt x="76" y="34"/>
                </a:lnTo>
                <a:lnTo>
                  <a:pt x="75" y="34"/>
                </a:lnTo>
                <a:lnTo>
                  <a:pt x="75" y="34"/>
                </a:lnTo>
                <a:lnTo>
                  <a:pt x="75" y="35"/>
                </a:lnTo>
                <a:lnTo>
                  <a:pt x="75" y="35"/>
                </a:lnTo>
                <a:lnTo>
                  <a:pt x="74" y="35"/>
                </a:lnTo>
                <a:lnTo>
                  <a:pt x="74" y="36"/>
                </a:lnTo>
                <a:lnTo>
                  <a:pt x="74" y="36"/>
                </a:lnTo>
                <a:lnTo>
                  <a:pt x="73" y="37"/>
                </a:lnTo>
                <a:lnTo>
                  <a:pt x="73" y="37"/>
                </a:lnTo>
                <a:lnTo>
                  <a:pt x="72" y="37"/>
                </a:lnTo>
                <a:lnTo>
                  <a:pt x="72" y="37"/>
                </a:lnTo>
                <a:lnTo>
                  <a:pt x="71" y="38"/>
                </a:lnTo>
                <a:lnTo>
                  <a:pt x="71" y="38"/>
                </a:lnTo>
                <a:lnTo>
                  <a:pt x="71" y="38"/>
                </a:lnTo>
                <a:lnTo>
                  <a:pt x="70" y="38"/>
                </a:lnTo>
                <a:lnTo>
                  <a:pt x="70" y="38"/>
                </a:lnTo>
                <a:lnTo>
                  <a:pt x="70" y="38"/>
                </a:lnTo>
                <a:lnTo>
                  <a:pt x="70" y="39"/>
                </a:lnTo>
                <a:lnTo>
                  <a:pt x="70" y="39"/>
                </a:lnTo>
                <a:lnTo>
                  <a:pt x="70" y="39"/>
                </a:lnTo>
                <a:lnTo>
                  <a:pt x="69" y="40"/>
                </a:lnTo>
                <a:lnTo>
                  <a:pt x="69" y="40"/>
                </a:lnTo>
                <a:lnTo>
                  <a:pt x="69" y="41"/>
                </a:lnTo>
                <a:lnTo>
                  <a:pt x="69" y="41"/>
                </a:lnTo>
                <a:lnTo>
                  <a:pt x="69" y="41"/>
                </a:lnTo>
                <a:lnTo>
                  <a:pt x="68" y="41"/>
                </a:lnTo>
                <a:lnTo>
                  <a:pt x="68" y="42"/>
                </a:lnTo>
                <a:lnTo>
                  <a:pt x="68" y="42"/>
                </a:lnTo>
                <a:lnTo>
                  <a:pt x="66" y="41"/>
                </a:lnTo>
                <a:lnTo>
                  <a:pt x="65" y="41"/>
                </a:lnTo>
                <a:lnTo>
                  <a:pt x="65" y="40"/>
                </a:lnTo>
                <a:lnTo>
                  <a:pt x="64" y="41"/>
                </a:lnTo>
                <a:lnTo>
                  <a:pt x="62" y="43"/>
                </a:lnTo>
                <a:lnTo>
                  <a:pt x="62" y="45"/>
                </a:lnTo>
                <a:lnTo>
                  <a:pt x="61" y="48"/>
                </a:lnTo>
                <a:lnTo>
                  <a:pt x="58" y="50"/>
                </a:lnTo>
                <a:lnTo>
                  <a:pt x="57" y="51"/>
                </a:lnTo>
                <a:lnTo>
                  <a:pt x="56" y="53"/>
                </a:lnTo>
                <a:lnTo>
                  <a:pt x="56" y="54"/>
                </a:lnTo>
                <a:lnTo>
                  <a:pt x="56" y="55"/>
                </a:lnTo>
                <a:lnTo>
                  <a:pt x="56" y="55"/>
                </a:lnTo>
                <a:lnTo>
                  <a:pt x="56" y="56"/>
                </a:lnTo>
                <a:lnTo>
                  <a:pt x="55" y="56"/>
                </a:lnTo>
                <a:lnTo>
                  <a:pt x="55" y="56"/>
                </a:lnTo>
                <a:lnTo>
                  <a:pt x="55" y="56"/>
                </a:lnTo>
                <a:lnTo>
                  <a:pt x="55" y="56"/>
                </a:lnTo>
                <a:lnTo>
                  <a:pt x="54" y="56"/>
                </a:lnTo>
                <a:lnTo>
                  <a:pt x="54" y="56"/>
                </a:lnTo>
                <a:lnTo>
                  <a:pt x="53" y="56"/>
                </a:lnTo>
                <a:lnTo>
                  <a:pt x="53" y="57"/>
                </a:lnTo>
                <a:lnTo>
                  <a:pt x="53" y="57"/>
                </a:lnTo>
                <a:lnTo>
                  <a:pt x="52" y="57"/>
                </a:lnTo>
                <a:lnTo>
                  <a:pt x="52" y="57"/>
                </a:lnTo>
                <a:lnTo>
                  <a:pt x="51" y="57"/>
                </a:lnTo>
                <a:lnTo>
                  <a:pt x="51" y="57"/>
                </a:lnTo>
                <a:lnTo>
                  <a:pt x="51" y="58"/>
                </a:lnTo>
                <a:lnTo>
                  <a:pt x="51" y="58"/>
                </a:lnTo>
                <a:lnTo>
                  <a:pt x="50" y="58"/>
                </a:lnTo>
                <a:lnTo>
                  <a:pt x="50" y="59"/>
                </a:lnTo>
                <a:lnTo>
                  <a:pt x="49" y="60"/>
                </a:lnTo>
                <a:lnTo>
                  <a:pt x="48" y="60"/>
                </a:lnTo>
                <a:lnTo>
                  <a:pt x="48" y="60"/>
                </a:lnTo>
                <a:lnTo>
                  <a:pt x="48" y="60"/>
                </a:lnTo>
                <a:lnTo>
                  <a:pt x="47" y="60"/>
                </a:lnTo>
                <a:lnTo>
                  <a:pt x="45" y="61"/>
                </a:lnTo>
                <a:lnTo>
                  <a:pt x="44" y="61"/>
                </a:lnTo>
                <a:lnTo>
                  <a:pt x="43" y="62"/>
                </a:lnTo>
                <a:lnTo>
                  <a:pt x="41" y="65"/>
                </a:lnTo>
                <a:lnTo>
                  <a:pt x="38" y="67"/>
                </a:lnTo>
                <a:lnTo>
                  <a:pt x="37" y="68"/>
                </a:lnTo>
                <a:lnTo>
                  <a:pt x="36" y="70"/>
                </a:lnTo>
                <a:lnTo>
                  <a:pt x="35" y="73"/>
                </a:lnTo>
                <a:lnTo>
                  <a:pt x="34" y="74"/>
                </a:lnTo>
                <a:lnTo>
                  <a:pt x="31" y="77"/>
                </a:lnTo>
                <a:lnTo>
                  <a:pt x="29" y="79"/>
                </a:lnTo>
                <a:lnTo>
                  <a:pt x="28" y="81"/>
                </a:lnTo>
                <a:lnTo>
                  <a:pt x="27" y="81"/>
                </a:lnTo>
                <a:lnTo>
                  <a:pt x="27" y="81"/>
                </a:lnTo>
                <a:lnTo>
                  <a:pt x="26" y="83"/>
                </a:lnTo>
                <a:lnTo>
                  <a:pt x="26" y="86"/>
                </a:lnTo>
                <a:lnTo>
                  <a:pt x="25" y="87"/>
                </a:lnTo>
                <a:lnTo>
                  <a:pt x="25" y="88"/>
                </a:lnTo>
                <a:lnTo>
                  <a:pt x="23" y="87"/>
                </a:lnTo>
                <a:lnTo>
                  <a:pt x="21" y="86"/>
                </a:lnTo>
                <a:lnTo>
                  <a:pt x="19" y="84"/>
                </a:lnTo>
                <a:lnTo>
                  <a:pt x="19" y="81"/>
                </a:lnTo>
                <a:lnTo>
                  <a:pt x="19" y="80"/>
                </a:lnTo>
                <a:lnTo>
                  <a:pt x="18" y="78"/>
                </a:lnTo>
                <a:lnTo>
                  <a:pt x="18" y="77"/>
                </a:lnTo>
                <a:lnTo>
                  <a:pt x="17" y="77"/>
                </a:lnTo>
                <a:lnTo>
                  <a:pt x="16" y="76"/>
                </a:lnTo>
                <a:lnTo>
                  <a:pt x="15" y="75"/>
                </a:lnTo>
                <a:lnTo>
                  <a:pt x="13" y="74"/>
                </a:lnTo>
                <a:lnTo>
                  <a:pt x="11" y="72"/>
                </a:lnTo>
                <a:lnTo>
                  <a:pt x="7" y="71"/>
                </a:lnTo>
                <a:lnTo>
                  <a:pt x="4" y="71"/>
                </a:lnTo>
                <a:lnTo>
                  <a:pt x="2" y="71"/>
                </a:lnTo>
                <a:lnTo>
                  <a:pt x="1" y="70"/>
                </a:lnTo>
                <a:lnTo>
                  <a:pt x="1" y="68"/>
                </a:lnTo>
                <a:lnTo>
                  <a:pt x="2" y="66"/>
                </a:lnTo>
                <a:lnTo>
                  <a:pt x="2" y="63"/>
                </a:lnTo>
                <a:lnTo>
                  <a:pt x="1" y="60"/>
                </a:lnTo>
                <a:lnTo>
                  <a:pt x="0" y="57"/>
                </a:lnTo>
                <a:lnTo>
                  <a:pt x="0" y="55"/>
                </a:lnTo>
                <a:lnTo>
                  <a:pt x="2" y="55"/>
                </a:lnTo>
                <a:lnTo>
                  <a:pt x="4" y="54"/>
                </a:lnTo>
                <a:lnTo>
                  <a:pt x="7" y="54"/>
                </a:lnTo>
                <a:lnTo>
                  <a:pt x="10" y="54"/>
                </a:lnTo>
                <a:lnTo>
                  <a:pt x="11" y="52"/>
                </a:lnTo>
                <a:lnTo>
                  <a:pt x="12" y="49"/>
                </a:lnTo>
                <a:lnTo>
                  <a:pt x="14" y="46"/>
                </a:lnTo>
                <a:lnTo>
                  <a:pt x="14" y="46"/>
                </a:lnTo>
                <a:lnTo>
                  <a:pt x="16" y="42"/>
                </a:lnTo>
                <a:lnTo>
                  <a:pt x="17" y="41"/>
                </a:lnTo>
                <a:lnTo>
                  <a:pt x="19" y="39"/>
                </a:lnTo>
                <a:lnTo>
                  <a:pt x="22" y="37"/>
                </a:lnTo>
                <a:lnTo>
                  <a:pt x="24" y="36"/>
                </a:lnTo>
                <a:lnTo>
                  <a:pt x="26" y="34"/>
                </a:lnTo>
                <a:lnTo>
                  <a:pt x="29" y="34"/>
                </a:lnTo>
                <a:lnTo>
                  <a:pt x="32" y="34"/>
                </a:lnTo>
                <a:lnTo>
                  <a:pt x="35" y="35"/>
                </a:lnTo>
                <a:lnTo>
                  <a:pt x="37" y="35"/>
                </a:lnTo>
                <a:lnTo>
                  <a:pt x="37" y="34"/>
                </a:lnTo>
                <a:lnTo>
                  <a:pt x="40" y="31"/>
                </a:lnTo>
                <a:lnTo>
                  <a:pt x="42" y="30"/>
                </a:lnTo>
                <a:lnTo>
                  <a:pt x="43" y="28"/>
                </a:lnTo>
                <a:lnTo>
                  <a:pt x="44" y="27"/>
                </a:lnTo>
                <a:lnTo>
                  <a:pt x="46" y="26"/>
                </a:lnTo>
                <a:lnTo>
                  <a:pt x="47" y="25"/>
                </a:lnTo>
                <a:lnTo>
                  <a:pt x="49" y="23"/>
                </a:lnTo>
                <a:lnTo>
                  <a:pt x="51" y="22"/>
                </a:lnTo>
                <a:lnTo>
                  <a:pt x="52" y="22"/>
                </a:lnTo>
                <a:lnTo>
                  <a:pt x="52" y="21"/>
                </a:lnTo>
                <a:lnTo>
                  <a:pt x="52" y="21"/>
                </a:lnTo>
                <a:lnTo>
                  <a:pt x="52" y="20"/>
                </a:lnTo>
                <a:lnTo>
                  <a:pt x="52" y="20"/>
                </a:lnTo>
                <a:lnTo>
                  <a:pt x="53" y="19"/>
                </a:lnTo>
                <a:lnTo>
                  <a:pt x="53" y="19"/>
                </a:lnTo>
                <a:lnTo>
                  <a:pt x="53" y="19"/>
                </a:lnTo>
                <a:lnTo>
                  <a:pt x="53" y="18"/>
                </a:lnTo>
                <a:lnTo>
                  <a:pt x="54" y="17"/>
                </a:lnTo>
                <a:lnTo>
                  <a:pt x="54" y="17"/>
                </a:lnTo>
                <a:lnTo>
                  <a:pt x="54" y="17"/>
                </a:lnTo>
                <a:lnTo>
                  <a:pt x="55" y="16"/>
                </a:lnTo>
                <a:lnTo>
                  <a:pt x="55" y="16"/>
                </a:lnTo>
                <a:lnTo>
                  <a:pt x="55" y="15"/>
                </a:lnTo>
                <a:lnTo>
                  <a:pt x="56" y="15"/>
                </a:lnTo>
                <a:lnTo>
                  <a:pt x="56" y="14"/>
                </a:lnTo>
                <a:lnTo>
                  <a:pt x="56" y="14"/>
                </a:lnTo>
                <a:lnTo>
                  <a:pt x="57" y="13"/>
                </a:lnTo>
                <a:lnTo>
                  <a:pt x="57" y="13"/>
                </a:lnTo>
                <a:lnTo>
                  <a:pt x="58" y="12"/>
                </a:lnTo>
                <a:lnTo>
                  <a:pt x="58" y="12"/>
                </a:lnTo>
                <a:lnTo>
                  <a:pt x="58" y="12"/>
                </a:lnTo>
                <a:lnTo>
                  <a:pt x="59" y="11"/>
                </a:lnTo>
                <a:lnTo>
                  <a:pt x="59" y="11"/>
                </a:lnTo>
                <a:lnTo>
                  <a:pt x="60" y="11"/>
                </a:lnTo>
                <a:lnTo>
                  <a:pt x="60" y="10"/>
                </a:lnTo>
                <a:lnTo>
                  <a:pt x="60" y="10"/>
                </a:lnTo>
                <a:lnTo>
                  <a:pt x="61" y="10"/>
                </a:lnTo>
                <a:lnTo>
                  <a:pt x="61" y="10"/>
                </a:lnTo>
                <a:lnTo>
                  <a:pt x="61" y="9"/>
                </a:lnTo>
                <a:lnTo>
                  <a:pt x="61" y="9"/>
                </a:lnTo>
                <a:lnTo>
                  <a:pt x="62" y="9"/>
                </a:lnTo>
                <a:lnTo>
                  <a:pt x="62" y="9"/>
                </a:lnTo>
                <a:lnTo>
                  <a:pt x="62" y="9"/>
                </a:lnTo>
                <a:lnTo>
                  <a:pt x="63" y="8"/>
                </a:lnTo>
                <a:lnTo>
                  <a:pt x="63" y="8"/>
                </a:lnTo>
                <a:lnTo>
                  <a:pt x="63" y="8"/>
                </a:lnTo>
                <a:lnTo>
                  <a:pt x="63" y="8"/>
                </a:lnTo>
                <a:lnTo>
                  <a:pt x="64" y="8"/>
                </a:lnTo>
                <a:lnTo>
                  <a:pt x="64" y="7"/>
                </a:lnTo>
                <a:lnTo>
                  <a:pt x="64" y="7"/>
                </a:lnTo>
                <a:lnTo>
                  <a:pt x="64" y="7"/>
                </a:lnTo>
                <a:lnTo>
                  <a:pt x="64" y="7"/>
                </a:lnTo>
                <a:lnTo>
                  <a:pt x="64" y="7"/>
                </a:lnTo>
                <a:lnTo>
                  <a:pt x="65" y="7"/>
                </a:lnTo>
                <a:lnTo>
                  <a:pt x="65" y="7"/>
                </a:lnTo>
                <a:lnTo>
                  <a:pt x="65" y="6"/>
                </a:lnTo>
                <a:lnTo>
                  <a:pt x="66" y="6"/>
                </a:lnTo>
                <a:lnTo>
                  <a:pt x="66" y="6"/>
                </a:lnTo>
                <a:lnTo>
                  <a:pt x="66" y="6"/>
                </a:lnTo>
                <a:lnTo>
                  <a:pt x="67" y="5"/>
                </a:lnTo>
                <a:lnTo>
                  <a:pt x="67" y="5"/>
                </a:lnTo>
                <a:lnTo>
                  <a:pt x="67" y="5"/>
                </a:lnTo>
                <a:lnTo>
                  <a:pt x="68" y="4"/>
                </a:lnTo>
                <a:lnTo>
                  <a:pt x="68" y="4"/>
                </a:lnTo>
                <a:lnTo>
                  <a:pt x="68" y="4"/>
                </a:lnTo>
                <a:lnTo>
                  <a:pt x="68" y="4"/>
                </a:lnTo>
                <a:lnTo>
                  <a:pt x="69" y="3"/>
                </a:lnTo>
                <a:lnTo>
                  <a:pt x="69" y="3"/>
                </a:lnTo>
                <a:lnTo>
                  <a:pt x="69" y="3"/>
                </a:lnTo>
                <a:lnTo>
                  <a:pt x="70" y="3"/>
                </a:lnTo>
                <a:lnTo>
                  <a:pt x="70" y="3"/>
                </a:lnTo>
                <a:lnTo>
                  <a:pt x="70" y="2"/>
                </a:lnTo>
                <a:lnTo>
                  <a:pt x="71" y="2"/>
                </a:lnTo>
                <a:lnTo>
                  <a:pt x="71" y="2"/>
                </a:lnTo>
                <a:lnTo>
                  <a:pt x="71" y="2"/>
                </a:lnTo>
                <a:lnTo>
                  <a:pt x="71" y="1"/>
                </a:lnTo>
                <a:lnTo>
                  <a:pt x="72" y="1"/>
                </a:lnTo>
                <a:lnTo>
                  <a:pt x="72" y="1"/>
                </a:lnTo>
                <a:lnTo>
                  <a:pt x="72" y="1"/>
                </a:lnTo>
                <a:lnTo>
                  <a:pt x="72" y="1"/>
                </a:lnTo>
                <a:lnTo>
                  <a:pt x="72" y="0"/>
                </a:lnTo>
                <a:lnTo>
                  <a:pt x="73" y="0"/>
                </a:lnTo>
                <a:lnTo>
                  <a:pt x="73" y="0"/>
                </a:lnTo>
                <a:lnTo>
                  <a:pt x="73" y="0"/>
                </a:lnTo>
                <a:lnTo>
                  <a:pt x="73" y="0"/>
                </a:lnTo>
              </a:path>
            </a:pathLst>
          </a:custGeom>
          <a:grpFill/>
          <a:ln w="9525">
            <a:solidFill>
              <a:schemeClr val="bg1">
                <a:lumMod val="65000"/>
              </a:schemeClr>
            </a:solidFill>
            <a:prstDash val="solid"/>
            <a:round/>
            <a:headEnd/>
            <a:tailEnd/>
          </a:ln>
        </xdr:spPr>
      </xdr:sp>
      <xdr:sp macro="" textlink="">
        <xdr:nvSpPr>
          <xdr:cNvPr id="212" name="GIN003002"/>
          <xdr:cNvSpPr>
            <a:spLocks noChangeAspect="1"/>
          </xdr:cNvSpPr>
        </xdr:nvSpPr>
        <xdr:spPr bwMode="auto">
          <a:xfrm>
            <a:off x="7028585" y="2614550"/>
            <a:ext cx="1225880" cy="1192481"/>
          </a:xfrm>
          <a:custGeom>
            <a:avLst/>
            <a:gdLst>
              <a:gd name="T0" fmla="*/ 103 w 130"/>
              <a:gd name="T1" fmla="*/ 4 h 129"/>
              <a:gd name="T2" fmla="*/ 107 w 130"/>
              <a:gd name="T3" fmla="*/ 1 h 129"/>
              <a:gd name="T4" fmla="*/ 112 w 130"/>
              <a:gd name="T5" fmla="*/ 3 h 129"/>
              <a:gd name="T6" fmla="*/ 120 w 130"/>
              <a:gd name="T7" fmla="*/ 5 h 129"/>
              <a:gd name="T8" fmla="*/ 109 w 130"/>
              <a:gd name="T9" fmla="*/ 15 h 129"/>
              <a:gd name="T10" fmla="*/ 114 w 130"/>
              <a:gd name="T11" fmla="*/ 30 h 129"/>
              <a:gd name="T12" fmla="*/ 108 w 130"/>
              <a:gd name="T13" fmla="*/ 43 h 129"/>
              <a:gd name="T14" fmla="*/ 107 w 130"/>
              <a:gd name="T15" fmla="*/ 52 h 129"/>
              <a:gd name="T16" fmla="*/ 105 w 130"/>
              <a:gd name="T17" fmla="*/ 61 h 129"/>
              <a:gd name="T18" fmla="*/ 110 w 130"/>
              <a:gd name="T19" fmla="*/ 68 h 129"/>
              <a:gd name="T20" fmla="*/ 123 w 130"/>
              <a:gd name="T21" fmla="*/ 72 h 129"/>
              <a:gd name="T22" fmla="*/ 130 w 130"/>
              <a:gd name="T23" fmla="*/ 76 h 129"/>
              <a:gd name="T24" fmla="*/ 129 w 130"/>
              <a:gd name="T25" fmla="*/ 80 h 129"/>
              <a:gd name="T26" fmla="*/ 126 w 130"/>
              <a:gd name="T27" fmla="*/ 84 h 129"/>
              <a:gd name="T28" fmla="*/ 125 w 130"/>
              <a:gd name="T29" fmla="*/ 82 h 129"/>
              <a:gd name="T30" fmla="*/ 119 w 130"/>
              <a:gd name="T31" fmla="*/ 86 h 129"/>
              <a:gd name="T32" fmla="*/ 114 w 130"/>
              <a:gd name="T33" fmla="*/ 83 h 129"/>
              <a:gd name="T34" fmla="*/ 107 w 130"/>
              <a:gd name="T35" fmla="*/ 79 h 129"/>
              <a:gd name="T36" fmla="*/ 103 w 130"/>
              <a:gd name="T37" fmla="*/ 80 h 129"/>
              <a:gd name="T38" fmla="*/ 100 w 130"/>
              <a:gd name="T39" fmla="*/ 81 h 129"/>
              <a:gd name="T40" fmla="*/ 96 w 130"/>
              <a:gd name="T41" fmla="*/ 82 h 129"/>
              <a:gd name="T42" fmla="*/ 93 w 130"/>
              <a:gd name="T43" fmla="*/ 89 h 129"/>
              <a:gd name="T44" fmla="*/ 88 w 130"/>
              <a:gd name="T45" fmla="*/ 96 h 129"/>
              <a:gd name="T46" fmla="*/ 68 w 130"/>
              <a:gd name="T47" fmla="*/ 101 h 129"/>
              <a:gd name="T48" fmla="*/ 65 w 130"/>
              <a:gd name="T49" fmla="*/ 105 h 129"/>
              <a:gd name="T50" fmla="*/ 60 w 130"/>
              <a:gd name="T51" fmla="*/ 106 h 129"/>
              <a:gd name="T52" fmla="*/ 53 w 130"/>
              <a:gd name="T53" fmla="*/ 108 h 129"/>
              <a:gd name="T54" fmla="*/ 48 w 130"/>
              <a:gd name="T55" fmla="*/ 112 h 129"/>
              <a:gd name="T56" fmla="*/ 45 w 130"/>
              <a:gd name="T57" fmla="*/ 115 h 129"/>
              <a:gd name="T58" fmla="*/ 40 w 130"/>
              <a:gd name="T59" fmla="*/ 117 h 129"/>
              <a:gd name="T60" fmla="*/ 34 w 130"/>
              <a:gd name="T61" fmla="*/ 122 h 129"/>
              <a:gd name="T62" fmla="*/ 20 w 130"/>
              <a:gd name="T63" fmla="*/ 128 h 129"/>
              <a:gd name="T64" fmla="*/ 19 w 130"/>
              <a:gd name="T65" fmla="*/ 113 h 129"/>
              <a:gd name="T66" fmla="*/ 0 w 130"/>
              <a:gd name="T67" fmla="*/ 94 h 129"/>
              <a:gd name="T68" fmla="*/ 15 w 130"/>
              <a:gd name="T69" fmla="*/ 78 h 129"/>
              <a:gd name="T70" fmla="*/ 21 w 130"/>
              <a:gd name="T71" fmla="*/ 70 h 129"/>
              <a:gd name="T72" fmla="*/ 12 w 130"/>
              <a:gd name="T73" fmla="*/ 64 h 129"/>
              <a:gd name="T74" fmla="*/ 17 w 130"/>
              <a:gd name="T75" fmla="*/ 57 h 129"/>
              <a:gd name="T76" fmla="*/ 26 w 130"/>
              <a:gd name="T77" fmla="*/ 47 h 129"/>
              <a:gd name="T78" fmla="*/ 26 w 130"/>
              <a:gd name="T79" fmla="*/ 33 h 129"/>
              <a:gd name="T80" fmla="*/ 17 w 130"/>
              <a:gd name="T81" fmla="*/ 28 h 129"/>
              <a:gd name="T82" fmla="*/ 18 w 130"/>
              <a:gd name="T83" fmla="*/ 17 h 129"/>
              <a:gd name="T84" fmla="*/ 23 w 130"/>
              <a:gd name="T85" fmla="*/ 12 h 129"/>
              <a:gd name="T86" fmla="*/ 27 w 130"/>
              <a:gd name="T87" fmla="*/ 6 h 129"/>
              <a:gd name="T88" fmla="*/ 30 w 130"/>
              <a:gd name="T89" fmla="*/ 2 h 129"/>
              <a:gd name="T90" fmla="*/ 38 w 130"/>
              <a:gd name="T91" fmla="*/ 1 h 129"/>
              <a:gd name="T92" fmla="*/ 43 w 130"/>
              <a:gd name="T93" fmla="*/ 2 h 129"/>
              <a:gd name="T94" fmla="*/ 49 w 130"/>
              <a:gd name="T95" fmla="*/ 10 h 129"/>
              <a:gd name="T96" fmla="*/ 53 w 130"/>
              <a:gd name="T97" fmla="*/ 18 h 129"/>
              <a:gd name="T98" fmla="*/ 57 w 130"/>
              <a:gd name="T99" fmla="*/ 28 h 129"/>
              <a:gd name="T100" fmla="*/ 66 w 130"/>
              <a:gd name="T101" fmla="*/ 32 h 129"/>
              <a:gd name="T102" fmla="*/ 69 w 130"/>
              <a:gd name="T103" fmla="*/ 28 h 129"/>
              <a:gd name="T104" fmla="*/ 75 w 130"/>
              <a:gd name="T105" fmla="*/ 23 h 129"/>
              <a:gd name="T106" fmla="*/ 78 w 130"/>
              <a:gd name="T107" fmla="*/ 19 h 129"/>
              <a:gd name="T108" fmla="*/ 80 w 130"/>
              <a:gd name="T109" fmla="*/ 15 h 129"/>
              <a:gd name="T110" fmla="*/ 82 w 130"/>
              <a:gd name="T111" fmla="*/ 10 h 129"/>
              <a:gd name="T112" fmla="*/ 90 w 130"/>
              <a:gd name="T113" fmla="*/ 6 h 129"/>
              <a:gd name="T114" fmla="*/ 95 w 130"/>
              <a:gd name="T115" fmla="*/ 4 h 129"/>
              <a:gd name="T116" fmla="*/ 98 w 130"/>
              <a:gd name="T117" fmla="*/ 0 h 1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30" h="129">
                <a:moveTo>
                  <a:pt x="98" y="0"/>
                </a:moveTo>
                <a:lnTo>
                  <a:pt x="99" y="1"/>
                </a:lnTo>
                <a:lnTo>
                  <a:pt x="100" y="1"/>
                </a:lnTo>
                <a:lnTo>
                  <a:pt x="100" y="1"/>
                </a:lnTo>
                <a:lnTo>
                  <a:pt x="100" y="1"/>
                </a:lnTo>
                <a:lnTo>
                  <a:pt x="101" y="1"/>
                </a:lnTo>
                <a:lnTo>
                  <a:pt x="101" y="4"/>
                </a:lnTo>
                <a:lnTo>
                  <a:pt x="102" y="4"/>
                </a:lnTo>
                <a:lnTo>
                  <a:pt x="103" y="4"/>
                </a:lnTo>
                <a:lnTo>
                  <a:pt x="103" y="3"/>
                </a:lnTo>
                <a:lnTo>
                  <a:pt x="103" y="2"/>
                </a:lnTo>
                <a:lnTo>
                  <a:pt x="103" y="2"/>
                </a:lnTo>
                <a:lnTo>
                  <a:pt x="103" y="1"/>
                </a:lnTo>
                <a:lnTo>
                  <a:pt x="104" y="1"/>
                </a:lnTo>
                <a:lnTo>
                  <a:pt x="105" y="2"/>
                </a:lnTo>
                <a:lnTo>
                  <a:pt x="106" y="1"/>
                </a:lnTo>
                <a:lnTo>
                  <a:pt x="107" y="1"/>
                </a:lnTo>
                <a:lnTo>
                  <a:pt x="107" y="1"/>
                </a:lnTo>
                <a:lnTo>
                  <a:pt x="107" y="2"/>
                </a:lnTo>
                <a:lnTo>
                  <a:pt x="107" y="3"/>
                </a:lnTo>
                <a:lnTo>
                  <a:pt x="107" y="3"/>
                </a:lnTo>
                <a:lnTo>
                  <a:pt x="107" y="3"/>
                </a:lnTo>
                <a:lnTo>
                  <a:pt x="109" y="2"/>
                </a:lnTo>
                <a:lnTo>
                  <a:pt x="110" y="3"/>
                </a:lnTo>
                <a:lnTo>
                  <a:pt x="110" y="3"/>
                </a:lnTo>
                <a:lnTo>
                  <a:pt x="112" y="3"/>
                </a:lnTo>
                <a:lnTo>
                  <a:pt x="112" y="3"/>
                </a:lnTo>
                <a:lnTo>
                  <a:pt x="112" y="3"/>
                </a:lnTo>
                <a:lnTo>
                  <a:pt x="113" y="4"/>
                </a:lnTo>
                <a:lnTo>
                  <a:pt x="113" y="4"/>
                </a:lnTo>
                <a:lnTo>
                  <a:pt x="114" y="4"/>
                </a:lnTo>
                <a:lnTo>
                  <a:pt x="116" y="5"/>
                </a:lnTo>
                <a:lnTo>
                  <a:pt x="117" y="5"/>
                </a:lnTo>
                <a:lnTo>
                  <a:pt x="118" y="5"/>
                </a:lnTo>
                <a:lnTo>
                  <a:pt x="120" y="5"/>
                </a:lnTo>
                <a:lnTo>
                  <a:pt x="120" y="5"/>
                </a:lnTo>
                <a:lnTo>
                  <a:pt x="121" y="5"/>
                </a:lnTo>
                <a:lnTo>
                  <a:pt x="122" y="5"/>
                </a:lnTo>
                <a:lnTo>
                  <a:pt x="123" y="5"/>
                </a:lnTo>
                <a:lnTo>
                  <a:pt x="120" y="7"/>
                </a:lnTo>
                <a:lnTo>
                  <a:pt x="117" y="9"/>
                </a:lnTo>
                <a:lnTo>
                  <a:pt x="115" y="10"/>
                </a:lnTo>
                <a:lnTo>
                  <a:pt x="112" y="11"/>
                </a:lnTo>
                <a:lnTo>
                  <a:pt x="110" y="13"/>
                </a:lnTo>
                <a:lnTo>
                  <a:pt x="109" y="15"/>
                </a:lnTo>
                <a:lnTo>
                  <a:pt x="110" y="17"/>
                </a:lnTo>
                <a:lnTo>
                  <a:pt x="112" y="20"/>
                </a:lnTo>
                <a:lnTo>
                  <a:pt x="112" y="21"/>
                </a:lnTo>
                <a:lnTo>
                  <a:pt x="113" y="23"/>
                </a:lnTo>
                <a:lnTo>
                  <a:pt x="113" y="26"/>
                </a:lnTo>
                <a:lnTo>
                  <a:pt x="114" y="27"/>
                </a:lnTo>
                <a:lnTo>
                  <a:pt x="115" y="28"/>
                </a:lnTo>
                <a:lnTo>
                  <a:pt x="115" y="29"/>
                </a:lnTo>
                <a:lnTo>
                  <a:pt x="114" y="30"/>
                </a:lnTo>
                <a:lnTo>
                  <a:pt x="112" y="32"/>
                </a:lnTo>
                <a:lnTo>
                  <a:pt x="113" y="34"/>
                </a:lnTo>
                <a:lnTo>
                  <a:pt x="113" y="35"/>
                </a:lnTo>
                <a:lnTo>
                  <a:pt x="111" y="37"/>
                </a:lnTo>
                <a:lnTo>
                  <a:pt x="110" y="38"/>
                </a:lnTo>
                <a:lnTo>
                  <a:pt x="110" y="39"/>
                </a:lnTo>
                <a:lnTo>
                  <a:pt x="110" y="40"/>
                </a:lnTo>
                <a:lnTo>
                  <a:pt x="109" y="42"/>
                </a:lnTo>
                <a:lnTo>
                  <a:pt x="108" y="43"/>
                </a:lnTo>
                <a:lnTo>
                  <a:pt x="107" y="45"/>
                </a:lnTo>
                <a:lnTo>
                  <a:pt x="107" y="46"/>
                </a:lnTo>
                <a:lnTo>
                  <a:pt x="109" y="46"/>
                </a:lnTo>
                <a:lnTo>
                  <a:pt x="109" y="47"/>
                </a:lnTo>
                <a:lnTo>
                  <a:pt x="109" y="48"/>
                </a:lnTo>
                <a:lnTo>
                  <a:pt x="108" y="49"/>
                </a:lnTo>
                <a:lnTo>
                  <a:pt x="109" y="50"/>
                </a:lnTo>
                <a:lnTo>
                  <a:pt x="109" y="52"/>
                </a:lnTo>
                <a:lnTo>
                  <a:pt x="107" y="52"/>
                </a:lnTo>
                <a:lnTo>
                  <a:pt x="107" y="52"/>
                </a:lnTo>
                <a:lnTo>
                  <a:pt x="106" y="53"/>
                </a:lnTo>
                <a:lnTo>
                  <a:pt x="106" y="54"/>
                </a:lnTo>
                <a:lnTo>
                  <a:pt x="106" y="55"/>
                </a:lnTo>
                <a:lnTo>
                  <a:pt x="106" y="56"/>
                </a:lnTo>
                <a:lnTo>
                  <a:pt x="105" y="57"/>
                </a:lnTo>
                <a:lnTo>
                  <a:pt x="106" y="58"/>
                </a:lnTo>
                <a:lnTo>
                  <a:pt x="105" y="60"/>
                </a:lnTo>
                <a:lnTo>
                  <a:pt x="105" y="61"/>
                </a:lnTo>
                <a:lnTo>
                  <a:pt x="105" y="62"/>
                </a:lnTo>
                <a:lnTo>
                  <a:pt x="105" y="63"/>
                </a:lnTo>
                <a:lnTo>
                  <a:pt x="105" y="63"/>
                </a:lnTo>
                <a:lnTo>
                  <a:pt x="107" y="64"/>
                </a:lnTo>
                <a:lnTo>
                  <a:pt x="107" y="64"/>
                </a:lnTo>
                <a:lnTo>
                  <a:pt x="108" y="65"/>
                </a:lnTo>
                <a:lnTo>
                  <a:pt x="109" y="67"/>
                </a:lnTo>
                <a:lnTo>
                  <a:pt x="109" y="67"/>
                </a:lnTo>
                <a:lnTo>
                  <a:pt x="110" y="68"/>
                </a:lnTo>
                <a:lnTo>
                  <a:pt x="112" y="68"/>
                </a:lnTo>
                <a:lnTo>
                  <a:pt x="114" y="68"/>
                </a:lnTo>
                <a:lnTo>
                  <a:pt x="116" y="69"/>
                </a:lnTo>
                <a:lnTo>
                  <a:pt x="117" y="71"/>
                </a:lnTo>
                <a:lnTo>
                  <a:pt x="118" y="71"/>
                </a:lnTo>
                <a:lnTo>
                  <a:pt x="119" y="71"/>
                </a:lnTo>
                <a:lnTo>
                  <a:pt x="120" y="71"/>
                </a:lnTo>
                <a:lnTo>
                  <a:pt x="121" y="71"/>
                </a:lnTo>
                <a:lnTo>
                  <a:pt x="123" y="72"/>
                </a:lnTo>
                <a:lnTo>
                  <a:pt x="123" y="72"/>
                </a:lnTo>
                <a:lnTo>
                  <a:pt x="125" y="72"/>
                </a:lnTo>
                <a:lnTo>
                  <a:pt x="126" y="72"/>
                </a:lnTo>
                <a:lnTo>
                  <a:pt x="126" y="73"/>
                </a:lnTo>
                <a:lnTo>
                  <a:pt x="128" y="74"/>
                </a:lnTo>
                <a:lnTo>
                  <a:pt x="128" y="74"/>
                </a:lnTo>
                <a:lnTo>
                  <a:pt x="129" y="74"/>
                </a:lnTo>
                <a:lnTo>
                  <a:pt x="130" y="75"/>
                </a:lnTo>
                <a:lnTo>
                  <a:pt x="130" y="76"/>
                </a:lnTo>
                <a:lnTo>
                  <a:pt x="130" y="77"/>
                </a:lnTo>
                <a:lnTo>
                  <a:pt x="130" y="77"/>
                </a:lnTo>
                <a:lnTo>
                  <a:pt x="130" y="78"/>
                </a:lnTo>
                <a:lnTo>
                  <a:pt x="130" y="79"/>
                </a:lnTo>
                <a:lnTo>
                  <a:pt x="130" y="80"/>
                </a:lnTo>
                <a:lnTo>
                  <a:pt x="130" y="80"/>
                </a:lnTo>
                <a:lnTo>
                  <a:pt x="130" y="80"/>
                </a:lnTo>
                <a:lnTo>
                  <a:pt x="129" y="80"/>
                </a:lnTo>
                <a:lnTo>
                  <a:pt x="129" y="80"/>
                </a:lnTo>
                <a:lnTo>
                  <a:pt x="129" y="80"/>
                </a:lnTo>
                <a:lnTo>
                  <a:pt x="129" y="79"/>
                </a:lnTo>
                <a:lnTo>
                  <a:pt x="128" y="80"/>
                </a:lnTo>
                <a:lnTo>
                  <a:pt x="128" y="80"/>
                </a:lnTo>
                <a:lnTo>
                  <a:pt x="128" y="80"/>
                </a:lnTo>
                <a:lnTo>
                  <a:pt x="127" y="81"/>
                </a:lnTo>
                <a:lnTo>
                  <a:pt x="126" y="82"/>
                </a:lnTo>
                <a:lnTo>
                  <a:pt x="126" y="83"/>
                </a:lnTo>
                <a:lnTo>
                  <a:pt x="126" y="84"/>
                </a:lnTo>
                <a:lnTo>
                  <a:pt x="125" y="85"/>
                </a:lnTo>
                <a:lnTo>
                  <a:pt x="124" y="86"/>
                </a:lnTo>
                <a:lnTo>
                  <a:pt x="123" y="86"/>
                </a:lnTo>
                <a:lnTo>
                  <a:pt x="123" y="85"/>
                </a:lnTo>
                <a:lnTo>
                  <a:pt x="123" y="85"/>
                </a:lnTo>
                <a:lnTo>
                  <a:pt x="124" y="84"/>
                </a:lnTo>
                <a:lnTo>
                  <a:pt x="124" y="83"/>
                </a:lnTo>
                <a:lnTo>
                  <a:pt x="125" y="82"/>
                </a:lnTo>
                <a:lnTo>
                  <a:pt x="125" y="82"/>
                </a:lnTo>
                <a:lnTo>
                  <a:pt x="124" y="82"/>
                </a:lnTo>
                <a:lnTo>
                  <a:pt x="124" y="82"/>
                </a:lnTo>
                <a:lnTo>
                  <a:pt x="123" y="83"/>
                </a:lnTo>
                <a:lnTo>
                  <a:pt x="121" y="83"/>
                </a:lnTo>
                <a:lnTo>
                  <a:pt x="120" y="83"/>
                </a:lnTo>
                <a:lnTo>
                  <a:pt x="119" y="82"/>
                </a:lnTo>
                <a:lnTo>
                  <a:pt x="118" y="83"/>
                </a:lnTo>
                <a:lnTo>
                  <a:pt x="118" y="84"/>
                </a:lnTo>
                <a:lnTo>
                  <a:pt x="119" y="86"/>
                </a:lnTo>
                <a:lnTo>
                  <a:pt x="118" y="86"/>
                </a:lnTo>
                <a:lnTo>
                  <a:pt x="117" y="86"/>
                </a:lnTo>
                <a:lnTo>
                  <a:pt x="116" y="86"/>
                </a:lnTo>
                <a:lnTo>
                  <a:pt x="115" y="86"/>
                </a:lnTo>
                <a:lnTo>
                  <a:pt x="114" y="85"/>
                </a:lnTo>
                <a:lnTo>
                  <a:pt x="115" y="84"/>
                </a:lnTo>
                <a:lnTo>
                  <a:pt x="116" y="83"/>
                </a:lnTo>
                <a:lnTo>
                  <a:pt x="116" y="82"/>
                </a:lnTo>
                <a:lnTo>
                  <a:pt x="114" y="83"/>
                </a:lnTo>
                <a:lnTo>
                  <a:pt x="113" y="83"/>
                </a:lnTo>
                <a:lnTo>
                  <a:pt x="112" y="83"/>
                </a:lnTo>
                <a:lnTo>
                  <a:pt x="112" y="82"/>
                </a:lnTo>
                <a:lnTo>
                  <a:pt x="112" y="80"/>
                </a:lnTo>
                <a:lnTo>
                  <a:pt x="111" y="81"/>
                </a:lnTo>
                <a:lnTo>
                  <a:pt x="110" y="81"/>
                </a:lnTo>
                <a:lnTo>
                  <a:pt x="109" y="80"/>
                </a:lnTo>
                <a:lnTo>
                  <a:pt x="108" y="79"/>
                </a:lnTo>
                <a:lnTo>
                  <a:pt x="107" y="79"/>
                </a:lnTo>
                <a:lnTo>
                  <a:pt x="107" y="79"/>
                </a:lnTo>
                <a:lnTo>
                  <a:pt x="107" y="79"/>
                </a:lnTo>
                <a:lnTo>
                  <a:pt x="106" y="79"/>
                </a:lnTo>
                <a:lnTo>
                  <a:pt x="107" y="80"/>
                </a:lnTo>
                <a:lnTo>
                  <a:pt x="107" y="81"/>
                </a:lnTo>
                <a:lnTo>
                  <a:pt x="106" y="81"/>
                </a:lnTo>
                <a:lnTo>
                  <a:pt x="105" y="82"/>
                </a:lnTo>
                <a:lnTo>
                  <a:pt x="104" y="81"/>
                </a:lnTo>
                <a:lnTo>
                  <a:pt x="103" y="80"/>
                </a:lnTo>
                <a:lnTo>
                  <a:pt x="102" y="80"/>
                </a:lnTo>
                <a:lnTo>
                  <a:pt x="102" y="81"/>
                </a:lnTo>
                <a:lnTo>
                  <a:pt x="101" y="83"/>
                </a:lnTo>
                <a:lnTo>
                  <a:pt x="101" y="83"/>
                </a:lnTo>
                <a:lnTo>
                  <a:pt x="100" y="84"/>
                </a:lnTo>
                <a:lnTo>
                  <a:pt x="98" y="84"/>
                </a:lnTo>
                <a:lnTo>
                  <a:pt x="98" y="83"/>
                </a:lnTo>
                <a:lnTo>
                  <a:pt x="99" y="82"/>
                </a:lnTo>
                <a:lnTo>
                  <a:pt x="100" y="81"/>
                </a:lnTo>
                <a:lnTo>
                  <a:pt x="100" y="79"/>
                </a:lnTo>
                <a:lnTo>
                  <a:pt x="99" y="78"/>
                </a:lnTo>
                <a:lnTo>
                  <a:pt x="99" y="79"/>
                </a:lnTo>
                <a:lnTo>
                  <a:pt x="99" y="80"/>
                </a:lnTo>
                <a:lnTo>
                  <a:pt x="99" y="81"/>
                </a:lnTo>
                <a:lnTo>
                  <a:pt x="98" y="82"/>
                </a:lnTo>
                <a:lnTo>
                  <a:pt x="97" y="80"/>
                </a:lnTo>
                <a:lnTo>
                  <a:pt x="96" y="81"/>
                </a:lnTo>
                <a:lnTo>
                  <a:pt x="96" y="82"/>
                </a:lnTo>
                <a:lnTo>
                  <a:pt x="96" y="83"/>
                </a:lnTo>
                <a:lnTo>
                  <a:pt x="97" y="84"/>
                </a:lnTo>
                <a:lnTo>
                  <a:pt x="97" y="84"/>
                </a:lnTo>
                <a:lnTo>
                  <a:pt x="96" y="86"/>
                </a:lnTo>
                <a:lnTo>
                  <a:pt x="95" y="87"/>
                </a:lnTo>
                <a:lnTo>
                  <a:pt x="95" y="87"/>
                </a:lnTo>
                <a:lnTo>
                  <a:pt x="94" y="88"/>
                </a:lnTo>
                <a:lnTo>
                  <a:pt x="94" y="89"/>
                </a:lnTo>
                <a:lnTo>
                  <a:pt x="93" y="89"/>
                </a:lnTo>
                <a:lnTo>
                  <a:pt x="91" y="90"/>
                </a:lnTo>
                <a:lnTo>
                  <a:pt x="87" y="90"/>
                </a:lnTo>
                <a:lnTo>
                  <a:pt x="85" y="91"/>
                </a:lnTo>
                <a:lnTo>
                  <a:pt x="84" y="92"/>
                </a:lnTo>
                <a:lnTo>
                  <a:pt x="84" y="93"/>
                </a:lnTo>
                <a:lnTo>
                  <a:pt x="84" y="93"/>
                </a:lnTo>
                <a:lnTo>
                  <a:pt x="85" y="94"/>
                </a:lnTo>
                <a:lnTo>
                  <a:pt x="85" y="94"/>
                </a:lnTo>
                <a:lnTo>
                  <a:pt x="88" y="96"/>
                </a:lnTo>
                <a:lnTo>
                  <a:pt x="81" y="101"/>
                </a:lnTo>
                <a:lnTo>
                  <a:pt x="78" y="102"/>
                </a:lnTo>
                <a:lnTo>
                  <a:pt x="77" y="102"/>
                </a:lnTo>
                <a:lnTo>
                  <a:pt x="75" y="103"/>
                </a:lnTo>
                <a:lnTo>
                  <a:pt x="73" y="103"/>
                </a:lnTo>
                <a:lnTo>
                  <a:pt x="71" y="102"/>
                </a:lnTo>
                <a:lnTo>
                  <a:pt x="69" y="102"/>
                </a:lnTo>
                <a:lnTo>
                  <a:pt x="68" y="101"/>
                </a:lnTo>
                <a:lnTo>
                  <a:pt x="68" y="101"/>
                </a:lnTo>
                <a:lnTo>
                  <a:pt x="68" y="102"/>
                </a:lnTo>
                <a:lnTo>
                  <a:pt x="69" y="103"/>
                </a:lnTo>
                <a:lnTo>
                  <a:pt x="68" y="103"/>
                </a:lnTo>
                <a:lnTo>
                  <a:pt x="67" y="103"/>
                </a:lnTo>
                <a:lnTo>
                  <a:pt x="66" y="103"/>
                </a:lnTo>
                <a:lnTo>
                  <a:pt x="66" y="103"/>
                </a:lnTo>
                <a:lnTo>
                  <a:pt x="65" y="103"/>
                </a:lnTo>
                <a:lnTo>
                  <a:pt x="65" y="104"/>
                </a:lnTo>
                <a:lnTo>
                  <a:pt x="65" y="105"/>
                </a:lnTo>
                <a:lnTo>
                  <a:pt x="64" y="105"/>
                </a:lnTo>
                <a:lnTo>
                  <a:pt x="64" y="105"/>
                </a:lnTo>
                <a:lnTo>
                  <a:pt x="63" y="105"/>
                </a:lnTo>
                <a:lnTo>
                  <a:pt x="63" y="105"/>
                </a:lnTo>
                <a:lnTo>
                  <a:pt x="63" y="105"/>
                </a:lnTo>
                <a:lnTo>
                  <a:pt x="62" y="105"/>
                </a:lnTo>
                <a:lnTo>
                  <a:pt x="62" y="105"/>
                </a:lnTo>
                <a:lnTo>
                  <a:pt x="61" y="107"/>
                </a:lnTo>
                <a:lnTo>
                  <a:pt x="60" y="106"/>
                </a:lnTo>
                <a:lnTo>
                  <a:pt x="60" y="107"/>
                </a:lnTo>
                <a:lnTo>
                  <a:pt x="59" y="106"/>
                </a:lnTo>
                <a:lnTo>
                  <a:pt x="59" y="107"/>
                </a:lnTo>
                <a:lnTo>
                  <a:pt x="58" y="107"/>
                </a:lnTo>
                <a:lnTo>
                  <a:pt x="58" y="109"/>
                </a:lnTo>
                <a:lnTo>
                  <a:pt x="56" y="109"/>
                </a:lnTo>
                <a:lnTo>
                  <a:pt x="55" y="108"/>
                </a:lnTo>
                <a:lnTo>
                  <a:pt x="53" y="108"/>
                </a:lnTo>
                <a:lnTo>
                  <a:pt x="53" y="108"/>
                </a:lnTo>
                <a:lnTo>
                  <a:pt x="53" y="109"/>
                </a:lnTo>
                <a:lnTo>
                  <a:pt x="52" y="108"/>
                </a:lnTo>
                <a:lnTo>
                  <a:pt x="51" y="109"/>
                </a:lnTo>
                <a:lnTo>
                  <a:pt x="50" y="110"/>
                </a:lnTo>
                <a:lnTo>
                  <a:pt x="51" y="111"/>
                </a:lnTo>
                <a:lnTo>
                  <a:pt x="50" y="111"/>
                </a:lnTo>
                <a:lnTo>
                  <a:pt x="49" y="111"/>
                </a:lnTo>
                <a:lnTo>
                  <a:pt x="48" y="112"/>
                </a:lnTo>
                <a:lnTo>
                  <a:pt x="48" y="112"/>
                </a:lnTo>
                <a:lnTo>
                  <a:pt x="48" y="113"/>
                </a:lnTo>
                <a:lnTo>
                  <a:pt x="47" y="112"/>
                </a:lnTo>
                <a:lnTo>
                  <a:pt x="47" y="113"/>
                </a:lnTo>
                <a:lnTo>
                  <a:pt x="46" y="113"/>
                </a:lnTo>
                <a:lnTo>
                  <a:pt x="47" y="114"/>
                </a:lnTo>
                <a:lnTo>
                  <a:pt x="46" y="114"/>
                </a:lnTo>
                <a:lnTo>
                  <a:pt x="46" y="115"/>
                </a:lnTo>
                <a:lnTo>
                  <a:pt x="45" y="114"/>
                </a:lnTo>
                <a:lnTo>
                  <a:pt x="45" y="115"/>
                </a:lnTo>
                <a:lnTo>
                  <a:pt x="44" y="115"/>
                </a:lnTo>
                <a:lnTo>
                  <a:pt x="44" y="116"/>
                </a:lnTo>
                <a:lnTo>
                  <a:pt x="43" y="115"/>
                </a:lnTo>
                <a:lnTo>
                  <a:pt x="43" y="116"/>
                </a:lnTo>
                <a:lnTo>
                  <a:pt x="42" y="117"/>
                </a:lnTo>
                <a:lnTo>
                  <a:pt x="42" y="116"/>
                </a:lnTo>
                <a:lnTo>
                  <a:pt x="41" y="116"/>
                </a:lnTo>
                <a:lnTo>
                  <a:pt x="41" y="117"/>
                </a:lnTo>
                <a:lnTo>
                  <a:pt x="40" y="117"/>
                </a:lnTo>
                <a:lnTo>
                  <a:pt x="40" y="118"/>
                </a:lnTo>
                <a:lnTo>
                  <a:pt x="39" y="118"/>
                </a:lnTo>
                <a:lnTo>
                  <a:pt x="39" y="118"/>
                </a:lnTo>
                <a:lnTo>
                  <a:pt x="38" y="118"/>
                </a:lnTo>
                <a:lnTo>
                  <a:pt x="38" y="119"/>
                </a:lnTo>
                <a:lnTo>
                  <a:pt x="37" y="119"/>
                </a:lnTo>
                <a:lnTo>
                  <a:pt x="36" y="118"/>
                </a:lnTo>
                <a:lnTo>
                  <a:pt x="35" y="121"/>
                </a:lnTo>
                <a:lnTo>
                  <a:pt x="34" y="122"/>
                </a:lnTo>
                <a:lnTo>
                  <a:pt x="31" y="121"/>
                </a:lnTo>
                <a:lnTo>
                  <a:pt x="30" y="122"/>
                </a:lnTo>
                <a:lnTo>
                  <a:pt x="30" y="122"/>
                </a:lnTo>
                <a:lnTo>
                  <a:pt x="29" y="123"/>
                </a:lnTo>
                <a:lnTo>
                  <a:pt x="29" y="125"/>
                </a:lnTo>
                <a:lnTo>
                  <a:pt x="26" y="125"/>
                </a:lnTo>
                <a:lnTo>
                  <a:pt x="23" y="126"/>
                </a:lnTo>
                <a:lnTo>
                  <a:pt x="22" y="127"/>
                </a:lnTo>
                <a:lnTo>
                  <a:pt x="20" y="128"/>
                </a:lnTo>
                <a:lnTo>
                  <a:pt x="19" y="129"/>
                </a:lnTo>
                <a:lnTo>
                  <a:pt x="17" y="128"/>
                </a:lnTo>
                <a:lnTo>
                  <a:pt x="17" y="127"/>
                </a:lnTo>
                <a:lnTo>
                  <a:pt x="17" y="125"/>
                </a:lnTo>
                <a:lnTo>
                  <a:pt x="18" y="123"/>
                </a:lnTo>
                <a:lnTo>
                  <a:pt x="18" y="120"/>
                </a:lnTo>
                <a:lnTo>
                  <a:pt x="18" y="117"/>
                </a:lnTo>
                <a:lnTo>
                  <a:pt x="17" y="115"/>
                </a:lnTo>
                <a:lnTo>
                  <a:pt x="19" y="113"/>
                </a:lnTo>
                <a:lnTo>
                  <a:pt x="18" y="113"/>
                </a:lnTo>
                <a:lnTo>
                  <a:pt x="16" y="112"/>
                </a:lnTo>
                <a:lnTo>
                  <a:pt x="12" y="111"/>
                </a:lnTo>
                <a:lnTo>
                  <a:pt x="10" y="109"/>
                </a:lnTo>
                <a:lnTo>
                  <a:pt x="7" y="106"/>
                </a:lnTo>
                <a:lnTo>
                  <a:pt x="5" y="107"/>
                </a:lnTo>
                <a:lnTo>
                  <a:pt x="3" y="103"/>
                </a:lnTo>
                <a:lnTo>
                  <a:pt x="1" y="98"/>
                </a:lnTo>
                <a:lnTo>
                  <a:pt x="0" y="94"/>
                </a:lnTo>
                <a:lnTo>
                  <a:pt x="0" y="90"/>
                </a:lnTo>
                <a:lnTo>
                  <a:pt x="1" y="87"/>
                </a:lnTo>
                <a:lnTo>
                  <a:pt x="4" y="84"/>
                </a:lnTo>
                <a:lnTo>
                  <a:pt x="6" y="81"/>
                </a:lnTo>
                <a:lnTo>
                  <a:pt x="9" y="80"/>
                </a:lnTo>
                <a:lnTo>
                  <a:pt x="11" y="79"/>
                </a:lnTo>
                <a:lnTo>
                  <a:pt x="12" y="79"/>
                </a:lnTo>
                <a:lnTo>
                  <a:pt x="14" y="79"/>
                </a:lnTo>
                <a:lnTo>
                  <a:pt x="15" y="78"/>
                </a:lnTo>
                <a:lnTo>
                  <a:pt x="16" y="77"/>
                </a:lnTo>
                <a:lnTo>
                  <a:pt x="17" y="77"/>
                </a:lnTo>
                <a:lnTo>
                  <a:pt x="19" y="75"/>
                </a:lnTo>
                <a:lnTo>
                  <a:pt x="20" y="75"/>
                </a:lnTo>
                <a:lnTo>
                  <a:pt x="20" y="74"/>
                </a:lnTo>
                <a:lnTo>
                  <a:pt x="20" y="72"/>
                </a:lnTo>
                <a:lnTo>
                  <a:pt x="20" y="71"/>
                </a:lnTo>
                <a:lnTo>
                  <a:pt x="21" y="71"/>
                </a:lnTo>
                <a:lnTo>
                  <a:pt x="21" y="70"/>
                </a:lnTo>
                <a:lnTo>
                  <a:pt x="20" y="69"/>
                </a:lnTo>
                <a:lnTo>
                  <a:pt x="19" y="68"/>
                </a:lnTo>
                <a:lnTo>
                  <a:pt x="18" y="68"/>
                </a:lnTo>
                <a:lnTo>
                  <a:pt x="16" y="68"/>
                </a:lnTo>
                <a:lnTo>
                  <a:pt x="15" y="68"/>
                </a:lnTo>
                <a:lnTo>
                  <a:pt x="13" y="68"/>
                </a:lnTo>
                <a:lnTo>
                  <a:pt x="13" y="66"/>
                </a:lnTo>
                <a:lnTo>
                  <a:pt x="12" y="65"/>
                </a:lnTo>
                <a:lnTo>
                  <a:pt x="12" y="64"/>
                </a:lnTo>
                <a:lnTo>
                  <a:pt x="12" y="63"/>
                </a:lnTo>
                <a:lnTo>
                  <a:pt x="14" y="63"/>
                </a:lnTo>
                <a:lnTo>
                  <a:pt x="15" y="62"/>
                </a:lnTo>
                <a:lnTo>
                  <a:pt x="16" y="61"/>
                </a:lnTo>
                <a:lnTo>
                  <a:pt x="17" y="60"/>
                </a:lnTo>
                <a:lnTo>
                  <a:pt x="18" y="59"/>
                </a:lnTo>
                <a:lnTo>
                  <a:pt x="18" y="59"/>
                </a:lnTo>
                <a:lnTo>
                  <a:pt x="18" y="58"/>
                </a:lnTo>
                <a:lnTo>
                  <a:pt x="17" y="57"/>
                </a:lnTo>
                <a:lnTo>
                  <a:pt x="17" y="57"/>
                </a:lnTo>
                <a:lnTo>
                  <a:pt x="17" y="56"/>
                </a:lnTo>
                <a:lnTo>
                  <a:pt x="17" y="55"/>
                </a:lnTo>
                <a:lnTo>
                  <a:pt x="19" y="53"/>
                </a:lnTo>
                <a:lnTo>
                  <a:pt x="21" y="52"/>
                </a:lnTo>
                <a:lnTo>
                  <a:pt x="23" y="53"/>
                </a:lnTo>
                <a:lnTo>
                  <a:pt x="24" y="51"/>
                </a:lnTo>
                <a:lnTo>
                  <a:pt x="25" y="49"/>
                </a:lnTo>
                <a:lnTo>
                  <a:pt x="26" y="47"/>
                </a:lnTo>
                <a:lnTo>
                  <a:pt x="25" y="43"/>
                </a:lnTo>
                <a:lnTo>
                  <a:pt x="26" y="41"/>
                </a:lnTo>
                <a:lnTo>
                  <a:pt x="25" y="38"/>
                </a:lnTo>
                <a:lnTo>
                  <a:pt x="25" y="36"/>
                </a:lnTo>
                <a:lnTo>
                  <a:pt x="26" y="35"/>
                </a:lnTo>
                <a:lnTo>
                  <a:pt x="27" y="34"/>
                </a:lnTo>
                <a:lnTo>
                  <a:pt x="28" y="34"/>
                </a:lnTo>
                <a:lnTo>
                  <a:pt x="27" y="33"/>
                </a:lnTo>
                <a:lnTo>
                  <a:pt x="26" y="33"/>
                </a:lnTo>
                <a:lnTo>
                  <a:pt x="24" y="32"/>
                </a:lnTo>
                <a:lnTo>
                  <a:pt x="23" y="31"/>
                </a:lnTo>
                <a:lnTo>
                  <a:pt x="23" y="30"/>
                </a:lnTo>
                <a:lnTo>
                  <a:pt x="22" y="30"/>
                </a:lnTo>
                <a:lnTo>
                  <a:pt x="20" y="30"/>
                </a:lnTo>
                <a:lnTo>
                  <a:pt x="20" y="30"/>
                </a:lnTo>
                <a:lnTo>
                  <a:pt x="19" y="30"/>
                </a:lnTo>
                <a:lnTo>
                  <a:pt x="18" y="29"/>
                </a:lnTo>
                <a:lnTo>
                  <a:pt x="17" y="28"/>
                </a:lnTo>
                <a:lnTo>
                  <a:pt x="17" y="27"/>
                </a:lnTo>
                <a:lnTo>
                  <a:pt x="17" y="24"/>
                </a:lnTo>
                <a:lnTo>
                  <a:pt x="18" y="23"/>
                </a:lnTo>
                <a:lnTo>
                  <a:pt x="17" y="21"/>
                </a:lnTo>
                <a:lnTo>
                  <a:pt x="17" y="20"/>
                </a:lnTo>
                <a:lnTo>
                  <a:pt x="16" y="19"/>
                </a:lnTo>
                <a:lnTo>
                  <a:pt x="17" y="19"/>
                </a:lnTo>
                <a:lnTo>
                  <a:pt x="18" y="18"/>
                </a:lnTo>
                <a:lnTo>
                  <a:pt x="18" y="17"/>
                </a:lnTo>
                <a:lnTo>
                  <a:pt x="19" y="17"/>
                </a:lnTo>
                <a:lnTo>
                  <a:pt x="19" y="17"/>
                </a:lnTo>
                <a:lnTo>
                  <a:pt x="18" y="15"/>
                </a:lnTo>
                <a:lnTo>
                  <a:pt x="19" y="13"/>
                </a:lnTo>
                <a:lnTo>
                  <a:pt x="19" y="13"/>
                </a:lnTo>
                <a:lnTo>
                  <a:pt x="20" y="13"/>
                </a:lnTo>
                <a:lnTo>
                  <a:pt x="22" y="13"/>
                </a:lnTo>
                <a:lnTo>
                  <a:pt x="22" y="13"/>
                </a:lnTo>
                <a:lnTo>
                  <a:pt x="23" y="12"/>
                </a:lnTo>
                <a:lnTo>
                  <a:pt x="22" y="11"/>
                </a:lnTo>
                <a:lnTo>
                  <a:pt x="22" y="11"/>
                </a:lnTo>
                <a:lnTo>
                  <a:pt x="23" y="11"/>
                </a:lnTo>
                <a:lnTo>
                  <a:pt x="23" y="10"/>
                </a:lnTo>
                <a:lnTo>
                  <a:pt x="23" y="10"/>
                </a:lnTo>
                <a:lnTo>
                  <a:pt x="25" y="10"/>
                </a:lnTo>
                <a:lnTo>
                  <a:pt x="26" y="9"/>
                </a:lnTo>
                <a:lnTo>
                  <a:pt x="26" y="7"/>
                </a:lnTo>
                <a:lnTo>
                  <a:pt x="27" y="6"/>
                </a:lnTo>
                <a:lnTo>
                  <a:pt x="27" y="5"/>
                </a:lnTo>
                <a:lnTo>
                  <a:pt x="27" y="4"/>
                </a:lnTo>
                <a:lnTo>
                  <a:pt x="27" y="4"/>
                </a:lnTo>
                <a:lnTo>
                  <a:pt x="28" y="3"/>
                </a:lnTo>
                <a:lnTo>
                  <a:pt x="28" y="1"/>
                </a:lnTo>
                <a:lnTo>
                  <a:pt x="28" y="1"/>
                </a:lnTo>
                <a:lnTo>
                  <a:pt x="29" y="1"/>
                </a:lnTo>
                <a:lnTo>
                  <a:pt x="30" y="2"/>
                </a:lnTo>
                <a:lnTo>
                  <a:pt x="30" y="2"/>
                </a:lnTo>
                <a:lnTo>
                  <a:pt x="31" y="2"/>
                </a:lnTo>
                <a:lnTo>
                  <a:pt x="31" y="2"/>
                </a:lnTo>
                <a:lnTo>
                  <a:pt x="32" y="2"/>
                </a:lnTo>
                <a:lnTo>
                  <a:pt x="33" y="2"/>
                </a:lnTo>
                <a:lnTo>
                  <a:pt x="34" y="2"/>
                </a:lnTo>
                <a:lnTo>
                  <a:pt x="35" y="1"/>
                </a:lnTo>
                <a:lnTo>
                  <a:pt x="36" y="1"/>
                </a:lnTo>
                <a:lnTo>
                  <a:pt x="37" y="1"/>
                </a:lnTo>
                <a:lnTo>
                  <a:pt x="38" y="1"/>
                </a:lnTo>
                <a:lnTo>
                  <a:pt x="39" y="1"/>
                </a:lnTo>
                <a:lnTo>
                  <a:pt x="39" y="1"/>
                </a:lnTo>
                <a:lnTo>
                  <a:pt x="40" y="1"/>
                </a:lnTo>
                <a:lnTo>
                  <a:pt x="41" y="1"/>
                </a:lnTo>
                <a:lnTo>
                  <a:pt x="41" y="1"/>
                </a:lnTo>
                <a:lnTo>
                  <a:pt x="42" y="1"/>
                </a:lnTo>
                <a:lnTo>
                  <a:pt x="42" y="3"/>
                </a:lnTo>
                <a:lnTo>
                  <a:pt x="43" y="3"/>
                </a:lnTo>
                <a:lnTo>
                  <a:pt x="43" y="2"/>
                </a:lnTo>
                <a:lnTo>
                  <a:pt x="43" y="2"/>
                </a:lnTo>
                <a:lnTo>
                  <a:pt x="44" y="4"/>
                </a:lnTo>
                <a:lnTo>
                  <a:pt x="44" y="5"/>
                </a:lnTo>
                <a:lnTo>
                  <a:pt x="44" y="5"/>
                </a:lnTo>
                <a:lnTo>
                  <a:pt x="45" y="6"/>
                </a:lnTo>
                <a:lnTo>
                  <a:pt x="45" y="7"/>
                </a:lnTo>
                <a:lnTo>
                  <a:pt x="46" y="7"/>
                </a:lnTo>
                <a:lnTo>
                  <a:pt x="48" y="10"/>
                </a:lnTo>
                <a:lnTo>
                  <a:pt x="49" y="10"/>
                </a:lnTo>
                <a:lnTo>
                  <a:pt x="51" y="11"/>
                </a:lnTo>
                <a:lnTo>
                  <a:pt x="53" y="11"/>
                </a:lnTo>
                <a:lnTo>
                  <a:pt x="53" y="12"/>
                </a:lnTo>
                <a:lnTo>
                  <a:pt x="54" y="12"/>
                </a:lnTo>
                <a:lnTo>
                  <a:pt x="54" y="12"/>
                </a:lnTo>
                <a:lnTo>
                  <a:pt x="54" y="15"/>
                </a:lnTo>
                <a:lnTo>
                  <a:pt x="54" y="16"/>
                </a:lnTo>
                <a:lnTo>
                  <a:pt x="53" y="18"/>
                </a:lnTo>
                <a:lnTo>
                  <a:pt x="53" y="18"/>
                </a:lnTo>
                <a:lnTo>
                  <a:pt x="53" y="19"/>
                </a:lnTo>
                <a:lnTo>
                  <a:pt x="53" y="20"/>
                </a:lnTo>
                <a:lnTo>
                  <a:pt x="54" y="20"/>
                </a:lnTo>
                <a:lnTo>
                  <a:pt x="55" y="21"/>
                </a:lnTo>
                <a:lnTo>
                  <a:pt x="56" y="23"/>
                </a:lnTo>
                <a:lnTo>
                  <a:pt x="57" y="23"/>
                </a:lnTo>
                <a:lnTo>
                  <a:pt x="57" y="25"/>
                </a:lnTo>
                <a:lnTo>
                  <a:pt x="58" y="26"/>
                </a:lnTo>
                <a:lnTo>
                  <a:pt x="57" y="28"/>
                </a:lnTo>
                <a:lnTo>
                  <a:pt x="57" y="28"/>
                </a:lnTo>
                <a:lnTo>
                  <a:pt x="58" y="29"/>
                </a:lnTo>
                <a:lnTo>
                  <a:pt x="59" y="30"/>
                </a:lnTo>
                <a:lnTo>
                  <a:pt x="59" y="30"/>
                </a:lnTo>
                <a:lnTo>
                  <a:pt x="60" y="31"/>
                </a:lnTo>
                <a:lnTo>
                  <a:pt x="62" y="32"/>
                </a:lnTo>
                <a:lnTo>
                  <a:pt x="63" y="33"/>
                </a:lnTo>
                <a:lnTo>
                  <a:pt x="65" y="33"/>
                </a:lnTo>
                <a:lnTo>
                  <a:pt x="66" y="32"/>
                </a:lnTo>
                <a:lnTo>
                  <a:pt x="66" y="32"/>
                </a:lnTo>
                <a:lnTo>
                  <a:pt x="67" y="32"/>
                </a:lnTo>
                <a:lnTo>
                  <a:pt x="68" y="31"/>
                </a:lnTo>
                <a:lnTo>
                  <a:pt x="68" y="31"/>
                </a:lnTo>
                <a:lnTo>
                  <a:pt x="68" y="30"/>
                </a:lnTo>
                <a:lnTo>
                  <a:pt x="68" y="29"/>
                </a:lnTo>
                <a:lnTo>
                  <a:pt x="69" y="29"/>
                </a:lnTo>
                <a:lnTo>
                  <a:pt x="69" y="28"/>
                </a:lnTo>
                <a:lnTo>
                  <a:pt x="69" y="28"/>
                </a:lnTo>
                <a:lnTo>
                  <a:pt x="69" y="26"/>
                </a:lnTo>
                <a:lnTo>
                  <a:pt x="70" y="25"/>
                </a:lnTo>
                <a:lnTo>
                  <a:pt x="71" y="25"/>
                </a:lnTo>
                <a:lnTo>
                  <a:pt x="72" y="25"/>
                </a:lnTo>
                <a:lnTo>
                  <a:pt x="72" y="25"/>
                </a:lnTo>
                <a:lnTo>
                  <a:pt x="73" y="24"/>
                </a:lnTo>
                <a:lnTo>
                  <a:pt x="74" y="24"/>
                </a:lnTo>
                <a:lnTo>
                  <a:pt x="74" y="24"/>
                </a:lnTo>
                <a:lnTo>
                  <a:pt x="75" y="23"/>
                </a:lnTo>
                <a:lnTo>
                  <a:pt x="75" y="23"/>
                </a:lnTo>
                <a:lnTo>
                  <a:pt x="76" y="23"/>
                </a:lnTo>
                <a:lnTo>
                  <a:pt x="75" y="22"/>
                </a:lnTo>
                <a:lnTo>
                  <a:pt x="75" y="22"/>
                </a:lnTo>
                <a:lnTo>
                  <a:pt x="74" y="21"/>
                </a:lnTo>
                <a:lnTo>
                  <a:pt x="74" y="20"/>
                </a:lnTo>
                <a:lnTo>
                  <a:pt x="75" y="20"/>
                </a:lnTo>
                <a:lnTo>
                  <a:pt x="76" y="20"/>
                </a:lnTo>
                <a:lnTo>
                  <a:pt x="78" y="19"/>
                </a:lnTo>
                <a:lnTo>
                  <a:pt x="79" y="19"/>
                </a:lnTo>
                <a:lnTo>
                  <a:pt x="80" y="18"/>
                </a:lnTo>
                <a:lnTo>
                  <a:pt x="80" y="18"/>
                </a:lnTo>
                <a:lnTo>
                  <a:pt x="80" y="17"/>
                </a:lnTo>
                <a:lnTo>
                  <a:pt x="80" y="17"/>
                </a:lnTo>
                <a:lnTo>
                  <a:pt x="80" y="17"/>
                </a:lnTo>
                <a:lnTo>
                  <a:pt x="79" y="16"/>
                </a:lnTo>
                <a:lnTo>
                  <a:pt x="80" y="15"/>
                </a:lnTo>
                <a:lnTo>
                  <a:pt x="80" y="15"/>
                </a:lnTo>
                <a:lnTo>
                  <a:pt x="81" y="14"/>
                </a:lnTo>
                <a:lnTo>
                  <a:pt x="81" y="14"/>
                </a:lnTo>
                <a:lnTo>
                  <a:pt x="81" y="13"/>
                </a:lnTo>
                <a:lnTo>
                  <a:pt x="80" y="13"/>
                </a:lnTo>
                <a:lnTo>
                  <a:pt x="80" y="12"/>
                </a:lnTo>
                <a:lnTo>
                  <a:pt x="80" y="11"/>
                </a:lnTo>
                <a:lnTo>
                  <a:pt x="81" y="11"/>
                </a:lnTo>
                <a:lnTo>
                  <a:pt x="81" y="10"/>
                </a:lnTo>
                <a:lnTo>
                  <a:pt x="82" y="10"/>
                </a:lnTo>
                <a:lnTo>
                  <a:pt x="84" y="10"/>
                </a:lnTo>
                <a:lnTo>
                  <a:pt x="85" y="11"/>
                </a:lnTo>
                <a:lnTo>
                  <a:pt x="86" y="11"/>
                </a:lnTo>
                <a:lnTo>
                  <a:pt x="87" y="10"/>
                </a:lnTo>
                <a:lnTo>
                  <a:pt x="88" y="10"/>
                </a:lnTo>
                <a:lnTo>
                  <a:pt x="88" y="9"/>
                </a:lnTo>
                <a:lnTo>
                  <a:pt x="90" y="8"/>
                </a:lnTo>
                <a:lnTo>
                  <a:pt x="91" y="8"/>
                </a:lnTo>
                <a:lnTo>
                  <a:pt x="90" y="6"/>
                </a:lnTo>
                <a:lnTo>
                  <a:pt x="91" y="5"/>
                </a:lnTo>
                <a:lnTo>
                  <a:pt x="91" y="5"/>
                </a:lnTo>
                <a:lnTo>
                  <a:pt x="92" y="5"/>
                </a:lnTo>
                <a:lnTo>
                  <a:pt x="94" y="6"/>
                </a:lnTo>
                <a:lnTo>
                  <a:pt x="94" y="6"/>
                </a:lnTo>
                <a:lnTo>
                  <a:pt x="94" y="6"/>
                </a:lnTo>
                <a:lnTo>
                  <a:pt x="95" y="5"/>
                </a:lnTo>
                <a:lnTo>
                  <a:pt x="95" y="5"/>
                </a:lnTo>
                <a:lnTo>
                  <a:pt x="95" y="4"/>
                </a:lnTo>
                <a:lnTo>
                  <a:pt x="96" y="4"/>
                </a:lnTo>
                <a:lnTo>
                  <a:pt x="96" y="3"/>
                </a:lnTo>
                <a:lnTo>
                  <a:pt x="98" y="4"/>
                </a:lnTo>
                <a:lnTo>
                  <a:pt x="98" y="3"/>
                </a:lnTo>
                <a:lnTo>
                  <a:pt x="98" y="2"/>
                </a:lnTo>
                <a:lnTo>
                  <a:pt x="97" y="1"/>
                </a:lnTo>
                <a:lnTo>
                  <a:pt x="97" y="1"/>
                </a:lnTo>
                <a:lnTo>
                  <a:pt x="97" y="0"/>
                </a:lnTo>
                <a:lnTo>
                  <a:pt x="98" y="0"/>
                </a:lnTo>
              </a:path>
            </a:pathLst>
          </a:custGeom>
          <a:grpFill/>
          <a:ln w="9525">
            <a:solidFill>
              <a:schemeClr val="bg1">
                <a:lumMod val="65000"/>
              </a:schemeClr>
            </a:solidFill>
            <a:prstDash val="solid"/>
            <a:round/>
            <a:headEnd/>
            <a:tailEnd/>
          </a:ln>
        </xdr:spPr>
      </xdr:sp>
      <xdr:sp macro="" textlink="">
        <xdr:nvSpPr>
          <xdr:cNvPr id="213" name="GIN001003"/>
          <xdr:cNvSpPr>
            <a:spLocks noChangeAspect="1"/>
          </xdr:cNvSpPr>
        </xdr:nvSpPr>
        <xdr:spPr bwMode="auto">
          <a:xfrm>
            <a:off x="4483677" y="2538350"/>
            <a:ext cx="1268557" cy="1139351"/>
          </a:xfrm>
          <a:custGeom>
            <a:avLst/>
            <a:gdLst>
              <a:gd name="T0" fmla="*/ 69 w 135"/>
              <a:gd name="T1" fmla="*/ 3 h 124"/>
              <a:gd name="T2" fmla="*/ 67 w 135"/>
              <a:gd name="T3" fmla="*/ 6 h 124"/>
              <a:gd name="T4" fmla="*/ 71 w 135"/>
              <a:gd name="T5" fmla="*/ 13 h 124"/>
              <a:gd name="T6" fmla="*/ 71 w 135"/>
              <a:gd name="T7" fmla="*/ 20 h 124"/>
              <a:gd name="T8" fmla="*/ 75 w 135"/>
              <a:gd name="T9" fmla="*/ 26 h 124"/>
              <a:gd name="T10" fmla="*/ 78 w 135"/>
              <a:gd name="T11" fmla="*/ 23 h 124"/>
              <a:gd name="T12" fmla="*/ 81 w 135"/>
              <a:gd name="T13" fmla="*/ 29 h 124"/>
              <a:gd name="T14" fmla="*/ 80 w 135"/>
              <a:gd name="T15" fmla="*/ 31 h 124"/>
              <a:gd name="T16" fmla="*/ 87 w 135"/>
              <a:gd name="T17" fmla="*/ 29 h 124"/>
              <a:gd name="T18" fmla="*/ 96 w 135"/>
              <a:gd name="T19" fmla="*/ 28 h 124"/>
              <a:gd name="T20" fmla="*/ 100 w 135"/>
              <a:gd name="T21" fmla="*/ 23 h 124"/>
              <a:gd name="T22" fmla="*/ 110 w 135"/>
              <a:gd name="T23" fmla="*/ 23 h 124"/>
              <a:gd name="T24" fmla="*/ 118 w 135"/>
              <a:gd name="T25" fmla="*/ 17 h 124"/>
              <a:gd name="T26" fmla="*/ 124 w 135"/>
              <a:gd name="T27" fmla="*/ 18 h 124"/>
              <a:gd name="T28" fmla="*/ 122 w 135"/>
              <a:gd name="T29" fmla="*/ 31 h 124"/>
              <a:gd name="T30" fmla="*/ 126 w 135"/>
              <a:gd name="T31" fmla="*/ 40 h 124"/>
              <a:gd name="T32" fmla="*/ 125 w 135"/>
              <a:gd name="T33" fmla="*/ 52 h 124"/>
              <a:gd name="T34" fmla="*/ 125 w 135"/>
              <a:gd name="T35" fmla="*/ 63 h 124"/>
              <a:gd name="T36" fmla="*/ 131 w 135"/>
              <a:gd name="T37" fmla="*/ 68 h 124"/>
              <a:gd name="T38" fmla="*/ 134 w 135"/>
              <a:gd name="T39" fmla="*/ 72 h 124"/>
              <a:gd name="T40" fmla="*/ 129 w 135"/>
              <a:gd name="T41" fmla="*/ 80 h 124"/>
              <a:gd name="T42" fmla="*/ 115 w 135"/>
              <a:gd name="T43" fmla="*/ 90 h 124"/>
              <a:gd name="T44" fmla="*/ 107 w 135"/>
              <a:gd name="T45" fmla="*/ 102 h 124"/>
              <a:gd name="T46" fmla="*/ 104 w 135"/>
              <a:gd name="T47" fmla="*/ 111 h 124"/>
              <a:gd name="T48" fmla="*/ 98 w 135"/>
              <a:gd name="T49" fmla="*/ 112 h 124"/>
              <a:gd name="T50" fmla="*/ 93 w 135"/>
              <a:gd name="T51" fmla="*/ 112 h 124"/>
              <a:gd name="T52" fmla="*/ 87 w 135"/>
              <a:gd name="T53" fmla="*/ 116 h 124"/>
              <a:gd name="T54" fmla="*/ 85 w 135"/>
              <a:gd name="T55" fmla="*/ 123 h 124"/>
              <a:gd name="T56" fmla="*/ 77 w 135"/>
              <a:gd name="T57" fmla="*/ 101 h 124"/>
              <a:gd name="T58" fmla="*/ 64 w 135"/>
              <a:gd name="T59" fmla="*/ 100 h 124"/>
              <a:gd name="T60" fmla="*/ 55 w 135"/>
              <a:gd name="T61" fmla="*/ 92 h 124"/>
              <a:gd name="T62" fmla="*/ 36 w 135"/>
              <a:gd name="T63" fmla="*/ 96 h 124"/>
              <a:gd name="T64" fmla="*/ 21 w 135"/>
              <a:gd name="T65" fmla="*/ 100 h 124"/>
              <a:gd name="T66" fmla="*/ 14 w 135"/>
              <a:gd name="T67" fmla="*/ 92 h 124"/>
              <a:gd name="T68" fmla="*/ 9 w 135"/>
              <a:gd name="T69" fmla="*/ 79 h 124"/>
              <a:gd name="T70" fmla="*/ 2 w 135"/>
              <a:gd name="T71" fmla="*/ 69 h 124"/>
              <a:gd name="T72" fmla="*/ 9 w 135"/>
              <a:gd name="T73" fmla="*/ 66 h 124"/>
              <a:gd name="T74" fmla="*/ 19 w 135"/>
              <a:gd name="T75" fmla="*/ 62 h 124"/>
              <a:gd name="T76" fmla="*/ 20 w 135"/>
              <a:gd name="T77" fmla="*/ 57 h 124"/>
              <a:gd name="T78" fmla="*/ 23 w 135"/>
              <a:gd name="T79" fmla="*/ 57 h 124"/>
              <a:gd name="T80" fmla="*/ 26 w 135"/>
              <a:gd name="T81" fmla="*/ 59 h 124"/>
              <a:gd name="T82" fmla="*/ 28 w 135"/>
              <a:gd name="T83" fmla="*/ 61 h 124"/>
              <a:gd name="T84" fmla="*/ 34 w 135"/>
              <a:gd name="T85" fmla="*/ 54 h 124"/>
              <a:gd name="T86" fmla="*/ 35 w 135"/>
              <a:gd name="T87" fmla="*/ 35 h 124"/>
              <a:gd name="T88" fmla="*/ 25 w 135"/>
              <a:gd name="T89" fmla="*/ 24 h 124"/>
              <a:gd name="T90" fmla="*/ 16 w 135"/>
              <a:gd name="T91" fmla="*/ 19 h 124"/>
              <a:gd name="T92" fmla="*/ 13 w 135"/>
              <a:gd name="T93" fmla="*/ 11 h 124"/>
              <a:gd name="T94" fmla="*/ 20 w 135"/>
              <a:gd name="T95" fmla="*/ 5 h 124"/>
              <a:gd name="T96" fmla="*/ 26 w 135"/>
              <a:gd name="T97" fmla="*/ 3 h 124"/>
              <a:gd name="T98" fmla="*/ 29 w 135"/>
              <a:gd name="T99" fmla="*/ 7 h 124"/>
              <a:gd name="T100" fmla="*/ 35 w 135"/>
              <a:gd name="T101" fmla="*/ 6 h 124"/>
              <a:gd name="T102" fmla="*/ 42 w 135"/>
              <a:gd name="T103" fmla="*/ 8 h 124"/>
              <a:gd name="T104" fmla="*/ 49 w 135"/>
              <a:gd name="T105" fmla="*/ 3 h 124"/>
              <a:gd name="T106" fmla="*/ 52 w 135"/>
              <a:gd name="T107" fmla="*/ 2 h 124"/>
              <a:gd name="T108" fmla="*/ 59 w 135"/>
              <a:gd name="T109" fmla="*/ 5 h 124"/>
              <a:gd name="T110" fmla="*/ 58 w 135"/>
              <a:gd name="T111" fmla="*/ 0 h 124"/>
              <a:gd name="T112" fmla="*/ 61 w 135"/>
              <a:gd name="T113" fmla="*/ 2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35" h="124">
                <a:moveTo>
                  <a:pt x="67" y="0"/>
                </a:moveTo>
                <a:lnTo>
                  <a:pt x="67" y="1"/>
                </a:lnTo>
                <a:lnTo>
                  <a:pt x="66" y="2"/>
                </a:lnTo>
                <a:lnTo>
                  <a:pt x="66" y="3"/>
                </a:lnTo>
                <a:lnTo>
                  <a:pt x="66" y="3"/>
                </a:lnTo>
                <a:lnTo>
                  <a:pt x="67" y="3"/>
                </a:lnTo>
                <a:lnTo>
                  <a:pt x="68" y="2"/>
                </a:lnTo>
                <a:lnTo>
                  <a:pt x="68" y="2"/>
                </a:lnTo>
                <a:lnTo>
                  <a:pt x="69" y="2"/>
                </a:lnTo>
                <a:lnTo>
                  <a:pt x="69" y="3"/>
                </a:lnTo>
                <a:lnTo>
                  <a:pt x="69" y="3"/>
                </a:lnTo>
                <a:lnTo>
                  <a:pt x="68" y="4"/>
                </a:lnTo>
                <a:lnTo>
                  <a:pt x="68" y="4"/>
                </a:lnTo>
                <a:lnTo>
                  <a:pt x="67" y="4"/>
                </a:lnTo>
                <a:lnTo>
                  <a:pt x="66" y="4"/>
                </a:lnTo>
                <a:lnTo>
                  <a:pt x="65" y="4"/>
                </a:lnTo>
                <a:lnTo>
                  <a:pt x="64" y="5"/>
                </a:lnTo>
                <a:lnTo>
                  <a:pt x="65" y="5"/>
                </a:lnTo>
                <a:lnTo>
                  <a:pt x="66" y="6"/>
                </a:lnTo>
                <a:lnTo>
                  <a:pt x="67" y="6"/>
                </a:lnTo>
                <a:lnTo>
                  <a:pt x="67" y="7"/>
                </a:lnTo>
                <a:lnTo>
                  <a:pt x="67" y="8"/>
                </a:lnTo>
                <a:lnTo>
                  <a:pt x="68" y="9"/>
                </a:lnTo>
                <a:lnTo>
                  <a:pt x="69" y="9"/>
                </a:lnTo>
                <a:lnTo>
                  <a:pt x="70" y="9"/>
                </a:lnTo>
                <a:lnTo>
                  <a:pt x="71" y="10"/>
                </a:lnTo>
                <a:lnTo>
                  <a:pt x="71" y="10"/>
                </a:lnTo>
                <a:lnTo>
                  <a:pt x="71" y="11"/>
                </a:lnTo>
                <a:lnTo>
                  <a:pt x="71" y="12"/>
                </a:lnTo>
                <a:lnTo>
                  <a:pt x="71" y="13"/>
                </a:lnTo>
                <a:lnTo>
                  <a:pt x="71" y="13"/>
                </a:lnTo>
                <a:lnTo>
                  <a:pt x="71" y="14"/>
                </a:lnTo>
                <a:lnTo>
                  <a:pt x="71" y="15"/>
                </a:lnTo>
                <a:lnTo>
                  <a:pt x="70" y="16"/>
                </a:lnTo>
                <a:lnTo>
                  <a:pt x="70" y="17"/>
                </a:lnTo>
                <a:lnTo>
                  <a:pt x="70" y="18"/>
                </a:lnTo>
                <a:lnTo>
                  <a:pt x="72" y="18"/>
                </a:lnTo>
                <a:lnTo>
                  <a:pt x="72" y="19"/>
                </a:lnTo>
                <a:lnTo>
                  <a:pt x="71" y="19"/>
                </a:lnTo>
                <a:lnTo>
                  <a:pt x="71" y="20"/>
                </a:lnTo>
                <a:lnTo>
                  <a:pt x="70" y="20"/>
                </a:lnTo>
                <a:lnTo>
                  <a:pt x="70" y="20"/>
                </a:lnTo>
                <a:lnTo>
                  <a:pt x="70" y="21"/>
                </a:lnTo>
                <a:lnTo>
                  <a:pt x="71" y="22"/>
                </a:lnTo>
                <a:lnTo>
                  <a:pt x="71" y="23"/>
                </a:lnTo>
                <a:lnTo>
                  <a:pt x="73" y="22"/>
                </a:lnTo>
                <a:lnTo>
                  <a:pt x="73" y="23"/>
                </a:lnTo>
                <a:lnTo>
                  <a:pt x="73" y="24"/>
                </a:lnTo>
                <a:lnTo>
                  <a:pt x="74" y="26"/>
                </a:lnTo>
                <a:lnTo>
                  <a:pt x="75" y="26"/>
                </a:lnTo>
                <a:lnTo>
                  <a:pt x="77" y="26"/>
                </a:lnTo>
                <a:lnTo>
                  <a:pt x="77" y="25"/>
                </a:lnTo>
                <a:lnTo>
                  <a:pt x="78" y="24"/>
                </a:lnTo>
                <a:lnTo>
                  <a:pt x="76" y="24"/>
                </a:lnTo>
                <a:lnTo>
                  <a:pt x="75" y="25"/>
                </a:lnTo>
                <a:lnTo>
                  <a:pt x="75" y="23"/>
                </a:lnTo>
                <a:lnTo>
                  <a:pt x="75" y="22"/>
                </a:lnTo>
                <a:lnTo>
                  <a:pt x="76" y="22"/>
                </a:lnTo>
                <a:lnTo>
                  <a:pt x="77" y="22"/>
                </a:lnTo>
                <a:lnTo>
                  <a:pt x="78" y="23"/>
                </a:lnTo>
                <a:lnTo>
                  <a:pt x="79" y="23"/>
                </a:lnTo>
                <a:lnTo>
                  <a:pt x="79" y="23"/>
                </a:lnTo>
                <a:lnTo>
                  <a:pt x="80" y="24"/>
                </a:lnTo>
                <a:lnTo>
                  <a:pt x="79" y="25"/>
                </a:lnTo>
                <a:lnTo>
                  <a:pt x="79" y="26"/>
                </a:lnTo>
                <a:lnTo>
                  <a:pt x="78" y="27"/>
                </a:lnTo>
                <a:lnTo>
                  <a:pt x="78" y="27"/>
                </a:lnTo>
                <a:lnTo>
                  <a:pt x="78" y="28"/>
                </a:lnTo>
                <a:lnTo>
                  <a:pt x="80" y="29"/>
                </a:lnTo>
                <a:lnTo>
                  <a:pt x="81" y="29"/>
                </a:lnTo>
                <a:lnTo>
                  <a:pt x="81" y="29"/>
                </a:lnTo>
                <a:lnTo>
                  <a:pt x="80" y="30"/>
                </a:lnTo>
                <a:lnTo>
                  <a:pt x="79" y="30"/>
                </a:lnTo>
                <a:lnTo>
                  <a:pt x="78" y="30"/>
                </a:lnTo>
                <a:lnTo>
                  <a:pt x="77" y="30"/>
                </a:lnTo>
                <a:lnTo>
                  <a:pt x="77" y="31"/>
                </a:lnTo>
                <a:lnTo>
                  <a:pt x="78" y="32"/>
                </a:lnTo>
                <a:lnTo>
                  <a:pt x="79" y="31"/>
                </a:lnTo>
                <a:lnTo>
                  <a:pt x="79" y="31"/>
                </a:lnTo>
                <a:lnTo>
                  <a:pt x="80" y="31"/>
                </a:lnTo>
                <a:lnTo>
                  <a:pt x="82" y="31"/>
                </a:lnTo>
                <a:lnTo>
                  <a:pt x="82" y="31"/>
                </a:lnTo>
                <a:lnTo>
                  <a:pt x="83" y="31"/>
                </a:lnTo>
                <a:lnTo>
                  <a:pt x="84" y="31"/>
                </a:lnTo>
                <a:lnTo>
                  <a:pt x="85" y="31"/>
                </a:lnTo>
                <a:lnTo>
                  <a:pt x="86" y="31"/>
                </a:lnTo>
                <a:lnTo>
                  <a:pt x="87" y="31"/>
                </a:lnTo>
                <a:lnTo>
                  <a:pt x="87" y="30"/>
                </a:lnTo>
                <a:lnTo>
                  <a:pt x="87" y="30"/>
                </a:lnTo>
                <a:lnTo>
                  <a:pt x="87" y="29"/>
                </a:lnTo>
                <a:lnTo>
                  <a:pt x="88" y="29"/>
                </a:lnTo>
                <a:lnTo>
                  <a:pt x="90" y="29"/>
                </a:lnTo>
                <a:lnTo>
                  <a:pt x="91" y="28"/>
                </a:lnTo>
                <a:lnTo>
                  <a:pt x="92" y="28"/>
                </a:lnTo>
                <a:lnTo>
                  <a:pt x="92" y="28"/>
                </a:lnTo>
                <a:lnTo>
                  <a:pt x="93" y="29"/>
                </a:lnTo>
                <a:lnTo>
                  <a:pt x="94" y="29"/>
                </a:lnTo>
                <a:lnTo>
                  <a:pt x="95" y="29"/>
                </a:lnTo>
                <a:lnTo>
                  <a:pt x="95" y="28"/>
                </a:lnTo>
                <a:lnTo>
                  <a:pt x="96" y="28"/>
                </a:lnTo>
                <a:lnTo>
                  <a:pt x="97" y="27"/>
                </a:lnTo>
                <a:lnTo>
                  <a:pt x="97" y="27"/>
                </a:lnTo>
                <a:lnTo>
                  <a:pt x="97" y="26"/>
                </a:lnTo>
                <a:lnTo>
                  <a:pt x="97" y="26"/>
                </a:lnTo>
                <a:lnTo>
                  <a:pt x="98" y="26"/>
                </a:lnTo>
                <a:lnTo>
                  <a:pt x="98" y="25"/>
                </a:lnTo>
                <a:lnTo>
                  <a:pt x="98" y="24"/>
                </a:lnTo>
                <a:lnTo>
                  <a:pt x="99" y="24"/>
                </a:lnTo>
                <a:lnTo>
                  <a:pt x="99" y="23"/>
                </a:lnTo>
                <a:lnTo>
                  <a:pt x="100" y="23"/>
                </a:lnTo>
                <a:lnTo>
                  <a:pt x="100" y="23"/>
                </a:lnTo>
                <a:lnTo>
                  <a:pt x="102" y="23"/>
                </a:lnTo>
                <a:lnTo>
                  <a:pt x="102" y="23"/>
                </a:lnTo>
                <a:lnTo>
                  <a:pt x="103" y="23"/>
                </a:lnTo>
                <a:lnTo>
                  <a:pt x="104" y="23"/>
                </a:lnTo>
                <a:lnTo>
                  <a:pt x="105" y="24"/>
                </a:lnTo>
                <a:lnTo>
                  <a:pt x="106" y="24"/>
                </a:lnTo>
                <a:lnTo>
                  <a:pt x="108" y="24"/>
                </a:lnTo>
                <a:lnTo>
                  <a:pt x="109" y="23"/>
                </a:lnTo>
                <a:lnTo>
                  <a:pt x="110" y="23"/>
                </a:lnTo>
                <a:lnTo>
                  <a:pt x="111" y="22"/>
                </a:lnTo>
                <a:lnTo>
                  <a:pt x="112" y="22"/>
                </a:lnTo>
                <a:lnTo>
                  <a:pt x="113" y="22"/>
                </a:lnTo>
                <a:lnTo>
                  <a:pt x="114" y="21"/>
                </a:lnTo>
                <a:lnTo>
                  <a:pt x="116" y="21"/>
                </a:lnTo>
                <a:lnTo>
                  <a:pt x="116" y="20"/>
                </a:lnTo>
                <a:lnTo>
                  <a:pt x="116" y="19"/>
                </a:lnTo>
                <a:lnTo>
                  <a:pt x="117" y="18"/>
                </a:lnTo>
                <a:lnTo>
                  <a:pt x="118" y="18"/>
                </a:lnTo>
                <a:lnTo>
                  <a:pt x="118" y="17"/>
                </a:lnTo>
                <a:lnTo>
                  <a:pt x="119" y="17"/>
                </a:lnTo>
                <a:lnTo>
                  <a:pt x="119" y="17"/>
                </a:lnTo>
                <a:lnTo>
                  <a:pt x="120" y="16"/>
                </a:lnTo>
                <a:lnTo>
                  <a:pt x="120" y="16"/>
                </a:lnTo>
                <a:lnTo>
                  <a:pt x="121" y="17"/>
                </a:lnTo>
                <a:lnTo>
                  <a:pt x="122" y="17"/>
                </a:lnTo>
                <a:lnTo>
                  <a:pt x="122" y="17"/>
                </a:lnTo>
                <a:lnTo>
                  <a:pt x="123" y="18"/>
                </a:lnTo>
                <a:lnTo>
                  <a:pt x="123" y="18"/>
                </a:lnTo>
                <a:lnTo>
                  <a:pt x="124" y="18"/>
                </a:lnTo>
                <a:lnTo>
                  <a:pt x="123" y="19"/>
                </a:lnTo>
                <a:lnTo>
                  <a:pt x="124" y="20"/>
                </a:lnTo>
                <a:lnTo>
                  <a:pt x="124" y="22"/>
                </a:lnTo>
                <a:lnTo>
                  <a:pt x="123" y="24"/>
                </a:lnTo>
                <a:lnTo>
                  <a:pt x="123" y="25"/>
                </a:lnTo>
                <a:lnTo>
                  <a:pt x="122" y="26"/>
                </a:lnTo>
                <a:lnTo>
                  <a:pt x="122" y="27"/>
                </a:lnTo>
                <a:lnTo>
                  <a:pt x="122" y="29"/>
                </a:lnTo>
                <a:lnTo>
                  <a:pt x="122" y="30"/>
                </a:lnTo>
                <a:lnTo>
                  <a:pt x="122" y="31"/>
                </a:lnTo>
                <a:lnTo>
                  <a:pt x="123" y="32"/>
                </a:lnTo>
                <a:lnTo>
                  <a:pt x="125" y="32"/>
                </a:lnTo>
                <a:lnTo>
                  <a:pt x="126" y="32"/>
                </a:lnTo>
                <a:lnTo>
                  <a:pt x="127" y="33"/>
                </a:lnTo>
                <a:lnTo>
                  <a:pt x="126" y="35"/>
                </a:lnTo>
                <a:lnTo>
                  <a:pt x="125" y="36"/>
                </a:lnTo>
                <a:lnTo>
                  <a:pt x="124" y="37"/>
                </a:lnTo>
                <a:lnTo>
                  <a:pt x="124" y="37"/>
                </a:lnTo>
                <a:lnTo>
                  <a:pt x="124" y="38"/>
                </a:lnTo>
                <a:lnTo>
                  <a:pt x="126" y="40"/>
                </a:lnTo>
                <a:lnTo>
                  <a:pt x="128" y="41"/>
                </a:lnTo>
                <a:lnTo>
                  <a:pt x="129" y="45"/>
                </a:lnTo>
                <a:lnTo>
                  <a:pt x="129" y="46"/>
                </a:lnTo>
                <a:lnTo>
                  <a:pt x="128" y="47"/>
                </a:lnTo>
                <a:lnTo>
                  <a:pt x="126" y="47"/>
                </a:lnTo>
                <a:lnTo>
                  <a:pt x="125" y="48"/>
                </a:lnTo>
                <a:lnTo>
                  <a:pt x="125" y="48"/>
                </a:lnTo>
                <a:lnTo>
                  <a:pt x="125" y="50"/>
                </a:lnTo>
                <a:lnTo>
                  <a:pt x="125" y="51"/>
                </a:lnTo>
                <a:lnTo>
                  <a:pt x="125" y="52"/>
                </a:lnTo>
                <a:lnTo>
                  <a:pt x="125" y="53"/>
                </a:lnTo>
                <a:lnTo>
                  <a:pt x="126" y="55"/>
                </a:lnTo>
                <a:lnTo>
                  <a:pt x="126" y="57"/>
                </a:lnTo>
                <a:lnTo>
                  <a:pt x="126" y="58"/>
                </a:lnTo>
                <a:lnTo>
                  <a:pt x="126" y="59"/>
                </a:lnTo>
                <a:lnTo>
                  <a:pt x="124" y="60"/>
                </a:lnTo>
                <a:lnTo>
                  <a:pt x="123" y="60"/>
                </a:lnTo>
                <a:lnTo>
                  <a:pt x="123" y="61"/>
                </a:lnTo>
                <a:lnTo>
                  <a:pt x="124" y="62"/>
                </a:lnTo>
                <a:lnTo>
                  <a:pt x="125" y="63"/>
                </a:lnTo>
                <a:lnTo>
                  <a:pt x="126" y="62"/>
                </a:lnTo>
                <a:lnTo>
                  <a:pt x="126" y="63"/>
                </a:lnTo>
                <a:lnTo>
                  <a:pt x="127" y="64"/>
                </a:lnTo>
                <a:lnTo>
                  <a:pt x="128" y="64"/>
                </a:lnTo>
                <a:lnTo>
                  <a:pt x="128" y="66"/>
                </a:lnTo>
                <a:lnTo>
                  <a:pt x="128" y="67"/>
                </a:lnTo>
                <a:lnTo>
                  <a:pt x="130" y="67"/>
                </a:lnTo>
                <a:lnTo>
                  <a:pt x="130" y="68"/>
                </a:lnTo>
                <a:lnTo>
                  <a:pt x="130" y="68"/>
                </a:lnTo>
                <a:lnTo>
                  <a:pt x="131" y="68"/>
                </a:lnTo>
                <a:lnTo>
                  <a:pt x="131" y="68"/>
                </a:lnTo>
                <a:lnTo>
                  <a:pt x="131" y="69"/>
                </a:lnTo>
                <a:lnTo>
                  <a:pt x="132" y="69"/>
                </a:lnTo>
                <a:lnTo>
                  <a:pt x="132" y="70"/>
                </a:lnTo>
                <a:lnTo>
                  <a:pt x="134" y="68"/>
                </a:lnTo>
                <a:lnTo>
                  <a:pt x="135" y="69"/>
                </a:lnTo>
                <a:lnTo>
                  <a:pt x="135" y="70"/>
                </a:lnTo>
                <a:lnTo>
                  <a:pt x="134" y="71"/>
                </a:lnTo>
                <a:lnTo>
                  <a:pt x="133" y="71"/>
                </a:lnTo>
                <a:lnTo>
                  <a:pt x="134" y="72"/>
                </a:lnTo>
                <a:lnTo>
                  <a:pt x="135" y="73"/>
                </a:lnTo>
                <a:lnTo>
                  <a:pt x="135" y="74"/>
                </a:lnTo>
                <a:lnTo>
                  <a:pt x="135" y="75"/>
                </a:lnTo>
                <a:lnTo>
                  <a:pt x="134" y="74"/>
                </a:lnTo>
                <a:lnTo>
                  <a:pt x="134" y="75"/>
                </a:lnTo>
                <a:lnTo>
                  <a:pt x="132" y="76"/>
                </a:lnTo>
                <a:lnTo>
                  <a:pt x="131" y="77"/>
                </a:lnTo>
                <a:lnTo>
                  <a:pt x="129" y="77"/>
                </a:lnTo>
                <a:lnTo>
                  <a:pt x="129" y="78"/>
                </a:lnTo>
                <a:lnTo>
                  <a:pt x="129" y="80"/>
                </a:lnTo>
                <a:lnTo>
                  <a:pt x="128" y="81"/>
                </a:lnTo>
                <a:lnTo>
                  <a:pt x="127" y="82"/>
                </a:lnTo>
                <a:lnTo>
                  <a:pt x="126" y="83"/>
                </a:lnTo>
                <a:lnTo>
                  <a:pt x="125" y="84"/>
                </a:lnTo>
                <a:lnTo>
                  <a:pt x="123" y="84"/>
                </a:lnTo>
                <a:lnTo>
                  <a:pt x="121" y="85"/>
                </a:lnTo>
                <a:lnTo>
                  <a:pt x="119" y="86"/>
                </a:lnTo>
                <a:lnTo>
                  <a:pt x="118" y="86"/>
                </a:lnTo>
                <a:lnTo>
                  <a:pt x="116" y="88"/>
                </a:lnTo>
                <a:lnTo>
                  <a:pt x="115" y="90"/>
                </a:lnTo>
                <a:lnTo>
                  <a:pt x="115" y="90"/>
                </a:lnTo>
                <a:lnTo>
                  <a:pt x="115" y="90"/>
                </a:lnTo>
                <a:lnTo>
                  <a:pt x="113" y="91"/>
                </a:lnTo>
                <a:lnTo>
                  <a:pt x="112" y="92"/>
                </a:lnTo>
                <a:lnTo>
                  <a:pt x="110" y="93"/>
                </a:lnTo>
                <a:lnTo>
                  <a:pt x="109" y="95"/>
                </a:lnTo>
                <a:lnTo>
                  <a:pt x="106" y="97"/>
                </a:lnTo>
                <a:lnTo>
                  <a:pt x="108" y="99"/>
                </a:lnTo>
                <a:lnTo>
                  <a:pt x="110" y="101"/>
                </a:lnTo>
                <a:lnTo>
                  <a:pt x="107" y="102"/>
                </a:lnTo>
                <a:lnTo>
                  <a:pt x="106" y="103"/>
                </a:lnTo>
                <a:lnTo>
                  <a:pt x="106" y="105"/>
                </a:lnTo>
                <a:lnTo>
                  <a:pt x="106" y="106"/>
                </a:lnTo>
                <a:lnTo>
                  <a:pt x="107" y="107"/>
                </a:lnTo>
                <a:lnTo>
                  <a:pt x="107" y="108"/>
                </a:lnTo>
                <a:lnTo>
                  <a:pt x="106" y="110"/>
                </a:lnTo>
                <a:lnTo>
                  <a:pt x="106" y="111"/>
                </a:lnTo>
                <a:lnTo>
                  <a:pt x="105" y="111"/>
                </a:lnTo>
                <a:lnTo>
                  <a:pt x="105" y="111"/>
                </a:lnTo>
                <a:lnTo>
                  <a:pt x="104" y="111"/>
                </a:lnTo>
                <a:lnTo>
                  <a:pt x="103" y="111"/>
                </a:lnTo>
                <a:lnTo>
                  <a:pt x="103" y="111"/>
                </a:lnTo>
                <a:lnTo>
                  <a:pt x="102" y="112"/>
                </a:lnTo>
                <a:lnTo>
                  <a:pt x="101" y="112"/>
                </a:lnTo>
                <a:lnTo>
                  <a:pt x="100" y="112"/>
                </a:lnTo>
                <a:lnTo>
                  <a:pt x="100" y="111"/>
                </a:lnTo>
                <a:lnTo>
                  <a:pt x="99" y="111"/>
                </a:lnTo>
                <a:lnTo>
                  <a:pt x="99" y="111"/>
                </a:lnTo>
                <a:lnTo>
                  <a:pt x="99" y="111"/>
                </a:lnTo>
                <a:lnTo>
                  <a:pt x="98" y="112"/>
                </a:lnTo>
                <a:lnTo>
                  <a:pt x="97" y="112"/>
                </a:lnTo>
                <a:lnTo>
                  <a:pt x="97" y="112"/>
                </a:lnTo>
                <a:lnTo>
                  <a:pt x="96" y="112"/>
                </a:lnTo>
                <a:lnTo>
                  <a:pt x="95" y="112"/>
                </a:lnTo>
                <a:lnTo>
                  <a:pt x="95" y="112"/>
                </a:lnTo>
                <a:lnTo>
                  <a:pt x="95" y="112"/>
                </a:lnTo>
                <a:lnTo>
                  <a:pt x="94" y="112"/>
                </a:lnTo>
                <a:lnTo>
                  <a:pt x="94" y="112"/>
                </a:lnTo>
                <a:lnTo>
                  <a:pt x="94" y="112"/>
                </a:lnTo>
                <a:lnTo>
                  <a:pt x="93" y="112"/>
                </a:lnTo>
                <a:lnTo>
                  <a:pt x="92" y="113"/>
                </a:lnTo>
                <a:lnTo>
                  <a:pt x="92" y="113"/>
                </a:lnTo>
                <a:lnTo>
                  <a:pt x="92" y="113"/>
                </a:lnTo>
                <a:lnTo>
                  <a:pt x="91" y="114"/>
                </a:lnTo>
                <a:lnTo>
                  <a:pt x="90" y="114"/>
                </a:lnTo>
                <a:lnTo>
                  <a:pt x="90" y="115"/>
                </a:lnTo>
                <a:lnTo>
                  <a:pt x="88" y="115"/>
                </a:lnTo>
                <a:lnTo>
                  <a:pt x="88" y="115"/>
                </a:lnTo>
                <a:lnTo>
                  <a:pt x="87" y="116"/>
                </a:lnTo>
                <a:lnTo>
                  <a:pt x="87" y="116"/>
                </a:lnTo>
                <a:lnTo>
                  <a:pt x="86" y="116"/>
                </a:lnTo>
                <a:lnTo>
                  <a:pt x="86" y="116"/>
                </a:lnTo>
                <a:lnTo>
                  <a:pt x="85" y="116"/>
                </a:lnTo>
                <a:lnTo>
                  <a:pt x="84" y="116"/>
                </a:lnTo>
                <a:lnTo>
                  <a:pt x="84" y="116"/>
                </a:lnTo>
                <a:lnTo>
                  <a:pt x="83" y="117"/>
                </a:lnTo>
                <a:lnTo>
                  <a:pt x="84" y="118"/>
                </a:lnTo>
                <a:lnTo>
                  <a:pt x="85" y="121"/>
                </a:lnTo>
                <a:lnTo>
                  <a:pt x="86" y="123"/>
                </a:lnTo>
                <a:lnTo>
                  <a:pt x="85" y="123"/>
                </a:lnTo>
                <a:lnTo>
                  <a:pt x="85" y="124"/>
                </a:lnTo>
                <a:lnTo>
                  <a:pt x="84" y="124"/>
                </a:lnTo>
                <a:lnTo>
                  <a:pt x="84" y="124"/>
                </a:lnTo>
                <a:lnTo>
                  <a:pt x="82" y="120"/>
                </a:lnTo>
                <a:lnTo>
                  <a:pt x="82" y="115"/>
                </a:lnTo>
                <a:lnTo>
                  <a:pt x="80" y="112"/>
                </a:lnTo>
                <a:lnTo>
                  <a:pt x="79" y="107"/>
                </a:lnTo>
                <a:lnTo>
                  <a:pt x="78" y="104"/>
                </a:lnTo>
                <a:lnTo>
                  <a:pt x="77" y="102"/>
                </a:lnTo>
                <a:lnTo>
                  <a:pt x="77" y="101"/>
                </a:lnTo>
                <a:lnTo>
                  <a:pt x="79" y="97"/>
                </a:lnTo>
                <a:lnTo>
                  <a:pt x="78" y="96"/>
                </a:lnTo>
                <a:lnTo>
                  <a:pt x="77" y="95"/>
                </a:lnTo>
                <a:lnTo>
                  <a:pt x="76" y="96"/>
                </a:lnTo>
                <a:lnTo>
                  <a:pt x="74" y="96"/>
                </a:lnTo>
                <a:lnTo>
                  <a:pt x="73" y="96"/>
                </a:lnTo>
                <a:lnTo>
                  <a:pt x="71" y="96"/>
                </a:lnTo>
                <a:lnTo>
                  <a:pt x="69" y="98"/>
                </a:lnTo>
                <a:lnTo>
                  <a:pt x="66" y="99"/>
                </a:lnTo>
                <a:lnTo>
                  <a:pt x="64" y="100"/>
                </a:lnTo>
                <a:lnTo>
                  <a:pt x="63" y="101"/>
                </a:lnTo>
                <a:lnTo>
                  <a:pt x="61" y="101"/>
                </a:lnTo>
                <a:lnTo>
                  <a:pt x="61" y="99"/>
                </a:lnTo>
                <a:lnTo>
                  <a:pt x="63" y="94"/>
                </a:lnTo>
                <a:lnTo>
                  <a:pt x="62" y="93"/>
                </a:lnTo>
                <a:lnTo>
                  <a:pt x="61" y="92"/>
                </a:lnTo>
                <a:lnTo>
                  <a:pt x="59" y="92"/>
                </a:lnTo>
                <a:lnTo>
                  <a:pt x="58" y="93"/>
                </a:lnTo>
                <a:lnTo>
                  <a:pt x="55" y="92"/>
                </a:lnTo>
                <a:lnTo>
                  <a:pt x="55" y="92"/>
                </a:lnTo>
                <a:lnTo>
                  <a:pt x="53" y="92"/>
                </a:lnTo>
                <a:lnTo>
                  <a:pt x="50" y="92"/>
                </a:lnTo>
                <a:lnTo>
                  <a:pt x="49" y="92"/>
                </a:lnTo>
                <a:lnTo>
                  <a:pt x="49" y="92"/>
                </a:lnTo>
                <a:lnTo>
                  <a:pt x="46" y="95"/>
                </a:lnTo>
                <a:lnTo>
                  <a:pt x="44" y="96"/>
                </a:lnTo>
                <a:lnTo>
                  <a:pt x="43" y="97"/>
                </a:lnTo>
                <a:lnTo>
                  <a:pt x="38" y="97"/>
                </a:lnTo>
                <a:lnTo>
                  <a:pt x="37" y="97"/>
                </a:lnTo>
                <a:lnTo>
                  <a:pt x="36" y="96"/>
                </a:lnTo>
                <a:lnTo>
                  <a:pt x="33" y="97"/>
                </a:lnTo>
                <a:lnTo>
                  <a:pt x="33" y="97"/>
                </a:lnTo>
                <a:lnTo>
                  <a:pt x="31" y="98"/>
                </a:lnTo>
                <a:lnTo>
                  <a:pt x="28" y="99"/>
                </a:lnTo>
                <a:lnTo>
                  <a:pt x="27" y="99"/>
                </a:lnTo>
                <a:lnTo>
                  <a:pt x="26" y="100"/>
                </a:lnTo>
                <a:lnTo>
                  <a:pt x="25" y="101"/>
                </a:lnTo>
                <a:lnTo>
                  <a:pt x="23" y="101"/>
                </a:lnTo>
                <a:lnTo>
                  <a:pt x="22" y="100"/>
                </a:lnTo>
                <a:lnTo>
                  <a:pt x="21" y="100"/>
                </a:lnTo>
                <a:lnTo>
                  <a:pt x="20" y="98"/>
                </a:lnTo>
                <a:lnTo>
                  <a:pt x="20" y="97"/>
                </a:lnTo>
                <a:lnTo>
                  <a:pt x="20" y="96"/>
                </a:lnTo>
                <a:lnTo>
                  <a:pt x="19" y="96"/>
                </a:lnTo>
                <a:lnTo>
                  <a:pt x="18" y="95"/>
                </a:lnTo>
                <a:lnTo>
                  <a:pt x="17" y="94"/>
                </a:lnTo>
                <a:lnTo>
                  <a:pt x="16" y="93"/>
                </a:lnTo>
                <a:lnTo>
                  <a:pt x="16" y="92"/>
                </a:lnTo>
                <a:lnTo>
                  <a:pt x="15" y="92"/>
                </a:lnTo>
                <a:lnTo>
                  <a:pt x="14" y="92"/>
                </a:lnTo>
                <a:lnTo>
                  <a:pt x="13" y="91"/>
                </a:lnTo>
                <a:lnTo>
                  <a:pt x="13" y="90"/>
                </a:lnTo>
                <a:lnTo>
                  <a:pt x="12" y="90"/>
                </a:lnTo>
                <a:lnTo>
                  <a:pt x="12" y="90"/>
                </a:lnTo>
                <a:lnTo>
                  <a:pt x="11" y="90"/>
                </a:lnTo>
                <a:lnTo>
                  <a:pt x="12" y="89"/>
                </a:lnTo>
                <a:lnTo>
                  <a:pt x="12" y="89"/>
                </a:lnTo>
                <a:lnTo>
                  <a:pt x="13" y="86"/>
                </a:lnTo>
                <a:lnTo>
                  <a:pt x="14" y="83"/>
                </a:lnTo>
                <a:lnTo>
                  <a:pt x="9" y="79"/>
                </a:lnTo>
                <a:lnTo>
                  <a:pt x="7" y="78"/>
                </a:lnTo>
                <a:lnTo>
                  <a:pt x="4" y="78"/>
                </a:lnTo>
                <a:lnTo>
                  <a:pt x="3" y="77"/>
                </a:lnTo>
                <a:lnTo>
                  <a:pt x="4" y="76"/>
                </a:lnTo>
                <a:lnTo>
                  <a:pt x="2" y="75"/>
                </a:lnTo>
                <a:lnTo>
                  <a:pt x="2" y="74"/>
                </a:lnTo>
                <a:lnTo>
                  <a:pt x="2" y="74"/>
                </a:lnTo>
                <a:lnTo>
                  <a:pt x="2" y="72"/>
                </a:lnTo>
                <a:lnTo>
                  <a:pt x="3" y="70"/>
                </a:lnTo>
                <a:lnTo>
                  <a:pt x="2" y="69"/>
                </a:lnTo>
                <a:lnTo>
                  <a:pt x="1" y="68"/>
                </a:lnTo>
                <a:lnTo>
                  <a:pt x="0" y="66"/>
                </a:lnTo>
                <a:lnTo>
                  <a:pt x="1" y="66"/>
                </a:lnTo>
                <a:lnTo>
                  <a:pt x="3" y="65"/>
                </a:lnTo>
                <a:lnTo>
                  <a:pt x="4" y="65"/>
                </a:lnTo>
                <a:lnTo>
                  <a:pt x="5" y="65"/>
                </a:lnTo>
                <a:lnTo>
                  <a:pt x="6" y="66"/>
                </a:lnTo>
                <a:lnTo>
                  <a:pt x="7" y="66"/>
                </a:lnTo>
                <a:lnTo>
                  <a:pt x="8" y="66"/>
                </a:lnTo>
                <a:lnTo>
                  <a:pt x="9" y="66"/>
                </a:lnTo>
                <a:lnTo>
                  <a:pt x="12" y="65"/>
                </a:lnTo>
                <a:lnTo>
                  <a:pt x="13" y="64"/>
                </a:lnTo>
                <a:lnTo>
                  <a:pt x="13" y="63"/>
                </a:lnTo>
                <a:lnTo>
                  <a:pt x="13" y="62"/>
                </a:lnTo>
                <a:lnTo>
                  <a:pt x="15" y="63"/>
                </a:lnTo>
                <a:lnTo>
                  <a:pt x="16" y="64"/>
                </a:lnTo>
                <a:lnTo>
                  <a:pt x="17" y="64"/>
                </a:lnTo>
                <a:lnTo>
                  <a:pt x="17" y="64"/>
                </a:lnTo>
                <a:lnTo>
                  <a:pt x="19" y="64"/>
                </a:lnTo>
                <a:lnTo>
                  <a:pt x="19" y="62"/>
                </a:lnTo>
                <a:lnTo>
                  <a:pt x="20" y="62"/>
                </a:lnTo>
                <a:lnTo>
                  <a:pt x="20" y="61"/>
                </a:lnTo>
                <a:lnTo>
                  <a:pt x="20" y="59"/>
                </a:lnTo>
                <a:lnTo>
                  <a:pt x="21" y="59"/>
                </a:lnTo>
                <a:lnTo>
                  <a:pt x="21" y="58"/>
                </a:lnTo>
                <a:lnTo>
                  <a:pt x="21" y="58"/>
                </a:lnTo>
                <a:lnTo>
                  <a:pt x="21" y="57"/>
                </a:lnTo>
                <a:lnTo>
                  <a:pt x="20" y="58"/>
                </a:lnTo>
                <a:lnTo>
                  <a:pt x="20" y="58"/>
                </a:lnTo>
                <a:lnTo>
                  <a:pt x="20" y="57"/>
                </a:lnTo>
                <a:lnTo>
                  <a:pt x="20" y="57"/>
                </a:lnTo>
                <a:lnTo>
                  <a:pt x="20" y="56"/>
                </a:lnTo>
                <a:lnTo>
                  <a:pt x="21" y="56"/>
                </a:lnTo>
                <a:lnTo>
                  <a:pt x="21" y="56"/>
                </a:lnTo>
                <a:lnTo>
                  <a:pt x="22" y="56"/>
                </a:lnTo>
                <a:lnTo>
                  <a:pt x="22" y="56"/>
                </a:lnTo>
                <a:lnTo>
                  <a:pt x="23" y="57"/>
                </a:lnTo>
                <a:lnTo>
                  <a:pt x="23" y="57"/>
                </a:lnTo>
                <a:lnTo>
                  <a:pt x="23" y="57"/>
                </a:lnTo>
                <a:lnTo>
                  <a:pt x="23" y="57"/>
                </a:lnTo>
                <a:lnTo>
                  <a:pt x="22" y="58"/>
                </a:lnTo>
                <a:lnTo>
                  <a:pt x="22" y="58"/>
                </a:lnTo>
                <a:lnTo>
                  <a:pt x="23" y="59"/>
                </a:lnTo>
                <a:lnTo>
                  <a:pt x="23" y="59"/>
                </a:lnTo>
                <a:lnTo>
                  <a:pt x="23" y="60"/>
                </a:lnTo>
                <a:lnTo>
                  <a:pt x="24" y="60"/>
                </a:lnTo>
                <a:lnTo>
                  <a:pt x="25" y="59"/>
                </a:lnTo>
                <a:lnTo>
                  <a:pt x="25" y="60"/>
                </a:lnTo>
                <a:lnTo>
                  <a:pt x="26" y="59"/>
                </a:lnTo>
                <a:lnTo>
                  <a:pt x="26" y="59"/>
                </a:lnTo>
                <a:lnTo>
                  <a:pt x="26" y="59"/>
                </a:lnTo>
                <a:lnTo>
                  <a:pt x="26" y="60"/>
                </a:lnTo>
                <a:lnTo>
                  <a:pt x="26" y="60"/>
                </a:lnTo>
                <a:lnTo>
                  <a:pt x="26" y="61"/>
                </a:lnTo>
                <a:lnTo>
                  <a:pt x="26" y="61"/>
                </a:lnTo>
                <a:lnTo>
                  <a:pt x="26" y="61"/>
                </a:lnTo>
                <a:lnTo>
                  <a:pt x="27" y="61"/>
                </a:lnTo>
                <a:lnTo>
                  <a:pt x="27" y="62"/>
                </a:lnTo>
                <a:lnTo>
                  <a:pt x="27" y="62"/>
                </a:lnTo>
                <a:lnTo>
                  <a:pt x="28" y="61"/>
                </a:lnTo>
                <a:lnTo>
                  <a:pt x="28" y="62"/>
                </a:lnTo>
                <a:lnTo>
                  <a:pt x="30" y="62"/>
                </a:lnTo>
                <a:lnTo>
                  <a:pt x="32" y="61"/>
                </a:lnTo>
                <a:lnTo>
                  <a:pt x="32" y="61"/>
                </a:lnTo>
                <a:lnTo>
                  <a:pt x="33" y="60"/>
                </a:lnTo>
                <a:lnTo>
                  <a:pt x="34" y="60"/>
                </a:lnTo>
                <a:lnTo>
                  <a:pt x="35" y="60"/>
                </a:lnTo>
                <a:lnTo>
                  <a:pt x="35" y="56"/>
                </a:lnTo>
                <a:lnTo>
                  <a:pt x="35" y="56"/>
                </a:lnTo>
                <a:lnTo>
                  <a:pt x="34" y="54"/>
                </a:lnTo>
                <a:lnTo>
                  <a:pt x="35" y="53"/>
                </a:lnTo>
                <a:lnTo>
                  <a:pt x="35" y="52"/>
                </a:lnTo>
                <a:lnTo>
                  <a:pt x="35" y="50"/>
                </a:lnTo>
                <a:lnTo>
                  <a:pt x="35" y="47"/>
                </a:lnTo>
                <a:lnTo>
                  <a:pt x="34" y="43"/>
                </a:lnTo>
                <a:lnTo>
                  <a:pt x="34" y="43"/>
                </a:lnTo>
                <a:lnTo>
                  <a:pt x="34" y="41"/>
                </a:lnTo>
                <a:lnTo>
                  <a:pt x="35" y="39"/>
                </a:lnTo>
                <a:lnTo>
                  <a:pt x="35" y="35"/>
                </a:lnTo>
                <a:lnTo>
                  <a:pt x="35" y="35"/>
                </a:lnTo>
                <a:lnTo>
                  <a:pt x="36" y="32"/>
                </a:lnTo>
                <a:lnTo>
                  <a:pt x="36" y="31"/>
                </a:lnTo>
                <a:lnTo>
                  <a:pt x="36" y="31"/>
                </a:lnTo>
                <a:lnTo>
                  <a:pt x="35" y="30"/>
                </a:lnTo>
                <a:lnTo>
                  <a:pt x="29" y="29"/>
                </a:lnTo>
                <a:lnTo>
                  <a:pt x="27" y="28"/>
                </a:lnTo>
                <a:lnTo>
                  <a:pt x="27" y="28"/>
                </a:lnTo>
                <a:lnTo>
                  <a:pt x="26" y="26"/>
                </a:lnTo>
                <a:lnTo>
                  <a:pt x="25" y="26"/>
                </a:lnTo>
                <a:lnTo>
                  <a:pt x="25" y="24"/>
                </a:lnTo>
                <a:lnTo>
                  <a:pt x="25" y="24"/>
                </a:lnTo>
                <a:lnTo>
                  <a:pt x="24" y="23"/>
                </a:lnTo>
                <a:lnTo>
                  <a:pt x="23" y="22"/>
                </a:lnTo>
                <a:lnTo>
                  <a:pt x="22" y="22"/>
                </a:lnTo>
                <a:lnTo>
                  <a:pt x="22" y="22"/>
                </a:lnTo>
                <a:lnTo>
                  <a:pt x="20" y="22"/>
                </a:lnTo>
                <a:lnTo>
                  <a:pt x="19" y="21"/>
                </a:lnTo>
                <a:lnTo>
                  <a:pt x="18" y="19"/>
                </a:lnTo>
                <a:lnTo>
                  <a:pt x="17" y="19"/>
                </a:lnTo>
                <a:lnTo>
                  <a:pt x="16" y="19"/>
                </a:lnTo>
                <a:lnTo>
                  <a:pt x="13" y="18"/>
                </a:lnTo>
                <a:lnTo>
                  <a:pt x="13" y="18"/>
                </a:lnTo>
                <a:lnTo>
                  <a:pt x="12" y="17"/>
                </a:lnTo>
                <a:lnTo>
                  <a:pt x="11" y="16"/>
                </a:lnTo>
                <a:lnTo>
                  <a:pt x="10" y="14"/>
                </a:lnTo>
                <a:lnTo>
                  <a:pt x="10" y="14"/>
                </a:lnTo>
                <a:lnTo>
                  <a:pt x="10" y="13"/>
                </a:lnTo>
                <a:lnTo>
                  <a:pt x="11" y="12"/>
                </a:lnTo>
                <a:lnTo>
                  <a:pt x="12" y="12"/>
                </a:lnTo>
                <a:lnTo>
                  <a:pt x="13" y="11"/>
                </a:lnTo>
                <a:lnTo>
                  <a:pt x="13" y="10"/>
                </a:lnTo>
                <a:lnTo>
                  <a:pt x="14" y="9"/>
                </a:lnTo>
                <a:lnTo>
                  <a:pt x="14" y="8"/>
                </a:lnTo>
                <a:lnTo>
                  <a:pt x="17" y="8"/>
                </a:lnTo>
                <a:lnTo>
                  <a:pt x="20" y="8"/>
                </a:lnTo>
                <a:lnTo>
                  <a:pt x="21" y="7"/>
                </a:lnTo>
                <a:lnTo>
                  <a:pt x="21" y="6"/>
                </a:lnTo>
                <a:lnTo>
                  <a:pt x="21" y="6"/>
                </a:lnTo>
                <a:lnTo>
                  <a:pt x="21" y="5"/>
                </a:lnTo>
                <a:lnTo>
                  <a:pt x="20" y="5"/>
                </a:lnTo>
                <a:lnTo>
                  <a:pt x="20" y="4"/>
                </a:lnTo>
                <a:lnTo>
                  <a:pt x="20" y="4"/>
                </a:lnTo>
                <a:lnTo>
                  <a:pt x="21" y="4"/>
                </a:lnTo>
                <a:lnTo>
                  <a:pt x="22" y="4"/>
                </a:lnTo>
                <a:lnTo>
                  <a:pt x="23" y="4"/>
                </a:lnTo>
                <a:lnTo>
                  <a:pt x="23" y="4"/>
                </a:lnTo>
                <a:lnTo>
                  <a:pt x="23" y="6"/>
                </a:lnTo>
                <a:lnTo>
                  <a:pt x="24" y="6"/>
                </a:lnTo>
                <a:lnTo>
                  <a:pt x="24" y="6"/>
                </a:lnTo>
                <a:lnTo>
                  <a:pt x="26" y="3"/>
                </a:lnTo>
                <a:lnTo>
                  <a:pt x="26" y="3"/>
                </a:lnTo>
                <a:lnTo>
                  <a:pt x="26" y="2"/>
                </a:lnTo>
                <a:lnTo>
                  <a:pt x="26" y="3"/>
                </a:lnTo>
                <a:lnTo>
                  <a:pt x="27" y="3"/>
                </a:lnTo>
                <a:lnTo>
                  <a:pt x="27" y="3"/>
                </a:lnTo>
                <a:lnTo>
                  <a:pt x="27" y="4"/>
                </a:lnTo>
                <a:lnTo>
                  <a:pt x="26" y="6"/>
                </a:lnTo>
                <a:lnTo>
                  <a:pt x="26" y="7"/>
                </a:lnTo>
                <a:lnTo>
                  <a:pt x="27" y="7"/>
                </a:lnTo>
                <a:lnTo>
                  <a:pt x="29" y="7"/>
                </a:lnTo>
                <a:lnTo>
                  <a:pt x="29" y="6"/>
                </a:lnTo>
                <a:lnTo>
                  <a:pt x="30" y="5"/>
                </a:lnTo>
                <a:lnTo>
                  <a:pt x="30" y="4"/>
                </a:lnTo>
                <a:lnTo>
                  <a:pt x="31" y="4"/>
                </a:lnTo>
                <a:lnTo>
                  <a:pt x="32" y="5"/>
                </a:lnTo>
                <a:lnTo>
                  <a:pt x="33" y="7"/>
                </a:lnTo>
                <a:lnTo>
                  <a:pt x="34" y="7"/>
                </a:lnTo>
                <a:lnTo>
                  <a:pt x="34" y="7"/>
                </a:lnTo>
                <a:lnTo>
                  <a:pt x="35" y="6"/>
                </a:lnTo>
                <a:lnTo>
                  <a:pt x="35" y="6"/>
                </a:lnTo>
                <a:lnTo>
                  <a:pt x="37" y="6"/>
                </a:lnTo>
                <a:lnTo>
                  <a:pt x="38" y="6"/>
                </a:lnTo>
                <a:lnTo>
                  <a:pt x="39" y="6"/>
                </a:lnTo>
                <a:lnTo>
                  <a:pt x="40" y="7"/>
                </a:lnTo>
                <a:lnTo>
                  <a:pt x="40" y="8"/>
                </a:lnTo>
                <a:lnTo>
                  <a:pt x="39" y="9"/>
                </a:lnTo>
                <a:lnTo>
                  <a:pt x="39" y="9"/>
                </a:lnTo>
                <a:lnTo>
                  <a:pt x="40" y="9"/>
                </a:lnTo>
                <a:lnTo>
                  <a:pt x="41" y="9"/>
                </a:lnTo>
                <a:lnTo>
                  <a:pt x="42" y="8"/>
                </a:lnTo>
                <a:lnTo>
                  <a:pt x="42" y="7"/>
                </a:lnTo>
                <a:lnTo>
                  <a:pt x="43" y="6"/>
                </a:lnTo>
                <a:lnTo>
                  <a:pt x="44" y="6"/>
                </a:lnTo>
                <a:lnTo>
                  <a:pt x="45" y="6"/>
                </a:lnTo>
                <a:lnTo>
                  <a:pt x="46" y="6"/>
                </a:lnTo>
                <a:lnTo>
                  <a:pt x="47" y="6"/>
                </a:lnTo>
                <a:lnTo>
                  <a:pt x="47" y="5"/>
                </a:lnTo>
                <a:lnTo>
                  <a:pt x="48" y="4"/>
                </a:lnTo>
                <a:lnTo>
                  <a:pt x="48" y="3"/>
                </a:lnTo>
                <a:lnTo>
                  <a:pt x="49" y="3"/>
                </a:lnTo>
                <a:lnTo>
                  <a:pt x="49" y="3"/>
                </a:lnTo>
                <a:lnTo>
                  <a:pt x="50" y="4"/>
                </a:lnTo>
                <a:lnTo>
                  <a:pt x="50" y="5"/>
                </a:lnTo>
                <a:lnTo>
                  <a:pt x="51" y="5"/>
                </a:lnTo>
                <a:lnTo>
                  <a:pt x="51" y="5"/>
                </a:lnTo>
                <a:lnTo>
                  <a:pt x="51" y="4"/>
                </a:lnTo>
                <a:lnTo>
                  <a:pt x="51" y="3"/>
                </a:lnTo>
                <a:lnTo>
                  <a:pt x="51" y="3"/>
                </a:lnTo>
                <a:lnTo>
                  <a:pt x="52" y="2"/>
                </a:lnTo>
                <a:lnTo>
                  <a:pt x="52" y="2"/>
                </a:lnTo>
                <a:lnTo>
                  <a:pt x="53" y="2"/>
                </a:lnTo>
                <a:lnTo>
                  <a:pt x="54" y="3"/>
                </a:lnTo>
                <a:lnTo>
                  <a:pt x="54" y="3"/>
                </a:lnTo>
                <a:lnTo>
                  <a:pt x="55" y="4"/>
                </a:lnTo>
                <a:lnTo>
                  <a:pt x="55" y="5"/>
                </a:lnTo>
                <a:lnTo>
                  <a:pt x="56" y="5"/>
                </a:lnTo>
                <a:lnTo>
                  <a:pt x="57" y="5"/>
                </a:lnTo>
                <a:lnTo>
                  <a:pt x="58" y="5"/>
                </a:lnTo>
                <a:lnTo>
                  <a:pt x="58" y="6"/>
                </a:lnTo>
                <a:lnTo>
                  <a:pt x="59" y="5"/>
                </a:lnTo>
                <a:lnTo>
                  <a:pt x="59" y="5"/>
                </a:lnTo>
                <a:lnTo>
                  <a:pt x="58" y="4"/>
                </a:lnTo>
                <a:lnTo>
                  <a:pt x="58" y="4"/>
                </a:lnTo>
                <a:lnTo>
                  <a:pt x="57" y="3"/>
                </a:lnTo>
                <a:lnTo>
                  <a:pt x="56" y="3"/>
                </a:lnTo>
                <a:lnTo>
                  <a:pt x="56" y="2"/>
                </a:lnTo>
                <a:lnTo>
                  <a:pt x="57" y="1"/>
                </a:lnTo>
                <a:lnTo>
                  <a:pt x="57" y="0"/>
                </a:lnTo>
                <a:lnTo>
                  <a:pt x="58" y="0"/>
                </a:lnTo>
                <a:lnTo>
                  <a:pt x="58" y="0"/>
                </a:lnTo>
                <a:lnTo>
                  <a:pt x="58" y="1"/>
                </a:lnTo>
                <a:lnTo>
                  <a:pt x="59" y="2"/>
                </a:lnTo>
                <a:lnTo>
                  <a:pt x="60" y="3"/>
                </a:lnTo>
                <a:lnTo>
                  <a:pt x="60" y="4"/>
                </a:lnTo>
                <a:lnTo>
                  <a:pt x="61" y="4"/>
                </a:lnTo>
                <a:lnTo>
                  <a:pt x="61" y="5"/>
                </a:lnTo>
                <a:lnTo>
                  <a:pt x="62" y="4"/>
                </a:lnTo>
                <a:lnTo>
                  <a:pt x="61" y="3"/>
                </a:lnTo>
                <a:lnTo>
                  <a:pt x="61" y="3"/>
                </a:lnTo>
                <a:lnTo>
                  <a:pt x="61" y="2"/>
                </a:lnTo>
                <a:lnTo>
                  <a:pt x="63" y="2"/>
                </a:lnTo>
                <a:lnTo>
                  <a:pt x="64" y="2"/>
                </a:lnTo>
                <a:lnTo>
                  <a:pt x="65" y="2"/>
                </a:lnTo>
                <a:lnTo>
                  <a:pt x="65" y="1"/>
                </a:lnTo>
                <a:lnTo>
                  <a:pt x="66" y="0"/>
                </a:lnTo>
                <a:lnTo>
                  <a:pt x="66" y="0"/>
                </a:lnTo>
                <a:lnTo>
                  <a:pt x="67" y="0"/>
                </a:lnTo>
              </a:path>
            </a:pathLst>
          </a:custGeom>
          <a:grpFill/>
          <a:ln w="9525">
            <a:solidFill>
              <a:schemeClr val="bg1">
                <a:lumMod val="65000"/>
              </a:schemeClr>
            </a:solidFill>
            <a:prstDash val="solid"/>
            <a:round/>
            <a:headEnd/>
            <a:tailEnd/>
          </a:ln>
        </xdr:spPr>
      </xdr:sp>
      <xdr:sp macro="" textlink="">
        <xdr:nvSpPr>
          <xdr:cNvPr id="214" name="GIN006004"/>
          <xdr:cNvSpPr>
            <a:spLocks noChangeAspect="1"/>
          </xdr:cNvSpPr>
        </xdr:nvSpPr>
        <xdr:spPr bwMode="auto">
          <a:xfrm>
            <a:off x="5628409" y="2428071"/>
            <a:ext cx="1362076" cy="706520"/>
          </a:xfrm>
          <a:custGeom>
            <a:avLst/>
            <a:gdLst>
              <a:gd name="T0" fmla="*/ 142 w 143"/>
              <a:gd name="T1" fmla="*/ 3 h 77"/>
              <a:gd name="T2" fmla="*/ 142 w 143"/>
              <a:gd name="T3" fmla="*/ 6 h 77"/>
              <a:gd name="T4" fmla="*/ 139 w 143"/>
              <a:gd name="T5" fmla="*/ 6 h 77"/>
              <a:gd name="T6" fmla="*/ 138 w 143"/>
              <a:gd name="T7" fmla="*/ 6 h 77"/>
              <a:gd name="T8" fmla="*/ 136 w 143"/>
              <a:gd name="T9" fmla="*/ 8 h 77"/>
              <a:gd name="T10" fmla="*/ 136 w 143"/>
              <a:gd name="T11" fmla="*/ 10 h 77"/>
              <a:gd name="T12" fmla="*/ 137 w 143"/>
              <a:gd name="T13" fmla="*/ 16 h 77"/>
              <a:gd name="T14" fmla="*/ 134 w 143"/>
              <a:gd name="T15" fmla="*/ 20 h 77"/>
              <a:gd name="T16" fmla="*/ 131 w 143"/>
              <a:gd name="T17" fmla="*/ 22 h 77"/>
              <a:gd name="T18" fmla="*/ 129 w 143"/>
              <a:gd name="T19" fmla="*/ 23 h 77"/>
              <a:gd name="T20" fmla="*/ 128 w 143"/>
              <a:gd name="T21" fmla="*/ 25 h 77"/>
              <a:gd name="T22" fmla="*/ 126 w 143"/>
              <a:gd name="T23" fmla="*/ 26 h 77"/>
              <a:gd name="T24" fmla="*/ 124 w 143"/>
              <a:gd name="T25" fmla="*/ 28 h 77"/>
              <a:gd name="T26" fmla="*/ 122 w 143"/>
              <a:gd name="T27" fmla="*/ 29 h 77"/>
              <a:gd name="T28" fmla="*/ 121 w 143"/>
              <a:gd name="T29" fmla="*/ 30 h 77"/>
              <a:gd name="T30" fmla="*/ 119 w 143"/>
              <a:gd name="T31" fmla="*/ 31 h 77"/>
              <a:gd name="T32" fmla="*/ 118 w 143"/>
              <a:gd name="T33" fmla="*/ 33 h 77"/>
              <a:gd name="T34" fmla="*/ 115 w 143"/>
              <a:gd name="T35" fmla="*/ 35 h 77"/>
              <a:gd name="T36" fmla="*/ 113 w 143"/>
              <a:gd name="T37" fmla="*/ 38 h 77"/>
              <a:gd name="T38" fmla="*/ 111 w 143"/>
              <a:gd name="T39" fmla="*/ 41 h 77"/>
              <a:gd name="T40" fmla="*/ 110 w 143"/>
              <a:gd name="T41" fmla="*/ 43 h 77"/>
              <a:gd name="T42" fmla="*/ 102 w 143"/>
              <a:gd name="T43" fmla="*/ 49 h 77"/>
              <a:gd name="T44" fmla="*/ 93 w 143"/>
              <a:gd name="T45" fmla="*/ 57 h 77"/>
              <a:gd name="T46" fmla="*/ 77 w 143"/>
              <a:gd name="T47" fmla="*/ 61 h 77"/>
              <a:gd name="T48" fmla="*/ 69 w 143"/>
              <a:gd name="T49" fmla="*/ 74 h 77"/>
              <a:gd name="T50" fmla="*/ 58 w 143"/>
              <a:gd name="T51" fmla="*/ 76 h 77"/>
              <a:gd name="T52" fmla="*/ 50 w 143"/>
              <a:gd name="T53" fmla="*/ 73 h 77"/>
              <a:gd name="T54" fmla="*/ 46 w 143"/>
              <a:gd name="T55" fmla="*/ 75 h 77"/>
              <a:gd name="T56" fmla="*/ 44 w 143"/>
              <a:gd name="T57" fmla="*/ 74 h 77"/>
              <a:gd name="T58" fmla="*/ 42 w 143"/>
              <a:gd name="T59" fmla="*/ 74 h 77"/>
              <a:gd name="T60" fmla="*/ 34 w 143"/>
              <a:gd name="T61" fmla="*/ 69 h 77"/>
              <a:gd name="T62" fmla="*/ 28 w 143"/>
              <a:gd name="T63" fmla="*/ 68 h 77"/>
              <a:gd name="T64" fmla="*/ 20 w 143"/>
              <a:gd name="T65" fmla="*/ 59 h 77"/>
              <a:gd name="T66" fmla="*/ 13 w 143"/>
              <a:gd name="T67" fmla="*/ 51 h 77"/>
              <a:gd name="T68" fmla="*/ 8 w 143"/>
              <a:gd name="T69" fmla="*/ 57 h 77"/>
              <a:gd name="T70" fmla="*/ 2 w 143"/>
              <a:gd name="T71" fmla="*/ 49 h 77"/>
              <a:gd name="T72" fmla="*/ 3 w 143"/>
              <a:gd name="T73" fmla="*/ 44 h 77"/>
              <a:gd name="T74" fmla="*/ 0 w 143"/>
              <a:gd name="T75" fmla="*/ 38 h 77"/>
              <a:gd name="T76" fmla="*/ 2 w 143"/>
              <a:gd name="T77" fmla="*/ 30 h 77"/>
              <a:gd name="T78" fmla="*/ 2 w 143"/>
              <a:gd name="T79" fmla="*/ 26 h 77"/>
              <a:gd name="T80" fmla="*/ 17 w 143"/>
              <a:gd name="T81" fmla="*/ 13 h 77"/>
              <a:gd name="T82" fmla="*/ 26 w 143"/>
              <a:gd name="T83" fmla="*/ 7 h 77"/>
              <a:gd name="T84" fmla="*/ 32 w 143"/>
              <a:gd name="T85" fmla="*/ 4 h 77"/>
              <a:gd name="T86" fmla="*/ 42 w 143"/>
              <a:gd name="T87" fmla="*/ 7 h 77"/>
              <a:gd name="T88" fmla="*/ 45 w 143"/>
              <a:gd name="T89" fmla="*/ 12 h 77"/>
              <a:gd name="T90" fmla="*/ 51 w 143"/>
              <a:gd name="T91" fmla="*/ 12 h 77"/>
              <a:gd name="T92" fmla="*/ 63 w 143"/>
              <a:gd name="T93" fmla="*/ 8 h 77"/>
              <a:gd name="T94" fmla="*/ 66 w 143"/>
              <a:gd name="T95" fmla="*/ 7 h 77"/>
              <a:gd name="T96" fmla="*/ 73 w 143"/>
              <a:gd name="T97" fmla="*/ 2 h 77"/>
              <a:gd name="T98" fmla="*/ 79 w 143"/>
              <a:gd name="T99" fmla="*/ 4 h 77"/>
              <a:gd name="T100" fmla="*/ 88 w 143"/>
              <a:gd name="T101" fmla="*/ 2 h 77"/>
              <a:gd name="T102" fmla="*/ 93 w 143"/>
              <a:gd name="T103" fmla="*/ 2 h 77"/>
              <a:gd name="T104" fmla="*/ 105 w 143"/>
              <a:gd name="T105" fmla="*/ 5 h 77"/>
              <a:gd name="T106" fmla="*/ 114 w 143"/>
              <a:gd name="T107" fmla="*/ 2 h 77"/>
              <a:gd name="T108" fmla="*/ 122 w 143"/>
              <a:gd name="T109"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43" h="77">
                <a:moveTo>
                  <a:pt x="133" y="0"/>
                </a:moveTo>
                <a:lnTo>
                  <a:pt x="135" y="0"/>
                </a:lnTo>
                <a:lnTo>
                  <a:pt x="137" y="1"/>
                </a:lnTo>
                <a:lnTo>
                  <a:pt x="139" y="2"/>
                </a:lnTo>
                <a:lnTo>
                  <a:pt x="140" y="3"/>
                </a:lnTo>
                <a:lnTo>
                  <a:pt x="142" y="3"/>
                </a:lnTo>
                <a:lnTo>
                  <a:pt x="142" y="3"/>
                </a:lnTo>
                <a:lnTo>
                  <a:pt x="143" y="4"/>
                </a:lnTo>
                <a:lnTo>
                  <a:pt x="143" y="5"/>
                </a:lnTo>
                <a:lnTo>
                  <a:pt x="143" y="5"/>
                </a:lnTo>
                <a:lnTo>
                  <a:pt x="142" y="6"/>
                </a:lnTo>
                <a:lnTo>
                  <a:pt x="142" y="6"/>
                </a:lnTo>
                <a:lnTo>
                  <a:pt x="141" y="6"/>
                </a:lnTo>
                <a:lnTo>
                  <a:pt x="140" y="6"/>
                </a:lnTo>
                <a:lnTo>
                  <a:pt x="140" y="6"/>
                </a:lnTo>
                <a:lnTo>
                  <a:pt x="139" y="6"/>
                </a:lnTo>
                <a:lnTo>
                  <a:pt x="139" y="6"/>
                </a:lnTo>
                <a:lnTo>
                  <a:pt x="139" y="6"/>
                </a:lnTo>
                <a:lnTo>
                  <a:pt x="139" y="5"/>
                </a:lnTo>
                <a:lnTo>
                  <a:pt x="139" y="5"/>
                </a:lnTo>
                <a:lnTo>
                  <a:pt x="139" y="5"/>
                </a:lnTo>
                <a:lnTo>
                  <a:pt x="138" y="5"/>
                </a:lnTo>
                <a:lnTo>
                  <a:pt x="138" y="6"/>
                </a:lnTo>
                <a:lnTo>
                  <a:pt x="138" y="6"/>
                </a:lnTo>
                <a:lnTo>
                  <a:pt x="137" y="6"/>
                </a:lnTo>
                <a:lnTo>
                  <a:pt x="137" y="6"/>
                </a:lnTo>
                <a:lnTo>
                  <a:pt x="136" y="6"/>
                </a:lnTo>
                <a:lnTo>
                  <a:pt x="136" y="7"/>
                </a:lnTo>
                <a:lnTo>
                  <a:pt x="136" y="7"/>
                </a:lnTo>
                <a:lnTo>
                  <a:pt x="136" y="8"/>
                </a:lnTo>
                <a:lnTo>
                  <a:pt x="136" y="8"/>
                </a:lnTo>
                <a:lnTo>
                  <a:pt x="136" y="8"/>
                </a:lnTo>
                <a:lnTo>
                  <a:pt x="136" y="8"/>
                </a:lnTo>
                <a:lnTo>
                  <a:pt x="135" y="9"/>
                </a:lnTo>
                <a:lnTo>
                  <a:pt x="135" y="9"/>
                </a:lnTo>
                <a:lnTo>
                  <a:pt x="136" y="10"/>
                </a:lnTo>
                <a:lnTo>
                  <a:pt x="137" y="12"/>
                </a:lnTo>
                <a:lnTo>
                  <a:pt x="137" y="13"/>
                </a:lnTo>
                <a:lnTo>
                  <a:pt x="137" y="13"/>
                </a:lnTo>
                <a:lnTo>
                  <a:pt x="137" y="14"/>
                </a:lnTo>
                <a:lnTo>
                  <a:pt x="137" y="15"/>
                </a:lnTo>
                <a:lnTo>
                  <a:pt x="137" y="16"/>
                </a:lnTo>
                <a:lnTo>
                  <a:pt x="136" y="16"/>
                </a:lnTo>
                <a:lnTo>
                  <a:pt x="135" y="17"/>
                </a:lnTo>
                <a:lnTo>
                  <a:pt x="135" y="17"/>
                </a:lnTo>
                <a:lnTo>
                  <a:pt x="135" y="18"/>
                </a:lnTo>
                <a:lnTo>
                  <a:pt x="135" y="19"/>
                </a:lnTo>
                <a:lnTo>
                  <a:pt x="134" y="20"/>
                </a:lnTo>
                <a:lnTo>
                  <a:pt x="133" y="20"/>
                </a:lnTo>
                <a:lnTo>
                  <a:pt x="132" y="21"/>
                </a:lnTo>
                <a:lnTo>
                  <a:pt x="132" y="22"/>
                </a:lnTo>
                <a:lnTo>
                  <a:pt x="131" y="22"/>
                </a:lnTo>
                <a:lnTo>
                  <a:pt x="131" y="22"/>
                </a:lnTo>
                <a:lnTo>
                  <a:pt x="131" y="22"/>
                </a:lnTo>
                <a:lnTo>
                  <a:pt x="130" y="22"/>
                </a:lnTo>
                <a:lnTo>
                  <a:pt x="130" y="23"/>
                </a:lnTo>
                <a:lnTo>
                  <a:pt x="130" y="23"/>
                </a:lnTo>
                <a:lnTo>
                  <a:pt x="130" y="23"/>
                </a:lnTo>
                <a:lnTo>
                  <a:pt x="130" y="23"/>
                </a:lnTo>
                <a:lnTo>
                  <a:pt x="129" y="23"/>
                </a:lnTo>
                <a:lnTo>
                  <a:pt x="129" y="24"/>
                </a:lnTo>
                <a:lnTo>
                  <a:pt x="129" y="24"/>
                </a:lnTo>
                <a:lnTo>
                  <a:pt x="129" y="24"/>
                </a:lnTo>
                <a:lnTo>
                  <a:pt x="128" y="24"/>
                </a:lnTo>
                <a:lnTo>
                  <a:pt x="128" y="25"/>
                </a:lnTo>
                <a:lnTo>
                  <a:pt x="128" y="25"/>
                </a:lnTo>
                <a:lnTo>
                  <a:pt x="127" y="25"/>
                </a:lnTo>
                <a:lnTo>
                  <a:pt x="127" y="25"/>
                </a:lnTo>
                <a:lnTo>
                  <a:pt x="127" y="25"/>
                </a:lnTo>
                <a:lnTo>
                  <a:pt x="126" y="26"/>
                </a:lnTo>
                <a:lnTo>
                  <a:pt x="126" y="26"/>
                </a:lnTo>
                <a:lnTo>
                  <a:pt x="126" y="26"/>
                </a:lnTo>
                <a:lnTo>
                  <a:pt x="126" y="26"/>
                </a:lnTo>
                <a:lnTo>
                  <a:pt x="125" y="27"/>
                </a:lnTo>
                <a:lnTo>
                  <a:pt x="125" y="27"/>
                </a:lnTo>
                <a:lnTo>
                  <a:pt x="125" y="27"/>
                </a:lnTo>
                <a:lnTo>
                  <a:pt x="124" y="28"/>
                </a:lnTo>
                <a:lnTo>
                  <a:pt x="124" y="28"/>
                </a:lnTo>
                <a:lnTo>
                  <a:pt x="124" y="28"/>
                </a:lnTo>
                <a:lnTo>
                  <a:pt x="123" y="28"/>
                </a:lnTo>
                <a:lnTo>
                  <a:pt x="123" y="29"/>
                </a:lnTo>
                <a:lnTo>
                  <a:pt x="123" y="29"/>
                </a:lnTo>
                <a:lnTo>
                  <a:pt x="122" y="29"/>
                </a:lnTo>
                <a:lnTo>
                  <a:pt x="122" y="29"/>
                </a:lnTo>
                <a:lnTo>
                  <a:pt x="122" y="29"/>
                </a:lnTo>
                <a:lnTo>
                  <a:pt x="122" y="29"/>
                </a:lnTo>
                <a:lnTo>
                  <a:pt x="122" y="29"/>
                </a:lnTo>
                <a:lnTo>
                  <a:pt x="122" y="30"/>
                </a:lnTo>
                <a:lnTo>
                  <a:pt x="121" y="30"/>
                </a:lnTo>
                <a:lnTo>
                  <a:pt x="121" y="30"/>
                </a:lnTo>
                <a:lnTo>
                  <a:pt x="121" y="30"/>
                </a:lnTo>
                <a:lnTo>
                  <a:pt x="121" y="30"/>
                </a:lnTo>
                <a:lnTo>
                  <a:pt x="120" y="31"/>
                </a:lnTo>
                <a:lnTo>
                  <a:pt x="120" y="31"/>
                </a:lnTo>
                <a:lnTo>
                  <a:pt x="120" y="31"/>
                </a:lnTo>
                <a:lnTo>
                  <a:pt x="119" y="31"/>
                </a:lnTo>
                <a:lnTo>
                  <a:pt x="119" y="31"/>
                </a:lnTo>
                <a:lnTo>
                  <a:pt x="119" y="32"/>
                </a:lnTo>
                <a:lnTo>
                  <a:pt x="119" y="32"/>
                </a:lnTo>
                <a:lnTo>
                  <a:pt x="118" y="32"/>
                </a:lnTo>
                <a:lnTo>
                  <a:pt x="118" y="32"/>
                </a:lnTo>
                <a:lnTo>
                  <a:pt x="118" y="33"/>
                </a:lnTo>
                <a:lnTo>
                  <a:pt x="117" y="33"/>
                </a:lnTo>
                <a:lnTo>
                  <a:pt x="117" y="33"/>
                </a:lnTo>
                <a:lnTo>
                  <a:pt x="116" y="34"/>
                </a:lnTo>
                <a:lnTo>
                  <a:pt x="116" y="34"/>
                </a:lnTo>
                <a:lnTo>
                  <a:pt x="116" y="34"/>
                </a:lnTo>
                <a:lnTo>
                  <a:pt x="115" y="35"/>
                </a:lnTo>
                <a:lnTo>
                  <a:pt x="115" y="35"/>
                </a:lnTo>
                <a:lnTo>
                  <a:pt x="114" y="36"/>
                </a:lnTo>
                <a:lnTo>
                  <a:pt x="114" y="36"/>
                </a:lnTo>
                <a:lnTo>
                  <a:pt x="114" y="37"/>
                </a:lnTo>
                <a:lnTo>
                  <a:pt x="113" y="37"/>
                </a:lnTo>
                <a:lnTo>
                  <a:pt x="113" y="38"/>
                </a:lnTo>
                <a:lnTo>
                  <a:pt x="113" y="38"/>
                </a:lnTo>
                <a:lnTo>
                  <a:pt x="112" y="39"/>
                </a:lnTo>
                <a:lnTo>
                  <a:pt x="112" y="39"/>
                </a:lnTo>
                <a:lnTo>
                  <a:pt x="112" y="39"/>
                </a:lnTo>
                <a:lnTo>
                  <a:pt x="111" y="40"/>
                </a:lnTo>
                <a:lnTo>
                  <a:pt x="111" y="41"/>
                </a:lnTo>
                <a:lnTo>
                  <a:pt x="111" y="41"/>
                </a:lnTo>
                <a:lnTo>
                  <a:pt x="111" y="41"/>
                </a:lnTo>
                <a:lnTo>
                  <a:pt x="110" y="42"/>
                </a:lnTo>
                <a:lnTo>
                  <a:pt x="110" y="42"/>
                </a:lnTo>
                <a:lnTo>
                  <a:pt x="110" y="43"/>
                </a:lnTo>
                <a:lnTo>
                  <a:pt x="110" y="43"/>
                </a:lnTo>
                <a:lnTo>
                  <a:pt x="110" y="44"/>
                </a:lnTo>
                <a:lnTo>
                  <a:pt x="109" y="44"/>
                </a:lnTo>
                <a:lnTo>
                  <a:pt x="107" y="45"/>
                </a:lnTo>
                <a:lnTo>
                  <a:pt x="105" y="47"/>
                </a:lnTo>
                <a:lnTo>
                  <a:pt x="104" y="48"/>
                </a:lnTo>
                <a:lnTo>
                  <a:pt x="102" y="49"/>
                </a:lnTo>
                <a:lnTo>
                  <a:pt x="101" y="50"/>
                </a:lnTo>
                <a:lnTo>
                  <a:pt x="100" y="52"/>
                </a:lnTo>
                <a:lnTo>
                  <a:pt x="98" y="53"/>
                </a:lnTo>
                <a:lnTo>
                  <a:pt x="95" y="56"/>
                </a:lnTo>
                <a:lnTo>
                  <a:pt x="95" y="57"/>
                </a:lnTo>
                <a:lnTo>
                  <a:pt x="93" y="57"/>
                </a:lnTo>
                <a:lnTo>
                  <a:pt x="90" y="56"/>
                </a:lnTo>
                <a:lnTo>
                  <a:pt x="87" y="56"/>
                </a:lnTo>
                <a:lnTo>
                  <a:pt x="84" y="56"/>
                </a:lnTo>
                <a:lnTo>
                  <a:pt x="82" y="58"/>
                </a:lnTo>
                <a:lnTo>
                  <a:pt x="80" y="59"/>
                </a:lnTo>
                <a:lnTo>
                  <a:pt x="77" y="61"/>
                </a:lnTo>
                <a:lnTo>
                  <a:pt x="75" y="63"/>
                </a:lnTo>
                <a:lnTo>
                  <a:pt x="74" y="64"/>
                </a:lnTo>
                <a:lnTo>
                  <a:pt x="72" y="68"/>
                </a:lnTo>
                <a:lnTo>
                  <a:pt x="72" y="68"/>
                </a:lnTo>
                <a:lnTo>
                  <a:pt x="70" y="71"/>
                </a:lnTo>
                <a:lnTo>
                  <a:pt x="69" y="74"/>
                </a:lnTo>
                <a:lnTo>
                  <a:pt x="68" y="76"/>
                </a:lnTo>
                <a:lnTo>
                  <a:pt x="65" y="76"/>
                </a:lnTo>
                <a:lnTo>
                  <a:pt x="62" y="76"/>
                </a:lnTo>
                <a:lnTo>
                  <a:pt x="60" y="77"/>
                </a:lnTo>
                <a:lnTo>
                  <a:pt x="58" y="77"/>
                </a:lnTo>
                <a:lnTo>
                  <a:pt x="58" y="76"/>
                </a:lnTo>
                <a:lnTo>
                  <a:pt x="56" y="76"/>
                </a:lnTo>
                <a:lnTo>
                  <a:pt x="55" y="76"/>
                </a:lnTo>
                <a:lnTo>
                  <a:pt x="53" y="75"/>
                </a:lnTo>
                <a:lnTo>
                  <a:pt x="52" y="75"/>
                </a:lnTo>
                <a:lnTo>
                  <a:pt x="50" y="73"/>
                </a:lnTo>
                <a:lnTo>
                  <a:pt x="50" y="73"/>
                </a:lnTo>
                <a:lnTo>
                  <a:pt x="47" y="75"/>
                </a:lnTo>
                <a:lnTo>
                  <a:pt x="47" y="75"/>
                </a:lnTo>
                <a:lnTo>
                  <a:pt x="47" y="75"/>
                </a:lnTo>
                <a:lnTo>
                  <a:pt x="46" y="75"/>
                </a:lnTo>
                <a:lnTo>
                  <a:pt x="46" y="75"/>
                </a:lnTo>
                <a:lnTo>
                  <a:pt x="46" y="75"/>
                </a:lnTo>
                <a:lnTo>
                  <a:pt x="45" y="75"/>
                </a:lnTo>
                <a:lnTo>
                  <a:pt x="45" y="74"/>
                </a:lnTo>
                <a:lnTo>
                  <a:pt x="45" y="75"/>
                </a:lnTo>
                <a:lnTo>
                  <a:pt x="45" y="74"/>
                </a:lnTo>
                <a:lnTo>
                  <a:pt x="44" y="74"/>
                </a:lnTo>
                <a:lnTo>
                  <a:pt x="44" y="74"/>
                </a:lnTo>
                <a:lnTo>
                  <a:pt x="44" y="74"/>
                </a:lnTo>
                <a:lnTo>
                  <a:pt x="43" y="74"/>
                </a:lnTo>
                <a:lnTo>
                  <a:pt x="43" y="74"/>
                </a:lnTo>
                <a:lnTo>
                  <a:pt x="43" y="74"/>
                </a:lnTo>
                <a:lnTo>
                  <a:pt x="42" y="74"/>
                </a:lnTo>
                <a:lnTo>
                  <a:pt x="42" y="74"/>
                </a:lnTo>
                <a:lnTo>
                  <a:pt x="39" y="74"/>
                </a:lnTo>
                <a:lnTo>
                  <a:pt x="38" y="74"/>
                </a:lnTo>
                <a:lnTo>
                  <a:pt x="38" y="73"/>
                </a:lnTo>
                <a:lnTo>
                  <a:pt x="37" y="70"/>
                </a:lnTo>
                <a:lnTo>
                  <a:pt x="36" y="69"/>
                </a:lnTo>
                <a:lnTo>
                  <a:pt x="34" y="69"/>
                </a:lnTo>
                <a:lnTo>
                  <a:pt x="32" y="69"/>
                </a:lnTo>
                <a:lnTo>
                  <a:pt x="31" y="69"/>
                </a:lnTo>
                <a:lnTo>
                  <a:pt x="30" y="68"/>
                </a:lnTo>
                <a:lnTo>
                  <a:pt x="29" y="68"/>
                </a:lnTo>
                <a:lnTo>
                  <a:pt x="28" y="69"/>
                </a:lnTo>
                <a:lnTo>
                  <a:pt x="28" y="68"/>
                </a:lnTo>
                <a:lnTo>
                  <a:pt x="28" y="67"/>
                </a:lnTo>
                <a:lnTo>
                  <a:pt x="27" y="66"/>
                </a:lnTo>
                <a:lnTo>
                  <a:pt x="25" y="65"/>
                </a:lnTo>
                <a:lnTo>
                  <a:pt x="24" y="63"/>
                </a:lnTo>
                <a:lnTo>
                  <a:pt x="23" y="62"/>
                </a:lnTo>
                <a:lnTo>
                  <a:pt x="20" y="59"/>
                </a:lnTo>
                <a:lnTo>
                  <a:pt x="19" y="57"/>
                </a:lnTo>
                <a:lnTo>
                  <a:pt x="17" y="54"/>
                </a:lnTo>
                <a:lnTo>
                  <a:pt x="16" y="50"/>
                </a:lnTo>
                <a:lnTo>
                  <a:pt x="16" y="50"/>
                </a:lnTo>
                <a:lnTo>
                  <a:pt x="15" y="51"/>
                </a:lnTo>
                <a:lnTo>
                  <a:pt x="13" y="51"/>
                </a:lnTo>
                <a:lnTo>
                  <a:pt x="12" y="52"/>
                </a:lnTo>
                <a:lnTo>
                  <a:pt x="12" y="53"/>
                </a:lnTo>
                <a:lnTo>
                  <a:pt x="11" y="54"/>
                </a:lnTo>
                <a:lnTo>
                  <a:pt x="10" y="55"/>
                </a:lnTo>
                <a:lnTo>
                  <a:pt x="9" y="57"/>
                </a:lnTo>
                <a:lnTo>
                  <a:pt x="8" y="57"/>
                </a:lnTo>
                <a:lnTo>
                  <a:pt x="7" y="58"/>
                </a:lnTo>
                <a:lnTo>
                  <a:pt x="7" y="57"/>
                </a:lnTo>
                <a:lnTo>
                  <a:pt x="6" y="53"/>
                </a:lnTo>
                <a:lnTo>
                  <a:pt x="4" y="52"/>
                </a:lnTo>
                <a:lnTo>
                  <a:pt x="2" y="50"/>
                </a:lnTo>
                <a:lnTo>
                  <a:pt x="2" y="49"/>
                </a:lnTo>
                <a:lnTo>
                  <a:pt x="2" y="49"/>
                </a:lnTo>
                <a:lnTo>
                  <a:pt x="3" y="48"/>
                </a:lnTo>
                <a:lnTo>
                  <a:pt x="4" y="47"/>
                </a:lnTo>
                <a:lnTo>
                  <a:pt x="5" y="45"/>
                </a:lnTo>
                <a:lnTo>
                  <a:pt x="4" y="44"/>
                </a:lnTo>
                <a:lnTo>
                  <a:pt x="3" y="44"/>
                </a:lnTo>
                <a:lnTo>
                  <a:pt x="1" y="44"/>
                </a:lnTo>
                <a:lnTo>
                  <a:pt x="0" y="43"/>
                </a:lnTo>
                <a:lnTo>
                  <a:pt x="0" y="42"/>
                </a:lnTo>
                <a:lnTo>
                  <a:pt x="0" y="41"/>
                </a:lnTo>
                <a:lnTo>
                  <a:pt x="0" y="39"/>
                </a:lnTo>
                <a:lnTo>
                  <a:pt x="0" y="38"/>
                </a:lnTo>
                <a:lnTo>
                  <a:pt x="1" y="37"/>
                </a:lnTo>
                <a:lnTo>
                  <a:pt x="1" y="36"/>
                </a:lnTo>
                <a:lnTo>
                  <a:pt x="2" y="34"/>
                </a:lnTo>
                <a:lnTo>
                  <a:pt x="2" y="32"/>
                </a:lnTo>
                <a:lnTo>
                  <a:pt x="1" y="31"/>
                </a:lnTo>
                <a:lnTo>
                  <a:pt x="2" y="30"/>
                </a:lnTo>
                <a:lnTo>
                  <a:pt x="1" y="30"/>
                </a:lnTo>
                <a:lnTo>
                  <a:pt x="1" y="30"/>
                </a:lnTo>
                <a:lnTo>
                  <a:pt x="0" y="29"/>
                </a:lnTo>
                <a:lnTo>
                  <a:pt x="0" y="29"/>
                </a:lnTo>
                <a:lnTo>
                  <a:pt x="1" y="28"/>
                </a:lnTo>
                <a:lnTo>
                  <a:pt x="2" y="26"/>
                </a:lnTo>
                <a:lnTo>
                  <a:pt x="4" y="24"/>
                </a:lnTo>
                <a:lnTo>
                  <a:pt x="6" y="22"/>
                </a:lnTo>
                <a:lnTo>
                  <a:pt x="7" y="18"/>
                </a:lnTo>
                <a:lnTo>
                  <a:pt x="10" y="17"/>
                </a:lnTo>
                <a:lnTo>
                  <a:pt x="13" y="15"/>
                </a:lnTo>
                <a:lnTo>
                  <a:pt x="17" y="13"/>
                </a:lnTo>
                <a:lnTo>
                  <a:pt x="20" y="12"/>
                </a:lnTo>
                <a:lnTo>
                  <a:pt x="22" y="10"/>
                </a:lnTo>
                <a:lnTo>
                  <a:pt x="26" y="9"/>
                </a:lnTo>
                <a:lnTo>
                  <a:pt x="26" y="8"/>
                </a:lnTo>
                <a:lnTo>
                  <a:pt x="26" y="7"/>
                </a:lnTo>
                <a:lnTo>
                  <a:pt x="26" y="7"/>
                </a:lnTo>
                <a:lnTo>
                  <a:pt x="27" y="7"/>
                </a:lnTo>
                <a:lnTo>
                  <a:pt x="28" y="7"/>
                </a:lnTo>
                <a:lnTo>
                  <a:pt x="30" y="5"/>
                </a:lnTo>
                <a:lnTo>
                  <a:pt x="32" y="4"/>
                </a:lnTo>
                <a:lnTo>
                  <a:pt x="32" y="4"/>
                </a:lnTo>
                <a:lnTo>
                  <a:pt x="32" y="4"/>
                </a:lnTo>
                <a:lnTo>
                  <a:pt x="33" y="4"/>
                </a:lnTo>
                <a:lnTo>
                  <a:pt x="35" y="4"/>
                </a:lnTo>
                <a:lnTo>
                  <a:pt x="37" y="5"/>
                </a:lnTo>
                <a:lnTo>
                  <a:pt x="39" y="6"/>
                </a:lnTo>
                <a:lnTo>
                  <a:pt x="41" y="6"/>
                </a:lnTo>
                <a:lnTo>
                  <a:pt x="42" y="7"/>
                </a:lnTo>
                <a:lnTo>
                  <a:pt x="42" y="7"/>
                </a:lnTo>
                <a:lnTo>
                  <a:pt x="43" y="8"/>
                </a:lnTo>
                <a:lnTo>
                  <a:pt x="44" y="10"/>
                </a:lnTo>
                <a:lnTo>
                  <a:pt x="44" y="11"/>
                </a:lnTo>
                <a:lnTo>
                  <a:pt x="45" y="11"/>
                </a:lnTo>
                <a:lnTo>
                  <a:pt x="45" y="12"/>
                </a:lnTo>
                <a:lnTo>
                  <a:pt x="46" y="13"/>
                </a:lnTo>
                <a:lnTo>
                  <a:pt x="47" y="13"/>
                </a:lnTo>
                <a:lnTo>
                  <a:pt x="48" y="13"/>
                </a:lnTo>
                <a:lnTo>
                  <a:pt x="49" y="13"/>
                </a:lnTo>
                <a:lnTo>
                  <a:pt x="51" y="12"/>
                </a:lnTo>
                <a:lnTo>
                  <a:pt x="51" y="12"/>
                </a:lnTo>
                <a:lnTo>
                  <a:pt x="52" y="11"/>
                </a:lnTo>
                <a:lnTo>
                  <a:pt x="53" y="11"/>
                </a:lnTo>
                <a:lnTo>
                  <a:pt x="58" y="9"/>
                </a:lnTo>
                <a:lnTo>
                  <a:pt x="61" y="8"/>
                </a:lnTo>
                <a:lnTo>
                  <a:pt x="63" y="8"/>
                </a:lnTo>
                <a:lnTo>
                  <a:pt x="63" y="8"/>
                </a:lnTo>
                <a:lnTo>
                  <a:pt x="64" y="8"/>
                </a:lnTo>
                <a:lnTo>
                  <a:pt x="64" y="8"/>
                </a:lnTo>
                <a:lnTo>
                  <a:pt x="64" y="8"/>
                </a:lnTo>
                <a:lnTo>
                  <a:pt x="65" y="8"/>
                </a:lnTo>
                <a:lnTo>
                  <a:pt x="65" y="7"/>
                </a:lnTo>
                <a:lnTo>
                  <a:pt x="66" y="7"/>
                </a:lnTo>
                <a:lnTo>
                  <a:pt x="68" y="5"/>
                </a:lnTo>
                <a:lnTo>
                  <a:pt x="69" y="5"/>
                </a:lnTo>
                <a:lnTo>
                  <a:pt x="70" y="3"/>
                </a:lnTo>
                <a:lnTo>
                  <a:pt x="72" y="2"/>
                </a:lnTo>
                <a:lnTo>
                  <a:pt x="73" y="2"/>
                </a:lnTo>
                <a:lnTo>
                  <a:pt x="73" y="2"/>
                </a:lnTo>
                <a:lnTo>
                  <a:pt x="74" y="2"/>
                </a:lnTo>
                <a:lnTo>
                  <a:pt x="74" y="2"/>
                </a:lnTo>
                <a:lnTo>
                  <a:pt x="77" y="2"/>
                </a:lnTo>
                <a:lnTo>
                  <a:pt x="78" y="3"/>
                </a:lnTo>
                <a:lnTo>
                  <a:pt x="78" y="3"/>
                </a:lnTo>
                <a:lnTo>
                  <a:pt x="79" y="4"/>
                </a:lnTo>
                <a:lnTo>
                  <a:pt x="80" y="4"/>
                </a:lnTo>
                <a:lnTo>
                  <a:pt x="81" y="4"/>
                </a:lnTo>
                <a:lnTo>
                  <a:pt x="84" y="4"/>
                </a:lnTo>
                <a:lnTo>
                  <a:pt x="85" y="3"/>
                </a:lnTo>
                <a:lnTo>
                  <a:pt x="85" y="3"/>
                </a:lnTo>
                <a:lnTo>
                  <a:pt x="88" y="2"/>
                </a:lnTo>
                <a:lnTo>
                  <a:pt x="88" y="2"/>
                </a:lnTo>
                <a:lnTo>
                  <a:pt x="90" y="1"/>
                </a:lnTo>
                <a:lnTo>
                  <a:pt x="91" y="1"/>
                </a:lnTo>
                <a:lnTo>
                  <a:pt x="92" y="1"/>
                </a:lnTo>
                <a:lnTo>
                  <a:pt x="93" y="2"/>
                </a:lnTo>
                <a:lnTo>
                  <a:pt x="93" y="2"/>
                </a:lnTo>
                <a:lnTo>
                  <a:pt x="95" y="4"/>
                </a:lnTo>
                <a:lnTo>
                  <a:pt x="96" y="4"/>
                </a:lnTo>
                <a:lnTo>
                  <a:pt x="96" y="4"/>
                </a:lnTo>
                <a:lnTo>
                  <a:pt x="100" y="5"/>
                </a:lnTo>
                <a:lnTo>
                  <a:pt x="103" y="5"/>
                </a:lnTo>
                <a:lnTo>
                  <a:pt x="105" y="5"/>
                </a:lnTo>
                <a:lnTo>
                  <a:pt x="109" y="5"/>
                </a:lnTo>
                <a:lnTo>
                  <a:pt x="109" y="5"/>
                </a:lnTo>
                <a:lnTo>
                  <a:pt x="110" y="4"/>
                </a:lnTo>
                <a:lnTo>
                  <a:pt x="112" y="3"/>
                </a:lnTo>
                <a:lnTo>
                  <a:pt x="114" y="2"/>
                </a:lnTo>
                <a:lnTo>
                  <a:pt x="114" y="2"/>
                </a:lnTo>
                <a:lnTo>
                  <a:pt x="116" y="2"/>
                </a:lnTo>
                <a:lnTo>
                  <a:pt x="117" y="2"/>
                </a:lnTo>
                <a:lnTo>
                  <a:pt x="120" y="1"/>
                </a:lnTo>
                <a:lnTo>
                  <a:pt x="121" y="1"/>
                </a:lnTo>
                <a:lnTo>
                  <a:pt x="121" y="1"/>
                </a:lnTo>
                <a:lnTo>
                  <a:pt x="122" y="1"/>
                </a:lnTo>
                <a:lnTo>
                  <a:pt x="126" y="0"/>
                </a:lnTo>
                <a:lnTo>
                  <a:pt x="127" y="0"/>
                </a:lnTo>
                <a:lnTo>
                  <a:pt x="133" y="0"/>
                </a:lnTo>
              </a:path>
            </a:pathLst>
          </a:custGeom>
          <a:grpFill/>
          <a:ln w="9525">
            <a:solidFill>
              <a:schemeClr val="bg1">
                <a:lumMod val="65000"/>
              </a:schemeClr>
            </a:solidFill>
            <a:prstDash val="solid"/>
            <a:round/>
            <a:headEnd/>
            <a:tailEnd/>
          </a:ln>
        </xdr:spPr>
      </xdr:sp>
      <xdr:sp macro="" textlink="">
        <xdr:nvSpPr>
          <xdr:cNvPr id="215" name="GIN004005"/>
          <xdr:cNvSpPr>
            <a:spLocks noChangeAspect="1"/>
          </xdr:cNvSpPr>
        </xdr:nvSpPr>
        <xdr:spPr bwMode="auto">
          <a:xfrm>
            <a:off x="8010155" y="2370921"/>
            <a:ext cx="1403514" cy="1483735"/>
          </a:xfrm>
          <a:custGeom>
            <a:avLst/>
            <a:gdLst>
              <a:gd name="T0" fmla="*/ 109 w 148"/>
              <a:gd name="T1" fmla="*/ 2 h 161"/>
              <a:gd name="T2" fmla="*/ 120 w 148"/>
              <a:gd name="T3" fmla="*/ 7 h 161"/>
              <a:gd name="T4" fmla="*/ 128 w 148"/>
              <a:gd name="T5" fmla="*/ 18 h 161"/>
              <a:gd name="T6" fmla="*/ 127 w 148"/>
              <a:gd name="T7" fmla="*/ 30 h 161"/>
              <a:gd name="T8" fmla="*/ 130 w 148"/>
              <a:gd name="T9" fmla="*/ 30 h 161"/>
              <a:gd name="T10" fmla="*/ 134 w 148"/>
              <a:gd name="T11" fmla="*/ 33 h 161"/>
              <a:gd name="T12" fmla="*/ 133 w 148"/>
              <a:gd name="T13" fmla="*/ 40 h 161"/>
              <a:gd name="T14" fmla="*/ 137 w 148"/>
              <a:gd name="T15" fmla="*/ 47 h 161"/>
              <a:gd name="T16" fmla="*/ 143 w 148"/>
              <a:gd name="T17" fmla="*/ 48 h 161"/>
              <a:gd name="T18" fmla="*/ 142 w 148"/>
              <a:gd name="T19" fmla="*/ 72 h 161"/>
              <a:gd name="T20" fmla="*/ 145 w 148"/>
              <a:gd name="T21" fmla="*/ 86 h 161"/>
              <a:gd name="T22" fmla="*/ 146 w 148"/>
              <a:gd name="T23" fmla="*/ 92 h 161"/>
              <a:gd name="T24" fmla="*/ 141 w 148"/>
              <a:gd name="T25" fmla="*/ 97 h 161"/>
              <a:gd name="T26" fmla="*/ 134 w 148"/>
              <a:gd name="T27" fmla="*/ 103 h 161"/>
              <a:gd name="T28" fmla="*/ 127 w 148"/>
              <a:gd name="T29" fmla="*/ 109 h 161"/>
              <a:gd name="T30" fmla="*/ 117 w 148"/>
              <a:gd name="T31" fmla="*/ 123 h 161"/>
              <a:gd name="T32" fmla="*/ 111 w 148"/>
              <a:gd name="T33" fmla="*/ 133 h 161"/>
              <a:gd name="T34" fmla="*/ 104 w 148"/>
              <a:gd name="T35" fmla="*/ 139 h 161"/>
              <a:gd name="T36" fmla="*/ 97 w 148"/>
              <a:gd name="T37" fmla="*/ 144 h 161"/>
              <a:gd name="T38" fmla="*/ 86 w 148"/>
              <a:gd name="T39" fmla="*/ 161 h 161"/>
              <a:gd name="T40" fmla="*/ 80 w 148"/>
              <a:gd name="T41" fmla="*/ 161 h 161"/>
              <a:gd name="T42" fmla="*/ 75 w 148"/>
              <a:gd name="T43" fmla="*/ 159 h 161"/>
              <a:gd name="T44" fmla="*/ 70 w 148"/>
              <a:gd name="T45" fmla="*/ 158 h 161"/>
              <a:gd name="T46" fmla="*/ 64 w 148"/>
              <a:gd name="T47" fmla="*/ 158 h 161"/>
              <a:gd name="T48" fmla="*/ 59 w 148"/>
              <a:gd name="T49" fmla="*/ 156 h 161"/>
              <a:gd name="T50" fmla="*/ 54 w 148"/>
              <a:gd name="T51" fmla="*/ 155 h 161"/>
              <a:gd name="T52" fmla="*/ 49 w 148"/>
              <a:gd name="T53" fmla="*/ 152 h 161"/>
              <a:gd name="T54" fmla="*/ 47 w 148"/>
              <a:gd name="T55" fmla="*/ 148 h 161"/>
              <a:gd name="T56" fmla="*/ 44 w 148"/>
              <a:gd name="T57" fmla="*/ 142 h 161"/>
              <a:gd name="T58" fmla="*/ 43 w 148"/>
              <a:gd name="T59" fmla="*/ 133 h 161"/>
              <a:gd name="T60" fmla="*/ 40 w 148"/>
              <a:gd name="T61" fmla="*/ 126 h 161"/>
              <a:gd name="T62" fmla="*/ 38 w 148"/>
              <a:gd name="T63" fmla="*/ 119 h 161"/>
              <a:gd name="T64" fmla="*/ 34 w 148"/>
              <a:gd name="T65" fmla="*/ 113 h 161"/>
              <a:gd name="T66" fmla="*/ 30 w 148"/>
              <a:gd name="T67" fmla="*/ 111 h 161"/>
              <a:gd name="T68" fmla="*/ 24 w 148"/>
              <a:gd name="T69" fmla="*/ 110 h 161"/>
              <a:gd name="T70" fmla="*/ 25 w 148"/>
              <a:gd name="T71" fmla="*/ 107 h 161"/>
              <a:gd name="T72" fmla="*/ 21 w 148"/>
              <a:gd name="T73" fmla="*/ 100 h 161"/>
              <a:gd name="T74" fmla="*/ 11 w 148"/>
              <a:gd name="T75" fmla="*/ 96 h 161"/>
              <a:gd name="T76" fmla="*/ 0 w 148"/>
              <a:gd name="T77" fmla="*/ 90 h 161"/>
              <a:gd name="T78" fmla="*/ 2 w 148"/>
              <a:gd name="T79" fmla="*/ 79 h 161"/>
              <a:gd name="T80" fmla="*/ 3 w 148"/>
              <a:gd name="T81" fmla="*/ 70 h 161"/>
              <a:gd name="T82" fmla="*/ 10 w 148"/>
              <a:gd name="T83" fmla="*/ 56 h 161"/>
              <a:gd name="T84" fmla="*/ 7 w 148"/>
              <a:gd name="T85" fmla="*/ 38 h 161"/>
              <a:gd name="T86" fmla="*/ 19 w 148"/>
              <a:gd name="T87" fmla="*/ 36 h 161"/>
              <a:gd name="T88" fmla="*/ 26 w 148"/>
              <a:gd name="T89" fmla="*/ 37 h 161"/>
              <a:gd name="T90" fmla="*/ 34 w 148"/>
              <a:gd name="T91" fmla="*/ 40 h 161"/>
              <a:gd name="T92" fmla="*/ 43 w 148"/>
              <a:gd name="T93" fmla="*/ 44 h 161"/>
              <a:gd name="T94" fmla="*/ 56 w 148"/>
              <a:gd name="T95" fmla="*/ 44 h 161"/>
              <a:gd name="T96" fmla="*/ 59 w 148"/>
              <a:gd name="T97" fmla="*/ 36 h 161"/>
              <a:gd name="T98" fmla="*/ 66 w 148"/>
              <a:gd name="T99" fmla="*/ 31 h 161"/>
              <a:gd name="T100" fmla="*/ 75 w 148"/>
              <a:gd name="T101" fmla="*/ 28 h 161"/>
              <a:gd name="T102" fmla="*/ 83 w 148"/>
              <a:gd name="T103" fmla="*/ 24 h 161"/>
              <a:gd name="T104" fmla="*/ 91 w 148"/>
              <a:gd name="T105" fmla="*/ 25 h 161"/>
              <a:gd name="T106" fmla="*/ 93 w 148"/>
              <a:gd name="T107" fmla="*/ 18 h 161"/>
              <a:gd name="T108" fmla="*/ 95 w 148"/>
              <a:gd name="T109" fmla="*/ 14 h 161"/>
              <a:gd name="T110" fmla="*/ 90 w 148"/>
              <a:gd name="T111" fmla="*/ 10 h 161"/>
              <a:gd name="T112" fmla="*/ 86 w 148"/>
              <a:gd name="T113" fmla="*/ 5 h 161"/>
              <a:gd name="T114" fmla="*/ 86 w 148"/>
              <a:gd name="T115" fmla="*/ 3 h 161"/>
              <a:gd name="T116" fmla="*/ 92 w 148"/>
              <a:gd name="T117" fmla="*/ 2 h 161"/>
              <a:gd name="T118" fmla="*/ 99 w 148"/>
              <a:gd name="T119" fmla="*/ 0 h 1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48" h="161">
                <a:moveTo>
                  <a:pt x="100" y="0"/>
                </a:moveTo>
                <a:lnTo>
                  <a:pt x="101" y="1"/>
                </a:lnTo>
                <a:lnTo>
                  <a:pt x="102" y="1"/>
                </a:lnTo>
                <a:lnTo>
                  <a:pt x="104" y="1"/>
                </a:lnTo>
                <a:lnTo>
                  <a:pt x="105" y="2"/>
                </a:lnTo>
                <a:lnTo>
                  <a:pt x="106" y="2"/>
                </a:lnTo>
                <a:lnTo>
                  <a:pt x="106" y="2"/>
                </a:lnTo>
                <a:lnTo>
                  <a:pt x="108" y="2"/>
                </a:lnTo>
                <a:lnTo>
                  <a:pt x="109" y="2"/>
                </a:lnTo>
                <a:lnTo>
                  <a:pt x="109" y="2"/>
                </a:lnTo>
                <a:lnTo>
                  <a:pt x="110" y="2"/>
                </a:lnTo>
                <a:lnTo>
                  <a:pt x="111" y="3"/>
                </a:lnTo>
                <a:lnTo>
                  <a:pt x="112" y="4"/>
                </a:lnTo>
                <a:lnTo>
                  <a:pt x="113" y="4"/>
                </a:lnTo>
                <a:lnTo>
                  <a:pt x="113" y="4"/>
                </a:lnTo>
                <a:lnTo>
                  <a:pt x="114" y="5"/>
                </a:lnTo>
                <a:lnTo>
                  <a:pt x="114" y="5"/>
                </a:lnTo>
                <a:lnTo>
                  <a:pt x="115" y="6"/>
                </a:lnTo>
                <a:lnTo>
                  <a:pt x="116" y="6"/>
                </a:lnTo>
                <a:lnTo>
                  <a:pt x="120" y="7"/>
                </a:lnTo>
                <a:lnTo>
                  <a:pt x="121" y="8"/>
                </a:lnTo>
                <a:lnTo>
                  <a:pt x="122" y="9"/>
                </a:lnTo>
                <a:lnTo>
                  <a:pt x="123" y="11"/>
                </a:lnTo>
                <a:lnTo>
                  <a:pt x="124" y="12"/>
                </a:lnTo>
                <a:lnTo>
                  <a:pt x="124" y="12"/>
                </a:lnTo>
                <a:lnTo>
                  <a:pt x="125" y="13"/>
                </a:lnTo>
                <a:lnTo>
                  <a:pt x="125" y="13"/>
                </a:lnTo>
                <a:lnTo>
                  <a:pt x="127" y="15"/>
                </a:lnTo>
                <a:lnTo>
                  <a:pt x="128" y="17"/>
                </a:lnTo>
                <a:lnTo>
                  <a:pt x="128" y="18"/>
                </a:lnTo>
                <a:lnTo>
                  <a:pt x="128" y="19"/>
                </a:lnTo>
                <a:lnTo>
                  <a:pt x="127" y="20"/>
                </a:lnTo>
                <a:lnTo>
                  <a:pt x="126" y="21"/>
                </a:lnTo>
                <a:lnTo>
                  <a:pt x="126" y="21"/>
                </a:lnTo>
                <a:lnTo>
                  <a:pt x="126" y="22"/>
                </a:lnTo>
                <a:lnTo>
                  <a:pt x="125" y="25"/>
                </a:lnTo>
                <a:lnTo>
                  <a:pt x="125" y="28"/>
                </a:lnTo>
                <a:lnTo>
                  <a:pt x="127" y="28"/>
                </a:lnTo>
                <a:lnTo>
                  <a:pt x="126" y="29"/>
                </a:lnTo>
                <a:lnTo>
                  <a:pt x="127" y="30"/>
                </a:lnTo>
                <a:lnTo>
                  <a:pt x="126" y="31"/>
                </a:lnTo>
                <a:lnTo>
                  <a:pt x="127" y="31"/>
                </a:lnTo>
                <a:lnTo>
                  <a:pt x="128" y="31"/>
                </a:lnTo>
                <a:lnTo>
                  <a:pt x="128" y="31"/>
                </a:lnTo>
                <a:lnTo>
                  <a:pt x="129" y="31"/>
                </a:lnTo>
                <a:lnTo>
                  <a:pt x="129" y="31"/>
                </a:lnTo>
                <a:lnTo>
                  <a:pt x="130" y="31"/>
                </a:lnTo>
                <a:lnTo>
                  <a:pt x="130" y="31"/>
                </a:lnTo>
                <a:lnTo>
                  <a:pt x="130" y="31"/>
                </a:lnTo>
                <a:lnTo>
                  <a:pt x="130" y="30"/>
                </a:lnTo>
                <a:lnTo>
                  <a:pt x="130" y="30"/>
                </a:lnTo>
                <a:lnTo>
                  <a:pt x="131" y="30"/>
                </a:lnTo>
                <a:lnTo>
                  <a:pt x="132" y="30"/>
                </a:lnTo>
                <a:lnTo>
                  <a:pt x="132" y="30"/>
                </a:lnTo>
                <a:lnTo>
                  <a:pt x="132" y="31"/>
                </a:lnTo>
                <a:lnTo>
                  <a:pt x="132" y="31"/>
                </a:lnTo>
                <a:lnTo>
                  <a:pt x="132" y="31"/>
                </a:lnTo>
                <a:lnTo>
                  <a:pt x="133" y="31"/>
                </a:lnTo>
                <a:lnTo>
                  <a:pt x="133" y="32"/>
                </a:lnTo>
                <a:lnTo>
                  <a:pt x="134" y="33"/>
                </a:lnTo>
                <a:lnTo>
                  <a:pt x="133" y="34"/>
                </a:lnTo>
                <a:lnTo>
                  <a:pt x="133" y="34"/>
                </a:lnTo>
                <a:lnTo>
                  <a:pt x="134" y="34"/>
                </a:lnTo>
                <a:lnTo>
                  <a:pt x="134" y="35"/>
                </a:lnTo>
                <a:lnTo>
                  <a:pt x="134" y="37"/>
                </a:lnTo>
                <a:lnTo>
                  <a:pt x="134" y="39"/>
                </a:lnTo>
                <a:lnTo>
                  <a:pt x="134" y="39"/>
                </a:lnTo>
                <a:lnTo>
                  <a:pt x="133" y="40"/>
                </a:lnTo>
                <a:lnTo>
                  <a:pt x="133" y="40"/>
                </a:lnTo>
                <a:lnTo>
                  <a:pt x="133" y="40"/>
                </a:lnTo>
                <a:lnTo>
                  <a:pt x="133" y="43"/>
                </a:lnTo>
                <a:lnTo>
                  <a:pt x="132" y="44"/>
                </a:lnTo>
                <a:lnTo>
                  <a:pt x="133" y="44"/>
                </a:lnTo>
                <a:lnTo>
                  <a:pt x="133" y="45"/>
                </a:lnTo>
                <a:lnTo>
                  <a:pt x="133" y="45"/>
                </a:lnTo>
                <a:lnTo>
                  <a:pt x="133" y="46"/>
                </a:lnTo>
                <a:lnTo>
                  <a:pt x="134" y="45"/>
                </a:lnTo>
                <a:lnTo>
                  <a:pt x="136" y="46"/>
                </a:lnTo>
                <a:lnTo>
                  <a:pt x="137" y="47"/>
                </a:lnTo>
                <a:lnTo>
                  <a:pt x="137" y="47"/>
                </a:lnTo>
                <a:lnTo>
                  <a:pt x="137" y="47"/>
                </a:lnTo>
                <a:lnTo>
                  <a:pt x="138" y="46"/>
                </a:lnTo>
                <a:lnTo>
                  <a:pt x="138" y="45"/>
                </a:lnTo>
                <a:lnTo>
                  <a:pt x="139" y="45"/>
                </a:lnTo>
                <a:lnTo>
                  <a:pt x="139" y="46"/>
                </a:lnTo>
                <a:lnTo>
                  <a:pt x="140" y="46"/>
                </a:lnTo>
                <a:lnTo>
                  <a:pt x="140" y="45"/>
                </a:lnTo>
                <a:lnTo>
                  <a:pt x="141" y="46"/>
                </a:lnTo>
                <a:lnTo>
                  <a:pt x="141" y="46"/>
                </a:lnTo>
                <a:lnTo>
                  <a:pt x="143" y="48"/>
                </a:lnTo>
                <a:lnTo>
                  <a:pt x="143" y="49"/>
                </a:lnTo>
                <a:lnTo>
                  <a:pt x="143" y="50"/>
                </a:lnTo>
                <a:lnTo>
                  <a:pt x="142" y="52"/>
                </a:lnTo>
                <a:lnTo>
                  <a:pt x="143" y="53"/>
                </a:lnTo>
                <a:lnTo>
                  <a:pt x="144" y="55"/>
                </a:lnTo>
                <a:lnTo>
                  <a:pt x="144" y="56"/>
                </a:lnTo>
                <a:lnTo>
                  <a:pt x="144" y="56"/>
                </a:lnTo>
                <a:lnTo>
                  <a:pt x="144" y="57"/>
                </a:lnTo>
                <a:lnTo>
                  <a:pt x="144" y="60"/>
                </a:lnTo>
                <a:lnTo>
                  <a:pt x="142" y="72"/>
                </a:lnTo>
                <a:lnTo>
                  <a:pt x="142" y="73"/>
                </a:lnTo>
                <a:lnTo>
                  <a:pt x="140" y="82"/>
                </a:lnTo>
                <a:lnTo>
                  <a:pt x="139" y="85"/>
                </a:lnTo>
                <a:lnTo>
                  <a:pt x="139" y="86"/>
                </a:lnTo>
                <a:lnTo>
                  <a:pt x="142" y="86"/>
                </a:lnTo>
                <a:lnTo>
                  <a:pt x="143" y="86"/>
                </a:lnTo>
                <a:lnTo>
                  <a:pt x="143" y="87"/>
                </a:lnTo>
                <a:lnTo>
                  <a:pt x="144" y="87"/>
                </a:lnTo>
                <a:lnTo>
                  <a:pt x="144" y="87"/>
                </a:lnTo>
                <a:lnTo>
                  <a:pt x="145" y="86"/>
                </a:lnTo>
                <a:lnTo>
                  <a:pt x="145" y="86"/>
                </a:lnTo>
                <a:lnTo>
                  <a:pt x="146" y="87"/>
                </a:lnTo>
                <a:lnTo>
                  <a:pt x="146" y="87"/>
                </a:lnTo>
                <a:lnTo>
                  <a:pt x="148" y="88"/>
                </a:lnTo>
                <a:lnTo>
                  <a:pt x="147" y="88"/>
                </a:lnTo>
                <a:lnTo>
                  <a:pt x="147" y="89"/>
                </a:lnTo>
                <a:lnTo>
                  <a:pt x="147" y="90"/>
                </a:lnTo>
                <a:lnTo>
                  <a:pt x="146" y="91"/>
                </a:lnTo>
                <a:lnTo>
                  <a:pt x="146" y="91"/>
                </a:lnTo>
                <a:lnTo>
                  <a:pt x="146" y="92"/>
                </a:lnTo>
                <a:lnTo>
                  <a:pt x="146" y="93"/>
                </a:lnTo>
                <a:lnTo>
                  <a:pt x="146" y="94"/>
                </a:lnTo>
                <a:lnTo>
                  <a:pt x="145" y="94"/>
                </a:lnTo>
                <a:lnTo>
                  <a:pt x="145" y="95"/>
                </a:lnTo>
                <a:lnTo>
                  <a:pt x="144" y="95"/>
                </a:lnTo>
                <a:lnTo>
                  <a:pt x="144" y="96"/>
                </a:lnTo>
                <a:lnTo>
                  <a:pt x="143" y="97"/>
                </a:lnTo>
                <a:lnTo>
                  <a:pt x="143" y="97"/>
                </a:lnTo>
                <a:lnTo>
                  <a:pt x="142" y="97"/>
                </a:lnTo>
                <a:lnTo>
                  <a:pt x="141" y="97"/>
                </a:lnTo>
                <a:lnTo>
                  <a:pt x="140" y="98"/>
                </a:lnTo>
                <a:lnTo>
                  <a:pt x="140" y="98"/>
                </a:lnTo>
                <a:lnTo>
                  <a:pt x="139" y="99"/>
                </a:lnTo>
                <a:lnTo>
                  <a:pt x="138" y="99"/>
                </a:lnTo>
                <a:lnTo>
                  <a:pt x="138" y="100"/>
                </a:lnTo>
                <a:lnTo>
                  <a:pt x="137" y="100"/>
                </a:lnTo>
                <a:lnTo>
                  <a:pt x="137" y="101"/>
                </a:lnTo>
                <a:lnTo>
                  <a:pt x="136" y="102"/>
                </a:lnTo>
                <a:lnTo>
                  <a:pt x="135" y="103"/>
                </a:lnTo>
                <a:lnTo>
                  <a:pt x="134" y="103"/>
                </a:lnTo>
                <a:lnTo>
                  <a:pt x="133" y="104"/>
                </a:lnTo>
                <a:lnTo>
                  <a:pt x="132" y="104"/>
                </a:lnTo>
                <a:lnTo>
                  <a:pt x="131" y="104"/>
                </a:lnTo>
                <a:lnTo>
                  <a:pt x="130" y="105"/>
                </a:lnTo>
                <a:lnTo>
                  <a:pt x="129" y="105"/>
                </a:lnTo>
                <a:lnTo>
                  <a:pt x="127" y="106"/>
                </a:lnTo>
                <a:lnTo>
                  <a:pt x="126" y="106"/>
                </a:lnTo>
                <a:lnTo>
                  <a:pt x="125" y="106"/>
                </a:lnTo>
                <a:lnTo>
                  <a:pt x="127" y="108"/>
                </a:lnTo>
                <a:lnTo>
                  <a:pt x="127" y="109"/>
                </a:lnTo>
                <a:lnTo>
                  <a:pt x="127" y="109"/>
                </a:lnTo>
                <a:lnTo>
                  <a:pt x="126" y="110"/>
                </a:lnTo>
                <a:lnTo>
                  <a:pt x="125" y="111"/>
                </a:lnTo>
                <a:lnTo>
                  <a:pt x="124" y="113"/>
                </a:lnTo>
                <a:lnTo>
                  <a:pt x="123" y="115"/>
                </a:lnTo>
                <a:lnTo>
                  <a:pt x="121" y="117"/>
                </a:lnTo>
                <a:lnTo>
                  <a:pt x="120" y="120"/>
                </a:lnTo>
                <a:lnTo>
                  <a:pt x="119" y="121"/>
                </a:lnTo>
                <a:lnTo>
                  <a:pt x="118" y="122"/>
                </a:lnTo>
                <a:lnTo>
                  <a:pt x="117" y="123"/>
                </a:lnTo>
                <a:lnTo>
                  <a:pt x="116" y="124"/>
                </a:lnTo>
                <a:lnTo>
                  <a:pt x="114" y="127"/>
                </a:lnTo>
                <a:lnTo>
                  <a:pt x="114" y="129"/>
                </a:lnTo>
                <a:lnTo>
                  <a:pt x="114" y="130"/>
                </a:lnTo>
                <a:lnTo>
                  <a:pt x="113" y="131"/>
                </a:lnTo>
                <a:lnTo>
                  <a:pt x="113" y="131"/>
                </a:lnTo>
                <a:lnTo>
                  <a:pt x="113" y="131"/>
                </a:lnTo>
                <a:lnTo>
                  <a:pt x="112" y="132"/>
                </a:lnTo>
                <a:lnTo>
                  <a:pt x="111" y="132"/>
                </a:lnTo>
                <a:lnTo>
                  <a:pt x="111" y="133"/>
                </a:lnTo>
                <a:lnTo>
                  <a:pt x="111" y="133"/>
                </a:lnTo>
                <a:lnTo>
                  <a:pt x="110" y="134"/>
                </a:lnTo>
                <a:lnTo>
                  <a:pt x="109" y="134"/>
                </a:lnTo>
                <a:lnTo>
                  <a:pt x="108" y="135"/>
                </a:lnTo>
                <a:lnTo>
                  <a:pt x="108" y="136"/>
                </a:lnTo>
                <a:lnTo>
                  <a:pt x="107" y="136"/>
                </a:lnTo>
                <a:lnTo>
                  <a:pt x="106" y="137"/>
                </a:lnTo>
                <a:lnTo>
                  <a:pt x="105" y="138"/>
                </a:lnTo>
                <a:lnTo>
                  <a:pt x="105" y="138"/>
                </a:lnTo>
                <a:lnTo>
                  <a:pt x="104" y="139"/>
                </a:lnTo>
                <a:lnTo>
                  <a:pt x="104" y="139"/>
                </a:lnTo>
                <a:lnTo>
                  <a:pt x="103" y="139"/>
                </a:lnTo>
                <a:lnTo>
                  <a:pt x="102" y="140"/>
                </a:lnTo>
                <a:lnTo>
                  <a:pt x="102" y="140"/>
                </a:lnTo>
                <a:lnTo>
                  <a:pt x="102" y="141"/>
                </a:lnTo>
                <a:lnTo>
                  <a:pt x="102" y="141"/>
                </a:lnTo>
                <a:lnTo>
                  <a:pt x="102" y="141"/>
                </a:lnTo>
                <a:lnTo>
                  <a:pt x="100" y="142"/>
                </a:lnTo>
                <a:lnTo>
                  <a:pt x="98" y="143"/>
                </a:lnTo>
                <a:lnTo>
                  <a:pt x="97" y="144"/>
                </a:lnTo>
                <a:lnTo>
                  <a:pt x="96" y="145"/>
                </a:lnTo>
                <a:lnTo>
                  <a:pt x="95" y="147"/>
                </a:lnTo>
                <a:lnTo>
                  <a:pt x="95" y="149"/>
                </a:lnTo>
                <a:lnTo>
                  <a:pt x="94" y="152"/>
                </a:lnTo>
                <a:lnTo>
                  <a:pt x="93" y="155"/>
                </a:lnTo>
                <a:lnTo>
                  <a:pt x="92" y="158"/>
                </a:lnTo>
                <a:lnTo>
                  <a:pt x="91" y="161"/>
                </a:lnTo>
                <a:lnTo>
                  <a:pt x="87" y="161"/>
                </a:lnTo>
                <a:lnTo>
                  <a:pt x="87" y="161"/>
                </a:lnTo>
                <a:lnTo>
                  <a:pt x="86" y="161"/>
                </a:lnTo>
                <a:lnTo>
                  <a:pt x="85" y="161"/>
                </a:lnTo>
                <a:lnTo>
                  <a:pt x="85" y="161"/>
                </a:lnTo>
                <a:lnTo>
                  <a:pt x="85" y="161"/>
                </a:lnTo>
                <a:lnTo>
                  <a:pt x="84" y="161"/>
                </a:lnTo>
                <a:lnTo>
                  <a:pt x="84" y="161"/>
                </a:lnTo>
                <a:lnTo>
                  <a:pt x="83" y="161"/>
                </a:lnTo>
                <a:lnTo>
                  <a:pt x="82" y="161"/>
                </a:lnTo>
                <a:lnTo>
                  <a:pt x="82" y="161"/>
                </a:lnTo>
                <a:lnTo>
                  <a:pt x="81" y="161"/>
                </a:lnTo>
                <a:lnTo>
                  <a:pt x="80" y="161"/>
                </a:lnTo>
                <a:lnTo>
                  <a:pt x="80" y="161"/>
                </a:lnTo>
                <a:lnTo>
                  <a:pt x="80" y="161"/>
                </a:lnTo>
                <a:lnTo>
                  <a:pt x="79" y="160"/>
                </a:lnTo>
                <a:lnTo>
                  <a:pt x="78" y="160"/>
                </a:lnTo>
                <a:lnTo>
                  <a:pt x="78" y="160"/>
                </a:lnTo>
                <a:lnTo>
                  <a:pt x="77" y="160"/>
                </a:lnTo>
                <a:lnTo>
                  <a:pt x="77" y="160"/>
                </a:lnTo>
                <a:lnTo>
                  <a:pt x="76" y="159"/>
                </a:lnTo>
                <a:lnTo>
                  <a:pt x="76" y="159"/>
                </a:lnTo>
                <a:lnTo>
                  <a:pt x="75" y="159"/>
                </a:lnTo>
                <a:lnTo>
                  <a:pt x="75" y="159"/>
                </a:lnTo>
                <a:lnTo>
                  <a:pt x="74" y="159"/>
                </a:lnTo>
                <a:lnTo>
                  <a:pt x="73" y="159"/>
                </a:lnTo>
                <a:lnTo>
                  <a:pt x="73" y="159"/>
                </a:lnTo>
                <a:lnTo>
                  <a:pt x="72" y="159"/>
                </a:lnTo>
                <a:lnTo>
                  <a:pt x="72" y="159"/>
                </a:lnTo>
                <a:lnTo>
                  <a:pt x="72" y="159"/>
                </a:lnTo>
                <a:lnTo>
                  <a:pt x="71" y="158"/>
                </a:lnTo>
                <a:lnTo>
                  <a:pt x="71" y="158"/>
                </a:lnTo>
                <a:lnTo>
                  <a:pt x="70" y="158"/>
                </a:lnTo>
                <a:lnTo>
                  <a:pt x="69" y="158"/>
                </a:lnTo>
                <a:lnTo>
                  <a:pt x="69" y="158"/>
                </a:lnTo>
                <a:lnTo>
                  <a:pt x="68" y="158"/>
                </a:lnTo>
                <a:lnTo>
                  <a:pt x="68" y="158"/>
                </a:lnTo>
                <a:lnTo>
                  <a:pt x="67" y="158"/>
                </a:lnTo>
                <a:lnTo>
                  <a:pt x="67" y="158"/>
                </a:lnTo>
                <a:lnTo>
                  <a:pt x="66" y="158"/>
                </a:lnTo>
                <a:lnTo>
                  <a:pt x="65" y="158"/>
                </a:lnTo>
                <a:lnTo>
                  <a:pt x="65" y="158"/>
                </a:lnTo>
                <a:lnTo>
                  <a:pt x="64" y="158"/>
                </a:lnTo>
                <a:lnTo>
                  <a:pt x="64" y="158"/>
                </a:lnTo>
                <a:lnTo>
                  <a:pt x="63" y="158"/>
                </a:lnTo>
                <a:lnTo>
                  <a:pt x="63" y="157"/>
                </a:lnTo>
                <a:lnTo>
                  <a:pt x="62" y="157"/>
                </a:lnTo>
                <a:lnTo>
                  <a:pt x="62" y="157"/>
                </a:lnTo>
                <a:lnTo>
                  <a:pt x="61" y="157"/>
                </a:lnTo>
                <a:lnTo>
                  <a:pt x="61" y="157"/>
                </a:lnTo>
                <a:lnTo>
                  <a:pt x="60" y="157"/>
                </a:lnTo>
                <a:lnTo>
                  <a:pt x="60" y="157"/>
                </a:lnTo>
                <a:lnTo>
                  <a:pt x="59" y="156"/>
                </a:lnTo>
                <a:lnTo>
                  <a:pt x="59" y="156"/>
                </a:lnTo>
                <a:lnTo>
                  <a:pt x="58" y="156"/>
                </a:lnTo>
                <a:lnTo>
                  <a:pt x="57" y="156"/>
                </a:lnTo>
                <a:lnTo>
                  <a:pt x="57" y="156"/>
                </a:lnTo>
                <a:lnTo>
                  <a:pt x="56" y="156"/>
                </a:lnTo>
                <a:lnTo>
                  <a:pt x="56" y="155"/>
                </a:lnTo>
                <a:lnTo>
                  <a:pt x="56" y="155"/>
                </a:lnTo>
                <a:lnTo>
                  <a:pt x="55" y="155"/>
                </a:lnTo>
                <a:lnTo>
                  <a:pt x="55" y="155"/>
                </a:lnTo>
                <a:lnTo>
                  <a:pt x="54" y="155"/>
                </a:lnTo>
                <a:lnTo>
                  <a:pt x="54" y="155"/>
                </a:lnTo>
                <a:lnTo>
                  <a:pt x="53" y="154"/>
                </a:lnTo>
                <a:lnTo>
                  <a:pt x="53" y="154"/>
                </a:lnTo>
                <a:lnTo>
                  <a:pt x="52" y="154"/>
                </a:lnTo>
                <a:lnTo>
                  <a:pt x="52" y="154"/>
                </a:lnTo>
                <a:lnTo>
                  <a:pt x="51" y="154"/>
                </a:lnTo>
                <a:lnTo>
                  <a:pt x="51" y="153"/>
                </a:lnTo>
                <a:lnTo>
                  <a:pt x="50" y="153"/>
                </a:lnTo>
                <a:lnTo>
                  <a:pt x="50" y="152"/>
                </a:lnTo>
                <a:lnTo>
                  <a:pt x="49" y="152"/>
                </a:lnTo>
                <a:lnTo>
                  <a:pt x="49" y="152"/>
                </a:lnTo>
                <a:lnTo>
                  <a:pt x="49" y="151"/>
                </a:lnTo>
                <a:lnTo>
                  <a:pt x="49" y="151"/>
                </a:lnTo>
                <a:lnTo>
                  <a:pt x="48" y="151"/>
                </a:lnTo>
                <a:lnTo>
                  <a:pt x="48" y="150"/>
                </a:lnTo>
                <a:lnTo>
                  <a:pt x="48" y="150"/>
                </a:lnTo>
                <a:lnTo>
                  <a:pt x="47" y="149"/>
                </a:lnTo>
                <a:lnTo>
                  <a:pt x="47" y="149"/>
                </a:lnTo>
                <a:lnTo>
                  <a:pt x="47" y="148"/>
                </a:lnTo>
                <a:lnTo>
                  <a:pt x="47" y="148"/>
                </a:lnTo>
                <a:lnTo>
                  <a:pt x="46" y="148"/>
                </a:lnTo>
                <a:lnTo>
                  <a:pt x="46" y="147"/>
                </a:lnTo>
                <a:lnTo>
                  <a:pt x="46" y="147"/>
                </a:lnTo>
                <a:lnTo>
                  <a:pt x="45" y="146"/>
                </a:lnTo>
                <a:lnTo>
                  <a:pt x="45" y="146"/>
                </a:lnTo>
                <a:lnTo>
                  <a:pt x="45" y="145"/>
                </a:lnTo>
                <a:lnTo>
                  <a:pt x="45" y="144"/>
                </a:lnTo>
                <a:lnTo>
                  <a:pt x="45" y="143"/>
                </a:lnTo>
                <a:lnTo>
                  <a:pt x="44" y="142"/>
                </a:lnTo>
                <a:lnTo>
                  <a:pt x="44" y="142"/>
                </a:lnTo>
                <a:lnTo>
                  <a:pt x="44" y="141"/>
                </a:lnTo>
                <a:lnTo>
                  <a:pt x="44" y="140"/>
                </a:lnTo>
                <a:lnTo>
                  <a:pt x="44" y="139"/>
                </a:lnTo>
                <a:lnTo>
                  <a:pt x="44" y="138"/>
                </a:lnTo>
                <a:lnTo>
                  <a:pt x="44" y="137"/>
                </a:lnTo>
                <a:lnTo>
                  <a:pt x="44" y="137"/>
                </a:lnTo>
                <a:lnTo>
                  <a:pt x="44" y="136"/>
                </a:lnTo>
                <a:lnTo>
                  <a:pt x="44" y="135"/>
                </a:lnTo>
                <a:lnTo>
                  <a:pt x="43" y="135"/>
                </a:lnTo>
                <a:lnTo>
                  <a:pt x="43" y="133"/>
                </a:lnTo>
                <a:lnTo>
                  <a:pt x="43" y="132"/>
                </a:lnTo>
                <a:lnTo>
                  <a:pt x="43" y="131"/>
                </a:lnTo>
                <a:lnTo>
                  <a:pt x="43" y="131"/>
                </a:lnTo>
                <a:lnTo>
                  <a:pt x="42" y="130"/>
                </a:lnTo>
                <a:lnTo>
                  <a:pt x="42" y="129"/>
                </a:lnTo>
                <a:lnTo>
                  <a:pt x="42" y="128"/>
                </a:lnTo>
                <a:lnTo>
                  <a:pt x="42" y="127"/>
                </a:lnTo>
                <a:lnTo>
                  <a:pt x="41" y="127"/>
                </a:lnTo>
                <a:lnTo>
                  <a:pt x="41" y="127"/>
                </a:lnTo>
                <a:lnTo>
                  <a:pt x="40" y="126"/>
                </a:lnTo>
                <a:lnTo>
                  <a:pt x="40" y="126"/>
                </a:lnTo>
                <a:lnTo>
                  <a:pt x="39" y="126"/>
                </a:lnTo>
                <a:lnTo>
                  <a:pt x="39" y="125"/>
                </a:lnTo>
                <a:lnTo>
                  <a:pt x="38" y="124"/>
                </a:lnTo>
                <a:lnTo>
                  <a:pt x="38" y="124"/>
                </a:lnTo>
                <a:lnTo>
                  <a:pt x="38" y="123"/>
                </a:lnTo>
                <a:lnTo>
                  <a:pt x="38" y="122"/>
                </a:lnTo>
                <a:lnTo>
                  <a:pt x="38" y="121"/>
                </a:lnTo>
                <a:lnTo>
                  <a:pt x="38" y="120"/>
                </a:lnTo>
                <a:lnTo>
                  <a:pt x="38" y="119"/>
                </a:lnTo>
                <a:lnTo>
                  <a:pt x="38" y="118"/>
                </a:lnTo>
                <a:lnTo>
                  <a:pt x="38" y="117"/>
                </a:lnTo>
                <a:lnTo>
                  <a:pt x="38" y="116"/>
                </a:lnTo>
                <a:lnTo>
                  <a:pt x="37" y="116"/>
                </a:lnTo>
                <a:lnTo>
                  <a:pt x="37" y="115"/>
                </a:lnTo>
                <a:lnTo>
                  <a:pt x="36" y="115"/>
                </a:lnTo>
                <a:lnTo>
                  <a:pt x="35" y="114"/>
                </a:lnTo>
                <a:lnTo>
                  <a:pt x="35" y="114"/>
                </a:lnTo>
                <a:lnTo>
                  <a:pt x="34" y="114"/>
                </a:lnTo>
                <a:lnTo>
                  <a:pt x="34" y="113"/>
                </a:lnTo>
                <a:lnTo>
                  <a:pt x="33" y="113"/>
                </a:lnTo>
                <a:lnTo>
                  <a:pt x="33" y="112"/>
                </a:lnTo>
                <a:lnTo>
                  <a:pt x="32" y="112"/>
                </a:lnTo>
                <a:lnTo>
                  <a:pt x="32" y="112"/>
                </a:lnTo>
                <a:lnTo>
                  <a:pt x="31" y="112"/>
                </a:lnTo>
                <a:lnTo>
                  <a:pt x="31" y="111"/>
                </a:lnTo>
                <a:lnTo>
                  <a:pt x="31" y="111"/>
                </a:lnTo>
                <a:lnTo>
                  <a:pt x="31" y="111"/>
                </a:lnTo>
                <a:lnTo>
                  <a:pt x="30" y="111"/>
                </a:lnTo>
                <a:lnTo>
                  <a:pt x="30" y="111"/>
                </a:lnTo>
                <a:lnTo>
                  <a:pt x="29" y="110"/>
                </a:lnTo>
                <a:lnTo>
                  <a:pt x="29" y="110"/>
                </a:lnTo>
                <a:lnTo>
                  <a:pt x="28" y="110"/>
                </a:lnTo>
                <a:lnTo>
                  <a:pt x="28" y="110"/>
                </a:lnTo>
                <a:lnTo>
                  <a:pt x="27" y="110"/>
                </a:lnTo>
                <a:lnTo>
                  <a:pt x="26" y="110"/>
                </a:lnTo>
                <a:lnTo>
                  <a:pt x="26" y="110"/>
                </a:lnTo>
                <a:lnTo>
                  <a:pt x="26" y="110"/>
                </a:lnTo>
                <a:lnTo>
                  <a:pt x="25" y="110"/>
                </a:lnTo>
                <a:lnTo>
                  <a:pt x="24" y="110"/>
                </a:lnTo>
                <a:lnTo>
                  <a:pt x="24" y="109"/>
                </a:lnTo>
                <a:lnTo>
                  <a:pt x="24" y="109"/>
                </a:lnTo>
                <a:lnTo>
                  <a:pt x="24" y="108"/>
                </a:lnTo>
                <a:lnTo>
                  <a:pt x="24" y="108"/>
                </a:lnTo>
                <a:lnTo>
                  <a:pt x="25" y="108"/>
                </a:lnTo>
                <a:lnTo>
                  <a:pt x="25" y="108"/>
                </a:lnTo>
                <a:lnTo>
                  <a:pt x="26" y="109"/>
                </a:lnTo>
                <a:lnTo>
                  <a:pt x="26" y="108"/>
                </a:lnTo>
                <a:lnTo>
                  <a:pt x="25" y="107"/>
                </a:lnTo>
                <a:lnTo>
                  <a:pt x="25" y="107"/>
                </a:lnTo>
                <a:lnTo>
                  <a:pt x="25" y="106"/>
                </a:lnTo>
                <a:lnTo>
                  <a:pt x="25" y="105"/>
                </a:lnTo>
                <a:lnTo>
                  <a:pt x="25" y="104"/>
                </a:lnTo>
                <a:lnTo>
                  <a:pt x="25" y="104"/>
                </a:lnTo>
                <a:lnTo>
                  <a:pt x="25" y="103"/>
                </a:lnTo>
                <a:lnTo>
                  <a:pt x="25" y="102"/>
                </a:lnTo>
                <a:lnTo>
                  <a:pt x="24" y="101"/>
                </a:lnTo>
                <a:lnTo>
                  <a:pt x="23" y="101"/>
                </a:lnTo>
                <a:lnTo>
                  <a:pt x="23" y="101"/>
                </a:lnTo>
                <a:lnTo>
                  <a:pt x="21" y="100"/>
                </a:lnTo>
                <a:lnTo>
                  <a:pt x="21" y="99"/>
                </a:lnTo>
                <a:lnTo>
                  <a:pt x="20" y="99"/>
                </a:lnTo>
                <a:lnTo>
                  <a:pt x="18" y="99"/>
                </a:lnTo>
                <a:lnTo>
                  <a:pt x="18" y="99"/>
                </a:lnTo>
                <a:lnTo>
                  <a:pt x="16" y="98"/>
                </a:lnTo>
                <a:lnTo>
                  <a:pt x="15" y="98"/>
                </a:lnTo>
                <a:lnTo>
                  <a:pt x="14" y="98"/>
                </a:lnTo>
                <a:lnTo>
                  <a:pt x="13" y="98"/>
                </a:lnTo>
                <a:lnTo>
                  <a:pt x="12" y="98"/>
                </a:lnTo>
                <a:lnTo>
                  <a:pt x="11" y="96"/>
                </a:lnTo>
                <a:lnTo>
                  <a:pt x="9" y="95"/>
                </a:lnTo>
                <a:lnTo>
                  <a:pt x="7" y="95"/>
                </a:lnTo>
                <a:lnTo>
                  <a:pt x="5" y="95"/>
                </a:lnTo>
                <a:lnTo>
                  <a:pt x="4" y="94"/>
                </a:lnTo>
                <a:lnTo>
                  <a:pt x="4" y="94"/>
                </a:lnTo>
                <a:lnTo>
                  <a:pt x="3" y="92"/>
                </a:lnTo>
                <a:lnTo>
                  <a:pt x="2" y="91"/>
                </a:lnTo>
                <a:lnTo>
                  <a:pt x="2" y="91"/>
                </a:lnTo>
                <a:lnTo>
                  <a:pt x="0" y="90"/>
                </a:lnTo>
                <a:lnTo>
                  <a:pt x="0" y="90"/>
                </a:lnTo>
                <a:lnTo>
                  <a:pt x="0" y="89"/>
                </a:lnTo>
                <a:lnTo>
                  <a:pt x="0" y="88"/>
                </a:lnTo>
                <a:lnTo>
                  <a:pt x="0" y="87"/>
                </a:lnTo>
                <a:lnTo>
                  <a:pt x="1" y="85"/>
                </a:lnTo>
                <a:lnTo>
                  <a:pt x="0" y="84"/>
                </a:lnTo>
                <a:lnTo>
                  <a:pt x="1" y="83"/>
                </a:lnTo>
                <a:lnTo>
                  <a:pt x="1" y="82"/>
                </a:lnTo>
                <a:lnTo>
                  <a:pt x="1" y="81"/>
                </a:lnTo>
                <a:lnTo>
                  <a:pt x="1" y="80"/>
                </a:lnTo>
                <a:lnTo>
                  <a:pt x="2" y="79"/>
                </a:lnTo>
                <a:lnTo>
                  <a:pt x="2" y="79"/>
                </a:lnTo>
                <a:lnTo>
                  <a:pt x="4" y="79"/>
                </a:lnTo>
                <a:lnTo>
                  <a:pt x="4" y="77"/>
                </a:lnTo>
                <a:lnTo>
                  <a:pt x="3" y="76"/>
                </a:lnTo>
                <a:lnTo>
                  <a:pt x="4" y="75"/>
                </a:lnTo>
                <a:lnTo>
                  <a:pt x="4" y="74"/>
                </a:lnTo>
                <a:lnTo>
                  <a:pt x="4" y="73"/>
                </a:lnTo>
                <a:lnTo>
                  <a:pt x="2" y="73"/>
                </a:lnTo>
                <a:lnTo>
                  <a:pt x="2" y="72"/>
                </a:lnTo>
                <a:lnTo>
                  <a:pt x="3" y="70"/>
                </a:lnTo>
                <a:lnTo>
                  <a:pt x="4" y="69"/>
                </a:lnTo>
                <a:lnTo>
                  <a:pt x="5" y="67"/>
                </a:lnTo>
                <a:lnTo>
                  <a:pt x="5" y="66"/>
                </a:lnTo>
                <a:lnTo>
                  <a:pt x="5" y="65"/>
                </a:lnTo>
                <a:lnTo>
                  <a:pt x="6" y="64"/>
                </a:lnTo>
                <a:lnTo>
                  <a:pt x="8" y="62"/>
                </a:lnTo>
                <a:lnTo>
                  <a:pt x="8" y="61"/>
                </a:lnTo>
                <a:lnTo>
                  <a:pt x="7" y="59"/>
                </a:lnTo>
                <a:lnTo>
                  <a:pt x="9" y="57"/>
                </a:lnTo>
                <a:lnTo>
                  <a:pt x="10" y="56"/>
                </a:lnTo>
                <a:lnTo>
                  <a:pt x="10" y="55"/>
                </a:lnTo>
                <a:lnTo>
                  <a:pt x="9" y="54"/>
                </a:lnTo>
                <a:lnTo>
                  <a:pt x="8" y="53"/>
                </a:lnTo>
                <a:lnTo>
                  <a:pt x="8" y="50"/>
                </a:lnTo>
                <a:lnTo>
                  <a:pt x="7" y="48"/>
                </a:lnTo>
                <a:lnTo>
                  <a:pt x="7" y="47"/>
                </a:lnTo>
                <a:lnTo>
                  <a:pt x="5" y="44"/>
                </a:lnTo>
                <a:lnTo>
                  <a:pt x="4" y="42"/>
                </a:lnTo>
                <a:lnTo>
                  <a:pt x="5" y="40"/>
                </a:lnTo>
                <a:lnTo>
                  <a:pt x="7" y="38"/>
                </a:lnTo>
                <a:lnTo>
                  <a:pt x="10" y="37"/>
                </a:lnTo>
                <a:lnTo>
                  <a:pt x="12" y="36"/>
                </a:lnTo>
                <a:lnTo>
                  <a:pt x="15" y="34"/>
                </a:lnTo>
                <a:lnTo>
                  <a:pt x="18" y="32"/>
                </a:lnTo>
                <a:lnTo>
                  <a:pt x="18" y="32"/>
                </a:lnTo>
                <a:lnTo>
                  <a:pt x="18" y="33"/>
                </a:lnTo>
                <a:lnTo>
                  <a:pt x="18" y="34"/>
                </a:lnTo>
                <a:lnTo>
                  <a:pt x="18" y="35"/>
                </a:lnTo>
                <a:lnTo>
                  <a:pt x="19" y="35"/>
                </a:lnTo>
                <a:lnTo>
                  <a:pt x="19" y="36"/>
                </a:lnTo>
                <a:lnTo>
                  <a:pt x="20" y="36"/>
                </a:lnTo>
                <a:lnTo>
                  <a:pt x="20" y="35"/>
                </a:lnTo>
                <a:lnTo>
                  <a:pt x="20" y="35"/>
                </a:lnTo>
                <a:lnTo>
                  <a:pt x="21" y="36"/>
                </a:lnTo>
                <a:lnTo>
                  <a:pt x="21" y="35"/>
                </a:lnTo>
                <a:lnTo>
                  <a:pt x="22" y="35"/>
                </a:lnTo>
                <a:lnTo>
                  <a:pt x="23" y="36"/>
                </a:lnTo>
                <a:lnTo>
                  <a:pt x="24" y="37"/>
                </a:lnTo>
                <a:lnTo>
                  <a:pt x="26" y="37"/>
                </a:lnTo>
                <a:lnTo>
                  <a:pt x="26" y="37"/>
                </a:lnTo>
                <a:lnTo>
                  <a:pt x="26" y="37"/>
                </a:lnTo>
                <a:lnTo>
                  <a:pt x="27" y="38"/>
                </a:lnTo>
                <a:lnTo>
                  <a:pt x="28" y="38"/>
                </a:lnTo>
                <a:lnTo>
                  <a:pt x="28" y="39"/>
                </a:lnTo>
                <a:lnTo>
                  <a:pt x="29" y="40"/>
                </a:lnTo>
                <a:lnTo>
                  <a:pt x="30" y="39"/>
                </a:lnTo>
                <a:lnTo>
                  <a:pt x="31" y="39"/>
                </a:lnTo>
                <a:lnTo>
                  <a:pt x="32" y="40"/>
                </a:lnTo>
                <a:lnTo>
                  <a:pt x="32" y="40"/>
                </a:lnTo>
                <a:lnTo>
                  <a:pt x="34" y="40"/>
                </a:lnTo>
                <a:lnTo>
                  <a:pt x="34" y="40"/>
                </a:lnTo>
                <a:lnTo>
                  <a:pt x="35" y="40"/>
                </a:lnTo>
                <a:lnTo>
                  <a:pt x="35" y="41"/>
                </a:lnTo>
                <a:lnTo>
                  <a:pt x="37" y="43"/>
                </a:lnTo>
                <a:lnTo>
                  <a:pt x="37" y="44"/>
                </a:lnTo>
                <a:lnTo>
                  <a:pt x="38" y="44"/>
                </a:lnTo>
                <a:lnTo>
                  <a:pt x="38" y="44"/>
                </a:lnTo>
                <a:lnTo>
                  <a:pt x="39" y="44"/>
                </a:lnTo>
                <a:lnTo>
                  <a:pt x="39" y="44"/>
                </a:lnTo>
                <a:lnTo>
                  <a:pt x="43" y="44"/>
                </a:lnTo>
                <a:lnTo>
                  <a:pt x="44" y="44"/>
                </a:lnTo>
                <a:lnTo>
                  <a:pt x="44" y="44"/>
                </a:lnTo>
                <a:lnTo>
                  <a:pt x="45" y="44"/>
                </a:lnTo>
                <a:lnTo>
                  <a:pt x="47" y="45"/>
                </a:lnTo>
                <a:lnTo>
                  <a:pt x="49" y="46"/>
                </a:lnTo>
                <a:lnTo>
                  <a:pt x="49" y="46"/>
                </a:lnTo>
                <a:lnTo>
                  <a:pt x="52" y="47"/>
                </a:lnTo>
                <a:lnTo>
                  <a:pt x="56" y="47"/>
                </a:lnTo>
                <a:lnTo>
                  <a:pt x="56" y="46"/>
                </a:lnTo>
                <a:lnTo>
                  <a:pt x="56" y="44"/>
                </a:lnTo>
                <a:lnTo>
                  <a:pt x="56" y="44"/>
                </a:lnTo>
                <a:lnTo>
                  <a:pt x="56" y="43"/>
                </a:lnTo>
                <a:lnTo>
                  <a:pt x="57" y="43"/>
                </a:lnTo>
                <a:lnTo>
                  <a:pt x="57" y="43"/>
                </a:lnTo>
                <a:lnTo>
                  <a:pt x="58" y="42"/>
                </a:lnTo>
                <a:lnTo>
                  <a:pt x="58" y="41"/>
                </a:lnTo>
                <a:lnTo>
                  <a:pt x="57" y="40"/>
                </a:lnTo>
                <a:lnTo>
                  <a:pt x="57" y="38"/>
                </a:lnTo>
                <a:lnTo>
                  <a:pt x="58" y="37"/>
                </a:lnTo>
                <a:lnTo>
                  <a:pt x="59" y="36"/>
                </a:lnTo>
                <a:lnTo>
                  <a:pt x="59" y="35"/>
                </a:lnTo>
                <a:lnTo>
                  <a:pt x="61" y="34"/>
                </a:lnTo>
                <a:lnTo>
                  <a:pt x="62" y="33"/>
                </a:lnTo>
                <a:lnTo>
                  <a:pt x="62" y="32"/>
                </a:lnTo>
                <a:lnTo>
                  <a:pt x="63" y="32"/>
                </a:lnTo>
                <a:lnTo>
                  <a:pt x="63" y="32"/>
                </a:lnTo>
                <a:lnTo>
                  <a:pt x="64" y="32"/>
                </a:lnTo>
                <a:lnTo>
                  <a:pt x="65" y="32"/>
                </a:lnTo>
                <a:lnTo>
                  <a:pt x="65" y="31"/>
                </a:lnTo>
                <a:lnTo>
                  <a:pt x="66" y="31"/>
                </a:lnTo>
                <a:lnTo>
                  <a:pt x="66" y="31"/>
                </a:lnTo>
                <a:lnTo>
                  <a:pt x="67" y="31"/>
                </a:lnTo>
                <a:lnTo>
                  <a:pt x="67" y="31"/>
                </a:lnTo>
                <a:lnTo>
                  <a:pt x="68" y="31"/>
                </a:lnTo>
                <a:lnTo>
                  <a:pt x="69" y="31"/>
                </a:lnTo>
                <a:lnTo>
                  <a:pt x="70" y="31"/>
                </a:lnTo>
                <a:lnTo>
                  <a:pt x="70" y="30"/>
                </a:lnTo>
                <a:lnTo>
                  <a:pt x="71" y="31"/>
                </a:lnTo>
                <a:lnTo>
                  <a:pt x="72" y="29"/>
                </a:lnTo>
                <a:lnTo>
                  <a:pt x="75" y="28"/>
                </a:lnTo>
                <a:lnTo>
                  <a:pt x="75" y="28"/>
                </a:lnTo>
                <a:lnTo>
                  <a:pt x="76" y="26"/>
                </a:lnTo>
                <a:lnTo>
                  <a:pt x="76" y="25"/>
                </a:lnTo>
                <a:lnTo>
                  <a:pt x="77" y="25"/>
                </a:lnTo>
                <a:lnTo>
                  <a:pt x="78" y="25"/>
                </a:lnTo>
                <a:lnTo>
                  <a:pt x="79" y="25"/>
                </a:lnTo>
                <a:lnTo>
                  <a:pt x="79" y="25"/>
                </a:lnTo>
                <a:lnTo>
                  <a:pt x="81" y="25"/>
                </a:lnTo>
                <a:lnTo>
                  <a:pt x="82" y="24"/>
                </a:lnTo>
                <a:lnTo>
                  <a:pt x="83" y="24"/>
                </a:lnTo>
                <a:lnTo>
                  <a:pt x="84" y="24"/>
                </a:lnTo>
                <a:lnTo>
                  <a:pt x="84" y="25"/>
                </a:lnTo>
                <a:lnTo>
                  <a:pt x="85" y="25"/>
                </a:lnTo>
                <a:lnTo>
                  <a:pt x="86" y="24"/>
                </a:lnTo>
                <a:lnTo>
                  <a:pt x="86" y="25"/>
                </a:lnTo>
                <a:lnTo>
                  <a:pt x="88" y="25"/>
                </a:lnTo>
                <a:lnTo>
                  <a:pt x="89" y="25"/>
                </a:lnTo>
                <a:lnTo>
                  <a:pt x="89" y="25"/>
                </a:lnTo>
                <a:lnTo>
                  <a:pt x="91" y="25"/>
                </a:lnTo>
                <a:lnTo>
                  <a:pt x="91" y="25"/>
                </a:lnTo>
                <a:lnTo>
                  <a:pt x="91" y="25"/>
                </a:lnTo>
                <a:lnTo>
                  <a:pt x="90" y="24"/>
                </a:lnTo>
                <a:lnTo>
                  <a:pt x="91" y="24"/>
                </a:lnTo>
                <a:lnTo>
                  <a:pt x="92" y="24"/>
                </a:lnTo>
                <a:lnTo>
                  <a:pt x="93" y="23"/>
                </a:lnTo>
                <a:lnTo>
                  <a:pt x="93" y="22"/>
                </a:lnTo>
                <a:lnTo>
                  <a:pt x="92" y="19"/>
                </a:lnTo>
                <a:lnTo>
                  <a:pt x="92" y="18"/>
                </a:lnTo>
                <a:lnTo>
                  <a:pt x="93" y="18"/>
                </a:lnTo>
                <a:lnTo>
                  <a:pt x="93" y="18"/>
                </a:lnTo>
                <a:lnTo>
                  <a:pt x="93" y="18"/>
                </a:lnTo>
                <a:lnTo>
                  <a:pt x="94" y="18"/>
                </a:lnTo>
                <a:lnTo>
                  <a:pt x="94" y="17"/>
                </a:lnTo>
                <a:lnTo>
                  <a:pt x="94" y="16"/>
                </a:lnTo>
                <a:lnTo>
                  <a:pt x="94" y="15"/>
                </a:lnTo>
                <a:lnTo>
                  <a:pt x="94" y="15"/>
                </a:lnTo>
                <a:lnTo>
                  <a:pt x="94" y="15"/>
                </a:lnTo>
                <a:lnTo>
                  <a:pt x="95" y="15"/>
                </a:lnTo>
                <a:lnTo>
                  <a:pt x="95" y="15"/>
                </a:lnTo>
                <a:lnTo>
                  <a:pt x="95" y="14"/>
                </a:lnTo>
                <a:lnTo>
                  <a:pt x="95" y="14"/>
                </a:lnTo>
                <a:lnTo>
                  <a:pt x="94" y="13"/>
                </a:lnTo>
                <a:lnTo>
                  <a:pt x="93" y="13"/>
                </a:lnTo>
                <a:lnTo>
                  <a:pt x="92" y="13"/>
                </a:lnTo>
                <a:lnTo>
                  <a:pt x="92" y="13"/>
                </a:lnTo>
                <a:lnTo>
                  <a:pt x="92" y="12"/>
                </a:lnTo>
                <a:lnTo>
                  <a:pt x="91" y="12"/>
                </a:lnTo>
                <a:lnTo>
                  <a:pt x="91" y="11"/>
                </a:lnTo>
                <a:lnTo>
                  <a:pt x="91" y="10"/>
                </a:lnTo>
                <a:lnTo>
                  <a:pt x="90" y="10"/>
                </a:lnTo>
                <a:lnTo>
                  <a:pt x="89" y="10"/>
                </a:lnTo>
                <a:lnTo>
                  <a:pt x="89" y="9"/>
                </a:lnTo>
                <a:lnTo>
                  <a:pt x="89" y="9"/>
                </a:lnTo>
                <a:lnTo>
                  <a:pt x="89" y="8"/>
                </a:lnTo>
                <a:lnTo>
                  <a:pt x="89" y="8"/>
                </a:lnTo>
                <a:lnTo>
                  <a:pt x="88" y="9"/>
                </a:lnTo>
                <a:lnTo>
                  <a:pt x="88" y="8"/>
                </a:lnTo>
                <a:lnTo>
                  <a:pt x="87" y="8"/>
                </a:lnTo>
                <a:lnTo>
                  <a:pt x="86" y="5"/>
                </a:lnTo>
                <a:lnTo>
                  <a:pt x="86" y="5"/>
                </a:lnTo>
                <a:lnTo>
                  <a:pt x="86" y="5"/>
                </a:lnTo>
                <a:lnTo>
                  <a:pt x="85" y="6"/>
                </a:lnTo>
                <a:lnTo>
                  <a:pt x="85" y="6"/>
                </a:lnTo>
                <a:lnTo>
                  <a:pt x="84" y="5"/>
                </a:lnTo>
                <a:lnTo>
                  <a:pt x="85" y="4"/>
                </a:lnTo>
                <a:lnTo>
                  <a:pt x="85" y="4"/>
                </a:lnTo>
                <a:lnTo>
                  <a:pt x="85" y="4"/>
                </a:lnTo>
                <a:lnTo>
                  <a:pt x="85" y="4"/>
                </a:lnTo>
                <a:lnTo>
                  <a:pt x="86" y="4"/>
                </a:lnTo>
                <a:lnTo>
                  <a:pt x="86" y="3"/>
                </a:lnTo>
                <a:lnTo>
                  <a:pt x="88" y="3"/>
                </a:lnTo>
                <a:lnTo>
                  <a:pt x="88" y="2"/>
                </a:lnTo>
                <a:lnTo>
                  <a:pt x="88" y="1"/>
                </a:lnTo>
                <a:lnTo>
                  <a:pt x="89" y="1"/>
                </a:lnTo>
                <a:lnTo>
                  <a:pt x="90" y="1"/>
                </a:lnTo>
                <a:lnTo>
                  <a:pt x="90" y="1"/>
                </a:lnTo>
                <a:lnTo>
                  <a:pt x="91" y="1"/>
                </a:lnTo>
                <a:lnTo>
                  <a:pt x="91" y="2"/>
                </a:lnTo>
                <a:lnTo>
                  <a:pt x="91" y="2"/>
                </a:lnTo>
                <a:lnTo>
                  <a:pt x="92" y="2"/>
                </a:lnTo>
                <a:lnTo>
                  <a:pt x="92" y="2"/>
                </a:lnTo>
                <a:lnTo>
                  <a:pt x="93" y="1"/>
                </a:lnTo>
                <a:lnTo>
                  <a:pt x="93" y="0"/>
                </a:lnTo>
                <a:lnTo>
                  <a:pt x="94" y="0"/>
                </a:lnTo>
                <a:lnTo>
                  <a:pt x="95" y="2"/>
                </a:lnTo>
                <a:lnTo>
                  <a:pt x="96" y="2"/>
                </a:lnTo>
                <a:lnTo>
                  <a:pt x="96" y="2"/>
                </a:lnTo>
                <a:lnTo>
                  <a:pt x="97" y="2"/>
                </a:lnTo>
                <a:lnTo>
                  <a:pt x="97" y="1"/>
                </a:lnTo>
                <a:lnTo>
                  <a:pt x="99" y="0"/>
                </a:lnTo>
                <a:lnTo>
                  <a:pt x="100" y="0"/>
                </a:lnTo>
                <a:lnTo>
                  <a:pt x="100" y="0"/>
                </a:lnTo>
              </a:path>
            </a:pathLst>
          </a:custGeom>
          <a:grpFill/>
          <a:ln w="9525">
            <a:solidFill>
              <a:schemeClr val="bg1">
                <a:lumMod val="65000"/>
              </a:schemeClr>
            </a:solidFill>
            <a:prstDash val="solid"/>
            <a:round/>
            <a:headEnd/>
            <a:tailEnd/>
          </a:ln>
        </xdr:spPr>
      </xdr:sp>
      <xdr:sp macro="" textlink="">
        <xdr:nvSpPr>
          <xdr:cNvPr id="216" name="GIN001004"/>
          <xdr:cNvSpPr>
            <a:spLocks noChangeAspect="1"/>
          </xdr:cNvSpPr>
        </xdr:nvSpPr>
        <xdr:spPr bwMode="auto">
          <a:xfrm>
            <a:off x="4799735" y="2219820"/>
            <a:ext cx="1076324" cy="608487"/>
          </a:xfrm>
          <a:custGeom>
            <a:avLst/>
            <a:gdLst>
              <a:gd name="T0" fmla="*/ 36 w 113"/>
              <a:gd name="T1" fmla="*/ 2 h 67"/>
              <a:gd name="T2" fmla="*/ 37 w 113"/>
              <a:gd name="T3" fmla="*/ 3 h 67"/>
              <a:gd name="T4" fmla="*/ 42 w 113"/>
              <a:gd name="T5" fmla="*/ 2 h 67"/>
              <a:gd name="T6" fmla="*/ 47 w 113"/>
              <a:gd name="T7" fmla="*/ 3 h 67"/>
              <a:gd name="T8" fmla="*/ 52 w 113"/>
              <a:gd name="T9" fmla="*/ 5 h 67"/>
              <a:gd name="T10" fmla="*/ 56 w 113"/>
              <a:gd name="T11" fmla="*/ 4 h 67"/>
              <a:gd name="T12" fmla="*/ 60 w 113"/>
              <a:gd name="T13" fmla="*/ 5 h 67"/>
              <a:gd name="T14" fmla="*/ 64 w 113"/>
              <a:gd name="T15" fmla="*/ 5 h 67"/>
              <a:gd name="T16" fmla="*/ 64 w 113"/>
              <a:gd name="T17" fmla="*/ 11 h 67"/>
              <a:gd name="T18" fmla="*/ 63 w 113"/>
              <a:gd name="T19" fmla="*/ 18 h 67"/>
              <a:gd name="T20" fmla="*/ 67 w 113"/>
              <a:gd name="T21" fmla="*/ 19 h 67"/>
              <a:gd name="T22" fmla="*/ 73 w 113"/>
              <a:gd name="T23" fmla="*/ 21 h 67"/>
              <a:gd name="T24" fmla="*/ 77 w 113"/>
              <a:gd name="T25" fmla="*/ 15 h 67"/>
              <a:gd name="T26" fmla="*/ 81 w 113"/>
              <a:gd name="T27" fmla="*/ 13 h 67"/>
              <a:gd name="T28" fmla="*/ 86 w 113"/>
              <a:gd name="T29" fmla="*/ 18 h 67"/>
              <a:gd name="T30" fmla="*/ 91 w 113"/>
              <a:gd name="T31" fmla="*/ 19 h 67"/>
              <a:gd name="T32" fmla="*/ 94 w 113"/>
              <a:gd name="T33" fmla="*/ 24 h 67"/>
              <a:gd name="T34" fmla="*/ 102 w 113"/>
              <a:gd name="T35" fmla="*/ 24 h 67"/>
              <a:gd name="T36" fmla="*/ 110 w 113"/>
              <a:gd name="T37" fmla="*/ 27 h 67"/>
              <a:gd name="T38" fmla="*/ 113 w 113"/>
              <a:gd name="T39" fmla="*/ 31 h 67"/>
              <a:gd name="T40" fmla="*/ 97 w 113"/>
              <a:gd name="T41" fmla="*/ 40 h 67"/>
              <a:gd name="T42" fmla="*/ 87 w 113"/>
              <a:gd name="T43" fmla="*/ 52 h 67"/>
              <a:gd name="T44" fmla="*/ 85 w 113"/>
              <a:gd name="T45" fmla="*/ 51 h 67"/>
              <a:gd name="T46" fmla="*/ 81 w 113"/>
              <a:gd name="T47" fmla="*/ 54 h 67"/>
              <a:gd name="T48" fmla="*/ 76 w 113"/>
              <a:gd name="T49" fmla="*/ 57 h 67"/>
              <a:gd name="T50" fmla="*/ 69 w 113"/>
              <a:gd name="T51" fmla="*/ 58 h 67"/>
              <a:gd name="T52" fmla="*/ 64 w 113"/>
              <a:gd name="T53" fmla="*/ 58 h 67"/>
              <a:gd name="T54" fmla="*/ 62 w 113"/>
              <a:gd name="T55" fmla="*/ 61 h 67"/>
              <a:gd name="T56" fmla="*/ 59 w 113"/>
              <a:gd name="T57" fmla="*/ 64 h 67"/>
              <a:gd name="T58" fmla="*/ 53 w 113"/>
              <a:gd name="T59" fmla="*/ 64 h 67"/>
              <a:gd name="T60" fmla="*/ 50 w 113"/>
              <a:gd name="T61" fmla="*/ 66 h 67"/>
              <a:gd name="T62" fmla="*/ 44 w 113"/>
              <a:gd name="T63" fmla="*/ 66 h 67"/>
              <a:gd name="T64" fmla="*/ 44 w 113"/>
              <a:gd name="T65" fmla="*/ 65 h 67"/>
              <a:gd name="T66" fmla="*/ 43 w 113"/>
              <a:gd name="T67" fmla="*/ 62 h 67"/>
              <a:gd name="T68" fmla="*/ 44 w 113"/>
              <a:gd name="T69" fmla="*/ 58 h 67"/>
              <a:gd name="T70" fmla="*/ 40 w 113"/>
              <a:gd name="T71" fmla="*/ 58 h 67"/>
              <a:gd name="T72" fmla="*/ 40 w 113"/>
              <a:gd name="T73" fmla="*/ 61 h 67"/>
              <a:gd name="T74" fmla="*/ 36 w 113"/>
              <a:gd name="T75" fmla="*/ 57 h 67"/>
              <a:gd name="T76" fmla="*/ 37 w 113"/>
              <a:gd name="T77" fmla="*/ 54 h 67"/>
              <a:gd name="T78" fmla="*/ 36 w 113"/>
              <a:gd name="T79" fmla="*/ 49 h 67"/>
              <a:gd name="T80" fmla="*/ 36 w 113"/>
              <a:gd name="T81" fmla="*/ 45 h 67"/>
              <a:gd name="T82" fmla="*/ 32 w 113"/>
              <a:gd name="T83" fmla="*/ 41 h 67"/>
              <a:gd name="T84" fmla="*/ 32 w 113"/>
              <a:gd name="T85" fmla="*/ 39 h 67"/>
              <a:gd name="T86" fmla="*/ 33 w 113"/>
              <a:gd name="T87" fmla="*/ 37 h 67"/>
              <a:gd name="T88" fmla="*/ 32 w 113"/>
              <a:gd name="T89" fmla="*/ 36 h 67"/>
              <a:gd name="T90" fmla="*/ 29 w 113"/>
              <a:gd name="T91" fmla="*/ 37 h 67"/>
              <a:gd name="T92" fmla="*/ 26 w 113"/>
              <a:gd name="T93" fmla="*/ 40 h 67"/>
              <a:gd name="T94" fmla="*/ 23 w 113"/>
              <a:gd name="T95" fmla="*/ 35 h 67"/>
              <a:gd name="T96" fmla="*/ 22 w 113"/>
              <a:gd name="T97" fmla="*/ 38 h 67"/>
              <a:gd name="T98" fmla="*/ 23 w 113"/>
              <a:gd name="T99" fmla="*/ 40 h 67"/>
              <a:gd name="T100" fmla="*/ 19 w 113"/>
              <a:gd name="T101" fmla="*/ 38 h 67"/>
              <a:gd name="T102" fmla="*/ 16 w 113"/>
              <a:gd name="T103" fmla="*/ 39 h 67"/>
              <a:gd name="T104" fmla="*/ 14 w 113"/>
              <a:gd name="T105" fmla="*/ 38 h 67"/>
              <a:gd name="T106" fmla="*/ 10 w 113"/>
              <a:gd name="T107" fmla="*/ 41 h 67"/>
              <a:gd name="T108" fmla="*/ 5 w 113"/>
              <a:gd name="T109" fmla="*/ 44 h 67"/>
              <a:gd name="T110" fmla="*/ 3 w 113"/>
              <a:gd name="T111" fmla="*/ 41 h 67"/>
              <a:gd name="T112" fmla="*/ 2 w 113"/>
              <a:gd name="T113" fmla="*/ 38 h 67"/>
              <a:gd name="T114" fmla="*/ 5 w 113"/>
              <a:gd name="T115" fmla="*/ 35 h 67"/>
              <a:gd name="T116" fmla="*/ 5 w 113"/>
              <a:gd name="T117" fmla="*/ 29 h 67"/>
              <a:gd name="T118" fmla="*/ 7 w 113"/>
              <a:gd name="T119" fmla="*/ 21 h 67"/>
              <a:gd name="T120" fmla="*/ 3 w 113"/>
              <a:gd name="T121" fmla="*/ 12 h 67"/>
              <a:gd name="T122" fmla="*/ 1 w 113"/>
              <a:gd name="T123" fmla="*/ 5 h 67"/>
              <a:gd name="T124" fmla="*/ 24 w 113"/>
              <a:gd name="T125" fmla="*/ 1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13" h="67">
                <a:moveTo>
                  <a:pt x="24" y="1"/>
                </a:moveTo>
                <a:lnTo>
                  <a:pt x="25" y="1"/>
                </a:lnTo>
                <a:lnTo>
                  <a:pt x="26" y="1"/>
                </a:lnTo>
                <a:lnTo>
                  <a:pt x="26" y="1"/>
                </a:lnTo>
                <a:lnTo>
                  <a:pt x="31" y="1"/>
                </a:lnTo>
                <a:lnTo>
                  <a:pt x="36" y="2"/>
                </a:lnTo>
                <a:lnTo>
                  <a:pt x="36" y="2"/>
                </a:lnTo>
                <a:lnTo>
                  <a:pt x="36" y="3"/>
                </a:lnTo>
                <a:lnTo>
                  <a:pt x="36" y="2"/>
                </a:lnTo>
                <a:lnTo>
                  <a:pt x="37" y="2"/>
                </a:lnTo>
                <a:lnTo>
                  <a:pt x="37" y="2"/>
                </a:lnTo>
                <a:lnTo>
                  <a:pt x="37" y="3"/>
                </a:lnTo>
                <a:lnTo>
                  <a:pt x="38" y="3"/>
                </a:lnTo>
                <a:lnTo>
                  <a:pt x="40" y="3"/>
                </a:lnTo>
                <a:lnTo>
                  <a:pt x="41" y="3"/>
                </a:lnTo>
                <a:lnTo>
                  <a:pt x="41" y="3"/>
                </a:lnTo>
                <a:lnTo>
                  <a:pt x="41" y="3"/>
                </a:lnTo>
                <a:lnTo>
                  <a:pt x="42" y="2"/>
                </a:lnTo>
                <a:lnTo>
                  <a:pt x="42" y="2"/>
                </a:lnTo>
                <a:lnTo>
                  <a:pt x="43" y="3"/>
                </a:lnTo>
                <a:lnTo>
                  <a:pt x="44" y="3"/>
                </a:lnTo>
                <a:lnTo>
                  <a:pt x="46" y="3"/>
                </a:lnTo>
                <a:lnTo>
                  <a:pt x="47" y="3"/>
                </a:lnTo>
                <a:lnTo>
                  <a:pt x="47" y="3"/>
                </a:lnTo>
                <a:lnTo>
                  <a:pt x="48" y="3"/>
                </a:lnTo>
                <a:lnTo>
                  <a:pt x="49" y="3"/>
                </a:lnTo>
                <a:lnTo>
                  <a:pt x="49" y="3"/>
                </a:lnTo>
                <a:lnTo>
                  <a:pt x="49" y="3"/>
                </a:lnTo>
                <a:lnTo>
                  <a:pt x="51" y="4"/>
                </a:lnTo>
                <a:lnTo>
                  <a:pt x="52" y="5"/>
                </a:lnTo>
                <a:lnTo>
                  <a:pt x="52" y="5"/>
                </a:lnTo>
                <a:lnTo>
                  <a:pt x="52" y="4"/>
                </a:lnTo>
                <a:lnTo>
                  <a:pt x="53" y="3"/>
                </a:lnTo>
                <a:lnTo>
                  <a:pt x="55" y="3"/>
                </a:lnTo>
                <a:lnTo>
                  <a:pt x="55" y="3"/>
                </a:lnTo>
                <a:lnTo>
                  <a:pt x="56" y="4"/>
                </a:lnTo>
                <a:lnTo>
                  <a:pt x="56" y="3"/>
                </a:lnTo>
                <a:lnTo>
                  <a:pt x="57" y="3"/>
                </a:lnTo>
                <a:lnTo>
                  <a:pt x="59" y="4"/>
                </a:lnTo>
                <a:lnTo>
                  <a:pt x="59" y="4"/>
                </a:lnTo>
                <a:lnTo>
                  <a:pt x="60" y="5"/>
                </a:lnTo>
                <a:lnTo>
                  <a:pt x="60" y="5"/>
                </a:lnTo>
                <a:lnTo>
                  <a:pt x="61" y="5"/>
                </a:lnTo>
                <a:lnTo>
                  <a:pt x="62" y="4"/>
                </a:lnTo>
                <a:lnTo>
                  <a:pt x="62" y="3"/>
                </a:lnTo>
                <a:lnTo>
                  <a:pt x="62" y="3"/>
                </a:lnTo>
                <a:lnTo>
                  <a:pt x="63" y="3"/>
                </a:lnTo>
                <a:lnTo>
                  <a:pt x="64" y="5"/>
                </a:lnTo>
                <a:lnTo>
                  <a:pt x="65" y="6"/>
                </a:lnTo>
                <a:lnTo>
                  <a:pt x="65" y="6"/>
                </a:lnTo>
                <a:lnTo>
                  <a:pt x="65" y="8"/>
                </a:lnTo>
                <a:lnTo>
                  <a:pt x="65" y="9"/>
                </a:lnTo>
                <a:lnTo>
                  <a:pt x="65" y="10"/>
                </a:lnTo>
                <a:lnTo>
                  <a:pt x="64" y="11"/>
                </a:lnTo>
                <a:lnTo>
                  <a:pt x="64" y="13"/>
                </a:lnTo>
                <a:lnTo>
                  <a:pt x="63" y="14"/>
                </a:lnTo>
                <a:lnTo>
                  <a:pt x="62" y="14"/>
                </a:lnTo>
                <a:lnTo>
                  <a:pt x="63" y="16"/>
                </a:lnTo>
                <a:lnTo>
                  <a:pt x="63" y="17"/>
                </a:lnTo>
                <a:lnTo>
                  <a:pt x="63" y="18"/>
                </a:lnTo>
                <a:lnTo>
                  <a:pt x="64" y="19"/>
                </a:lnTo>
                <a:lnTo>
                  <a:pt x="64" y="19"/>
                </a:lnTo>
                <a:lnTo>
                  <a:pt x="64" y="19"/>
                </a:lnTo>
                <a:lnTo>
                  <a:pt x="65" y="20"/>
                </a:lnTo>
                <a:lnTo>
                  <a:pt x="66" y="20"/>
                </a:lnTo>
                <a:lnTo>
                  <a:pt x="67" y="19"/>
                </a:lnTo>
                <a:lnTo>
                  <a:pt x="68" y="19"/>
                </a:lnTo>
                <a:lnTo>
                  <a:pt x="70" y="20"/>
                </a:lnTo>
                <a:lnTo>
                  <a:pt x="70" y="20"/>
                </a:lnTo>
                <a:lnTo>
                  <a:pt x="71" y="20"/>
                </a:lnTo>
                <a:lnTo>
                  <a:pt x="73" y="21"/>
                </a:lnTo>
                <a:lnTo>
                  <a:pt x="73" y="21"/>
                </a:lnTo>
                <a:lnTo>
                  <a:pt x="73" y="21"/>
                </a:lnTo>
                <a:lnTo>
                  <a:pt x="75" y="19"/>
                </a:lnTo>
                <a:lnTo>
                  <a:pt x="76" y="19"/>
                </a:lnTo>
                <a:lnTo>
                  <a:pt x="76" y="19"/>
                </a:lnTo>
                <a:lnTo>
                  <a:pt x="76" y="15"/>
                </a:lnTo>
                <a:lnTo>
                  <a:pt x="77" y="15"/>
                </a:lnTo>
                <a:lnTo>
                  <a:pt x="77" y="14"/>
                </a:lnTo>
                <a:lnTo>
                  <a:pt x="78" y="14"/>
                </a:lnTo>
                <a:lnTo>
                  <a:pt x="79" y="13"/>
                </a:lnTo>
                <a:lnTo>
                  <a:pt x="80" y="13"/>
                </a:lnTo>
                <a:lnTo>
                  <a:pt x="81" y="13"/>
                </a:lnTo>
                <a:lnTo>
                  <a:pt x="81" y="13"/>
                </a:lnTo>
                <a:lnTo>
                  <a:pt x="82" y="14"/>
                </a:lnTo>
                <a:lnTo>
                  <a:pt x="82" y="15"/>
                </a:lnTo>
                <a:lnTo>
                  <a:pt x="83" y="15"/>
                </a:lnTo>
                <a:lnTo>
                  <a:pt x="85" y="16"/>
                </a:lnTo>
                <a:lnTo>
                  <a:pt x="86" y="16"/>
                </a:lnTo>
                <a:lnTo>
                  <a:pt x="86" y="18"/>
                </a:lnTo>
                <a:lnTo>
                  <a:pt x="86" y="18"/>
                </a:lnTo>
                <a:lnTo>
                  <a:pt x="86" y="19"/>
                </a:lnTo>
                <a:lnTo>
                  <a:pt x="89" y="19"/>
                </a:lnTo>
                <a:lnTo>
                  <a:pt x="90" y="20"/>
                </a:lnTo>
                <a:lnTo>
                  <a:pt x="91" y="20"/>
                </a:lnTo>
                <a:lnTo>
                  <a:pt x="91" y="19"/>
                </a:lnTo>
                <a:lnTo>
                  <a:pt x="92" y="20"/>
                </a:lnTo>
                <a:lnTo>
                  <a:pt x="93" y="20"/>
                </a:lnTo>
                <a:lnTo>
                  <a:pt x="93" y="21"/>
                </a:lnTo>
                <a:lnTo>
                  <a:pt x="94" y="21"/>
                </a:lnTo>
                <a:lnTo>
                  <a:pt x="94" y="23"/>
                </a:lnTo>
                <a:lnTo>
                  <a:pt x="94" y="24"/>
                </a:lnTo>
                <a:lnTo>
                  <a:pt x="95" y="24"/>
                </a:lnTo>
                <a:lnTo>
                  <a:pt x="96" y="24"/>
                </a:lnTo>
                <a:lnTo>
                  <a:pt x="96" y="24"/>
                </a:lnTo>
                <a:lnTo>
                  <a:pt x="98" y="24"/>
                </a:lnTo>
                <a:lnTo>
                  <a:pt x="98" y="24"/>
                </a:lnTo>
                <a:lnTo>
                  <a:pt x="102" y="24"/>
                </a:lnTo>
                <a:lnTo>
                  <a:pt x="105" y="24"/>
                </a:lnTo>
                <a:lnTo>
                  <a:pt x="106" y="24"/>
                </a:lnTo>
                <a:lnTo>
                  <a:pt x="107" y="25"/>
                </a:lnTo>
                <a:lnTo>
                  <a:pt x="108" y="25"/>
                </a:lnTo>
                <a:lnTo>
                  <a:pt x="109" y="26"/>
                </a:lnTo>
                <a:lnTo>
                  <a:pt x="110" y="27"/>
                </a:lnTo>
                <a:lnTo>
                  <a:pt x="111" y="28"/>
                </a:lnTo>
                <a:lnTo>
                  <a:pt x="112" y="29"/>
                </a:lnTo>
                <a:lnTo>
                  <a:pt x="113" y="30"/>
                </a:lnTo>
                <a:lnTo>
                  <a:pt x="113" y="30"/>
                </a:lnTo>
                <a:lnTo>
                  <a:pt x="113" y="30"/>
                </a:lnTo>
                <a:lnTo>
                  <a:pt x="113" y="31"/>
                </a:lnTo>
                <a:lnTo>
                  <a:pt x="113" y="32"/>
                </a:lnTo>
                <a:lnTo>
                  <a:pt x="109" y="33"/>
                </a:lnTo>
                <a:lnTo>
                  <a:pt x="107" y="35"/>
                </a:lnTo>
                <a:lnTo>
                  <a:pt x="104" y="36"/>
                </a:lnTo>
                <a:lnTo>
                  <a:pt x="100" y="38"/>
                </a:lnTo>
                <a:lnTo>
                  <a:pt x="97" y="40"/>
                </a:lnTo>
                <a:lnTo>
                  <a:pt x="94" y="41"/>
                </a:lnTo>
                <a:lnTo>
                  <a:pt x="93" y="45"/>
                </a:lnTo>
                <a:lnTo>
                  <a:pt x="91" y="47"/>
                </a:lnTo>
                <a:lnTo>
                  <a:pt x="89" y="49"/>
                </a:lnTo>
                <a:lnTo>
                  <a:pt x="88" y="51"/>
                </a:lnTo>
                <a:lnTo>
                  <a:pt x="87" y="52"/>
                </a:lnTo>
                <a:lnTo>
                  <a:pt x="87" y="52"/>
                </a:lnTo>
                <a:lnTo>
                  <a:pt x="87" y="52"/>
                </a:lnTo>
                <a:lnTo>
                  <a:pt x="87" y="52"/>
                </a:lnTo>
                <a:lnTo>
                  <a:pt x="86" y="52"/>
                </a:lnTo>
                <a:lnTo>
                  <a:pt x="85" y="51"/>
                </a:lnTo>
                <a:lnTo>
                  <a:pt x="85" y="51"/>
                </a:lnTo>
                <a:lnTo>
                  <a:pt x="84" y="52"/>
                </a:lnTo>
                <a:lnTo>
                  <a:pt x="84" y="52"/>
                </a:lnTo>
                <a:lnTo>
                  <a:pt x="83" y="52"/>
                </a:lnTo>
                <a:lnTo>
                  <a:pt x="83" y="53"/>
                </a:lnTo>
                <a:lnTo>
                  <a:pt x="82" y="53"/>
                </a:lnTo>
                <a:lnTo>
                  <a:pt x="81" y="54"/>
                </a:lnTo>
                <a:lnTo>
                  <a:pt x="81" y="55"/>
                </a:lnTo>
                <a:lnTo>
                  <a:pt x="81" y="56"/>
                </a:lnTo>
                <a:lnTo>
                  <a:pt x="79" y="56"/>
                </a:lnTo>
                <a:lnTo>
                  <a:pt x="78" y="57"/>
                </a:lnTo>
                <a:lnTo>
                  <a:pt x="77" y="57"/>
                </a:lnTo>
                <a:lnTo>
                  <a:pt x="76" y="57"/>
                </a:lnTo>
                <a:lnTo>
                  <a:pt x="75" y="58"/>
                </a:lnTo>
                <a:lnTo>
                  <a:pt x="74" y="58"/>
                </a:lnTo>
                <a:lnTo>
                  <a:pt x="73" y="59"/>
                </a:lnTo>
                <a:lnTo>
                  <a:pt x="71" y="59"/>
                </a:lnTo>
                <a:lnTo>
                  <a:pt x="70" y="59"/>
                </a:lnTo>
                <a:lnTo>
                  <a:pt x="69" y="58"/>
                </a:lnTo>
                <a:lnTo>
                  <a:pt x="68" y="58"/>
                </a:lnTo>
                <a:lnTo>
                  <a:pt x="67" y="58"/>
                </a:lnTo>
                <a:lnTo>
                  <a:pt x="67" y="58"/>
                </a:lnTo>
                <a:lnTo>
                  <a:pt x="65" y="58"/>
                </a:lnTo>
                <a:lnTo>
                  <a:pt x="65" y="58"/>
                </a:lnTo>
                <a:lnTo>
                  <a:pt x="64" y="58"/>
                </a:lnTo>
                <a:lnTo>
                  <a:pt x="64" y="59"/>
                </a:lnTo>
                <a:lnTo>
                  <a:pt x="63" y="59"/>
                </a:lnTo>
                <a:lnTo>
                  <a:pt x="63" y="60"/>
                </a:lnTo>
                <a:lnTo>
                  <a:pt x="63" y="61"/>
                </a:lnTo>
                <a:lnTo>
                  <a:pt x="62" y="61"/>
                </a:lnTo>
                <a:lnTo>
                  <a:pt x="62" y="61"/>
                </a:lnTo>
                <a:lnTo>
                  <a:pt x="62" y="62"/>
                </a:lnTo>
                <a:lnTo>
                  <a:pt x="62" y="62"/>
                </a:lnTo>
                <a:lnTo>
                  <a:pt x="61" y="63"/>
                </a:lnTo>
                <a:lnTo>
                  <a:pt x="60" y="63"/>
                </a:lnTo>
                <a:lnTo>
                  <a:pt x="60" y="64"/>
                </a:lnTo>
                <a:lnTo>
                  <a:pt x="59" y="64"/>
                </a:lnTo>
                <a:lnTo>
                  <a:pt x="58" y="64"/>
                </a:lnTo>
                <a:lnTo>
                  <a:pt x="57" y="63"/>
                </a:lnTo>
                <a:lnTo>
                  <a:pt x="57" y="63"/>
                </a:lnTo>
                <a:lnTo>
                  <a:pt x="56" y="63"/>
                </a:lnTo>
                <a:lnTo>
                  <a:pt x="55" y="64"/>
                </a:lnTo>
                <a:lnTo>
                  <a:pt x="53" y="64"/>
                </a:lnTo>
                <a:lnTo>
                  <a:pt x="52" y="64"/>
                </a:lnTo>
                <a:lnTo>
                  <a:pt x="52" y="65"/>
                </a:lnTo>
                <a:lnTo>
                  <a:pt x="52" y="65"/>
                </a:lnTo>
                <a:lnTo>
                  <a:pt x="52" y="66"/>
                </a:lnTo>
                <a:lnTo>
                  <a:pt x="51" y="66"/>
                </a:lnTo>
                <a:lnTo>
                  <a:pt x="50" y="66"/>
                </a:lnTo>
                <a:lnTo>
                  <a:pt x="49" y="66"/>
                </a:lnTo>
                <a:lnTo>
                  <a:pt x="48" y="66"/>
                </a:lnTo>
                <a:lnTo>
                  <a:pt x="47" y="66"/>
                </a:lnTo>
                <a:lnTo>
                  <a:pt x="47" y="66"/>
                </a:lnTo>
                <a:lnTo>
                  <a:pt x="45" y="66"/>
                </a:lnTo>
                <a:lnTo>
                  <a:pt x="44" y="66"/>
                </a:lnTo>
                <a:lnTo>
                  <a:pt x="44" y="66"/>
                </a:lnTo>
                <a:lnTo>
                  <a:pt x="43" y="67"/>
                </a:lnTo>
                <a:lnTo>
                  <a:pt x="42" y="66"/>
                </a:lnTo>
                <a:lnTo>
                  <a:pt x="42" y="65"/>
                </a:lnTo>
                <a:lnTo>
                  <a:pt x="43" y="65"/>
                </a:lnTo>
                <a:lnTo>
                  <a:pt x="44" y="65"/>
                </a:lnTo>
                <a:lnTo>
                  <a:pt x="45" y="65"/>
                </a:lnTo>
                <a:lnTo>
                  <a:pt x="46" y="64"/>
                </a:lnTo>
                <a:lnTo>
                  <a:pt x="46" y="64"/>
                </a:lnTo>
                <a:lnTo>
                  <a:pt x="45" y="64"/>
                </a:lnTo>
                <a:lnTo>
                  <a:pt x="43" y="63"/>
                </a:lnTo>
                <a:lnTo>
                  <a:pt x="43" y="62"/>
                </a:lnTo>
                <a:lnTo>
                  <a:pt x="43" y="62"/>
                </a:lnTo>
                <a:lnTo>
                  <a:pt x="44" y="61"/>
                </a:lnTo>
                <a:lnTo>
                  <a:pt x="44" y="60"/>
                </a:lnTo>
                <a:lnTo>
                  <a:pt x="44" y="60"/>
                </a:lnTo>
                <a:lnTo>
                  <a:pt x="45" y="59"/>
                </a:lnTo>
                <a:lnTo>
                  <a:pt x="44" y="58"/>
                </a:lnTo>
                <a:lnTo>
                  <a:pt x="44" y="58"/>
                </a:lnTo>
                <a:lnTo>
                  <a:pt x="43" y="58"/>
                </a:lnTo>
                <a:lnTo>
                  <a:pt x="42" y="57"/>
                </a:lnTo>
                <a:lnTo>
                  <a:pt x="41" y="57"/>
                </a:lnTo>
                <a:lnTo>
                  <a:pt x="40" y="57"/>
                </a:lnTo>
                <a:lnTo>
                  <a:pt x="40" y="58"/>
                </a:lnTo>
                <a:lnTo>
                  <a:pt x="40" y="60"/>
                </a:lnTo>
                <a:lnTo>
                  <a:pt x="41" y="59"/>
                </a:lnTo>
                <a:lnTo>
                  <a:pt x="43" y="59"/>
                </a:lnTo>
                <a:lnTo>
                  <a:pt x="42" y="60"/>
                </a:lnTo>
                <a:lnTo>
                  <a:pt x="42" y="61"/>
                </a:lnTo>
                <a:lnTo>
                  <a:pt x="40" y="61"/>
                </a:lnTo>
                <a:lnTo>
                  <a:pt x="39" y="61"/>
                </a:lnTo>
                <a:lnTo>
                  <a:pt x="38" y="59"/>
                </a:lnTo>
                <a:lnTo>
                  <a:pt x="38" y="58"/>
                </a:lnTo>
                <a:lnTo>
                  <a:pt x="38" y="57"/>
                </a:lnTo>
                <a:lnTo>
                  <a:pt x="36" y="58"/>
                </a:lnTo>
                <a:lnTo>
                  <a:pt x="36" y="57"/>
                </a:lnTo>
                <a:lnTo>
                  <a:pt x="35" y="56"/>
                </a:lnTo>
                <a:lnTo>
                  <a:pt x="35" y="55"/>
                </a:lnTo>
                <a:lnTo>
                  <a:pt x="35" y="55"/>
                </a:lnTo>
                <a:lnTo>
                  <a:pt x="36" y="55"/>
                </a:lnTo>
                <a:lnTo>
                  <a:pt x="36" y="54"/>
                </a:lnTo>
                <a:lnTo>
                  <a:pt x="37" y="54"/>
                </a:lnTo>
                <a:lnTo>
                  <a:pt x="37" y="53"/>
                </a:lnTo>
                <a:lnTo>
                  <a:pt x="35" y="53"/>
                </a:lnTo>
                <a:lnTo>
                  <a:pt x="35" y="52"/>
                </a:lnTo>
                <a:lnTo>
                  <a:pt x="35" y="51"/>
                </a:lnTo>
                <a:lnTo>
                  <a:pt x="36" y="50"/>
                </a:lnTo>
                <a:lnTo>
                  <a:pt x="36" y="49"/>
                </a:lnTo>
                <a:lnTo>
                  <a:pt x="36" y="48"/>
                </a:lnTo>
                <a:lnTo>
                  <a:pt x="36" y="48"/>
                </a:lnTo>
                <a:lnTo>
                  <a:pt x="36" y="47"/>
                </a:lnTo>
                <a:lnTo>
                  <a:pt x="36" y="46"/>
                </a:lnTo>
                <a:lnTo>
                  <a:pt x="36" y="45"/>
                </a:lnTo>
                <a:lnTo>
                  <a:pt x="36" y="45"/>
                </a:lnTo>
                <a:lnTo>
                  <a:pt x="35" y="44"/>
                </a:lnTo>
                <a:lnTo>
                  <a:pt x="34" y="44"/>
                </a:lnTo>
                <a:lnTo>
                  <a:pt x="33" y="44"/>
                </a:lnTo>
                <a:lnTo>
                  <a:pt x="32" y="43"/>
                </a:lnTo>
                <a:lnTo>
                  <a:pt x="32" y="42"/>
                </a:lnTo>
                <a:lnTo>
                  <a:pt x="32" y="41"/>
                </a:lnTo>
                <a:lnTo>
                  <a:pt x="31" y="41"/>
                </a:lnTo>
                <a:lnTo>
                  <a:pt x="30" y="40"/>
                </a:lnTo>
                <a:lnTo>
                  <a:pt x="29" y="40"/>
                </a:lnTo>
                <a:lnTo>
                  <a:pt x="30" y="39"/>
                </a:lnTo>
                <a:lnTo>
                  <a:pt x="31" y="39"/>
                </a:lnTo>
                <a:lnTo>
                  <a:pt x="32" y="39"/>
                </a:lnTo>
                <a:lnTo>
                  <a:pt x="33" y="39"/>
                </a:lnTo>
                <a:lnTo>
                  <a:pt x="33" y="39"/>
                </a:lnTo>
                <a:lnTo>
                  <a:pt x="34" y="38"/>
                </a:lnTo>
                <a:lnTo>
                  <a:pt x="34" y="38"/>
                </a:lnTo>
                <a:lnTo>
                  <a:pt x="34" y="37"/>
                </a:lnTo>
                <a:lnTo>
                  <a:pt x="33" y="37"/>
                </a:lnTo>
                <a:lnTo>
                  <a:pt x="33" y="37"/>
                </a:lnTo>
                <a:lnTo>
                  <a:pt x="32" y="38"/>
                </a:lnTo>
                <a:lnTo>
                  <a:pt x="31" y="38"/>
                </a:lnTo>
                <a:lnTo>
                  <a:pt x="31" y="38"/>
                </a:lnTo>
                <a:lnTo>
                  <a:pt x="31" y="37"/>
                </a:lnTo>
                <a:lnTo>
                  <a:pt x="32" y="36"/>
                </a:lnTo>
                <a:lnTo>
                  <a:pt x="32" y="35"/>
                </a:lnTo>
                <a:lnTo>
                  <a:pt x="31" y="35"/>
                </a:lnTo>
                <a:lnTo>
                  <a:pt x="31" y="35"/>
                </a:lnTo>
                <a:lnTo>
                  <a:pt x="30" y="36"/>
                </a:lnTo>
                <a:lnTo>
                  <a:pt x="30" y="37"/>
                </a:lnTo>
                <a:lnTo>
                  <a:pt x="29" y="37"/>
                </a:lnTo>
                <a:lnTo>
                  <a:pt x="28" y="37"/>
                </a:lnTo>
                <a:lnTo>
                  <a:pt x="26" y="37"/>
                </a:lnTo>
                <a:lnTo>
                  <a:pt x="26" y="38"/>
                </a:lnTo>
                <a:lnTo>
                  <a:pt x="26" y="38"/>
                </a:lnTo>
                <a:lnTo>
                  <a:pt x="27" y="39"/>
                </a:lnTo>
                <a:lnTo>
                  <a:pt x="26" y="40"/>
                </a:lnTo>
                <a:lnTo>
                  <a:pt x="26" y="39"/>
                </a:lnTo>
                <a:lnTo>
                  <a:pt x="25" y="39"/>
                </a:lnTo>
                <a:lnTo>
                  <a:pt x="25" y="38"/>
                </a:lnTo>
                <a:lnTo>
                  <a:pt x="24" y="37"/>
                </a:lnTo>
                <a:lnTo>
                  <a:pt x="23" y="36"/>
                </a:lnTo>
                <a:lnTo>
                  <a:pt x="23" y="35"/>
                </a:lnTo>
                <a:lnTo>
                  <a:pt x="23" y="35"/>
                </a:lnTo>
                <a:lnTo>
                  <a:pt x="22" y="35"/>
                </a:lnTo>
                <a:lnTo>
                  <a:pt x="22" y="36"/>
                </a:lnTo>
                <a:lnTo>
                  <a:pt x="21" y="37"/>
                </a:lnTo>
                <a:lnTo>
                  <a:pt x="21" y="38"/>
                </a:lnTo>
                <a:lnTo>
                  <a:pt x="22" y="38"/>
                </a:lnTo>
                <a:lnTo>
                  <a:pt x="23" y="39"/>
                </a:lnTo>
                <a:lnTo>
                  <a:pt x="23" y="39"/>
                </a:lnTo>
                <a:lnTo>
                  <a:pt x="24" y="40"/>
                </a:lnTo>
                <a:lnTo>
                  <a:pt x="24" y="40"/>
                </a:lnTo>
                <a:lnTo>
                  <a:pt x="23" y="41"/>
                </a:lnTo>
                <a:lnTo>
                  <a:pt x="23" y="40"/>
                </a:lnTo>
                <a:lnTo>
                  <a:pt x="22" y="40"/>
                </a:lnTo>
                <a:lnTo>
                  <a:pt x="21" y="40"/>
                </a:lnTo>
                <a:lnTo>
                  <a:pt x="20" y="40"/>
                </a:lnTo>
                <a:lnTo>
                  <a:pt x="20" y="39"/>
                </a:lnTo>
                <a:lnTo>
                  <a:pt x="19" y="38"/>
                </a:lnTo>
                <a:lnTo>
                  <a:pt x="19" y="38"/>
                </a:lnTo>
                <a:lnTo>
                  <a:pt x="18" y="37"/>
                </a:lnTo>
                <a:lnTo>
                  <a:pt x="17" y="37"/>
                </a:lnTo>
                <a:lnTo>
                  <a:pt x="17" y="37"/>
                </a:lnTo>
                <a:lnTo>
                  <a:pt x="16" y="38"/>
                </a:lnTo>
                <a:lnTo>
                  <a:pt x="16" y="38"/>
                </a:lnTo>
                <a:lnTo>
                  <a:pt x="16" y="39"/>
                </a:lnTo>
                <a:lnTo>
                  <a:pt x="16" y="40"/>
                </a:lnTo>
                <a:lnTo>
                  <a:pt x="16" y="40"/>
                </a:lnTo>
                <a:lnTo>
                  <a:pt x="15" y="40"/>
                </a:lnTo>
                <a:lnTo>
                  <a:pt x="15" y="39"/>
                </a:lnTo>
                <a:lnTo>
                  <a:pt x="14" y="38"/>
                </a:lnTo>
                <a:lnTo>
                  <a:pt x="14" y="38"/>
                </a:lnTo>
                <a:lnTo>
                  <a:pt x="13" y="38"/>
                </a:lnTo>
                <a:lnTo>
                  <a:pt x="13" y="39"/>
                </a:lnTo>
                <a:lnTo>
                  <a:pt x="12" y="40"/>
                </a:lnTo>
                <a:lnTo>
                  <a:pt x="12" y="41"/>
                </a:lnTo>
                <a:lnTo>
                  <a:pt x="11" y="41"/>
                </a:lnTo>
                <a:lnTo>
                  <a:pt x="10" y="41"/>
                </a:lnTo>
                <a:lnTo>
                  <a:pt x="9" y="41"/>
                </a:lnTo>
                <a:lnTo>
                  <a:pt x="8" y="41"/>
                </a:lnTo>
                <a:lnTo>
                  <a:pt x="7" y="42"/>
                </a:lnTo>
                <a:lnTo>
                  <a:pt x="7" y="43"/>
                </a:lnTo>
                <a:lnTo>
                  <a:pt x="6" y="44"/>
                </a:lnTo>
                <a:lnTo>
                  <a:pt x="5" y="44"/>
                </a:lnTo>
                <a:lnTo>
                  <a:pt x="4" y="44"/>
                </a:lnTo>
                <a:lnTo>
                  <a:pt x="4" y="44"/>
                </a:lnTo>
                <a:lnTo>
                  <a:pt x="5" y="43"/>
                </a:lnTo>
                <a:lnTo>
                  <a:pt x="5" y="42"/>
                </a:lnTo>
                <a:lnTo>
                  <a:pt x="4" y="41"/>
                </a:lnTo>
                <a:lnTo>
                  <a:pt x="3" y="41"/>
                </a:lnTo>
                <a:lnTo>
                  <a:pt x="2" y="41"/>
                </a:lnTo>
                <a:lnTo>
                  <a:pt x="0" y="41"/>
                </a:lnTo>
                <a:lnTo>
                  <a:pt x="0" y="40"/>
                </a:lnTo>
                <a:lnTo>
                  <a:pt x="1" y="38"/>
                </a:lnTo>
                <a:lnTo>
                  <a:pt x="1" y="38"/>
                </a:lnTo>
                <a:lnTo>
                  <a:pt x="2" y="38"/>
                </a:lnTo>
                <a:lnTo>
                  <a:pt x="2" y="37"/>
                </a:lnTo>
                <a:lnTo>
                  <a:pt x="2" y="37"/>
                </a:lnTo>
                <a:lnTo>
                  <a:pt x="3" y="36"/>
                </a:lnTo>
                <a:lnTo>
                  <a:pt x="5" y="36"/>
                </a:lnTo>
                <a:lnTo>
                  <a:pt x="5" y="35"/>
                </a:lnTo>
                <a:lnTo>
                  <a:pt x="5" y="35"/>
                </a:lnTo>
                <a:lnTo>
                  <a:pt x="5" y="34"/>
                </a:lnTo>
                <a:lnTo>
                  <a:pt x="5" y="34"/>
                </a:lnTo>
                <a:lnTo>
                  <a:pt x="5" y="32"/>
                </a:lnTo>
                <a:lnTo>
                  <a:pt x="6" y="31"/>
                </a:lnTo>
                <a:lnTo>
                  <a:pt x="6" y="30"/>
                </a:lnTo>
                <a:lnTo>
                  <a:pt x="5" y="29"/>
                </a:lnTo>
                <a:lnTo>
                  <a:pt x="5" y="28"/>
                </a:lnTo>
                <a:lnTo>
                  <a:pt x="5" y="26"/>
                </a:lnTo>
                <a:lnTo>
                  <a:pt x="7" y="23"/>
                </a:lnTo>
                <a:lnTo>
                  <a:pt x="7" y="23"/>
                </a:lnTo>
                <a:lnTo>
                  <a:pt x="7" y="22"/>
                </a:lnTo>
                <a:lnTo>
                  <a:pt x="7" y="21"/>
                </a:lnTo>
                <a:lnTo>
                  <a:pt x="6" y="18"/>
                </a:lnTo>
                <a:lnTo>
                  <a:pt x="6" y="16"/>
                </a:lnTo>
                <a:lnTo>
                  <a:pt x="5" y="16"/>
                </a:lnTo>
                <a:lnTo>
                  <a:pt x="4" y="15"/>
                </a:lnTo>
                <a:lnTo>
                  <a:pt x="3" y="14"/>
                </a:lnTo>
                <a:lnTo>
                  <a:pt x="3" y="12"/>
                </a:lnTo>
                <a:lnTo>
                  <a:pt x="3" y="12"/>
                </a:lnTo>
                <a:lnTo>
                  <a:pt x="2" y="9"/>
                </a:lnTo>
                <a:lnTo>
                  <a:pt x="2" y="9"/>
                </a:lnTo>
                <a:lnTo>
                  <a:pt x="2" y="7"/>
                </a:lnTo>
                <a:lnTo>
                  <a:pt x="1" y="7"/>
                </a:lnTo>
                <a:lnTo>
                  <a:pt x="1" y="5"/>
                </a:lnTo>
                <a:lnTo>
                  <a:pt x="1" y="4"/>
                </a:lnTo>
                <a:lnTo>
                  <a:pt x="1" y="2"/>
                </a:lnTo>
                <a:lnTo>
                  <a:pt x="1" y="0"/>
                </a:lnTo>
                <a:lnTo>
                  <a:pt x="13" y="0"/>
                </a:lnTo>
                <a:lnTo>
                  <a:pt x="13" y="0"/>
                </a:lnTo>
                <a:lnTo>
                  <a:pt x="24" y="1"/>
                </a:lnTo>
              </a:path>
            </a:pathLst>
          </a:custGeom>
          <a:grpFill/>
          <a:ln w="9525">
            <a:solidFill>
              <a:schemeClr val="bg1">
                <a:lumMod val="65000"/>
              </a:schemeClr>
            </a:solidFill>
            <a:prstDash val="solid"/>
            <a:round/>
            <a:headEnd/>
            <a:tailEnd/>
          </a:ln>
        </xdr:spPr>
      </xdr:sp>
      <xdr:sp macro="" textlink="">
        <xdr:nvSpPr>
          <xdr:cNvPr id="217" name="GIN002001"/>
          <xdr:cNvSpPr>
            <a:spLocks noChangeAspect="1"/>
          </xdr:cNvSpPr>
        </xdr:nvSpPr>
        <xdr:spPr bwMode="auto">
          <a:xfrm>
            <a:off x="3837957" y="5230893"/>
            <a:ext cx="649059" cy="646392"/>
          </a:xfrm>
          <a:custGeom>
            <a:avLst/>
            <a:gdLst>
              <a:gd name="T0" fmla="*/ 18 w 26"/>
              <a:gd name="T1" fmla="*/ 1 h 26"/>
              <a:gd name="T2" fmla="*/ 22 w 26"/>
              <a:gd name="T3" fmla="*/ 6 h 26"/>
              <a:gd name="T4" fmla="*/ 26 w 26"/>
              <a:gd name="T5" fmla="*/ 12 h 26"/>
              <a:gd name="T6" fmla="*/ 22 w 26"/>
              <a:gd name="T7" fmla="*/ 20 h 26"/>
              <a:gd name="T8" fmla="*/ 20 w 26"/>
              <a:gd name="T9" fmla="*/ 26 h 26"/>
              <a:gd name="T10" fmla="*/ 16 w 26"/>
              <a:gd name="T11" fmla="*/ 24 h 26"/>
              <a:gd name="T12" fmla="*/ 13 w 26"/>
              <a:gd name="T13" fmla="*/ 20 h 26"/>
              <a:gd name="T14" fmla="*/ 14 w 26"/>
              <a:gd name="T15" fmla="*/ 19 h 26"/>
              <a:gd name="T16" fmla="*/ 14 w 26"/>
              <a:gd name="T17" fmla="*/ 19 h 26"/>
              <a:gd name="T18" fmla="*/ 14 w 26"/>
              <a:gd name="T19" fmla="*/ 19 h 26"/>
              <a:gd name="T20" fmla="*/ 14 w 26"/>
              <a:gd name="T21" fmla="*/ 18 h 26"/>
              <a:gd name="T22" fmla="*/ 15 w 26"/>
              <a:gd name="T23" fmla="*/ 18 h 26"/>
              <a:gd name="T24" fmla="*/ 14 w 26"/>
              <a:gd name="T25" fmla="*/ 17 h 26"/>
              <a:gd name="T26" fmla="*/ 13 w 26"/>
              <a:gd name="T27" fmla="*/ 18 h 26"/>
              <a:gd name="T28" fmla="*/ 11 w 26"/>
              <a:gd name="T29" fmla="*/ 19 h 26"/>
              <a:gd name="T30" fmla="*/ 10 w 26"/>
              <a:gd name="T31" fmla="*/ 19 h 26"/>
              <a:gd name="T32" fmla="*/ 9 w 26"/>
              <a:gd name="T33" fmla="*/ 19 h 26"/>
              <a:gd name="T34" fmla="*/ 8 w 26"/>
              <a:gd name="T35" fmla="*/ 20 h 26"/>
              <a:gd name="T36" fmla="*/ 7 w 26"/>
              <a:gd name="T37" fmla="*/ 20 h 26"/>
              <a:gd name="T38" fmla="*/ 6 w 26"/>
              <a:gd name="T39" fmla="*/ 21 h 26"/>
              <a:gd name="T40" fmla="*/ 5 w 26"/>
              <a:gd name="T41" fmla="*/ 22 h 26"/>
              <a:gd name="T42" fmla="*/ 4 w 26"/>
              <a:gd name="T43" fmla="*/ 22 h 26"/>
              <a:gd name="T44" fmla="*/ 3 w 26"/>
              <a:gd name="T45" fmla="*/ 23 h 26"/>
              <a:gd name="T46" fmla="*/ 2 w 26"/>
              <a:gd name="T47" fmla="*/ 24 h 26"/>
              <a:gd name="T48" fmla="*/ 2 w 26"/>
              <a:gd name="T49" fmla="*/ 25 h 26"/>
              <a:gd name="T50" fmla="*/ 1 w 26"/>
              <a:gd name="T51" fmla="*/ 25 h 26"/>
              <a:gd name="T52" fmla="*/ 0 w 26"/>
              <a:gd name="T53" fmla="*/ 24 h 26"/>
              <a:gd name="T54" fmla="*/ 1 w 26"/>
              <a:gd name="T55" fmla="*/ 23 h 26"/>
              <a:gd name="T56" fmla="*/ 2 w 26"/>
              <a:gd name="T57" fmla="*/ 23 h 26"/>
              <a:gd name="T58" fmla="*/ 3 w 26"/>
              <a:gd name="T59" fmla="*/ 23 h 26"/>
              <a:gd name="T60" fmla="*/ 3 w 26"/>
              <a:gd name="T61" fmla="*/ 22 h 26"/>
              <a:gd name="T62" fmla="*/ 4 w 26"/>
              <a:gd name="T63" fmla="*/ 21 h 26"/>
              <a:gd name="T64" fmla="*/ 5 w 26"/>
              <a:gd name="T65" fmla="*/ 20 h 26"/>
              <a:gd name="T66" fmla="*/ 6 w 26"/>
              <a:gd name="T67" fmla="*/ 20 h 26"/>
              <a:gd name="T68" fmla="*/ 5 w 26"/>
              <a:gd name="T69" fmla="*/ 19 h 26"/>
              <a:gd name="T70" fmla="*/ 6 w 26"/>
              <a:gd name="T71" fmla="*/ 19 h 26"/>
              <a:gd name="T72" fmla="*/ 6 w 26"/>
              <a:gd name="T73" fmla="*/ 18 h 26"/>
              <a:gd name="T74" fmla="*/ 6 w 26"/>
              <a:gd name="T75" fmla="*/ 16 h 26"/>
              <a:gd name="T76" fmla="*/ 7 w 26"/>
              <a:gd name="T77" fmla="*/ 15 h 26"/>
              <a:gd name="T78" fmla="*/ 7 w 26"/>
              <a:gd name="T79" fmla="*/ 14 h 26"/>
              <a:gd name="T80" fmla="*/ 8 w 26"/>
              <a:gd name="T81" fmla="*/ 13 h 26"/>
              <a:gd name="T82" fmla="*/ 9 w 26"/>
              <a:gd name="T83" fmla="*/ 13 h 26"/>
              <a:gd name="T84" fmla="*/ 10 w 26"/>
              <a:gd name="T85" fmla="*/ 12 h 26"/>
              <a:gd name="T86" fmla="*/ 10 w 26"/>
              <a:gd name="T87" fmla="*/ 10 h 26"/>
              <a:gd name="T88" fmla="*/ 10 w 26"/>
              <a:gd name="T89" fmla="*/ 9 h 26"/>
              <a:gd name="T90" fmla="*/ 10 w 26"/>
              <a:gd name="T91" fmla="*/ 8 h 26"/>
              <a:gd name="T92" fmla="*/ 10 w 26"/>
              <a:gd name="T93" fmla="*/ 8 h 26"/>
              <a:gd name="T94" fmla="*/ 10 w 26"/>
              <a:gd name="T95" fmla="*/ 7 h 26"/>
              <a:gd name="T96" fmla="*/ 10 w 26"/>
              <a:gd name="T97" fmla="*/ 6 h 26"/>
              <a:gd name="T98" fmla="*/ 10 w 26"/>
              <a:gd name="T99" fmla="*/ 4 h 26"/>
              <a:gd name="T100" fmla="*/ 10 w 26"/>
              <a:gd name="T101" fmla="*/ 3 h 26"/>
              <a:gd name="T102" fmla="*/ 11 w 26"/>
              <a:gd name="T103" fmla="*/ 2 h 26"/>
              <a:gd name="T104" fmla="*/ 11 w 26"/>
              <a:gd name="T105" fmla="*/ 2 h 26"/>
              <a:gd name="T106" fmla="*/ 12 w 26"/>
              <a:gd name="T107" fmla="*/ 1 h 26"/>
              <a:gd name="T108" fmla="*/ 15 w 26"/>
              <a:gd name="T109"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26" h="26">
                <a:moveTo>
                  <a:pt x="15" y="0"/>
                </a:moveTo>
                <a:lnTo>
                  <a:pt x="15" y="2"/>
                </a:lnTo>
                <a:lnTo>
                  <a:pt x="16" y="2"/>
                </a:lnTo>
                <a:lnTo>
                  <a:pt x="17" y="2"/>
                </a:lnTo>
                <a:lnTo>
                  <a:pt x="17" y="1"/>
                </a:lnTo>
                <a:lnTo>
                  <a:pt x="18" y="1"/>
                </a:lnTo>
                <a:lnTo>
                  <a:pt x="22" y="2"/>
                </a:lnTo>
                <a:lnTo>
                  <a:pt x="24" y="1"/>
                </a:lnTo>
                <a:lnTo>
                  <a:pt x="24" y="2"/>
                </a:lnTo>
                <a:lnTo>
                  <a:pt x="24" y="3"/>
                </a:lnTo>
                <a:lnTo>
                  <a:pt x="24" y="3"/>
                </a:lnTo>
                <a:lnTo>
                  <a:pt x="22" y="6"/>
                </a:lnTo>
                <a:lnTo>
                  <a:pt x="22" y="6"/>
                </a:lnTo>
                <a:lnTo>
                  <a:pt x="22" y="7"/>
                </a:lnTo>
                <a:lnTo>
                  <a:pt x="23" y="8"/>
                </a:lnTo>
                <a:lnTo>
                  <a:pt x="25" y="10"/>
                </a:lnTo>
                <a:lnTo>
                  <a:pt x="26" y="10"/>
                </a:lnTo>
                <a:lnTo>
                  <a:pt x="26" y="12"/>
                </a:lnTo>
                <a:lnTo>
                  <a:pt x="25" y="13"/>
                </a:lnTo>
                <a:lnTo>
                  <a:pt x="24" y="13"/>
                </a:lnTo>
                <a:lnTo>
                  <a:pt x="23" y="15"/>
                </a:lnTo>
                <a:lnTo>
                  <a:pt x="22" y="18"/>
                </a:lnTo>
                <a:lnTo>
                  <a:pt x="22" y="20"/>
                </a:lnTo>
                <a:lnTo>
                  <a:pt x="22" y="20"/>
                </a:lnTo>
                <a:lnTo>
                  <a:pt x="23" y="21"/>
                </a:lnTo>
                <a:lnTo>
                  <a:pt x="23" y="21"/>
                </a:lnTo>
                <a:lnTo>
                  <a:pt x="22" y="23"/>
                </a:lnTo>
                <a:lnTo>
                  <a:pt x="21" y="24"/>
                </a:lnTo>
                <a:lnTo>
                  <a:pt x="21" y="25"/>
                </a:lnTo>
                <a:lnTo>
                  <a:pt x="20" y="26"/>
                </a:lnTo>
                <a:lnTo>
                  <a:pt x="19" y="26"/>
                </a:lnTo>
                <a:lnTo>
                  <a:pt x="18" y="25"/>
                </a:lnTo>
                <a:lnTo>
                  <a:pt x="17" y="25"/>
                </a:lnTo>
                <a:lnTo>
                  <a:pt x="17" y="25"/>
                </a:lnTo>
                <a:lnTo>
                  <a:pt x="16" y="24"/>
                </a:lnTo>
                <a:lnTo>
                  <a:pt x="16" y="24"/>
                </a:lnTo>
                <a:lnTo>
                  <a:pt x="14" y="22"/>
                </a:lnTo>
                <a:lnTo>
                  <a:pt x="14" y="22"/>
                </a:lnTo>
                <a:lnTo>
                  <a:pt x="14" y="22"/>
                </a:lnTo>
                <a:lnTo>
                  <a:pt x="14" y="20"/>
                </a:lnTo>
                <a:lnTo>
                  <a:pt x="13" y="20"/>
                </a:lnTo>
                <a:lnTo>
                  <a:pt x="13" y="20"/>
                </a:lnTo>
                <a:lnTo>
                  <a:pt x="13" y="20"/>
                </a:lnTo>
                <a:lnTo>
                  <a:pt x="13" y="20"/>
                </a:lnTo>
                <a:lnTo>
                  <a:pt x="13" y="19"/>
                </a:lnTo>
                <a:lnTo>
                  <a:pt x="13" y="19"/>
                </a:lnTo>
                <a:lnTo>
                  <a:pt x="14" y="19"/>
                </a:lnTo>
                <a:lnTo>
                  <a:pt x="14" y="19"/>
                </a:lnTo>
                <a:lnTo>
                  <a:pt x="14" y="19"/>
                </a:lnTo>
                <a:lnTo>
                  <a:pt x="14" y="19"/>
                </a:lnTo>
                <a:lnTo>
                  <a:pt x="15" y="19"/>
                </a:lnTo>
                <a:lnTo>
                  <a:pt x="14" y="19"/>
                </a:lnTo>
                <a:lnTo>
                  <a:pt x="14" y="19"/>
                </a:lnTo>
                <a:lnTo>
                  <a:pt x="14" y="19"/>
                </a:lnTo>
                <a:lnTo>
                  <a:pt x="14" y="19"/>
                </a:lnTo>
                <a:lnTo>
                  <a:pt x="14" y="19"/>
                </a:lnTo>
                <a:lnTo>
                  <a:pt x="13" y="19"/>
                </a:lnTo>
                <a:lnTo>
                  <a:pt x="13" y="19"/>
                </a:lnTo>
                <a:lnTo>
                  <a:pt x="13" y="19"/>
                </a:lnTo>
                <a:lnTo>
                  <a:pt x="14" y="19"/>
                </a:lnTo>
                <a:lnTo>
                  <a:pt x="14" y="19"/>
                </a:lnTo>
                <a:lnTo>
                  <a:pt x="14" y="19"/>
                </a:lnTo>
                <a:lnTo>
                  <a:pt x="14" y="18"/>
                </a:lnTo>
                <a:lnTo>
                  <a:pt x="13" y="18"/>
                </a:lnTo>
                <a:lnTo>
                  <a:pt x="13" y="18"/>
                </a:lnTo>
                <a:lnTo>
                  <a:pt x="14" y="18"/>
                </a:lnTo>
                <a:lnTo>
                  <a:pt x="14" y="18"/>
                </a:lnTo>
                <a:lnTo>
                  <a:pt x="14" y="18"/>
                </a:lnTo>
                <a:lnTo>
                  <a:pt x="14" y="18"/>
                </a:lnTo>
                <a:lnTo>
                  <a:pt x="15" y="18"/>
                </a:lnTo>
                <a:lnTo>
                  <a:pt x="15" y="18"/>
                </a:lnTo>
                <a:lnTo>
                  <a:pt x="15" y="18"/>
                </a:lnTo>
                <a:lnTo>
                  <a:pt x="15" y="18"/>
                </a:lnTo>
                <a:lnTo>
                  <a:pt x="15" y="18"/>
                </a:lnTo>
                <a:lnTo>
                  <a:pt x="15" y="18"/>
                </a:lnTo>
                <a:lnTo>
                  <a:pt x="15" y="17"/>
                </a:lnTo>
                <a:lnTo>
                  <a:pt x="15" y="17"/>
                </a:lnTo>
                <a:lnTo>
                  <a:pt x="14" y="17"/>
                </a:lnTo>
                <a:lnTo>
                  <a:pt x="14" y="17"/>
                </a:lnTo>
                <a:lnTo>
                  <a:pt x="14" y="17"/>
                </a:lnTo>
                <a:lnTo>
                  <a:pt x="13" y="17"/>
                </a:lnTo>
                <a:lnTo>
                  <a:pt x="13" y="18"/>
                </a:lnTo>
                <a:lnTo>
                  <a:pt x="13" y="18"/>
                </a:lnTo>
                <a:lnTo>
                  <a:pt x="13" y="18"/>
                </a:lnTo>
                <a:lnTo>
                  <a:pt x="12" y="18"/>
                </a:lnTo>
                <a:lnTo>
                  <a:pt x="12" y="18"/>
                </a:lnTo>
                <a:lnTo>
                  <a:pt x="12" y="19"/>
                </a:lnTo>
                <a:lnTo>
                  <a:pt x="11" y="19"/>
                </a:lnTo>
                <a:lnTo>
                  <a:pt x="11" y="19"/>
                </a:lnTo>
                <a:lnTo>
                  <a:pt x="11" y="19"/>
                </a:lnTo>
                <a:lnTo>
                  <a:pt x="11" y="19"/>
                </a:lnTo>
                <a:lnTo>
                  <a:pt x="11" y="19"/>
                </a:lnTo>
                <a:lnTo>
                  <a:pt x="10" y="19"/>
                </a:lnTo>
                <a:lnTo>
                  <a:pt x="10" y="19"/>
                </a:lnTo>
                <a:lnTo>
                  <a:pt x="10" y="19"/>
                </a:lnTo>
                <a:lnTo>
                  <a:pt x="10" y="19"/>
                </a:lnTo>
                <a:lnTo>
                  <a:pt x="10" y="19"/>
                </a:lnTo>
                <a:lnTo>
                  <a:pt x="10" y="19"/>
                </a:lnTo>
                <a:lnTo>
                  <a:pt x="9" y="19"/>
                </a:lnTo>
                <a:lnTo>
                  <a:pt x="9" y="19"/>
                </a:lnTo>
                <a:lnTo>
                  <a:pt x="9" y="19"/>
                </a:lnTo>
                <a:lnTo>
                  <a:pt x="9" y="19"/>
                </a:lnTo>
                <a:lnTo>
                  <a:pt x="9" y="19"/>
                </a:lnTo>
                <a:lnTo>
                  <a:pt x="9" y="20"/>
                </a:lnTo>
                <a:lnTo>
                  <a:pt x="8" y="20"/>
                </a:lnTo>
                <a:lnTo>
                  <a:pt x="8" y="20"/>
                </a:lnTo>
                <a:lnTo>
                  <a:pt x="8" y="20"/>
                </a:lnTo>
                <a:lnTo>
                  <a:pt x="8" y="20"/>
                </a:lnTo>
                <a:lnTo>
                  <a:pt x="8" y="20"/>
                </a:lnTo>
                <a:lnTo>
                  <a:pt x="8" y="20"/>
                </a:lnTo>
                <a:lnTo>
                  <a:pt x="8" y="20"/>
                </a:lnTo>
                <a:lnTo>
                  <a:pt x="7" y="20"/>
                </a:lnTo>
                <a:lnTo>
                  <a:pt x="8" y="20"/>
                </a:lnTo>
                <a:lnTo>
                  <a:pt x="7" y="20"/>
                </a:lnTo>
                <a:lnTo>
                  <a:pt x="7" y="21"/>
                </a:lnTo>
                <a:lnTo>
                  <a:pt x="7" y="21"/>
                </a:lnTo>
                <a:lnTo>
                  <a:pt x="7" y="20"/>
                </a:lnTo>
                <a:lnTo>
                  <a:pt x="7" y="21"/>
                </a:lnTo>
                <a:lnTo>
                  <a:pt x="7" y="21"/>
                </a:lnTo>
                <a:lnTo>
                  <a:pt x="6" y="21"/>
                </a:lnTo>
                <a:lnTo>
                  <a:pt x="6" y="21"/>
                </a:lnTo>
                <a:lnTo>
                  <a:pt x="6" y="21"/>
                </a:lnTo>
                <a:lnTo>
                  <a:pt x="6" y="21"/>
                </a:lnTo>
                <a:lnTo>
                  <a:pt x="6" y="21"/>
                </a:lnTo>
                <a:lnTo>
                  <a:pt x="6" y="22"/>
                </a:lnTo>
                <a:lnTo>
                  <a:pt x="5" y="22"/>
                </a:lnTo>
                <a:lnTo>
                  <a:pt x="5" y="22"/>
                </a:lnTo>
                <a:lnTo>
                  <a:pt x="5" y="22"/>
                </a:lnTo>
                <a:lnTo>
                  <a:pt x="5" y="22"/>
                </a:lnTo>
                <a:lnTo>
                  <a:pt x="5" y="22"/>
                </a:lnTo>
                <a:lnTo>
                  <a:pt x="5" y="22"/>
                </a:lnTo>
                <a:lnTo>
                  <a:pt x="4" y="22"/>
                </a:lnTo>
                <a:lnTo>
                  <a:pt x="4" y="22"/>
                </a:lnTo>
                <a:lnTo>
                  <a:pt x="4" y="22"/>
                </a:lnTo>
                <a:lnTo>
                  <a:pt x="4" y="22"/>
                </a:lnTo>
                <a:lnTo>
                  <a:pt x="4" y="23"/>
                </a:lnTo>
                <a:lnTo>
                  <a:pt x="4" y="23"/>
                </a:lnTo>
                <a:lnTo>
                  <a:pt x="3" y="23"/>
                </a:lnTo>
                <a:lnTo>
                  <a:pt x="3" y="23"/>
                </a:lnTo>
                <a:lnTo>
                  <a:pt x="3" y="23"/>
                </a:lnTo>
                <a:lnTo>
                  <a:pt x="3" y="23"/>
                </a:lnTo>
                <a:lnTo>
                  <a:pt x="2" y="23"/>
                </a:lnTo>
                <a:lnTo>
                  <a:pt x="2" y="24"/>
                </a:lnTo>
                <a:lnTo>
                  <a:pt x="2" y="24"/>
                </a:lnTo>
                <a:lnTo>
                  <a:pt x="2" y="24"/>
                </a:lnTo>
                <a:lnTo>
                  <a:pt x="2" y="24"/>
                </a:lnTo>
                <a:lnTo>
                  <a:pt x="2" y="24"/>
                </a:lnTo>
                <a:lnTo>
                  <a:pt x="2" y="24"/>
                </a:lnTo>
                <a:lnTo>
                  <a:pt x="2" y="24"/>
                </a:lnTo>
                <a:lnTo>
                  <a:pt x="2" y="25"/>
                </a:lnTo>
                <a:lnTo>
                  <a:pt x="2" y="25"/>
                </a:lnTo>
                <a:lnTo>
                  <a:pt x="1" y="25"/>
                </a:lnTo>
                <a:lnTo>
                  <a:pt x="1" y="25"/>
                </a:lnTo>
                <a:lnTo>
                  <a:pt x="1" y="25"/>
                </a:lnTo>
                <a:lnTo>
                  <a:pt x="1" y="25"/>
                </a:lnTo>
                <a:lnTo>
                  <a:pt x="1" y="25"/>
                </a:lnTo>
                <a:lnTo>
                  <a:pt x="0" y="25"/>
                </a:lnTo>
                <a:lnTo>
                  <a:pt x="0" y="25"/>
                </a:lnTo>
                <a:lnTo>
                  <a:pt x="0" y="24"/>
                </a:lnTo>
                <a:lnTo>
                  <a:pt x="0" y="24"/>
                </a:lnTo>
                <a:lnTo>
                  <a:pt x="0" y="24"/>
                </a:lnTo>
                <a:lnTo>
                  <a:pt x="0" y="24"/>
                </a:lnTo>
                <a:lnTo>
                  <a:pt x="0" y="23"/>
                </a:lnTo>
                <a:lnTo>
                  <a:pt x="1" y="23"/>
                </a:lnTo>
                <a:lnTo>
                  <a:pt x="1" y="23"/>
                </a:lnTo>
                <a:lnTo>
                  <a:pt x="1" y="23"/>
                </a:lnTo>
                <a:lnTo>
                  <a:pt x="1" y="23"/>
                </a:lnTo>
                <a:lnTo>
                  <a:pt x="1" y="23"/>
                </a:lnTo>
                <a:lnTo>
                  <a:pt x="1" y="23"/>
                </a:lnTo>
                <a:lnTo>
                  <a:pt x="1" y="23"/>
                </a:lnTo>
                <a:lnTo>
                  <a:pt x="2" y="23"/>
                </a:lnTo>
                <a:lnTo>
                  <a:pt x="2" y="23"/>
                </a:lnTo>
                <a:lnTo>
                  <a:pt x="2" y="23"/>
                </a:lnTo>
                <a:lnTo>
                  <a:pt x="2" y="23"/>
                </a:lnTo>
                <a:lnTo>
                  <a:pt x="2" y="23"/>
                </a:lnTo>
                <a:lnTo>
                  <a:pt x="2" y="23"/>
                </a:lnTo>
                <a:lnTo>
                  <a:pt x="2" y="23"/>
                </a:lnTo>
                <a:lnTo>
                  <a:pt x="3" y="23"/>
                </a:lnTo>
                <a:lnTo>
                  <a:pt x="2" y="23"/>
                </a:lnTo>
                <a:lnTo>
                  <a:pt x="3" y="23"/>
                </a:lnTo>
                <a:lnTo>
                  <a:pt x="3" y="23"/>
                </a:lnTo>
                <a:lnTo>
                  <a:pt x="3" y="22"/>
                </a:lnTo>
                <a:lnTo>
                  <a:pt x="3" y="22"/>
                </a:lnTo>
                <a:lnTo>
                  <a:pt x="3" y="22"/>
                </a:lnTo>
                <a:lnTo>
                  <a:pt x="3" y="22"/>
                </a:lnTo>
                <a:lnTo>
                  <a:pt x="3" y="22"/>
                </a:lnTo>
                <a:lnTo>
                  <a:pt x="3" y="22"/>
                </a:lnTo>
                <a:lnTo>
                  <a:pt x="3" y="21"/>
                </a:lnTo>
                <a:lnTo>
                  <a:pt x="4" y="21"/>
                </a:lnTo>
                <a:lnTo>
                  <a:pt x="4" y="21"/>
                </a:lnTo>
                <a:lnTo>
                  <a:pt x="4" y="21"/>
                </a:lnTo>
                <a:lnTo>
                  <a:pt x="4" y="21"/>
                </a:lnTo>
                <a:lnTo>
                  <a:pt x="4" y="21"/>
                </a:lnTo>
                <a:lnTo>
                  <a:pt x="4" y="21"/>
                </a:lnTo>
                <a:lnTo>
                  <a:pt x="4" y="21"/>
                </a:lnTo>
                <a:lnTo>
                  <a:pt x="4" y="20"/>
                </a:lnTo>
                <a:lnTo>
                  <a:pt x="4" y="20"/>
                </a:lnTo>
                <a:lnTo>
                  <a:pt x="5" y="20"/>
                </a:lnTo>
                <a:lnTo>
                  <a:pt x="5" y="20"/>
                </a:lnTo>
                <a:lnTo>
                  <a:pt x="5" y="20"/>
                </a:lnTo>
                <a:lnTo>
                  <a:pt x="5" y="20"/>
                </a:lnTo>
                <a:lnTo>
                  <a:pt x="5" y="20"/>
                </a:lnTo>
                <a:lnTo>
                  <a:pt x="5" y="20"/>
                </a:lnTo>
                <a:lnTo>
                  <a:pt x="6" y="20"/>
                </a:lnTo>
                <a:lnTo>
                  <a:pt x="6" y="20"/>
                </a:lnTo>
                <a:lnTo>
                  <a:pt x="6" y="20"/>
                </a:lnTo>
                <a:lnTo>
                  <a:pt x="6" y="20"/>
                </a:lnTo>
                <a:lnTo>
                  <a:pt x="6" y="20"/>
                </a:lnTo>
                <a:lnTo>
                  <a:pt x="5" y="20"/>
                </a:lnTo>
                <a:lnTo>
                  <a:pt x="5" y="19"/>
                </a:lnTo>
                <a:lnTo>
                  <a:pt x="5" y="19"/>
                </a:lnTo>
                <a:lnTo>
                  <a:pt x="5" y="19"/>
                </a:lnTo>
                <a:lnTo>
                  <a:pt x="5" y="19"/>
                </a:lnTo>
                <a:lnTo>
                  <a:pt x="5" y="19"/>
                </a:lnTo>
                <a:lnTo>
                  <a:pt x="6" y="19"/>
                </a:lnTo>
                <a:lnTo>
                  <a:pt x="6" y="19"/>
                </a:lnTo>
                <a:lnTo>
                  <a:pt x="6" y="19"/>
                </a:lnTo>
                <a:lnTo>
                  <a:pt x="6" y="18"/>
                </a:lnTo>
                <a:lnTo>
                  <a:pt x="6" y="18"/>
                </a:lnTo>
                <a:lnTo>
                  <a:pt x="6" y="18"/>
                </a:lnTo>
                <a:lnTo>
                  <a:pt x="6" y="18"/>
                </a:lnTo>
                <a:lnTo>
                  <a:pt x="6" y="18"/>
                </a:lnTo>
                <a:lnTo>
                  <a:pt x="6" y="17"/>
                </a:lnTo>
                <a:lnTo>
                  <a:pt x="6" y="17"/>
                </a:lnTo>
                <a:lnTo>
                  <a:pt x="6" y="17"/>
                </a:lnTo>
                <a:lnTo>
                  <a:pt x="6" y="17"/>
                </a:lnTo>
                <a:lnTo>
                  <a:pt x="6" y="16"/>
                </a:lnTo>
                <a:lnTo>
                  <a:pt x="6" y="16"/>
                </a:lnTo>
                <a:lnTo>
                  <a:pt x="7" y="16"/>
                </a:lnTo>
                <a:lnTo>
                  <a:pt x="7" y="16"/>
                </a:lnTo>
                <a:lnTo>
                  <a:pt x="7" y="16"/>
                </a:lnTo>
                <a:lnTo>
                  <a:pt x="7" y="16"/>
                </a:lnTo>
                <a:lnTo>
                  <a:pt x="7" y="16"/>
                </a:lnTo>
                <a:lnTo>
                  <a:pt x="7" y="15"/>
                </a:lnTo>
                <a:lnTo>
                  <a:pt x="7" y="15"/>
                </a:lnTo>
                <a:lnTo>
                  <a:pt x="7" y="15"/>
                </a:lnTo>
                <a:lnTo>
                  <a:pt x="7" y="15"/>
                </a:lnTo>
                <a:lnTo>
                  <a:pt x="7" y="15"/>
                </a:lnTo>
                <a:lnTo>
                  <a:pt x="7" y="14"/>
                </a:lnTo>
                <a:lnTo>
                  <a:pt x="7" y="14"/>
                </a:lnTo>
                <a:lnTo>
                  <a:pt x="7" y="14"/>
                </a:lnTo>
                <a:lnTo>
                  <a:pt x="8" y="14"/>
                </a:lnTo>
                <a:lnTo>
                  <a:pt x="8" y="14"/>
                </a:lnTo>
                <a:lnTo>
                  <a:pt x="8" y="14"/>
                </a:lnTo>
                <a:lnTo>
                  <a:pt x="8" y="14"/>
                </a:lnTo>
                <a:lnTo>
                  <a:pt x="8" y="13"/>
                </a:lnTo>
                <a:lnTo>
                  <a:pt x="8" y="13"/>
                </a:lnTo>
                <a:lnTo>
                  <a:pt x="8" y="13"/>
                </a:lnTo>
                <a:lnTo>
                  <a:pt x="8" y="13"/>
                </a:lnTo>
                <a:lnTo>
                  <a:pt x="8" y="13"/>
                </a:lnTo>
                <a:lnTo>
                  <a:pt x="8" y="13"/>
                </a:lnTo>
                <a:lnTo>
                  <a:pt x="9" y="13"/>
                </a:lnTo>
                <a:lnTo>
                  <a:pt x="9" y="12"/>
                </a:lnTo>
                <a:lnTo>
                  <a:pt x="9" y="12"/>
                </a:lnTo>
                <a:lnTo>
                  <a:pt x="9" y="12"/>
                </a:lnTo>
                <a:lnTo>
                  <a:pt x="9" y="12"/>
                </a:lnTo>
                <a:lnTo>
                  <a:pt x="10" y="12"/>
                </a:lnTo>
                <a:lnTo>
                  <a:pt x="10" y="12"/>
                </a:lnTo>
                <a:lnTo>
                  <a:pt x="10" y="12"/>
                </a:lnTo>
                <a:lnTo>
                  <a:pt x="9" y="12"/>
                </a:lnTo>
                <a:lnTo>
                  <a:pt x="9" y="11"/>
                </a:lnTo>
                <a:lnTo>
                  <a:pt x="10" y="11"/>
                </a:lnTo>
                <a:lnTo>
                  <a:pt x="10" y="11"/>
                </a:lnTo>
                <a:lnTo>
                  <a:pt x="10" y="10"/>
                </a:lnTo>
                <a:lnTo>
                  <a:pt x="9" y="10"/>
                </a:lnTo>
                <a:lnTo>
                  <a:pt x="9" y="10"/>
                </a:lnTo>
                <a:lnTo>
                  <a:pt x="9" y="10"/>
                </a:lnTo>
                <a:lnTo>
                  <a:pt x="10" y="10"/>
                </a:lnTo>
                <a:lnTo>
                  <a:pt x="10" y="9"/>
                </a:lnTo>
                <a:lnTo>
                  <a:pt x="10" y="9"/>
                </a:lnTo>
                <a:lnTo>
                  <a:pt x="10" y="9"/>
                </a:lnTo>
                <a:lnTo>
                  <a:pt x="10" y="9"/>
                </a:lnTo>
                <a:lnTo>
                  <a:pt x="10" y="9"/>
                </a:lnTo>
                <a:lnTo>
                  <a:pt x="10" y="9"/>
                </a:lnTo>
                <a:lnTo>
                  <a:pt x="10" y="9"/>
                </a:lnTo>
                <a:lnTo>
                  <a:pt x="10" y="8"/>
                </a:lnTo>
                <a:lnTo>
                  <a:pt x="10" y="8"/>
                </a:lnTo>
                <a:lnTo>
                  <a:pt x="10" y="8"/>
                </a:lnTo>
                <a:lnTo>
                  <a:pt x="11" y="8"/>
                </a:lnTo>
                <a:lnTo>
                  <a:pt x="11" y="8"/>
                </a:lnTo>
                <a:lnTo>
                  <a:pt x="10" y="8"/>
                </a:lnTo>
                <a:lnTo>
                  <a:pt x="10" y="8"/>
                </a:lnTo>
                <a:lnTo>
                  <a:pt x="10" y="8"/>
                </a:lnTo>
                <a:lnTo>
                  <a:pt x="10" y="8"/>
                </a:lnTo>
                <a:lnTo>
                  <a:pt x="10" y="7"/>
                </a:lnTo>
                <a:lnTo>
                  <a:pt x="10" y="7"/>
                </a:lnTo>
                <a:lnTo>
                  <a:pt x="10" y="7"/>
                </a:lnTo>
                <a:lnTo>
                  <a:pt x="10" y="7"/>
                </a:lnTo>
                <a:lnTo>
                  <a:pt x="9" y="7"/>
                </a:lnTo>
                <a:lnTo>
                  <a:pt x="9" y="6"/>
                </a:lnTo>
                <a:lnTo>
                  <a:pt x="9" y="6"/>
                </a:lnTo>
                <a:lnTo>
                  <a:pt x="9" y="6"/>
                </a:lnTo>
                <a:lnTo>
                  <a:pt x="9" y="6"/>
                </a:lnTo>
                <a:lnTo>
                  <a:pt x="10" y="6"/>
                </a:lnTo>
                <a:lnTo>
                  <a:pt x="10" y="5"/>
                </a:lnTo>
                <a:lnTo>
                  <a:pt x="10" y="5"/>
                </a:lnTo>
                <a:lnTo>
                  <a:pt x="10" y="5"/>
                </a:lnTo>
                <a:lnTo>
                  <a:pt x="10" y="5"/>
                </a:lnTo>
                <a:lnTo>
                  <a:pt x="10" y="4"/>
                </a:lnTo>
                <a:lnTo>
                  <a:pt x="10" y="4"/>
                </a:lnTo>
                <a:lnTo>
                  <a:pt x="10" y="4"/>
                </a:lnTo>
                <a:lnTo>
                  <a:pt x="10" y="3"/>
                </a:lnTo>
                <a:lnTo>
                  <a:pt x="10" y="3"/>
                </a:lnTo>
                <a:lnTo>
                  <a:pt x="10" y="3"/>
                </a:lnTo>
                <a:lnTo>
                  <a:pt x="10" y="3"/>
                </a:lnTo>
                <a:lnTo>
                  <a:pt x="10" y="3"/>
                </a:lnTo>
                <a:lnTo>
                  <a:pt x="10" y="2"/>
                </a:lnTo>
                <a:lnTo>
                  <a:pt x="11" y="2"/>
                </a:lnTo>
                <a:lnTo>
                  <a:pt x="10" y="2"/>
                </a:lnTo>
                <a:lnTo>
                  <a:pt x="10" y="3"/>
                </a:lnTo>
                <a:lnTo>
                  <a:pt x="10" y="2"/>
                </a:lnTo>
                <a:lnTo>
                  <a:pt x="11" y="2"/>
                </a:lnTo>
                <a:lnTo>
                  <a:pt x="11" y="2"/>
                </a:lnTo>
                <a:lnTo>
                  <a:pt x="11" y="3"/>
                </a:lnTo>
                <a:lnTo>
                  <a:pt x="11" y="3"/>
                </a:lnTo>
                <a:lnTo>
                  <a:pt x="11" y="2"/>
                </a:lnTo>
                <a:lnTo>
                  <a:pt x="11" y="2"/>
                </a:lnTo>
                <a:lnTo>
                  <a:pt x="11" y="2"/>
                </a:lnTo>
                <a:lnTo>
                  <a:pt x="11" y="1"/>
                </a:lnTo>
                <a:lnTo>
                  <a:pt x="12" y="1"/>
                </a:lnTo>
                <a:lnTo>
                  <a:pt x="12" y="1"/>
                </a:lnTo>
                <a:lnTo>
                  <a:pt x="12" y="1"/>
                </a:lnTo>
                <a:lnTo>
                  <a:pt x="12" y="1"/>
                </a:lnTo>
                <a:lnTo>
                  <a:pt x="12" y="1"/>
                </a:lnTo>
                <a:lnTo>
                  <a:pt x="12" y="0"/>
                </a:lnTo>
                <a:lnTo>
                  <a:pt x="13" y="0"/>
                </a:lnTo>
                <a:lnTo>
                  <a:pt x="13" y="0"/>
                </a:lnTo>
                <a:lnTo>
                  <a:pt x="13" y="0"/>
                </a:lnTo>
                <a:lnTo>
                  <a:pt x="13" y="0"/>
                </a:lnTo>
                <a:lnTo>
                  <a:pt x="15" y="0"/>
                </a:lnTo>
                <a:lnTo>
                  <a:pt x="15" y="0"/>
                </a:lnTo>
              </a:path>
            </a:pathLst>
          </a:custGeom>
          <a:grpFill/>
          <a:ln w="9525">
            <a:solidFill>
              <a:schemeClr val="bg1">
                <a:lumMod val="65000"/>
              </a:schemeClr>
            </a:solidFill>
            <a:prstDash val="solid"/>
            <a:round/>
            <a:headEnd/>
            <a:tailEnd/>
          </a:ln>
        </xdr:spPr>
      </xdr:sp>
      <xdr:grpSp>
        <xdr:nvGrpSpPr>
          <xdr:cNvPr id="218" name="Group 50"/>
          <xdr:cNvGrpSpPr/>
        </xdr:nvGrpSpPr>
        <xdr:grpSpPr>
          <a:xfrm>
            <a:off x="4212412" y="4930731"/>
            <a:ext cx="721252" cy="300159"/>
            <a:chOff x="2925363" y="2042423"/>
            <a:chExt cx="743166" cy="307879"/>
          </a:xfrm>
          <a:grpFill/>
        </xdr:grpSpPr>
        <xdr:cxnSp macro="">
          <xdr:nvCxnSpPr>
            <xdr:cNvPr id="219" name="Elbow Connector 51"/>
            <xdr:cNvCxnSpPr>
              <a:stCxn id="217" idx="54"/>
              <a:endCxn id="220" idx="2"/>
            </xdr:cNvCxnSpPr>
          </xdr:nvCxnSpPr>
          <xdr:spPr>
            <a:xfrm flipV="1">
              <a:off x="2925363" y="2077220"/>
              <a:ext cx="671166" cy="273082"/>
            </a:xfrm>
            <a:prstGeom prst="bentConnector3">
              <a:avLst>
                <a:gd name="adj1" fmla="val -2288"/>
              </a:avLst>
            </a:prstGeom>
            <a:grpFill/>
            <a:ln>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20" name="Oval 52"/>
            <xdr:cNvSpPr/>
          </xdr:nvSpPr>
          <xdr:spPr>
            <a:xfrm>
              <a:off x="3596529" y="2042423"/>
              <a:ext cx="72000" cy="69594"/>
            </a:xfrm>
            <a:prstGeom prst="ellipse">
              <a:avLst/>
            </a:prstGeom>
            <a:grp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3</xdr:row>
      <xdr:rowOff>85725</xdr:rowOff>
    </xdr:from>
    <xdr:to>
      <xdr:col>6</xdr:col>
      <xdr:colOff>522210</xdr:colOff>
      <xdr:row>17</xdr:row>
      <xdr:rowOff>134017</xdr:rowOff>
    </xdr:to>
    <xdr:grpSp>
      <xdr:nvGrpSpPr>
        <xdr:cNvPr id="16" name="MAP_FRAME_X"/>
        <xdr:cNvGrpSpPr/>
      </xdr:nvGrpSpPr>
      <xdr:grpSpPr>
        <a:xfrm>
          <a:off x="1219200" y="571500"/>
          <a:ext cx="2960610" cy="2315242"/>
          <a:chOff x="1219200" y="571500"/>
          <a:chExt cx="2960610" cy="2315242"/>
        </a:xfrm>
      </xdr:grpSpPr>
      <xdr:sp macro="" textlink="">
        <xdr:nvSpPr>
          <xdr:cNvPr id="2" name="X_MapFrame_X"/>
          <xdr:cNvSpPr/>
        </xdr:nvSpPr>
        <xdr:spPr>
          <a:xfrm>
            <a:off x="1219200" y="839561"/>
            <a:ext cx="2819430" cy="1968233"/>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 name="X_MapName_X"/>
          <xdr:cNvSpPr txBox="1"/>
        </xdr:nvSpPr>
        <xdr:spPr>
          <a:xfrm>
            <a:off x="1219200" y="571500"/>
            <a:ext cx="29606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t"/>
          <a:lstStyle/>
          <a:p>
            <a:r>
              <a:rPr lang="en-US" sz="1400">
                <a:solidFill>
                  <a:srgbClr val="026CB6"/>
                </a:solidFill>
                <a:latin typeface="Arial" pitchFamily="34" charset="0"/>
                <a:cs typeface="Arial" pitchFamily="34" charset="0"/>
              </a:rPr>
              <a:t>Sector Name</a:t>
            </a:r>
          </a:p>
        </xdr:txBody>
      </xdr:sp>
      <xdr:sp macro="" textlink="">
        <xdr:nvSpPr>
          <xdr:cNvPr id="4" name="X_NumPartners_X"/>
          <xdr:cNvSpPr txBox="1"/>
        </xdr:nvSpPr>
        <xdr:spPr>
          <a:xfrm>
            <a:off x="1219200" y="839561"/>
            <a:ext cx="452656" cy="27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400" b="1">
                <a:solidFill>
                  <a:srgbClr val="F7924C"/>
                </a:solidFill>
                <a:latin typeface="Arial" pitchFamily="34" charset="0"/>
                <a:cs typeface="Arial" pitchFamily="34" charset="0"/>
              </a:rPr>
              <a:t>X</a:t>
            </a:r>
          </a:p>
        </xdr:txBody>
      </xdr:sp>
      <xdr:sp macro="" textlink="">
        <xdr:nvSpPr>
          <xdr:cNvPr id="5" name="X_EmgAndRegLabelTextBox_X"/>
          <xdr:cNvSpPr txBox="1"/>
        </xdr:nvSpPr>
        <xdr:spPr>
          <a:xfrm>
            <a:off x="1572986" y="839561"/>
            <a:ext cx="1172459" cy="255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00">
                <a:solidFill>
                  <a:schemeClr val="bg1">
                    <a:lumMod val="50000"/>
                  </a:schemeClr>
                </a:solidFill>
                <a:latin typeface="Arial" pitchFamily="34" charset="0"/>
                <a:cs typeface="Arial" pitchFamily="34" charset="0"/>
              </a:rPr>
              <a:t>partners</a:t>
            </a:r>
          </a:p>
        </xdr:txBody>
      </xdr:sp>
      <xdr:grpSp>
        <xdr:nvGrpSpPr>
          <xdr:cNvPr id="6" name="X_ColorRamp_X"/>
          <xdr:cNvGrpSpPr/>
        </xdr:nvGrpSpPr>
        <xdr:grpSpPr>
          <a:xfrm rot="16200000">
            <a:off x="1703874" y="2123816"/>
            <a:ext cx="166997" cy="782560"/>
            <a:chOff x="12534900" y="3095625"/>
            <a:chExt cx="161767" cy="822095"/>
          </a:xfrm>
        </xdr:grpSpPr>
        <xdr:sp macro="" textlink="">
          <xdr:nvSpPr>
            <xdr:cNvPr id="7" name="Rectangle 6"/>
            <xdr:cNvSpPr/>
          </xdr:nvSpPr>
          <xdr:spPr>
            <a:xfrm>
              <a:off x="12534900" y="3095625"/>
              <a:ext cx="161767" cy="162000"/>
            </a:xfrm>
            <a:prstGeom prst="rect">
              <a:avLst/>
            </a:prstGeom>
            <a:solidFill>
              <a:srgbClr val="C7D6EE"/>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 name="ColorRampBox2"/>
            <xdr:cNvSpPr/>
          </xdr:nvSpPr>
          <xdr:spPr>
            <a:xfrm>
              <a:off x="12534900" y="3260119"/>
              <a:ext cx="161767" cy="161999"/>
            </a:xfrm>
            <a:prstGeom prst="rect">
              <a:avLst/>
            </a:prstGeom>
            <a:solidFill>
              <a:srgbClr val="95B6DF"/>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 name="ColorRampBox3"/>
            <xdr:cNvSpPr/>
          </xdr:nvSpPr>
          <xdr:spPr>
            <a:xfrm>
              <a:off x="12534900" y="3424612"/>
              <a:ext cx="161767" cy="161999"/>
            </a:xfrm>
            <a:prstGeom prst="rect">
              <a:avLst/>
            </a:prstGeom>
            <a:solidFill>
              <a:srgbClr val="659AD2"/>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ColorRampBox4"/>
            <xdr:cNvSpPr/>
          </xdr:nvSpPr>
          <xdr:spPr>
            <a:xfrm>
              <a:off x="12534900" y="3589105"/>
              <a:ext cx="161767" cy="162000"/>
            </a:xfrm>
            <a:prstGeom prst="rect">
              <a:avLst/>
            </a:prstGeom>
            <a:solidFill>
              <a:srgbClr val="026CB6"/>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1" name="ColorRampBox5"/>
            <xdr:cNvSpPr/>
          </xdr:nvSpPr>
          <xdr:spPr>
            <a:xfrm>
              <a:off x="12534900" y="3755256"/>
              <a:ext cx="161767" cy="162464"/>
            </a:xfrm>
            <a:prstGeom prst="rect">
              <a:avLst/>
            </a:prstGeom>
            <a:solidFill>
              <a:srgbClr val="003469"/>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12" name="X_ColorRampLabelHigh_X"/>
          <xdr:cNvSpPr txBox="1"/>
        </xdr:nvSpPr>
        <xdr:spPr>
          <a:xfrm>
            <a:off x="1926772" y="2608490"/>
            <a:ext cx="384069"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sp macro="" textlink="">
        <xdr:nvSpPr>
          <xdr:cNvPr id="13" name="X_ColorRampLabelLow_X"/>
          <xdr:cNvSpPr txBox="1"/>
        </xdr:nvSpPr>
        <xdr:spPr>
          <a:xfrm>
            <a:off x="1219200" y="2608490"/>
            <a:ext cx="384071" cy="27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a:solidFill>
                  <a:schemeClr val="bg1">
                    <a:lumMod val="50000"/>
                  </a:schemeClr>
                </a:solidFill>
                <a:latin typeface="Arial" pitchFamily="34" charset="0"/>
                <a:cs typeface="Arial" pitchFamily="34" charset="0"/>
              </a:rPr>
              <a:t>1</a:t>
            </a:r>
          </a:p>
        </xdr:txBody>
      </xdr:sp>
      <xdr:sp macro="" textlink="">
        <xdr:nvSpPr>
          <xdr:cNvPr id="14" name="X_RampLabel_X"/>
          <xdr:cNvSpPr txBox="1"/>
        </xdr:nvSpPr>
        <xdr:spPr>
          <a:xfrm>
            <a:off x="1219200" y="2077811"/>
            <a:ext cx="1055507" cy="332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180000" tIns="0" rIns="72000" bIns="0" rtlCol="0" anchor="t">
            <a:noAutofit/>
          </a:bodyPr>
          <a:lstStyle/>
          <a:p>
            <a:pPr algn="l"/>
            <a:r>
              <a:rPr lang="en-GB" sz="900">
                <a:solidFill>
                  <a:schemeClr val="tx1">
                    <a:lumMod val="50000"/>
                    <a:lumOff val="50000"/>
                  </a:schemeClr>
                </a:solidFill>
                <a:latin typeface="Arial" panose="020B0604020202020204" pitchFamily="34" charset="0"/>
                <a:cs typeface="Arial" panose="020B0604020202020204" pitchFamily="34" charset="0"/>
              </a:rPr>
              <a:t>Number</a:t>
            </a:r>
            <a:r>
              <a:rPr lang="en-GB" sz="900" baseline="0">
                <a:solidFill>
                  <a:schemeClr val="tx1">
                    <a:lumMod val="50000"/>
                    <a:lumOff val="50000"/>
                  </a:schemeClr>
                </a:solidFill>
                <a:latin typeface="Arial" panose="020B0604020202020204" pitchFamily="34" charset="0"/>
                <a:cs typeface="Arial" panose="020B0604020202020204" pitchFamily="34" charset="0"/>
              </a:rPr>
              <a:t> of </a:t>
            </a:r>
          </a:p>
          <a:p>
            <a:pPr algn="l"/>
            <a:r>
              <a:rPr lang="en-GB" sz="900" baseline="0">
                <a:solidFill>
                  <a:schemeClr val="tx1">
                    <a:lumMod val="50000"/>
                    <a:lumOff val="50000"/>
                  </a:schemeClr>
                </a:solidFill>
                <a:latin typeface="Arial" panose="020B0604020202020204" pitchFamily="34" charset="0"/>
                <a:cs typeface="Arial" panose="020B0604020202020204" pitchFamily="34" charset="0"/>
              </a:rPr>
              <a:t>organisations</a:t>
            </a:r>
          </a:p>
        </xdr:txBody>
      </xdr:sp>
    </xdr:grpSp>
    <xdr:clientData/>
  </xdr:twoCellAnchor>
  <xdr:twoCellAnchor editAs="absolute">
    <xdr:from>
      <xdr:col>8</xdr:col>
      <xdr:colOff>44822</xdr:colOff>
      <xdr:row>9</xdr:row>
      <xdr:rowOff>7839</xdr:rowOff>
    </xdr:from>
    <xdr:to>
      <xdr:col>19</xdr:col>
      <xdr:colOff>574812</xdr:colOff>
      <xdr:row>10</xdr:row>
      <xdr:rowOff>26091</xdr:rowOff>
    </xdr:to>
    <xdr:sp macro="" textlink="">
      <xdr:nvSpPr>
        <xdr:cNvPr id="17" name="TextBox 16"/>
        <xdr:cNvSpPr txBox="1"/>
      </xdr:nvSpPr>
      <xdr:spPr>
        <a:xfrm>
          <a:off x="4921622" y="1465164"/>
          <a:ext cx="7235590" cy="180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r>
            <a:rPr lang="en-US" sz="900">
              <a:solidFill>
                <a:schemeClr val="bg1">
                  <a:lumMod val="65000"/>
                </a:schemeClr>
              </a:solidFill>
              <a:latin typeface="Arial" pitchFamily="34" charset="0"/>
              <a:cs typeface="Arial" pitchFamily="34" charset="0"/>
            </a:rPr>
            <a:t>For</a:t>
          </a:r>
          <a:r>
            <a:rPr lang="en-US" sz="900" baseline="0">
              <a:solidFill>
                <a:schemeClr val="bg1">
                  <a:lumMod val="65000"/>
                </a:schemeClr>
              </a:solidFill>
              <a:latin typeface="Arial" pitchFamily="34" charset="0"/>
              <a:cs typeface="Arial" pitchFamily="34" charset="0"/>
            </a:rPr>
            <a:t> s</a:t>
          </a:r>
          <a:r>
            <a:rPr lang="en-US" sz="900">
              <a:solidFill>
                <a:schemeClr val="bg1">
                  <a:lumMod val="65000"/>
                </a:schemeClr>
              </a:solidFill>
              <a:latin typeface="Arial" pitchFamily="34" charset="0"/>
              <a:cs typeface="Arial" pitchFamily="34" charset="0"/>
            </a:rPr>
            <a:t>uggestions/corrections</a:t>
          </a:r>
          <a:r>
            <a:rPr lang="en-US" sz="900" baseline="0">
              <a:solidFill>
                <a:schemeClr val="bg1">
                  <a:lumMod val="65000"/>
                </a:schemeClr>
              </a:solidFill>
              <a:latin typeface="Arial" pitchFamily="34" charset="0"/>
              <a:cs typeface="Arial" pitchFamily="34" charset="0"/>
            </a:rPr>
            <a:t> </a:t>
          </a:r>
          <a:r>
            <a:rPr lang="en-US" sz="900">
              <a:solidFill>
                <a:schemeClr val="bg1">
                  <a:lumMod val="65000"/>
                </a:schemeClr>
              </a:solidFill>
              <a:latin typeface="Arial" pitchFamily="34" charset="0"/>
              <a:cs typeface="Arial" pitchFamily="34" charset="0"/>
            </a:rPr>
            <a:t>: </a:t>
          </a:r>
          <a:r>
            <a:rPr lang="en-US" sz="900" i="1">
              <a:solidFill>
                <a:schemeClr val="bg1">
                  <a:lumMod val="65000"/>
                </a:schemeClr>
              </a:solidFill>
              <a:latin typeface="Arial" pitchFamily="34" charset="0"/>
              <a:cs typeface="Arial" pitchFamily="34" charset="0"/>
            </a:rPr>
            <a:t>ocharowca@un.org</a:t>
          </a:r>
          <a:r>
            <a:rPr lang="en-US" sz="900" i="1" baseline="0">
              <a:solidFill>
                <a:schemeClr val="bg1">
                  <a:lumMod val="65000"/>
                </a:schemeClr>
              </a:solidFill>
              <a:latin typeface="Arial" pitchFamily="34" charset="0"/>
              <a:cs typeface="Arial" pitchFamily="34" charset="0"/>
            </a:rPr>
            <a:t> /  </a:t>
          </a:r>
          <a:r>
            <a:rPr lang="en-US" sz="900" i="0" baseline="0">
              <a:solidFill>
                <a:schemeClr val="bg1">
                  <a:lumMod val="65000"/>
                </a:schemeClr>
              </a:solidFill>
              <a:latin typeface="Arial" pitchFamily="34" charset="0"/>
              <a:cs typeface="Arial" pitchFamily="34" charset="0"/>
            </a:rPr>
            <a:t>More information: </a:t>
          </a:r>
          <a:r>
            <a:rPr lang="en-US" sz="800" i="1" baseline="0">
              <a:solidFill>
                <a:schemeClr val="bg1">
                  <a:lumMod val="65000"/>
                </a:schemeClr>
              </a:solidFill>
              <a:latin typeface="Arial" pitchFamily="34" charset="0"/>
              <a:cs typeface="Arial" pitchFamily="34" charset="0"/>
            </a:rPr>
            <a:t>https://www.humanitarianresponse.info/operations/west-and-central-africa</a:t>
          </a:r>
          <a:endParaRPr lang="en-US" sz="900" i="0">
            <a:solidFill>
              <a:schemeClr val="bg1">
                <a:lumMod val="65000"/>
              </a:schemeClr>
            </a:solidFill>
            <a:latin typeface="Arial" pitchFamily="34" charset="0"/>
            <a:cs typeface="Arial" pitchFamily="34" charset="0"/>
          </a:endParaRPr>
        </a:p>
      </xdr:txBody>
    </xdr:sp>
    <xdr:clientData/>
  </xdr:twoCellAnchor>
  <xdr:twoCellAnchor editAs="absolute">
    <xdr:from>
      <xdr:col>19</xdr:col>
      <xdr:colOff>225697</xdr:colOff>
      <xdr:row>8</xdr:row>
      <xdr:rowOff>3544</xdr:rowOff>
    </xdr:from>
    <xdr:to>
      <xdr:col>23</xdr:col>
      <xdr:colOff>414131</xdr:colOff>
      <xdr:row>9</xdr:row>
      <xdr:rowOff>5251</xdr:rowOff>
    </xdr:to>
    <xdr:sp macro="" textlink="">
      <xdr:nvSpPr>
        <xdr:cNvPr id="18" name="TextBox 17"/>
        <xdr:cNvSpPr txBox="1"/>
      </xdr:nvSpPr>
      <xdr:spPr>
        <a:xfrm>
          <a:off x="11808097" y="1298944"/>
          <a:ext cx="2626834" cy="16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pPr algn="l"/>
          <a:r>
            <a:rPr lang="en-US" sz="800">
              <a:solidFill>
                <a:schemeClr val="bg1">
                  <a:lumMod val="65000"/>
                </a:schemeClr>
              </a:solidFill>
              <a:latin typeface="Arial" pitchFamily="34" charset="0"/>
              <a:cs typeface="Arial" pitchFamily="34" charset="0"/>
            </a:rPr>
            <a:t>Updated:</a:t>
          </a:r>
          <a:r>
            <a:rPr lang="en-US" sz="800" baseline="0">
              <a:solidFill>
                <a:schemeClr val="bg1">
                  <a:lumMod val="65000"/>
                </a:schemeClr>
              </a:solidFill>
              <a:latin typeface="Arial" pitchFamily="34" charset="0"/>
              <a:cs typeface="Arial" pitchFamily="34" charset="0"/>
            </a:rPr>
            <a:t> 18-NOV-2014 Source: Clusters and Partners </a:t>
          </a:r>
          <a:endParaRPr lang="en-US" sz="800">
            <a:solidFill>
              <a:schemeClr val="bg1">
                <a:lumMod val="65000"/>
              </a:schemeClr>
            </a:solidFill>
            <a:latin typeface="Arial" pitchFamily="34" charset="0"/>
            <a:cs typeface="Arial" pitchFamily="34" charset="0"/>
          </a:endParaRPr>
        </a:p>
      </xdr:txBody>
    </xdr:sp>
    <xdr:clientData/>
  </xdr:twoCellAnchor>
  <xdr:twoCellAnchor editAs="absolute">
    <xdr:from>
      <xdr:col>8</xdr:col>
      <xdr:colOff>44823</xdr:colOff>
      <xdr:row>8</xdr:row>
      <xdr:rowOff>3055</xdr:rowOff>
    </xdr:from>
    <xdr:to>
      <xdr:col>18</xdr:col>
      <xdr:colOff>20372</xdr:colOff>
      <xdr:row>9</xdr:row>
      <xdr:rowOff>5590</xdr:rowOff>
    </xdr:to>
    <xdr:sp macro="" textlink="">
      <xdr:nvSpPr>
        <xdr:cNvPr id="19" name="TextBox 18"/>
        <xdr:cNvSpPr txBox="1"/>
      </xdr:nvSpPr>
      <xdr:spPr>
        <a:xfrm>
          <a:off x="4921623" y="1298455"/>
          <a:ext cx="6071549" cy="164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r>
            <a:rPr lang="en-US" sz="800">
              <a:solidFill>
                <a:schemeClr val="bg1">
                  <a:lumMod val="65000"/>
                </a:schemeClr>
              </a:solidFill>
              <a:latin typeface="Arial" pitchFamily="34" charset="0"/>
              <a:cs typeface="Arial" pitchFamily="34" charset="0"/>
            </a:rPr>
            <a:t>Designations and geography used on these maps does not imply endorsement</a:t>
          </a:r>
          <a:r>
            <a:rPr lang="en-US" sz="800" baseline="0">
              <a:solidFill>
                <a:schemeClr val="bg1">
                  <a:lumMod val="65000"/>
                </a:schemeClr>
              </a:solidFill>
              <a:latin typeface="Arial" pitchFamily="34" charset="0"/>
              <a:cs typeface="Arial" pitchFamily="34" charset="0"/>
            </a:rPr>
            <a:t> by the United Nations</a:t>
          </a:r>
          <a:endParaRPr lang="en-US" sz="800">
            <a:solidFill>
              <a:schemeClr val="bg1">
                <a:lumMod val="65000"/>
              </a:schemeClr>
            </a:solidFill>
            <a:latin typeface="Arial" pitchFamily="34" charset="0"/>
            <a:cs typeface="Arial" pitchFamily="34" charset="0"/>
          </a:endParaRPr>
        </a:p>
      </xdr:txBody>
    </xdr:sp>
    <xdr:clientData/>
  </xdr:twoCellAnchor>
  <xdr:twoCellAnchor>
    <xdr:from>
      <xdr:col>8</xdr:col>
      <xdr:colOff>0</xdr:colOff>
      <xdr:row>8</xdr:row>
      <xdr:rowOff>0</xdr:rowOff>
    </xdr:from>
    <xdr:to>
      <xdr:col>23</xdr:col>
      <xdr:colOff>381000</xdr:colOff>
      <xdr:row>8</xdr:row>
      <xdr:rowOff>0</xdr:rowOff>
    </xdr:to>
    <xdr:cxnSp macro="">
      <xdr:nvCxnSpPr>
        <xdr:cNvPr id="20" name="Straight Connector 19"/>
        <xdr:cNvCxnSpPr/>
      </xdr:nvCxnSpPr>
      <xdr:spPr>
        <a:xfrm>
          <a:off x="4876800" y="1295400"/>
          <a:ext cx="952500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0</xdr:row>
      <xdr:rowOff>66673</xdr:rowOff>
    </xdr:from>
    <xdr:to>
      <xdr:col>10</xdr:col>
      <xdr:colOff>333375</xdr:colOff>
      <xdr:row>156</xdr:row>
      <xdr:rowOff>104775</xdr:rowOff>
    </xdr:to>
    <xdr:sp macro="" textlink="">
      <xdr:nvSpPr>
        <xdr:cNvPr id="2" name="TextBox 1"/>
        <xdr:cNvSpPr txBox="1"/>
      </xdr:nvSpPr>
      <xdr:spPr>
        <a:xfrm>
          <a:off x="66675" y="66673"/>
          <a:ext cx="6362700" cy="252984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chemeClr val="tx1"/>
              </a:solidFill>
              <a:effectLst/>
              <a:uLnTx/>
              <a:uFillTx/>
              <a:latin typeface="Arial" pitchFamily="34" charset="0"/>
              <a:ea typeface="+mn-ea"/>
              <a:cs typeface="Arial" pitchFamily="34" charset="0"/>
            </a:rPr>
            <a:t>First time set-up instructions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itchFamily="34" charset="0"/>
              <a:ea typeface="+mn-ea"/>
              <a:cs typeface="Arial" pitchFamily="34" charset="0"/>
            </a:rPr>
            <a:t>These instructions need to be executed once to set up a new 3W tool.  Assuming you know your way around Excel and Arcmap, this should take less than an hour.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1. Enable Marcos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If necessary, add the developer tab: File&gt;Options&gt;Ribbon.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Enable the macros: Developer&gt;Macro Security&gt;Disable with notification. You may need to re-open the workbook.</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2. Prepare the polygons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chemeClr val="tx1"/>
              </a:solidFill>
              <a:effectLst/>
              <a:uLnTx/>
              <a:uFillTx/>
              <a:latin typeface="Arial" pitchFamily="34" charset="0"/>
              <a:ea typeface="+mn-ea"/>
              <a:cs typeface="Arial" pitchFamily="34" charset="0"/>
            </a:rPr>
            <a:t>Draw polys in ArcMap</a:t>
          </a: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a:t>
          </a:r>
          <a:r>
            <a:rPr kumimoji="0" lang="en-US" sz="1100" b="1" i="0" u="none" strike="noStrike" kern="0" cap="none" spc="0" normalizeH="0" baseline="0" noProof="0">
              <a:ln>
                <a:noFill/>
              </a:ln>
              <a:solidFill>
                <a:srgbClr val="FF0000"/>
              </a:solidFill>
              <a:effectLst/>
              <a:uLnTx/>
              <a:uFillTx/>
              <a:latin typeface="Arial" pitchFamily="34" charset="0"/>
              <a:ea typeface="+mn-ea"/>
              <a:cs typeface="Arial" pitchFamily="34" charset="0"/>
            </a:rPr>
            <a:t>What admin?</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Make the map as large as possible on your screen.  Resize the map window to have minimal white space around the geometry.</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Set polygon rendering to no line, white fill (</a:t>
          </a:r>
          <a:r>
            <a:rPr kumimoji="0" lang="en-US" sz="1100" b="1" i="0" u="none" strike="noStrike" kern="0" cap="none" spc="0" normalizeH="0" baseline="0" noProof="0">
              <a:ln>
                <a:noFill/>
              </a:ln>
              <a:solidFill>
                <a:prstClr val="black"/>
              </a:solidFill>
              <a:effectLst/>
              <a:uLnTx/>
              <a:uFillTx/>
              <a:latin typeface="Arial" pitchFamily="34" charset="0"/>
              <a:ea typeface="+mn-ea"/>
              <a:cs typeface="Arial" pitchFamily="34" charset="0"/>
            </a:rPr>
            <a:t>not</a:t>
          </a: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transparent).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Label the polygons. The labels do not need to be pretty, just readable.  They will be deleted eventually.</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When you can see the labels but not the geometry, you've got it right.</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chemeClr val="tx1"/>
              </a:solidFill>
              <a:effectLst/>
              <a:uLnTx/>
              <a:uFillTx/>
              <a:latin typeface="Arial" pitchFamily="34" charset="0"/>
              <a:ea typeface="+mn-ea"/>
              <a:cs typeface="Arial" pitchFamily="34" charset="0"/>
            </a:rPr>
            <a:t>Export the map to EMF.</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Set resolution to 300dpi and quality to highest (this could be experimented with to lower file size for pdf end products)</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chemeClr val="tx1"/>
              </a:solidFill>
              <a:effectLst/>
              <a:uLnTx/>
              <a:uFillTx/>
              <a:latin typeface="Arial" pitchFamily="34" charset="0"/>
              <a:ea typeface="+mn-ea"/>
              <a:cs typeface="Arial" pitchFamily="34" charset="0"/>
            </a:rPr>
            <a:t>In the Excel template</a:t>
          </a: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select the Geometry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Insert the EMF as a picture.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Reposition if you like, but avoid resizing.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Right click the picture&gt;edit.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This forces conversion to drawing objects.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Do not ungroup the resulting group (ever).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Select the resulting group, and set the outline to solid line, 35% gray, .75pt.  Do not 	change the fill. This will outline the group, each admin unit, and each label box.</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3. Match Pcodes to Polygons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There are </a:t>
          </a:r>
          <a:r>
            <a:rPr kumimoji="0" lang="en-US" sz="1100" b="1" i="0" u="none" strike="noStrike" kern="0" cap="none" spc="0" normalizeH="0" baseline="0" noProof="0">
              <a:ln>
                <a:noFill/>
              </a:ln>
              <a:solidFill>
                <a:prstClr val="black"/>
              </a:solidFill>
              <a:effectLst/>
              <a:uLnTx/>
              <a:uFillTx/>
              <a:latin typeface="Arial" pitchFamily="34" charset="0"/>
              <a:ea typeface="+mn-ea"/>
              <a:cs typeface="Arial" pitchFamily="34" charset="0"/>
            </a:rPr>
            <a:t>2 methods </a:t>
          </a: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for completing this task.  Batch mode and One-By-One mode.  One-by-One mode is probably the best choice for areas where there are many small polygons, otherwise batch mode may be easier.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chemeClr val="tx1"/>
              </a:solidFill>
              <a:effectLst/>
              <a:uLnTx/>
              <a:uFillTx/>
              <a:latin typeface="Arial" pitchFamily="34" charset="0"/>
              <a:ea typeface="+mn-ea"/>
              <a:cs typeface="Arial" pitchFamily="34" charset="0"/>
            </a:rPr>
            <a:t>Method 1: Batch Mode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Copy a sorted list of pcodes onto the Geometry sheet in the indicated column 	  (column A). Only paste in a single column.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Select the first few pcodes from the list (start with 3 or 4 until you understand the 	  process).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Click the "Set ActiveRows" button .This sets the selected cells to a named range 	called "ActiveRows", which is used by the next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Select the polygons (not the labels) that correspond to the pcodes in ActiveRows.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These must be selected IN THE SAME ORDER as the pcodes list.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Be careful not to accidentally drag the polygons.  Undo is your friend if that 	  happens.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TIP: Drawing [FORMAT] &gt;Selection Pane may be helpful for this step.</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Click the "Rename Polys" button.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Check that the polygons were renamed by selecting them one at a time and 	  confirming the name in the address window.</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TIP: It's worth the time to double check that no mistakes were made here.  You might not        catch the error until much further in the process.</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Repeat the process of selecting pcodes, clicking "Set ActiveRows",  and clicking 	  "Rename Polys" until all polygons are renamed by their pcode.</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chemeClr val="tx1"/>
              </a:solidFill>
              <a:effectLst/>
              <a:uLnTx/>
              <a:uFillTx/>
              <a:latin typeface="Arial" pitchFamily="34" charset="0"/>
              <a:ea typeface="+mn-ea"/>
              <a:cs typeface="Arial" pitchFamily="34" charset="0"/>
            </a:rPr>
            <a:t>Method 2: One-By-One Mode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chemeClr val="tx1"/>
              </a:solidFill>
              <a:effectLst/>
              <a:uLnTx/>
              <a:uFillTx/>
              <a:latin typeface="Arial" pitchFamily="34" charset="0"/>
              <a:ea typeface="+mn-ea"/>
              <a:cs typeface="Arial" pitchFamily="34" charset="0"/>
            </a:rPr>
            <a:t>	</a:t>
          </a: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Copy a sorted list of pcodes onto the Geometry sheet in the indicated column 	  (column A). Only paste in a single column.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Click "Rename Polys One-By-One".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A polygon will be selected and you will be prompted to click the cell containing the 	  matching p-code.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 Repeat this process until complete.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You can confirm that the naming is correct by by selecting them one at a time and 	  confirming the name in the address window.</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4. Generate the maps for the Dashboard</a:t>
          </a: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Select and delete the polygon labels.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Selection Pane may be helpful for this (on the Drawing Tools ribbon).</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Do not ungroup.</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Select and delete the frame polygon.</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This is part of the group and will be visible on the dashboard if not deleted.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Select the map (the group containing all the polygons).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Copy the map and paste it onto the "Dashboard" worksheet.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Using ONE of the small map boxes (there are 12 of them), resize your map to fit in the box.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fit does not need to be perfect. You can adjust the numbers and dimensions of the boxes later.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Hold down shift while resizing to constrain the resize to proportional.  "Stretching" the polygons disproportionately is a sin.  Don't do it.</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select and move the "XX Partners" text box group and the color ramp group to find the best possible layout. Just be careful not to rename any of these graphic elements or delete them.</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It is recommended that final adjustments to the layout of the dashboard (deleting unneeded maps, resizing map boxes, etc.) be left until later in the process.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Once happy with the map size, make a note of the height and width of the group (right click&gt;properties&gt;size).  You will need these values to be in centimeters (hint for those of you working in some barbaric measuring units: 1" = 2.54cm and 1pt = 0.035278 cm).</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Delete the map from the Dashboard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Click the "Generate Maps" button to create 13 smaller maps with correct polygon names, which will appear on the Dashboard. You will be prompted to enter the height and width values (in cm).</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maps will not be perfectly placed in the frames.  You can adjust these later.</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If you are not happy with the maps, you can delete ALL of them (don't forget about the one at the very top) and run the "Generate Maps" script again.</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Note that each polygon in each map has a unique name.  It is important that these are not changed and that the maps are not re-ordered on the page. For example, the map with polygons named [pcode]_1 must be under the text box named (but not labeled) MapName_1 and with the color ramp labels named ColorRampHigh_1.</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5. Set up the vocabulary</a:t>
          </a: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On the Vocabulary worksheet, set up the blue vocabulary cells.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tables will autoexpand as you add rows.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There must not be any blank rows, including at the bottom of the table.</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Never delete entire rows from this or any sheet in this workbook.</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remove table rows by selecting them&gt;right click&gt;delete&gt;table rows.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resize the table to remove empty rows at the bottom by dragging the small handle that appears in the bottom right corner of the bottom right cell in the table.  You can also use Table&gt;Resize Table.</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sort rows in a table using the drop-menus at the top of each column.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use Format Painter to apply "no format" to cells pasted from another table to restore the default table formatting (this is not a requirement).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Default values have been given for Sector and Organization Type. You can modify or delete these.</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order of values in Sectors table will be the order of Sector maps on the Dashboard.  This cannot be changed later.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order of values for Organization Types is not important.</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It is ok if there are fewer than 12 sectors, but there cannot be more.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Paste in AdminName and Pcode values.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Sort order is not important for the Admin Names and Pcodes.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Once you are happy with the vocabulary, return to the Geometry worksheet and click, "Build Gears".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This sets up the back office formulas on the Gears worksheet.</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On slower computers it may take several seconds to complete.</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6. Dashboard layout adjustments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now make adjustments to the items on the dashboard.  Almost every element on the page is a text box or other movable graphic.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may delete any unused small maps  at the bottom and their associated color ramps, titles, frames, and "XX Partners" text groups.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may </a:t>
          </a:r>
          <a:r>
            <a:rPr kumimoji="0" lang="en-US" sz="1100" b="1" i="0" u="none" strike="noStrike" kern="0" cap="none" spc="0" normalizeH="0" baseline="0" noProof="0">
              <a:ln>
                <a:noFill/>
              </a:ln>
              <a:solidFill>
                <a:prstClr val="black"/>
              </a:solidFill>
              <a:effectLst/>
              <a:uLnTx/>
              <a:uFillTx/>
              <a:latin typeface="Arial" pitchFamily="34" charset="0"/>
              <a:ea typeface="+mn-ea"/>
              <a:cs typeface="Arial" pitchFamily="34" charset="0"/>
            </a:rPr>
            <a:t>not</a:t>
          </a: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 delete any map that is associated with a Sector on the Vocabulary page.</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Do not delete anything else from this worksheet.</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Drawing Tools&gt;Align is your friend.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official icons for the Humanitarian Sectors have been included (either on the sheet, matching the default sectors included on the vocabulary page) or to the right.  You may need to reorder these icons to match your sectors.  Delete any unneeded icons.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If you have fewer than 12 sectors.  Delete the unneeded graphic elements.  Place the "Is your data missing" group in the location of the last map.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7. Hide the unneccesary worksheets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On the Geometry worksheet, click "Hide Unncessary Worksheets".  This hides Vocabulary, Gears, Setup Instructions, and Geometry.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These can be redisplayed by right clicking on any worksheet tab&gt;unhide.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If you like, you can delete the Setup Instructions and Geometry worksheets.  All other worksheets are required.</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Arial" pitchFamily="34" charset="0"/>
              <a:ea typeface="+mn-ea"/>
              <a:cs typeface="Arial" pitchFamily="34" charset="0"/>
            </a:rPr>
            <a:t>8. You're done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are ready to start adding data to the "Data" worksheet and organizations to the "Organizations" worksheet.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A few organizations are already listed on the "Organizations Worksheet".  These can deleted or edited if needed.  Remember, do not delete entire rows.  </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remove table rows by selecting them&gt;right click&gt;delete&gt;table rows.</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resize the table to remove empty rows at the bottom by dragging the small handle that appears in the bottom right corner of the bottom right cell in the table.  You can also use Table&gt;Resize Table.</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The Dashboard will not update until there are at least two rows of data in the "Data" workseet.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You can delete this Setup Instructions worksheet or move the tab to the end of the workbook.</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solidFill>
              <a:effectLst/>
              <a:uLnTx/>
              <a:uFillTx/>
              <a:latin typeface="Arial" pitchFamily="34" charset="0"/>
              <a:ea typeface="+mn-ea"/>
              <a:cs typeface="Arial" pitchFamily="34" charset="0"/>
            </a:rPr>
            <a:t>Always save the worksheet as XLSM.</a:t>
          </a:r>
        </a:p>
        <a:p>
          <a:endParaRPr lang="en-US" sz="1100">
            <a:latin typeface="Arial" pitchFamily="34" charset="0"/>
            <a:cs typeface="Arial" pitchFamily="34" charset="0"/>
          </a:endParaRPr>
        </a:p>
      </xdr:txBody>
    </xdr:sp>
    <xdr:clientData/>
  </xdr:twoCellAnchor>
</xdr:wsDr>
</file>

<file path=xl/tables/table1.xml><?xml version="1.0" encoding="utf-8"?>
<table xmlns="http://schemas.openxmlformats.org/spreadsheetml/2006/main" id="12" name="Tbl_OrgReport" displayName="Tbl_OrgReport" ref="B4:O38" totalsRowShown="0" dataDxfId="98">
  <autoFilter ref="B4:O38"/>
  <tableColumns count="14">
    <tableColumn id="1" name="PCODE" dataDxfId="97"/>
    <tableColumn id="2" name="District" dataDxfId="96"/>
    <tableColumn id="3" name="Communication/Mobilisation sociale" dataDxfId="95">
      <calculatedColumnFormula array="1">IFERROR(INDEX(Main3WData[PT.LstOrg],MATCH(CONCATENATE(D$4&amp;$B5)&amp;TRUE,Main3WData[PT.Concat]&amp;Main3WData[PT.Show],0)),"")</calculatedColumnFormula>
    </tableColumn>
    <tableColumn id="4" name="Coordination" dataDxfId="94" dataCellStyle="Normal 4">
      <calculatedColumnFormula array="1">IFERROR(INDEX(Main3WData[PT.LstOrg],MATCH(CONCATENATE(E$4&amp;$B5)&amp;TRUE,Main3WData[PT.Concat]&amp;Main3WData[PT.Show],0)),"")</calculatedColumnFormula>
    </tableColumn>
    <tableColumn id="11" name="Finance" dataDxfId="93" dataCellStyle="Normal 4">
      <calculatedColumnFormula array="1">IFERROR(INDEX(Main3WData[PT.LstOrg],MATCH(CONCATENATE(F$4&amp;$B5)&amp;TRUE,Main3WData[PT.Concat]&amp;Main3WData[PT.Show],0)),"")</calculatedColumnFormula>
    </tableColumn>
    <tableColumn id="12" name="Gestion des corps et desinfection" dataDxfId="92" dataCellStyle="Normal 4">
      <calculatedColumnFormula array="1">IFERROR(INDEX(Main3WData[PT.LstOrg],MATCH(CONCATENATE(G$4&amp;$B5)&amp;TRUE,Main3WData[PT.Concat]&amp;Main3WData[PT.Show],0)),"")</calculatedColumnFormula>
    </tableColumn>
    <tableColumn id="13" name="Gestion des données" dataDxfId="91" dataCellStyle="Normal 4">
      <calculatedColumnFormula array="1">IFERROR(INDEX(Main3WData[PT.LstOrg],MATCH(CONCATENATE(H$4&amp;$B5)&amp;TRUE,Main3WData[PT.Concat]&amp;Main3WData[PT.Show],0)),"")</calculatedColumnFormula>
    </tableColumn>
    <tableColumn id="5" name="Logistiques" dataDxfId="90" dataCellStyle="Normal 4">
      <calculatedColumnFormula array="1">IFERROR(INDEX(Main3WData[PT.LstOrg],MATCH(CONCATENATE(I$4&amp;$B5)&amp;TRUE,Main3WData[PT.Concat]&amp;Main3WData[PT.Show],0)),"")</calculatedColumnFormula>
    </tableColumn>
    <tableColumn id="14" name="Prise en charge" dataDxfId="89" dataCellStyle="Normal 4">
      <calculatedColumnFormula array="1">IFERROR(INDEX(Main3WData[PT.LstOrg],MATCH(CONCATENATE(J$4&amp;$B5)&amp;TRUE,Main3WData[PT.Concat]&amp;Main3WData[PT.Show],0)),"")</calculatedColumnFormula>
    </tableColumn>
    <tableColumn id="6" name="Recherche" dataDxfId="88" dataCellStyle="Normal 4">
      <calculatedColumnFormula array="1">IFERROR(INDEX(Main3WData[PT.LstOrg],MATCH(CONCATENATE(K$4&amp;$B5)&amp;TRUE,Main3WData[PT.Concat]&amp;Main3WData[PT.Show],0)),"")</calculatedColumnFormula>
    </tableColumn>
    <tableColumn id="7" name="Sécurité" dataDxfId="87" dataCellStyle="Normal 4">
      <calculatedColumnFormula array="1">IFERROR(INDEX(Main3WData[PT.LstOrg],MATCH(CONCATENATE(L$4&amp;$B5)&amp;TRUE,Main3WData[PT.Concat]&amp;Main3WData[PT.Show],0)),"")</calculatedColumnFormula>
    </tableColumn>
    <tableColumn id="8" name="Soutien nutritionnel et social" dataDxfId="86" dataCellStyle="Normal 4">
      <calculatedColumnFormula array="1">IFERROR(INDEX(Main3WData[PT.LstOrg],MATCH(CONCATENATE(M$4&amp;$B5)&amp;TRUE,Main3WData[PT.Concat]&amp;Main3WData[PT.Show],0)),"")</calculatedColumnFormula>
    </tableColumn>
    <tableColumn id="9" name="Surveillance &amp; suivi" dataDxfId="85" dataCellStyle="Normal 4">
      <calculatedColumnFormula array="1">IFERROR(INDEX(Main3WData[PT.LstOrg],MATCH(CONCATENATE(N$4&amp;$B5)&amp;TRUE,Main3WData[PT.Concat]&amp;Main3WData[PT.Show],0)),"")</calculatedColumnFormula>
    </tableColumn>
    <tableColumn id="10" name="Transport &amp; diagnostiques" dataDxfId="84" dataCellStyle="Normal 4">
      <calculatedColumnFormula array="1">IFERROR(INDEX(Main3WData[PT.LstOrg],MATCH(CONCATENATE(O$4&amp;$B5)&amp;TRUE,Main3WData[PT.Concat]&amp;Main3WData[PT.Show],0)),"")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11" name="Table11" displayName="Table11" ref="B4:N38" totalsRowShown="0" headerRowDxfId="77" dataDxfId="76">
  <autoFilter ref="B4:N38"/>
  <tableColumns count="13">
    <tableColumn id="1" name="District" dataDxfId="75"/>
    <tableColumn id="3" name="Communication/Mobilisation sociale" dataDxfId="74">
      <calculatedColumnFormula>INDEX(Gears!$C$6:$N$39,MATCH(Table11[[#This Row],[District]],Gears!$A$6:$A$39,0),MATCH('Calculated table'!C$4,Gears!$C$5:$N$5,0))</calculatedColumnFormula>
    </tableColumn>
    <tableColumn id="4" name="Coordination" dataDxfId="73">
      <calculatedColumnFormula>INDEX(Gears!$C$6:$N$39,MATCH(Table11[[#This Row],[District]],Gears!$A$6:$A$39,0),MATCH('Calculated table'!D$4,Gears!$C$5:$N$5,0))</calculatedColumnFormula>
    </tableColumn>
    <tableColumn id="12" name="Finance" dataDxfId="72">
      <calculatedColumnFormula>INDEX(Gears!$C$6:$N$39,MATCH(Table11[[#This Row],[District]],Gears!$A$6:$A$39,0),MATCH('Calculated table'!E$4,Gears!$C$5:$N$5,0))</calculatedColumnFormula>
    </tableColumn>
    <tableColumn id="13" name="Gestion des corps et desinfection" dataDxfId="71">
      <calculatedColumnFormula>INDEX(Gears!$C$6:$N$39,MATCH(Table11[[#This Row],[District]],Gears!$A$6:$A$39,0),MATCH('Calculated table'!F$4,Gears!$C$5:$N$5,0))</calculatedColumnFormula>
    </tableColumn>
    <tableColumn id="14" name="Gestion des données" dataDxfId="70">
      <calculatedColumnFormula>INDEX(Gears!$C$6:$N$39,MATCH(Table11[[#This Row],[District]],Gears!$A$6:$A$39,0),MATCH('Calculated table'!G$4,Gears!$C$5:$N$5,0))</calculatedColumnFormula>
    </tableColumn>
    <tableColumn id="15" name="Logistiques" dataDxfId="69">
      <calculatedColumnFormula>INDEX(Gears!$C$6:$N$39,MATCH(Table11[[#This Row],[District]],Gears!$A$6:$A$39,0),MATCH('Calculated table'!H$4,Gears!$C$5:$N$5,0))</calculatedColumnFormula>
    </tableColumn>
    <tableColumn id="5" name="Prise en charge" dataDxfId="68">
      <calculatedColumnFormula>INDEX(Gears!$C$6:$N$39,MATCH(Table11[[#This Row],[District]],Gears!$A$6:$A$39,0),MATCH('Calculated table'!I$4,Gears!$C$5:$N$5,0))</calculatedColumnFormula>
    </tableColumn>
    <tableColumn id="6" name="Recherche" dataDxfId="67">
      <calculatedColumnFormula>INDEX(Gears!$C$6:$N$39,MATCH(Table11[[#This Row],[District]],Gears!$A$6:$A$39,0),MATCH('Calculated table'!J$4,Gears!$C$5:$N$5,0))</calculatedColumnFormula>
    </tableColumn>
    <tableColumn id="7" name="Sécurité" dataDxfId="66">
      <calculatedColumnFormula>INDEX(Gears!$C$6:$N$39,MATCH(Table11[[#This Row],[District]],Gears!$A$6:$A$39,0),MATCH('Calculated table'!K$4,Gears!$C$5:$N$5,0))</calculatedColumnFormula>
    </tableColumn>
    <tableColumn id="8" name="Soutien nutritionnel et social" dataDxfId="65">
      <calculatedColumnFormula>INDEX(Gears!$C$6:$N$39,MATCH(Table11[[#This Row],[District]],Gears!$A$6:$A$39,0),MATCH('Calculated table'!L$4,Gears!$C$5:$N$5,0))</calculatedColumnFormula>
    </tableColumn>
    <tableColumn id="9" name="Surveillance &amp; suivi" dataDxfId="64">
      <calculatedColumnFormula>INDEX(Gears!$C$6:$N$39,MATCH(Table11[[#This Row],[District]],Gears!$A$6:$A$39,0),MATCH('Calculated table'!M$4,Gears!$C$5:$N$5,0))</calculatedColumnFormula>
    </tableColumn>
    <tableColumn id="10" name="Transport &amp; diagnostiques" dataDxfId="63">
      <calculatedColumnFormula>INDEX(Gears!$C$6:$N$39,MATCH(Table11[[#This Row],[District]],Gears!$A$6:$A$39,0),MATCH('Calculated table'!N$4,Gears!$C$5:$N$5,0))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1" name="Main3WData" displayName="Main3WData" ref="B4:R814" totalsRowShown="0" headerRowDxfId="62" dataDxfId="61" tableBorderDxfId="60">
  <autoFilter ref="B4:R814"/>
  <sortState ref="B5:R361">
    <sortCondition ref="B4:B361"/>
  </sortState>
  <tableColumns count="17">
    <tableColumn id="8" name="Acronym" dataDxfId="59"/>
    <tableColumn id="1" name="Organisation" dataDxfId="58">
      <calculatedColumnFormula>INDEX(Organizations[],MATCH(Main3WData[[#This Row],[Acronym]],AcronymList,0),1)</calculatedColumnFormula>
    </tableColumn>
    <tableColumn id="3" name="Org Type" dataDxfId="57">
      <calculatedColumnFormula>INDEX(Organizations[],MATCH(Main3WData[[#This Row],[Acronym]],AcronymList,0),3)</calculatedColumnFormula>
    </tableColumn>
    <tableColumn id="4" name="Sector" dataDxfId="56"/>
    <tableColumn id="5" name="Activity Type" dataDxfId="55"/>
    <tableColumn id="6" name="Admin Unit Name" dataDxfId="54"/>
    <tableColumn id="7" name="Pcode" dataDxfId="53">
      <calculatedColumnFormula>VLOOKUP(Main3WData[[#This Row],[Admin Unit Name]],AdminUnits[],2,FALSE)</calculatedColumnFormula>
    </tableColumn>
    <tableColumn id="2" name="Beneficiaries" dataDxfId="52"/>
    <tableColumn id="11" name="Concatenate" dataDxfId="51">
      <calculatedColumnFormula>Main3WData[[#This Row],[Acronym]]&amp;Main3WData[[#This Row],[Sector]]&amp;Main3WData[[#This Row],[Activity Type]]&amp;Main3WData[[#This Row],[Pcode]]</calculatedColumnFormula>
    </tableColumn>
    <tableColumn id="12" name="Check Duplicated Entries" dataDxfId="50">
      <calculatedColumnFormula>COUNTIF(Main3WData[Concatenate],Main3WData[[#This Row],[Concatenate]])</calculatedColumnFormula>
    </tableColumn>
    <tableColumn id="9" name="PT.Concat" dataDxfId="49">
      <calculatedColumnFormula>Main3WData[[#This Row],[Sector]]&amp;Main3WData[[#This Row],[Pcode]]</calculatedColumnFormula>
    </tableColumn>
    <tableColumn id="10" name="Count PT.Concat" dataDxfId="48">
      <calculatedColumnFormula>COUNTIF($L$5:L5,Main3WData[[#This Row],[PT.Concat]])</calculatedColumnFormula>
    </tableColumn>
    <tableColumn id="13" name="PT.ID" dataDxfId="47">
      <calculatedColumnFormula>MATCH(Main3WData[[#This Row],[PT.Concat]],$L$5:L5,0)</calculatedColumnFormula>
    </tableColumn>
    <tableColumn id="14" name="PT.FirstID" dataDxfId="46">
      <calculatedColumnFormula>Main3WData[[#This Row],[Count PT.Concat]]=1</calculatedColumnFormula>
    </tableColumn>
    <tableColumn id="15" name="PT.LastID.Row" dataDxfId="45">
      <calculatedColumnFormula array="1">MAX(($N$4:N4=Main3WData[[#This Row],[PT.ID]])*ROW($N$4:N4))</calculatedColumnFormula>
    </tableColumn>
    <tableColumn id="16" name="PT.LstOrg" dataDxfId="44">
      <calculatedColumnFormula>IF(Main3WData[[#This Row],[PT.FirstID]],Main3WData[[#This Row],[Acronym]],INDEX($Q$4:Q4,Main3WData[[#This Row],[PT.LastID.Row]]-ROW($Q$4)+1) &amp; ", "&amp;Main3WData[[#This Row],[Acronym]])</calculatedColumnFormula>
    </tableColumn>
    <tableColumn id="17" name="PT.Show" dataDxfId="43">
      <calculatedColumnFormula array="1">MAX(IF(Main3WData[PT.ID]=Main3WData[[#This Row],[PT.ID]],Main3WData[PT.LastID.Row]))=Main3WData[[#This Row],[PT.LastID.Row]]</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3" name="Organizations" displayName="Organizations" ref="A1:C64" totalsRowShown="0" dataDxfId="42" tableBorderDxfId="41">
  <autoFilter ref="A1:C64"/>
  <sortState ref="A2:C64">
    <sortCondition ref="A1:A64"/>
  </sortState>
  <tableColumns count="3">
    <tableColumn id="1" name="Name" dataDxfId="40"/>
    <tableColumn id="2" name="Acronym" dataDxfId="39"/>
    <tableColumn id="3" name="Type" dataDxfId="38"/>
  </tableColumns>
  <tableStyleInfo name="TableStyleMedium2" showFirstColumn="0" showLastColumn="0" showRowStripes="1" showColumnStripes="0"/>
</table>
</file>

<file path=xl/tables/table5.xml><?xml version="1.0" encoding="utf-8"?>
<table xmlns="http://schemas.openxmlformats.org/spreadsheetml/2006/main" id="4" name="AdminUnits" displayName="AdminUnits" ref="K1:L35" totalsRowShown="0" headerRowDxfId="37">
  <autoFilter ref="K1:L35"/>
  <sortState ref="K2:L167">
    <sortCondition ref="L1:L167"/>
  </sortState>
  <tableColumns count="2">
    <tableColumn id="1" name="AdminName"/>
    <tableColumn id="2" name="Pcode"/>
  </tableColumns>
  <tableStyleInfo name="TableStyleMedium9" showFirstColumn="0" showLastColumn="0" showRowStripes="1" showColumnStripes="0"/>
</table>
</file>

<file path=xl/tables/table6.xml><?xml version="1.0" encoding="utf-8"?>
<table xmlns="http://schemas.openxmlformats.org/spreadsheetml/2006/main" id="7" name="Sectors" displayName="Sectors" ref="B1:B13" totalsRowShown="0" headerRowDxfId="36" dataDxfId="35">
  <autoFilter ref="B1:B13"/>
  <sortState ref="B2:B13">
    <sortCondition ref="B1:B13"/>
  </sortState>
  <tableColumns count="1">
    <tableColumn id="1" name="Sector" dataDxfId="34"/>
  </tableColumns>
  <tableStyleInfo name="TableStyleMedium9" showFirstColumn="0" showLastColumn="0" showRowStripes="1" showColumnStripes="0"/>
</table>
</file>

<file path=xl/tables/table7.xml><?xml version="1.0" encoding="utf-8"?>
<table xmlns="http://schemas.openxmlformats.org/spreadsheetml/2006/main" id="8" name="ActivityTypes" displayName="ActivityTypes" ref="D1:G4" totalsRowShown="0">
  <autoFilter ref="D1:G4"/>
  <tableColumns count="4">
    <tableColumn id="1" name="Activity Type" dataDxfId="33"/>
    <tableColumn id="2" name="ID" dataDxfId="32"/>
    <tableColumn id="4" name="TitleBarText" dataDxfId="31"/>
    <tableColumn id="3" name="Dashboard Text" dataDxfId="30"/>
  </tableColumns>
  <tableStyleInfo name="TableStyleMedium9" showFirstColumn="0" showLastColumn="0" showRowStripes="1" showColumnStripes="0"/>
</table>
</file>

<file path=xl/tables/table8.xml><?xml version="1.0" encoding="utf-8"?>
<table xmlns="http://schemas.openxmlformats.org/spreadsheetml/2006/main" id="9" name="OrganizationTypes" displayName="OrganizationTypes" ref="I1:I10" totalsRowShown="0" headerRowDxfId="29" dataDxfId="28">
  <autoFilter ref="I1:I10"/>
  <sortState ref="I2:I10">
    <sortCondition ref="I1:I10"/>
  </sortState>
  <tableColumns count="1">
    <tableColumn id="1" name="Organiztion Type" dataDxfId="27"/>
  </tableColumns>
  <tableStyleInfo name="TableStyleMedium9" showFirstColumn="0" showLastColumn="0" showRowStripes="1" showColumnStripes="0"/>
</table>
</file>

<file path=xl/tables/table9.xml><?xml version="1.0" encoding="utf-8"?>
<table xmlns="http://schemas.openxmlformats.org/spreadsheetml/2006/main" id="5" name="NumOfMaps" displayName="NumOfMaps" ref="S1:S2" totalsRowShown="0" headerRowDxfId="26" dataDxfId="25">
  <autoFilter ref="S1:S2"/>
  <tableColumns count="1">
    <tableColumn id="1" name="Number of Dashboard Maps" dataDxfId="24">
      <calculatedColumnFormula>COUNTA(Sectors[]) + 1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2" name="ColorRamp" displayName="ColorRamp" ref="N1:Q7" headerRowDxfId="23" dataDxfId="22">
  <autoFilter ref="N1:Q7"/>
  <tableColumns count="4">
    <tableColumn id="1" name="R" dataDxfId="21" totalsRowDxfId="20"/>
    <tableColumn id="2" name="G" dataDxfId="19" totalsRowDxfId="18"/>
    <tableColumn id="3" name="B" dataDxfId="17" totalsRowDxfId="16"/>
    <tableColumn id="4" name="Color"/>
  </tableColumns>
  <tableStyleInfo name="TableStyleMedium9" showFirstColumn="0" showLastColumn="0" showRowStripes="1" showColumnStripes="0"/>
</table>
</file>

<file path=xl/tables/table11.xml><?xml version="1.0" encoding="utf-8"?>
<table xmlns="http://schemas.openxmlformats.org/spreadsheetml/2006/main" id="6" name="SetupComplete" displayName="SetupComplete" ref="U1:U2" totalsRowShown="0" headerRowDxfId="15" dataDxfId="14">
  <autoFilter ref="U1:U2"/>
  <tableColumns count="1">
    <tableColumn id="1" name="Is Setup Complete" dataDxfId="13"/>
  </tableColumns>
  <tableStyleInfo name="TableStyleMedium9" showFirstColumn="0" showLastColumn="0" showRowStripes="1" showColumnStripes="0"/>
</table>
</file>

<file path=xl/tables/table12.xml><?xml version="1.0" encoding="utf-8"?>
<table xmlns="http://schemas.openxmlformats.org/spreadsheetml/2006/main" id="10" name="ColorRamp0" displayName="ColorRamp0" ref="N12:Q18" headerRowDxfId="12" dataDxfId="11">
  <autoFilter ref="N12:Q18"/>
  <tableColumns count="4">
    <tableColumn id="1" name="R" dataDxfId="10" totalsRowDxfId="9"/>
    <tableColumn id="2" name="G" dataDxfId="8" totalsRowDxfId="7"/>
    <tableColumn id="3" name="B" dataDxfId="6" totalsRowDxfId="5"/>
    <tableColumn id="4" name="Color"/>
  </tableColumns>
  <tableStyleInfo name="TableStyleMedium9" showFirstColumn="0" showLastColumn="0" showRowStripes="1" showColumnStripes="0"/>
</table>
</file>

<file path=xl/tables/table13.xml><?xml version="1.0" encoding="utf-8"?>
<table xmlns="http://schemas.openxmlformats.org/spreadsheetml/2006/main" id="13" name="CONFIG_RANGES" displayName="CONFIG_RANGES" ref="D3:E40" totalsRowShown="0" headerRowDxfId="4">
  <autoFilter ref="D3:E40"/>
  <sortState ref="D2:E38">
    <sortCondition ref="D1:D38"/>
  </sortState>
  <tableColumns count="2">
    <tableColumn id="1" name="Name"/>
    <tableColumn id="2" name="Multiple"/>
  </tableColumns>
  <tableStyleInfo name="TableStyleLight1" showFirstColumn="0" showLastColumn="0" showRowStripes="1" showColumnStripes="0"/>
</table>
</file>

<file path=xl/tables/table14.xml><?xml version="1.0" encoding="utf-8"?>
<table xmlns="http://schemas.openxmlformats.org/spreadsheetml/2006/main" id="14" name="CONFIG_WS_LIST" displayName="CONFIG_WS_LIST" ref="A3:B15" totalsRowShown="0" headerRowDxfId="3">
  <autoFilter ref="A3:B15"/>
  <tableColumns count="2">
    <tableColumn id="1" name="Name" dataDxfId="2"/>
    <tableColumn id="2" name="Exists" dataDxfId="1">
      <calculatedColumnFormula>IF(ISERROR(INDIRECT("'"&amp;CONFIG_WS_LIST[[#This Row],[Name]]&amp;"'!A1")),0,1)</calculatedColumnFormula>
    </tableColumn>
  </tableColumns>
  <tableStyleInfo name="TableStyleLight1" showFirstColumn="0" showLastColumn="0" showRowStripes="1" showColumnStripes="0"/>
</table>
</file>

<file path=xl/tables/table15.xml><?xml version="1.0" encoding="utf-8"?>
<table xmlns="http://schemas.openxmlformats.org/spreadsheetml/2006/main" id="15" name="Table15" displayName="Table15" ref="A1:G32" totalsRowShown="0" headerRowDxfId="0">
  <autoFilter ref="A1:G32"/>
  <tableColumns count="7">
    <tableColumn id="1" name="TimeStamp"/>
    <tableColumn id="2" name="Err.Number"/>
    <tableColumn id="3" name="Err.Description"/>
    <tableColumn id="4" name="Err.Module"/>
    <tableColumn id="5" name="Err.Procedure"/>
    <tableColumn id="6" name="Err.Line"/>
    <tableColumn id="7" name="Err.Source"/>
  </tableColumns>
  <tableStyleInfo name="TableStyleLight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table" Target="../tables/table8.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Ws901">
    <tabColor theme="1"/>
  </sheetPr>
  <dimension ref="A1:L18"/>
  <sheetViews>
    <sheetView showGridLines="0" workbookViewId="0">
      <selection activeCell="G10" sqref="G10"/>
    </sheetView>
  </sheetViews>
  <sheetFormatPr baseColWidth="10" defaultColWidth="0" defaultRowHeight="23.25" x14ac:dyDescent="0.35"/>
  <cols>
    <col min="1" max="1" width="1.7109375" customWidth="1"/>
    <col min="2" max="2" width="38.42578125" customWidth="1"/>
    <col min="3" max="3" width="9.140625" customWidth="1"/>
    <col min="4" max="4" width="5.42578125" style="81" customWidth="1"/>
    <col min="5" max="5" width="11.140625" style="81" customWidth="1"/>
    <col min="6" max="6" width="2.42578125" style="81" customWidth="1"/>
    <col min="7" max="7" width="7.5703125" customWidth="1"/>
    <col min="8" max="8" width="37.5703125" bestFit="1" customWidth="1"/>
    <col min="9" max="9" width="9.140625" customWidth="1"/>
    <col min="10" max="10" width="5.42578125" customWidth="1"/>
    <col min="11" max="12" width="9.140625" customWidth="1"/>
    <col min="13" max="16384" width="9.140625" hidden="1"/>
  </cols>
  <sheetData>
    <row r="1" spans="2:11" ht="34.5" customHeight="1" x14ac:dyDescent="0.2">
      <c r="B1" s="100" t="s">
        <v>335</v>
      </c>
      <c r="C1" s="97"/>
      <c r="D1" s="97"/>
      <c r="E1" s="97"/>
      <c r="F1" s="97"/>
      <c r="G1" s="97"/>
      <c r="H1" s="97"/>
      <c r="I1" s="97"/>
      <c r="J1" s="97"/>
      <c r="K1" s="101" t="str">
        <f ca="1">IF(COUNTIF(B5:K15,"=Fix")&gt;0, "Number of item(s) to fix: " &amp; COUNTIF(B5:K15,"=Fix"),"No problem found")</f>
        <v>No problem found</v>
      </c>
    </row>
    <row r="2" spans="2:11" ht="9" customHeight="1" x14ac:dyDescent="0.2">
      <c r="B2" s="10"/>
      <c r="C2" s="10"/>
      <c r="D2" s="83"/>
      <c r="E2" s="83"/>
      <c r="F2" s="83"/>
      <c r="G2" s="10"/>
      <c r="H2" s="10"/>
      <c r="I2" s="10"/>
      <c r="J2" s="10"/>
      <c r="K2" s="10"/>
    </row>
    <row r="3" spans="2:11" ht="25.5" x14ac:dyDescent="0.2">
      <c r="B3" s="96" t="s">
        <v>327</v>
      </c>
      <c r="C3" s="86"/>
      <c r="D3" s="87"/>
      <c r="E3" s="87"/>
      <c r="F3" s="83"/>
      <c r="G3" s="96" t="s">
        <v>326</v>
      </c>
      <c r="H3" s="85"/>
      <c r="I3" s="86"/>
      <c r="J3" s="86"/>
      <c r="K3" s="10"/>
    </row>
    <row r="4" spans="2:11" ht="6" customHeight="1" x14ac:dyDescent="0.2">
      <c r="B4" s="84"/>
      <c r="C4" s="10"/>
      <c r="D4" s="83"/>
      <c r="E4" s="83"/>
      <c r="F4" s="83"/>
      <c r="G4" s="84"/>
      <c r="I4" s="10"/>
      <c r="J4" s="10"/>
      <c r="K4" s="10"/>
    </row>
    <row r="5" spans="2:11" ht="16.5" customHeight="1" x14ac:dyDescent="0.2">
      <c r="B5" s="98" t="s">
        <v>328</v>
      </c>
      <c r="C5" s="99" t="b">
        <f>SetupComplete[Is Setup Complete]</f>
        <v>1</v>
      </c>
      <c r="D5" s="91" t="str">
        <f>IF(C5,"P","O")</f>
        <v>P</v>
      </c>
      <c r="E5" s="90" t="str">
        <f>IF(D5="P","OK","Fix")</f>
        <v>OK</v>
      </c>
      <c r="F5" s="80"/>
      <c r="G5" s="10"/>
      <c r="H5" s="38" t="s">
        <v>324</v>
      </c>
      <c r="I5" s="99" t="b">
        <f>SUMPRODUCT(--(ISERR(Main3WData[])))&gt;=1</f>
        <v>0</v>
      </c>
      <c r="J5" s="91" t="str">
        <f>IF(I5,"O","P")</f>
        <v>P</v>
      </c>
      <c r="K5" s="90" t="str">
        <f t="shared" ref="K5:K6" si="0">IF(J5="P","OK","Fix")</f>
        <v>OK</v>
      </c>
    </row>
    <row r="6" spans="2:11" ht="16.5" customHeight="1" x14ac:dyDescent="0.2">
      <c r="B6" s="10"/>
      <c r="C6" s="82"/>
      <c r="D6" s="92"/>
      <c r="E6" s="83"/>
      <c r="F6" s="83"/>
      <c r="G6" s="10"/>
      <c r="H6" s="38" t="s">
        <v>325</v>
      </c>
      <c r="I6" s="99" t="b">
        <f xml:space="preserve"> SUMPRODUCT(--(ISNA(Main3WData[])))&gt;=1</f>
        <v>0</v>
      </c>
      <c r="J6" s="91" t="str">
        <f>IF(I6,"O","P")</f>
        <v>P</v>
      </c>
      <c r="K6" s="90" t="str">
        <f t="shared" si="0"/>
        <v>OK</v>
      </c>
    </row>
    <row r="7" spans="2:11" ht="21.75" customHeight="1" x14ac:dyDescent="0.2">
      <c r="B7" s="96" t="s">
        <v>307</v>
      </c>
      <c r="C7" s="88"/>
      <c r="D7" s="93"/>
      <c r="E7" s="83"/>
      <c r="F7" s="83"/>
      <c r="G7" s="10"/>
      <c r="H7" s="89" t="s">
        <v>334</v>
      </c>
      <c r="I7" s="82"/>
      <c r="J7" s="92"/>
      <c r="K7" s="10"/>
    </row>
    <row r="8" spans="2:11" ht="16.5" customHeight="1" x14ac:dyDescent="0.35">
      <c r="D8" s="94"/>
      <c r="E8" s="80"/>
      <c r="F8" s="80"/>
      <c r="G8" s="10"/>
      <c r="H8" s="95" t="s">
        <v>330</v>
      </c>
      <c r="I8" s="99">
        <f t="array" ref="I8:I11">FREQUENCY(Main3WData[Check Duplicated Entries],{1;2;3})</f>
        <v>810</v>
      </c>
      <c r="J8" s="91" t="str">
        <f>IF(I8&gt;1,"P","O")</f>
        <v>P</v>
      </c>
      <c r="K8" s="90" t="str">
        <f t="shared" ref="K8:K11" si="1">IF(J8="P","OK","Fix")</f>
        <v>OK</v>
      </c>
    </row>
    <row r="9" spans="2:11" ht="16.5" customHeight="1" x14ac:dyDescent="0.2">
      <c r="B9" s="98" t="s">
        <v>329</v>
      </c>
      <c r="C9" s="99">
        <f>COUNTA(Sectors[Sector])</f>
        <v>12</v>
      </c>
      <c r="D9" s="91" t="str">
        <f>IF(C9&gt;0,"P","O")</f>
        <v>P</v>
      </c>
      <c r="E9" s="90" t="str">
        <f t="shared" ref="E9:E11" si="2">IF(D9="P","OK","Fix")</f>
        <v>OK</v>
      </c>
      <c r="F9" s="80"/>
      <c r="G9" s="10"/>
      <c r="H9" s="95" t="s">
        <v>331</v>
      </c>
      <c r="I9" s="99">
        <v>0</v>
      </c>
      <c r="J9" s="91" t="str">
        <f>IF(I9&gt;0,"O","P")</f>
        <v>P</v>
      </c>
      <c r="K9" s="90" t="str">
        <f t="shared" si="1"/>
        <v>OK</v>
      </c>
    </row>
    <row r="10" spans="2:11" ht="16.5" customHeight="1" x14ac:dyDescent="0.2">
      <c r="B10" s="98" t="s">
        <v>322</v>
      </c>
      <c r="C10" s="99">
        <f>COUNTA(Organizations[Name])</f>
        <v>63</v>
      </c>
      <c r="D10" s="91" t="str">
        <f>IF(C10&gt;0,"P","O")</f>
        <v>P</v>
      </c>
      <c r="E10" s="90" t="str">
        <f t="shared" si="2"/>
        <v>OK</v>
      </c>
      <c r="F10" s="80"/>
      <c r="G10" s="10"/>
      <c r="H10" s="95" t="s">
        <v>332</v>
      </c>
      <c r="I10" s="99">
        <v>0</v>
      </c>
      <c r="J10" s="91" t="str">
        <f>IF(I10&gt;0,"O","P")</f>
        <v>P</v>
      </c>
      <c r="K10" s="90" t="str">
        <f t="shared" si="1"/>
        <v>OK</v>
      </c>
    </row>
    <row r="11" spans="2:11" ht="16.5" customHeight="1" x14ac:dyDescent="0.2">
      <c r="B11" s="98" t="s">
        <v>323</v>
      </c>
      <c r="C11" s="99">
        <f>COUNTA(AdminUnits[AdminName])</f>
        <v>34</v>
      </c>
      <c r="D11" s="91" t="str">
        <f>IF(C11&gt;0,"P","O")</f>
        <v>P</v>
      </c>
      <c r="E11" s="90" t="str">
        <f t="shared" si="2"/>
        <v>OK</v>
      </c>
      <c r="F11" s="83"/>
      <c r="G11" s="10"/>
      <c r="H11" s="95" t="s">
        <v>333</v>
      </c>
      <c r="I11" s="99">
        <v>0</v>
      </c>
      <c r="J11" s="91" t="str">
        <f>IF(I11&gt;0,"O","P")</f>
        <v>P</v>
      </c>
      <c r="K11" s="90" t="str">
        <f t="shared" si="1"/>
        <v>OK</v>
      </c>
    </row>
    <row r="12" spans="2:11" x14ac:dyDescent="0.2">
      <c r="B12" s="10"/>
      <c r="C12" s="10"/>
      <c r="D12" s="92"/>
      <c r="E12" s="83"/>
      <c r="F12" s="83"/>
      <c r="G12" s="10"/>
      <c r="H12" s="10"/>
      <c r="I12" s="82"/>
      <c r="J12" s="92"/>
      <c r="K12" s="10"/>
    </row>
    <row r="13" spans="2:11" ht="21.75" customHeight="1" x14ac:dyDescent="0.2">
      <c r="B13" s="96" t="s">
        <v>340</v>
      </c>
      <c r="C13" s="88"/>
      <c r="D13" s="93"/>
      <c r="E13" s="83"/>
      <c r="F13" s="83"/>
      <c r="G13" s="10"/>
    </row>
    <row r="14" spans="2:11" ht="16.5" customHeight="1" x14ac:dyDescent="0.35">
      <c r="D14" s="94"/>
      <c r="E14" s="80"/>
      <c r="F14" s="83"/>
      <c r="G14" s="10"/>
      <c r="H14" s="38" t="s">
        <v>338</v>
      </c>
      <c r="I14" s="99">
        <f>SUMPRODUCT(--(FREQUENCY(MATCH(Main3WData[Organisation],Main3WData[Organisation],0),ROW(Main3WData[Organisation])-ROW(Main3WData[[#Headers],[Organisation]]))&gt;0))</f>
        <v>33</v>
      </c>
      <c r="J14" s="91" t="str">
        <f>IF(I14&gt;1,"P","O")</f>
        <v>P</v>
      </c>
      <c r="K14" s="90" t="str">
        <f>IF(J14="P","OK","Fix")</f>
        <v>OK</v>
      </c>
    </row>
    <row r="15" spans="2:11" ht="16.5" customHeight="1" x14ac:dyDescent="0.2">
      <c r="B15" s="98" t="s">
        <v>341</v>
      </c>
      <c r="C15" s="99" t="b">
        <f t="array" aca="1" ref="C15" ca="1">TRANSPOSE(OFFSET(OrgRpt_AdminNamesStart,0,1,1,C9))=Sectors[Sector]</f>
        <v>1</v>
      </c>
      <c r="D15" s="91" t="str">
        <f ca="1">IF(C15,"P","O")</f>
        <v>P</v>
      </c>
      <c r="E15" s="90" t="str">
        <f t="shared" ref="E15:E18" ca="1" si="3">IF(D15="P","OK","Fix")</f>
        <v>OK</v>
      </c>
      <c r="F15" s="83"/>
      <c r="G15" s="10"/>
      <c r="H15" s="38" t="s">
        <v>337</v>
      </c>
      <c r="I15" s="99">
        <f>SUMPRODUCT(--(FREQUENCY(MATCH(Main3WData[Sector],Main3WData[Sector],0),ROW(Main3WData[Sector])-ROW(Main3WData[[#Headers],[Sector]]))&gt;0))</f>
        <v>12</v>
      </c>
      <c r="J15" s="91" t="str">
        <f t="shared" ref="J15:J16" si="4">IF(I15&gt;1,"P","O")</f>
        <v>P</v>
      </c>
      <c r="K15" s="90" t="str">
        <f>IF(J15="P","OK","Fix")</f>
        <v>OK</v>
      </c>
    </row>
    <row r="16" spans="2:11" ht="18.75" customHeight="1" x14ac:dyDescent="0.2">
      <c r="B16" s="98" t="s">
        <v>342</v>
      </c>
      <c r="C16" s="99" t="b">
        <f t="array" ref="C16">Tbl_OrgReport[PCODE]=AdminUnits[Pcode]</f>
        <v>1</v>
      </c>
      <c r="D16" s="91" t="str">
        <f>IF(C16,"P","O")</f>
        <v>P</v>
      </c>
      <c r="E16" s="90" t="str">
        <f t="shared" si="3"/>
        <v>OK</v>
      </c>
      <c r="F16" s="83"/>
      <c r="G16" s="10"/>
      <c r="H16" s="38" t="s">
        <v>336</v>
      </c>
      <c r="I16" s="99">
        <f>SUMPRODUCT(--(FREQUENCY(MATCH(Main3WData[Pcode],Main3WData[Pcode],0),ROW(Main3WData[Pcode])-ROW(Main3WData[[#Headers],[Pcode]]))&gt;0))</f>
        <v>34</v>
      </c>
      <c r="J16" s="91" t="str">
        <f t="shared" si="4"/>
        <v>P</v>
      </c>
      <c r="K16" s="90" t="str">
        <f>IF(J16="P","OK","Fix")</f>
        <v>OK</v>
      </c>
    </row>
    <row r="17" spans="2:11" ht="18.75" customHeight="1" x14ac:dyDescent="0.2">
      <c r="B17" s="98" t="s">
        <v>343</v>
      </c>
      <c r="C17" s="99" t="b">
        <f t="array" ref="C17">Tbl_OrgReport[PCODE]=AdminUnits[Pcode]</f>
        <v>1</v>
      </c>
      <c r="D17" s="91" t="str">
        <f>IF(C17,"P","O")</f>
        <v>P</v>
      </c>
      <c r="E17" s="90" t="str">
        <f t="shared" si="3"/>
        <v>OK</v>
      </c>
      <c r="F17" s="83"/>
      <c r="H17" s="10"/>
      <c r="I17" s="10"/>
      <c r="J17" s="10"/>
      <c r="K17" s="10"/>
    </row>
    <row r="18" spans="2:11" ht="18.75" customHeight="1" x14ac:dyDescent="0.35">
      <c r="B18" s="98" t="s">
        <v>344</v>
      </c>
      <c r="C18" s="99" t="b">
        <f>SUMPRODUCT(--(ISERR(Tbl_OrgReport[])))&gt;=1</f>
        <v>0</v>
      </c>
      <c r="D18" s="91" t="str">
        <f>IF(C18,"O","P")</f>
        <v>P</v>
      </c>
      <c r="E18" s="90" t="str">
        <f t="shared" si="3"/>
        <v>OK</v>
      </c>
    </row>
  </sheetData>
  <sheetProtection selectLockedCells="1" selectUnlockedCells="1"/>
  <conditionalFormatting sqref="J14:J16 J8:J11 J5:J6 D5 D9:D11">
    <cfRule type="expression" dxfId="108" priority="13">
      <formula>D5="O"</formula>
    </cfRule>
    <cfRule type="expression" dxfId="107" priority="14">
      <formula>D5="P"</formula>
    </cfRule>
  </conditionalFormatting>
  <conditionalFormatting sqref="D18">
    <cfRule type="expression" dxfId="106" priority="1">
      <formula>D18="O"</formula>
    </cfRule>
    <cfRule type="expression" dxfId="105" priority="2">
      <formula>D18="P"</formula>
    </cfRule>
  </conditionalFormatting>
  <conditionalFormatting sqref="D16">
    <cfRule type="expression" dxfId="104" priority="5">
      <formula>D16="O"</formula>
    </cfRule>
    <cfRule type="expression" dxfId="103" priority="6">
      <formula>D16="P"</formula>
    </cfRule>
  </conditionalFormatting>
  <conditionalFormatting sqref="D15">
    <cfRule type="expression" dxfId="102" priority="7">
      <formula>D15="O"</formula>
    </cfRule>
    <cfRule type="expression" dxfId="101" priority="8">
      <formula>D15="P"</formula>
    </cfRule>
  </conditionalFormatting>
  <conditionalFormatting sqref="D17">
    <cfRule type="expression" dxfId="100" priority="3">
      <formula>D17="O"</formula>
    </cfRule>
    <cfRule type="expression" dxfId="99" priority="4">
      <formula>D17="P"</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Ws100">
    <tabColor theme="9" tint="-0.249977111117893"/>
    <pageSetUpPr fitToPage="1"/>
  </sheetPr>
  <dimension ref="A1:BR121"/>
  <sheetViews>
    <sheetView showGridLines="0" tabSelected="1" zoomScaleNormal="100" workbookViewId="0">
      <selection activeCell="B2" sqref="B2"/>
    </sheetView>
  </sheetViews>
  <sheetFormatPr baseColWidth="10" defaultColWidth="11.42578125" defaultRowHeight="14.25" customHeight="1" x14ac:dyDescent="0.2"/>
  <cols>
    <col min="1" max="1" width="1.42578125" style="2" customWidth="1"/>
    <col min="2" max="2" width="26.5703125" style="2" customWidth="1"/>
    <col min="3" max="3" width="1.140625" style="2" customWidth="1"/>
    <col min="4" max="63" width="2.7109375" style="2" customWidth="1"/>
    <col min="64" max="16384" width="11.42578125" style="2"/>
  </cols>
  <sheetData>
    <row r="1" spans="1:70" ht="12.75" x14ac:dyDescent="0.2">
      <c r="A1" s="5"/>
      <c r="B1" s="5"/>
      <c r="C1" s="5"/>
    </row>
    <row r="2" spans="1:70" ht="45" customHeight="1" x14ac:dyDescent="0.35">
      <c r="A2" s="5"/>
      <c r="B2" s="26" t="s">
        <v>17</v>
      </c>
      <c r="C2" s="5"/>
      <c r="E2" s="24"/>
      <c r="F2" s="24"/>
      <c r="G2" s="24"/>
      <c r="H2" s="24"/>
      <c r="I2" s="24"/>
      <c r="J2" s="24"/>
      <c r="K2" s="24"/>
      <c r="L2" s="24"/>
      <c r="M2" s="24"/>
      <c r="N2" s="24"/>
      <c r="O2" s="24"/>
      <c r="P2" s="24"/>
      <c r="Q2" s="24"/>
      <c r="R2" s="24"/>
      <c r="S2" s="24"/>
      <c r="T2" s="24"/>
      <c r="U2" s="24"/>
      <c r="V2" s="24"/>
      <c r="W2" s="24"/>
      <c r="X2" s="24"/>
      <c r="Y2" s="24"/>
      <c r="Z2" s="24"/>
      <c r="AA2" s="24"/>
      <c r="AB2" s="24"/>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E2" s="4"/>
      <c r="BF2" s="4"/>
      <c r="BG2" s="4"/>
      <c r="BH2" s="4"/>
      <c r="BI2" s="4"/>
      <c r="BJ2" s="4"/>
      <c r="BK2" s="4"/>
      <c r="BL2" s="4"/>
      <c r="BM2" s="4"/>
      <c r="BN2" s="4"/>
      <c r="BO2" s="4"/>
      <c r="BP2" s="4"/>
      <c r="BQ2" s="4"/>
    </row>
    <row r="3" spans="1:70" ht="2.25" customHeight="1" x14ac:dyDescent="0.2">
      <c r="A3" s="5"/>
      <c r="B3" s="5"/>
      <c r="C3" s="5"/>
    </row>
    <row r="4" spans="1:70" ht="12.75" customHeight="1" x14ac:dyDescent="0.2">
      <c r="A4" s="5"/>
      <c r="B4" s="15" t="s">
        <v>82</v>
      </c>
      <c r="C4" s="5"/>
      <c r="E4" s="43"/>
      <c r="F4" s="43"/>
      <c r="G4" s="43"/>
      <c r="H4" s="43"/>
      <c r="I4" s="43"/>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3"/>
      <c r="AN4" s="43"/>
      <c r="AO4" s="43"/>
      <c r="AP4" s="43"/>
      <c r="AQ4" s="43"/>
      <c r="AR4" s="43"/>
      <c r="AS4" s="43"/>
      <c r="AT4" s="43"/>
      <c r="AU4" s="43"/>
      <c r="AV4" s="43"/>
      <c r="AW4" s="43"/>
      <c r="AX4" s="43"/>
      <c r="AY4" s="43"/>
      <c r="AZ4" s="43"/>
      <c r="BA4" s="43"/>
      <c r="BB4" s="43"/>
      <c r="BC4" s="43"/>
    </row>
    <row r="5" spans="1:70" ht="12.75" x14ac:dyDescent="0.2">
      <c r="A5" s="5"/>
      <c r="B5" s="5"/>
      <c r="C5" s="5"/>
      <c r="E5" s="43"/>
      <c r="F5" s="43"/>
      <c r="G5" s="43"/>
      <c r="H5" s="43"/>
      <c r="I5" s="43"/>
      <c r="J5" s="4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c r="AU5" s="43"/>
      <c r="AV5" s="43"/>
      <c r="AW5" s="43"/>
      <c r="AX5" s="43"/>
      <c r="AY5" s="43"/>
      <c r="AZ5" s="43"/>
      <c r="BA5" s="43"/>
      <c r="BB5" s="43"/>
      <c r="BC5" s="43"/>
    </row>
    <row r="6" spans="1:70" ht="12.75" x14ac:dyDescent="0.2">
      <c r="A6" s="5"/>
      <c r="B6" s="16" t="s">
        <v>18</v>
      </c>
      <c r="C6" s="5"/>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row>
    <row r="7" spans="1:70" ht="13.5" customHeight="1" x14ac:dyDescent="0.2">
      <c r="A7" s="5"/>
      <c r="B7" s="5"/>
      <c r="C7" s="5"/>
      <c r="J7" s="114"/>
      <c r="K7" s="114"/>
      <c r="L7" s="114"/>
      <c r="M7" s="11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row>
    <row r="8" spans="1:70" ht="13.5" customHeight="1" x14ac:dyDescent="0.2">
      <c r="A8" s="5"/>
      <c r="B8" s="26" t="s">
        <v>38</v>
      </c>
      <c r="C8" s="5"/>
      <c r="J8" s="114"/>
      <c r="K8" s="114"/>
      <c r="L8" s="114"/>
      <c r="M8" s="11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row>
    <row r="9" spans="1:70" ht="13.5" customHeight="1" x14ac:dyDescent="0.2">
      <c r="A9" s="5"/>
      <c r="B9" s="15" t="s">
        <v>37</v>
      </c>
      <c r="C9" s="5"/>
      <c r="J9" s="114"/>
      <c r="K9" s="114"/>
      <c r="L9" s="114"/>
      <c r="M9" s="11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BJ9"/>
      <c r="BK9"/>
      <c r="BL9"/>
      <c r="BM9"/>
      <c r="BN9"/>
      <c r="BO9"/>
      <c r="BP9"/>
      <c r="BQ9"/>
      <c r="BR9"/>
    </row>
    <row r="10" spans="1:70" ht="13.5" customHeight="1" x14ac:dyDescent="0.2">
      <c r="A10" s="5"/>
      <c r="B10" s="5"/>
      <c r="C10" s="5"/>
      <c r="BJ10"/>
      <c r="BK10"/>
      <c r="BL10"/>
      <c r="BM10"/>
      <c r="BN10"/>
      <c r="BO10"/>
      <c r="BP10"/>
      <c r="BQ10"/>
      <c r="BR10"/>
    </row>
    <row r="11" spans="1:70" ht="13.5" customHeight="1" x14ac:dyDescent="0.2">
      <c r="A11" s="5"/>
      <c r="B11" s="5"/>
      <c r="C11" s="5"/>
      <c r="BJ11"/>
      <c r="BK11"/>
      <c r="BL11"/>
      <c r="BM11"/>
      <c r="BN11"/>
      <c r="BO11"/>
      <c r="BP11"/>
      <c r="BQ11"/>
      <c r="BR11"/>
    </row>
    <row r="12" spans="1:70" ht="13.5" customHeight="1" x14ac:dyDescent="0.2">
      <c r="A12" s="5"/>
      <c r="B12" s="5"/>
      <c r="C12" s="5"/>
      <c r="F12" s="3"/>
      <c r="G12" s="3"/>
      <c r="H12" s="3"/>
      <c r="I12" s="3"/>
      <c r="L12" s="7"/>
      <c r="M12" s="7"/>
      <c r="BJ12"/>
      <c r="BK12"/>
      <c r="BL12"/>
      <c r="BM12"/>
      <c r="BN12"/>
      <c r="BO12"/>
      <c r="BP12"/>
      <c r="BQ12"/>
      <c r="BR12"/>
    </row>
    <row r="13" spans="1:70" ht="13.5" customHeight="1" x14ac:dyDescent="0.2">
      <c r="A13" s="5"/>
      <c r="B13" s="5"/>
      <c r="C13" s="5"/>
      <c r="F13" s="3"/>
      <c r="G13" s="3"/>
      <c r="H13" s="3"/>
      <c r="BJ13"/>
      <c r="BK13"/>
      <c r="BL13"/>
      <c r="BM13"/>
      <c r="BN13"/>
      <c r="BO13"/>
      <c r="BP13"/>
      <c r="BQ13"/>
      <c r="BR13"/>
    </row>
    <row r="14" spans="1:70" ht="13.5" customHeight="1" x14ac:dyDescent="0.2">
      <c r="A14" s="5"/>
      <c r="B14" s="5"/>
      <c r="C14" s="5"/>
      <c r="F14" s="3"/>
      <c r="G14" s="3"/>
      <c r="H14" s="3"/>
      <c r="BJ14"/>
      <c r="BK14"/>
      <c r="BL14"/>
      <c r="BM14"/>
      <c r="BN14"/>
      <c r="BO14"/>
      <c r="BP14"/>
      <c r="BQ14"/>
      <c r="BR14"/>
    </row>
    <row r="15" spans="1:70" ht="13.5" customHeight="1" x14ac:dyDescent="0.2">
      <c r="A15" s="5"/>
      <c r="B15" s="5"/>
      <c r="C15" s="5"/>
      <c r="F15" s="3"/>
      <c r="G15" s="3"/>
      <c r="H15" s="3"/>
      <c r="BJ15"/>
      <c r="BK15"/>
      <c r="BL15"/>
      <c r="BM15"/>
      <c r="BN15"/>
      <c r="BO15"/>
      <c r="BP15"/>
      <c r="BQ15"/>
      <c r="BR15"/>
    </row>
    <row r="16" spans="1:70" ht="13.5" customHeight="1" x14ac:dyDescent="0.35">
      <c r="A16" s="5"/>
      <c r="B16" s="5"/>
      <c r="C16" s="5"/>
      <c r="E16" s="3"/>
      <c r="F16" s="3"/>
      <c r="G16" s="3"/>
      <c r="H16" s="3"/>
      <c r="L16" s="6"/>
      <c r="M16" s="4"/>
      <c r="BJ16"/>
      <c r="BK16"/>
      <c r="BL16"/>
      <c r="BM16"/>
      <c r="BN16"/>
      <c r="BO16"/>
      <c r="BP16"/>
      <c r="BQ16"/>
      <c r="BR16"/>
    </row>
    <row r="17" spans="1:70" ht="13.5" customHeight="1" x14ac:dyDescent="0.35">
      <c r="A17" s="5"/>
      <c r="B17" s="5"/>
      <c r="C17" s="5"/>
      <c r="E17" s="3"/>
      <c r="F17" s="3"/>
      <c r="G17" s="3"/>
      <c r="H17" s="3"/>
      <c r="L17" s="6"/>
      <c r="M17" s="4"/>
      <c r="O17"/>
      <c r="P17"/>
      <c r="Q17"/>
      <c r="R17"/>
      <c r="S17"/>
      <c r="T17"/>
      <c r="U17"/>
      <c r="V17"/>
      <c r="BJ17"/>
      <c r="BK17"/>
      <c r="BL17"/>
      <c r="BM17"/>
      <c r="BN17"/>
      <c r="BO17"/>
      <c r="BP17"/>
      <c r="BQ17"/>
      <c r="BR17"/>
    </row>
    <row r="18" spans="1:70" ht="13.5" customHeight="1" x14ac:dyDescent="0.35">
      <c r="A18" s="5"/>
      <c r="B18" s="5"/>
      <c r="C18" s="5"/>
      <c r="E18" s="3"/>
      <c r="F18" s="3"/>
      <c r="G18" s="3"/>
      <c r="H18" s="3"/>
      <c r="I18" s="3"/>
      <c r="J18" s="3"/>
      <c r="L18" s="6"/>
      <c r="M18" s="4"/>
      <c r="O18"/>
      <c r="P18"/>
      <c r="Q18"/>
      <c r="R18"/>
      <c r="S18"/>
      <c r="T18"/>
      <c r="U18"/>
      <c r="V18"/>
      <c r="BJ18"/>
      <c r="BK18"/>
      <c r="BL18"/>
      <c r="BM18"/>
      <c r="BN18"/>
      <c r="BO18"/>
      <c r="BP18"/>
      <c r="BQ18"/>
      <c r="BR18"/>
    </row>
    <row r="19" spans="1:70" ht="13.5" customHeight="1" x14ac:dyDescent="0.35">
      <c r="A19" s="5"/>
      <c r="B19" s="5"/>
      <c r="C19" s="5"/>
      <c r="L19" s="6"/>
      <c r="M19" s="4"/>
      <c r="O19"/>
      <c r="P19"/>
      <c r="Q19"/>
      <c r="R19"/>
      <c r="S19"/>
      <c r="T19"/>
      <c r="U19"/>
      <c r="V19"/>
      <c r="BJ19"/>
      <c r="BK19"/>
      <c r="BL19"/>
      <c r="BM19"/>
      <c r="BN19"/>
      <c r="BO19"/>
      <c r="BP19"/>
      <c r="BQ19"/>
      <c r="BR19"/>
    </row>
    <row r="20" spans="1:70" ht="13.5" customHeight="1" x14ac:dyDescent="0.35">
      <c r="A20" s="5"/>
      <c r="B20" s="5"/>
      <c r="C20" s="5"/>
      <c r="L20" s="6"/>
      <c r="M20" s="4"/>
      <c r="O20"/>
      <c r="P20"/>
      <c r="Q20"/>
      <c r="R20"/>
      <c r="S20"/>
      <c r="T20"/>
      <c r="U20"/>
      <c r="V20"/>
      <c r="BJ20"/>
      <c r="BK20"/>
      <c r="BL20"/>
      <c r="BM20"/>
      <c r="BN20"/>
      <c r="BO20"/>
      <c r="BP20"/>
      <c r="BQ20"/>
      <c r="BR20"/>
    </row>
    <row r="21" spans="1:70" ht="13.5" customHeight="1" x14ac:dyDescent="0.35">
      <c r="A21" s="5"/>
      <c r="B21" s="5"/>
      <c r="C21" s="5"/>
      <c r="L21" s="6"/>
      <c r="M21" s="4"/>
      <c r="O21"/>
      <c r="P21"/>
      <c r="Q21"/>
      <c r="R21"/>
      <c r="S21"/>
      <c r="T21"/>
      <c r="U21"/>
      <c r="V21"/>
    </row>
    <row r="22" spans="1:70" ht="13.5" customHeight="1" x14ac:dyDescent="0.2">
      <c r="A22" s="5"/>
      <c r="B22" s="5"/>
      <c r="C22" s="5"/>
      <c r="I22" s="17"/>
      <c r="J22" s="8"/>
      <c r="L22" s="18"/>
      <c r="M22" s="4"/>
      <c r="O22"/>
      <c r="P22"/>
      <c r="Q22"/>
      <c r="R22"/>
      <c r="S22"/>
      <c r="T22"/>
      <c r="U22"/>
      <c r="V22"/>
    </row>
    <row r="23" spans="1:70" ht="13.5" customHeight="1" x14ac:dyDescent="0.35">
      <c r="A23" s="5"/>
      <c r="B23" s="5"/>
      <c r="C23" s="5"/>
      <c r="I23" s="17"/>
      <c r="J23" s="3"/>
      <c r="L23" s="18"/>
      <c r="N23" s="37"/>
      <c r="O23" s="38"/>
      <c r="P23" s="38"/>
      <c r="Q23" s="38"/>
      <c r="R23" s="38"/>
      <c r="S23" s="38"/>
      <c r="T23" s="38"/>
      <c r="U23" s="38"/>
      <c r="V23" s="38"/>
    </row>
    <row r="24" spans="1:70" ht="13.5" customHeight="1" x14ac:dyDescent="0.35">
      <c r="A24" s="5"/>
      <c r="B24" s="5"/>
      <c r="C24" s="5"/>
      <c r="I24" s="17"/>
      <c r="J24" s="3"/>
      <c r="L24" s="18"/>
      <c r="N24" s="37"/>
      <c r="O24" s="38"/>
      <c r="P24" s="38"/>
      <c r="Q24" s="38"/>
      <c r="R24" s="38"/>
      <c r="S24" s="38"/>
      <c r="T24" s="38"/>
      <c r="U24" s="38"/>
      <c r="V24" s="38"/>
    </row>
    <row r="25" spans="1:70" ht="13.5" customHeight="1" x14ac:dyDescent="0.35">
      <c r="A25" s="5"/>
      <c r="B25" s="5"/>
      <c r="C25" s="5"/>
      <c r="I25" s="17"/>
      <c r="J25" s="3"/>
      <c r="L25" s="18"/>
      <c r="N25" s="37"/>
      <c r="O25" s="38"/>
      <c r="P25" s="38"/>
      <c r="Q25" s="38"/>
      <c r="R25" s="38"/>
      <c r="S25" s="38"/>
      <c r="T25" s="38"/>
      <c r="U25" s="38"/>
      <c r="V25" s="38"/>
    </row>
    <row r="26" spans="1:70" ht="13.5" customHeight="1" x14ac:dyDescent="0.35">
      <c r="A26" s="5"/>
      <c r="B26" s="5"/>
      <c r="C26" s="5"/>
      <c r="I26" s="17"/>
      <c r="J26" s="8"/>
      <c r="L26" s="18"/>
      <c r="N26" s="37"/>
      <c r="O26" s="38"/>
      <c r="P26" s="38"/>
      <c r="Q26" s="38"/>
      <c r="R26" s="38"/>
      <c r="S26" s="38"/>
      <c r="T26" s="38"/>
      <c r="U26" s="38"/>
      <c r="V26" s="38"/>
    </row>
    <row r="27" spans="1:70" ht="13.5" hidden="1" customHeight="1" x14ac:dyDescent="0.35">
      <c r="A27" s="5"/>
      <c r="B27" s="5"/>
      <c r="C27" s="5"/>
      <c r="N27" s="37"/>
      <c r="O27" s="38"/>
      <c r="P27" s="38"/>
      <c r="Q27" s="38"/>
      <c r="R27" s="38"/>
      <c r="S27" s="38"/>
      <c r="T27" s="38"/>
      <c r="U27" s="38"/>
      <c r="V27" s="38"/>
    </row>
    <row r="28" spans="1:70" ht="13.5" hidden="1" customHeight="1" x14ac:dyDescent="0.35">
      <c r="A28" s="5"/>
      <c r="B28" s="5"/>
      <c r="C28" s="5"/>
      <c r="E28"/>
      <c r="F28"/>
      <c r="G28"/>
      <c r="H28"/>
      <c r="I28"/>
      <c r="J28"/>
      <c r="N28" s="37"/>
      <c r="O28" s="38"/>
      <c r="P28" s="38"/>
      <c r="Q28" s="38"/>
      <c r="R28" s="38"/>
      <c r="S28" s="38"/>
      <c r="T28" s="38"/>
      <c r="U28" s="38"/>
      <c r="V28" s="38"/>
    </row>
    <row r="29" spans="1:70" ht="13.5" hidden="1" customHeight="1" x14ac:dyDescent="0.2">
      <c r="A29" s="5"/>
      <c r="B29" s="5"/>
      <c r="C29" s="5"/>
      <c r="E29"/>
      <c r="F29"/>
      <c r="G29"/>
      <c r="H29"/>
      <c r="I29"/>
      <c r="J29"/>
      <c r="O29"/>
      <c r="P29"/>
      <c r="Q29"/>
      <c r="R29"/>
      <c r="S29"/>
      <c r="T29"/>
      <c r="U29"/>
      <c r="V29"/>
    </row>
    <row r="30" spans="1:70" ht="14.25" customHeight="1" x14ac:dyDescent="0.2">
      <c r="A30" s="5"/>
      <c r="B30" s="5"/>
      <c r="C30" s="5"/>
    </row>
    <row r="31" spans="1:70" ht="14.25" customHeight="1" x14ac:dyDescent="0.2">
      <c r="A31" s="5"/>
      <c r="B31" s="5"/>
      <c r="C31" s="5"/>
    </row>
    <row r="32" spans="1:70" ht="14.25" customHeight="1" x14ac:dyDescent="0.2">
      <c r="A32" s="5"/>
      <c r="B32" s="5"/>
      <c r="C32" s="5"/>
      <c r="E32" s="76"/>
      <c r="F32" s="4"/>
    </row>
    <row r="33" spans="1:3" ht="14.25" customHeight="1" x14ac:dyDescent="0.2">
      <c r="A33" s="5"/>
      <c r="B33" s="5"/>
      <c r="C33" s="5"/>
    </row>
    <row r="34" spans="1:3" ht="14.25" customHeight="1" x14ac:dyDescent="0.2">
      <c r="A34" s="5"/>
      <c r="B34" s="5"/>
      <c r="C34" s="5"/>
    </row>
    <row r="35" spans="1:3" ht="14.25" customHeight="1" x14ac:dyDescent="0.2">
      <c r="A35" s="5"/>
      <c r="B35" s="5"/>
      <c r="C35" s="5"/>
    </row>
    <row r="36" spans="1:3" ht="14.25" customHeight="1" x14ac:dyDescent="0.2">
      <c r="A36" s="5"/>
      <c r="B36" s="5"/>
      <c r="C36" s="5"/>
    </row>
    <row r="37" spans="1:3" ht="14.25" customHeight="1" x14ac:dyDescent="0.2">
      <c r="A37" s="5"/>
      <c r="B37" s="5"/>
      <c r="C37" s="5"/>
    </row>
    <row r="38" spans="1:3" ht="14.25" customHeight="1" x14ac:dyDescent="0.2">
      <c r="A38" s="5"/>
      <c r="B38" s="5"/>
      <c r="C38" s="5"/>
    </row>
    <row r="39" spans="1:3" ht="14.25" customHeight="1" x14ac:dyDescent="0.2">
      <c r="A39" s="5"/>
      <c r="B39" s="5"/>
      <c r="C39" s="5"/>
    </row>
    <row r="40" spans="1:3" ht="14.25" customHeight="1" x14ac:dyDescent="0.2">
      <c r="A40" s="5"/>
      <c r="B40" s="5"/>
      <c r="C40" s="5"/>
    </row>
    <row r="41" spans="1:3" ht="14.25" customHeight="1" x14ac:dyDescent="0.2">
      <c r="A41" s="5"/>
      <c r="B41" s="5"/>
      <c r="C41" s="5"/>
    </row>
    <row r="42" spans="1:3" ht="14.25" customHeight="1" x14ac:dyDescent="0.2">
      <c r="A42" s="5"/>
      <c r="B42" s="5"/>
      <c r="C42" s="5"/>
    </row>
    <row r="43" spans="1:3" ht="14.25" customHeight="1" x14ac:dyDescent="0.2">
      <c r="A43" s="5"/>
      <c r="B43" s="5"/>
      <c r="C43" s="5"/>
    </row>
    <row r="44" spans="1:3" ht="14.25" customHeight="1" x14ac:dyDescent="0.2">
      <c r="A44" s="5"/>
      <c r="B44" s="5"/>
      <c r="C44" s="5"/>
    </row>
    <row r="45" spans="1:3" ht="14.25" customHeight="1" x14ac:dyDescent="0.2">
      <c r="A45" s="5"/>
      <c r="B45" s="5"/>
      <c r="C45" s="5"/>
    </row>
    <row r="46" spans="1:3" ht="14.25" customHeight="1" x14ac:dyDescent="0.2">
      <c r="A46" s="5"/>
      <c r="B46" s="5"/>
      <c r="C46" s="5"/>
    </row>
    <row r="47" spans="1:3" ht="14.25" customHeight="1" x14ac:dyDescent="0.2">
      <c r="A47" s="5"/>
      <c r="B47" s="5"/>
      <c r="C47" s="5"/>
    </row>
    <row r="48" spans="1:3" ht="14.25" customHeight="1" x14ac:dyDescent="0.2">
      <c r="A48" s="5"/>
      <c r="B48" s="5"/>
      <c r="C48" s="5"/>
    </row>
    <row r="49" spans="1:26" ht="14.25" customHeight="1" x14ac:dyDescent="0.2">
      <c r="A49" s="5"/>
      <c r="B49" s="5"/>
      <c r="C49" s="5"/>
    </row>
    <row r="50" spans="1:26" ht="14.25" customHeight="1" x14ac:dyDescent="0.2">
      <c r="A50" s="5"/>
      <c r="B50" s="5"/>
      <c r="C50" s="5"/>
    </row>
    <row r="51" spans="1:26" ht="14.25" customHeight="1" x14ac:dyDescent="0.2">
      <c r="A51" s="5"/>
      <c r="B51" s="5"/>
      <c r="C51" s="5"/>
    </row>
    <row r="52" spans="1:26" ht="14.25" customHeight="1" x14ac:dyDescent="0.2">
      <c r="A52" s="5"/>
      <c r="B52" s="5"/>
      <c r="C52" s="5"/>
    </row>
    <row r="53" spans="1:26" ht="14.25" customHeight="1" x14ac:dyDescent="0.2">
      <c r="A53" s="5"/>
      <c r="B53" s="5"/>
      <c r="C53" s="5"/>
    </row>
    <row r="54" spans="1:26" ht="14.25" customHeight="1" x14ac:dyDescent="0.2">
      <c r="A54" s="5"/>
      <c r="B54" s="5"/>
      <c r="C54" s="5"/>
    </row>
    <row r="55" spans="1:26" ht="14.25" customHeight="1" x14ac:dyDescent="0.2">
      <c r="A55" s="5"/>
      <c r="B55" s="5"/>
      <c r="C55" s="5"/>
    </row>
    <row r="56" spans="1:26" ht="14.25" customHeight="1" x14ac:dyDescent="0.2">
      <c r="A56" s="5"/>
      <c r="B56" s="5"/>
      <c r="C56" s="5"/>
      <c r="X56"/>
    </row>
    <row r="57" spans="1:26" ht="14.25" customHeight="1" x14ac:dyDescent="0.2">
      <c r="A57" s="5"/>
      <c r="B57" s="5"/>
      <c r="C57" s="5"/>
      <c r="X57"/>
    </row>
    <row r="58" spans="1:26" ht="14.25" customHeight="1" x14ac:dyDescent="0.2">
      <c r="A58" s="5"/>
      <c r="B58" s="5"/>
      <c r="C58" s="5"/>
      <c r="D58"/>
      <c r="E58"/>
      <c r="F58"/>
      <c r="G58"/>
      <c r="H58"/>
      <c r="I58"/>
      <c r="J58"/>
      <c r="K58"/>
      <c r="L58"/>
      <c r="M58"/>
      <c r="N58"/>
      <c r="O58"/>
      <c r="P58"/>
      <c r="Q58"/>
      <c r="R58"/>
      <c r="S58"/>
      <c r="T58"/>
      <c r="U58"/>
      <c r="V58"/>
      <c r="W58"/>
      <c r="X58"/>
      <c r="Y58"/>
      <c r="Z58"/>
    </row>
    <row r="59" spans="1:26" ht="14.25" customHeight="1" x14ac:dyDescent="0.2">
      <c r="A59" s="5"/>
      <c r="B59" s="5"/>
      <c r="C59" s="5"/>
      <c r="D59"/>
      <c r="E59"/>
      <c r="F59"/>
      <c r="G59"/>
      <c r="H59"/>
      <c r="I59"/>
      <c r="J59"/>
      <c r="K59"/>
      <c r="L59"/>
      <c r="M59"/>
      <c r="N59"/>
      <c r="O59"/>
      <c r="P59"/>
      <c r="Q59"/>
      <c r="R59"/>
      <c r="S59"/>
      <c r="T59"/>
      <c r="U59"/>
      <c r="V59"/>
      <c r="W59"/>
      <c r="X59"/>
      <c r="Y59"/>
      <c r="Z59"/>
    </row>
    <row r="60" spans="1:26" ht="14.25" customHeight="1" x14ac:dyDescent="0.2">
      <c r="A60" s="5"/>
      <c r="B60" s="5"/>
      <c r="C60" s="5"/>
      <c r="D60"/>
      <c r="E60"/>
      <c r="F60"/>
      <c r="G60"/>
      <c r="H60"/>
      <c r="I60"/>
      <c r="J60"/>
      <c r="K60"/>
      <c r="L60"/>
      <c r="M60"/>
      <c r="N60"/>
      <c r="O60"/>
      <c r="P60"/>
      <c r="Q60"/>
      <c r="R60"/>
      <c r="S60"/>
      <c r="T60"/>
      <c r="U60"/>
      <c r="V60"/>
      <c r="W60"/>
      <c r="X60"/>
      <c r="Y60"/>
      <c r="Z60"/>
    </row>
    <row r="61" spans="1:26" ht="14.25" customHeight="1" x14ac:dyDescent="0.2">
      <c r="A61" s="5"/>
      <c r="B61" s="5"/>
      <c r="C61" s="5"/>
      <c r="D61"/>
      <c r="E61"/>
      <c r="F61"/>
      <c r="G61"/>
      <c r="H61"/>
      <c r="I61"/>
      <c r="J61"/>
      <c r="K61"/>
      <c r="L61"/>
      <c r="M61"/>
      <c r="N61"/>
      <c r="O61"/>
      <c r="P61"/>
      <c r="Q61"/>
      <c r="R61"/>
      <c r="S61"/>
      <c r="T61"/>
      <c r="U61"/>
      <c r="V61"/>
      <c r="W61"/>
      <c r="X61"/>
      <c r="Y61"/>
      <c r="Z61"/>
    </row>
    <row r="62" spans="1:26" ht="14.25" customHeight="1" x14ac:dyDescent="0.2">
      <c r="A62" s="5"/>
      <c r="B62" s="5"/>
      <c r="C62" s="5"/>
      <c r="D62"/>
      <c r="E62"/>
      <c r="F62"/>
      <c r="G62"/>
      <c r="H62"/>
      <c r="I62"/>
      <c r="J62"/>
      <c r="K62"/>
      <c r="L62"/>
      <c r="M62"/>
      <c r="N62"/>
      <c r="O62"/>
      <c r="P62"/>
      <c r="Q62"/>
      <c r="R62"/>
      <c r="S62"/>
      <c r="T62"/>
      <c r="U62"/>
      <c r="V62"/>
      <c r="W62"/>
      <c r="X62"/>
      <c r="Y62"/>
      <c r="Z62"/>
    </row>
    <row r="63" spans="1:26" ht="14.25" customHeight="1" x14ac:dyDescent="0.2">
      <c r="A63" s="5"/>
      <c r="B63" s="5"/>
      <c r="C63" s="5"/>
      <c r="D63"/>
      <c r="E63"/>
      <c r="F63"/>
      <c r="G63"/>
      <c r="H63"/>
      <c r="I63"/>
      <c r="J63"/>
      <c r="K63"/>
      <c r="L63"/>
      <c r="M63"/>
      <c r="N63"/>
      <c r="O63"/>
      <c r="P63"/>
      <c r="Q63"/>
      <c r="R63"/>
      <c r="S63"/>
      <c r="T63"/>
      <c r="U63"/>
      <c r="V63"/>
      <c r="W63"/>
      <c r="X63"/>
      <c r="Y63"/>
      <c r="Z63"/>
    </row>
    <row r="64" spans="1:26" ht="14.25" customHeight="1" x14ac:dyDescent="0.2">
      <c r="A64" s="5"/>
      <c r="B64" s="5"/>
      <c r="C64" s="5"/>
      <c r="D64"/>
      <c r="E64"/>
      <c r="F64"/>
      <c r="G64"/>
      <c r="H64"/>
      <c r="I64"/>
      <c r="J64"/>
      <c r="K64"/>
      <c r="L64"/>
      <c r="M64"/>
      <c r="N64"/>
      <c r="O64"/>
      <c r="P64"/>
      <c r="Q64"/>
      <c r="R64"/>
      <c r="S64"/>
      <c r="T64"/>
      <c r="U64"/>
      <c r="V64"/>
      <c r="W64"/>
      <c r="X64"/>
      <c r="Y64"/>
      <c r="Z64"/>
    </row>
    <row r="65" spans="1:26" ht="14.25" customHeight="1" x14ac:dyDescent="0.2">
      <c r="A65" s="5"/>
      <c r="B65" s="5"/>
      <c r="C65" s="5"/>
      <c r="D65"/>
      <c r="E65"/>
      <c r="F65"/>
      <c r="G65"/>
      <c r="H65"/>
      <c r="I65"/>
      <c r="J65"/>
      <c r="K65"/>
      <c r="L65"/>
      <c r="M65"/>
      <c r="N65"/>
      <c r="O65"/>
      <c r="P65"/>
      <c r="Q65"/>
      <c r="R65"/>
      <c r="S65"/>
      <c r="T65"/>
      <c r="U65"/>
      <c r="V65"/>
      <c r="W65"/>
      <c r="X65"/>
      <c r="Y65"/>
      <c r="Z65"/>
    </row>
    <row r="66" spans="1:26" ht="14.25" customHeight="1" x14ac:dyDescent="0.2">
      <c r="A66" s="5"/>
      <c r="B66" s="5"/>
      <c r="C66" s="5"/>
      <c r="D66"/>
      <c r="E66"/>
      <c r="F66"/>
      <c r="G66"/>
      <c r="H66"/>
      <c r="I66"/>
      <c r="J66"/>
      <c r="K66"/>
      <c r="L66"/>
      <c r="M66"/>
      <c r="N66"/>
      <c r="O66"/>
      <c r="P66"/>
      <c r="Q66"/>
      <c r="R66"/>
      <c r="S66"/>
      <c r="T66"/>
      <c r="U66"/>
      <c r="V66"/>
      <c r="W66"/>
      <c r="X66"/>
      <c r="Y66"/>
      <c r="Z66"/>
    </row>
    <row r="67" spans="1:26" ht="14.25" customHeight="1" x14ac:dyDescent="0.2">
      <c r="A67" s="5"/>
      <c r="B67" s="5"/>
      <c r="C67" s="5"/>
      <c r="D67"/>
      <c r="E67"/>
      <c r="F67"/>
      <c r="G67"/>
      <c r="H67"/>
      <c r="I67"/>
      <c r="J67"/>
      <c r="K67"/>
      <c r="L67"/>
      <c r="M67"/>
      <c r="N67"/>
      <c r="O67"/>
      <c r="P67"/>
      <c r="Q67"/>
      <c r="R67"/>
      <c r="S67"/>
      <c r="T67"/>
      <c r="U67"/>
      <c r="V67"/>
      <c r="W67"/>
      <c r="X67"/>
      <c r="Y67"/>
      <c r="Z67"/>
    </row>
    <row r="68" spans="1:26" ht="14.25" customHeight="1" x14ac:dyDescent="0.2">
      <c r="A68" s="5"/>
      <c r="B68" s="5"/>
      <c r="C68" s="5"/>
      <c r="D68"/>
      <c r="E68"/>
      <c r="F68"/>
      <c r="G68"/>
      <c r="H68"/>
      <c r="I68"/>
      <c r="J68"/>
      <c r="K68"/>
      <c r="L68"/>
      <c r="M68"/>
      <c r="N68"/>
      <c r="O68"/>
      <c r="P68"/>
      <c r="Q68"/>
      <c r="R68"/>
      <c r="S68"/>
      <c r="T68"/>
      <c r="U68"/>
      <c r="V68"/>
      <c r="W68"/>
      <c r="X68"/>
      <c r="Y68"/>
      <c r="Z68"/>
    </row>
    <row r="69" spans="1:26" ht="14.25" customHeight="1" x14ac:dyDescent="0.2">
      <c r="A69" s="5"/>
      <c r="B69" s="5"/>
      <c r="C69" s="5"/>
      <c r="D69"/>
      <c r="E69"/>
      <c r="F69"/>
      <c r="G69"/>
      <c r="H69"/>
      <c r="I69"/>
      <c r="J69"/>
      <c r="K69"/>
      <c r="L69"/>
      <c r="M69"/>
      <c r="N69"/>
      <c r="O69"/>
      <c r="P69"/>
      <c r="Q69"/>
      <c r="R69"/>
      <c r="S69"/>
      <c r="T69"/>
      <c r="U69"/>
      <c r="V69"/>
      <c r="W69"/>
      <c r="X69"/>
      <c r="Y69"/>
      <c r="Z69"/>
    </row>
    <row r="70" spans="1:26" ht="14.25" customHeight="1" x14ac:dyDescent="0.2">
      <c r="A70" s="5"/>
      <c r="B70" s="5"/>
      <c r="C70" s="5"/>
      <c r="D70"/>
      <c r="E70"/>
      <c r="F70"/>
      <c r="G70"/>
      <c r="H70"/>
      <c r="I70"/>
      <c r="J70"/>
      <c r="K70"/>
      <c r="L70"/>
      <c r="M70"/>
      <c r="N70"/>
      <c r="O70"/>
      <c r="P70"/>
      <c r="Q70"/>
      <c r="R70"/>
      <c r="S70"/>
      <c r="T70"/>
      <c r="U70"/>
      <c r="V70"/>
      <c r="W70"/>
      <c r="X70"/>
      <c r="Y70"/>
      <c r="Z70"/>
    </row>
    <row r="71" spans="1:26" ht="14.25" customHeight="1" x14ac:dyDescent="0.2">
      <c r="A71" s="5"/>
      <c r="B71" s="5"/>
      <c r="C71" s="5"/>
      <c r="D71"/>
      <c r="E71"/>
      <c r="F71"/>
      <c r="G71"/>
      <c r="H71"/>
      <c r="I71"/>
      <c r="J71"/>
      <c r="K71"/>
      <c r="L71"/>
      <c r="M71"/>
      <c r="N71"/>
      <c r="O71"/>
      <c r="P71"/>
      <c r="Q71"/>
      <c r="R71"/>
      <c r="S71"/>
      <c r="T71"/>
      <c r="U71"/>
      <c r="V71"/>
      <c r="W71"/>
      <c r="X71"/>
      <c r="Y71"/>
      <c r="Z71"/>
    </row>
    <row r="72" spans="1:26" ht="14.25" customHeight="1" x14ac:dyDescent="0.2">
      <c r="A72" s="5"/>
      <c r="B72" s="5"/>
      <c r="C72" s="5"/>
      <c r="D72"/>
      <c r="E72"/>
      <c r="F72"/>
      <c r="G72"/>
      <c r="H72"/>
      <c r="I72"/>
      <c r="J72"/>
      <c r="K72"/>
      <c r="L72"/>
      <c r="M72"/>
      <c r="N72"/>
      <c r="O72"/>
      <c r="P72"/>
      <c r="Q72"/>
      <c r="R72"/>
      <c r="S72"/>
      <c r="T72"/>
      <c r="U72"/>
      <c r="V72"/>
      <c r="W72"/>
      <c r="X72"/>
      <c r="Y72"/>
      <c r="Z72"/>
    </row>
    <row r="73" spans="1:26" ht="14.25" customHeight="1" x14ac:dyDescent="0.2">
      <c r="A73" s="5"/>
      <c r="B73" s="5"/>
      <c r="C73" s="5"/>
      <c r="D73"/>
      <c r="E73"/>
      <c r="F73"/>
      <c r="G73"/>
      <c r="H73"/>
      <c r="I73"/>
      <c r="J73"/>
      <c r="K73"/>
      <c r="L73"/>
      <c r="M73"/>
      <c r="N73"/>
      <c r="O73"/>
      <c r="P73"/>
      <c r="Q73"/>
      <c r="R73"/>
      <c r="S73"/>
      <c r="T73"/>
      <c r="U73"/>
      <c r="V73"/>
      <c r="W73"/>
      <c r="X73"/>
      <c r="Y73"/>
      <c r="Z73"/>
    </row>
    <row r="74" spans="1:26" ht="14.25" customHeight="1" x14ac:dyDescent="0.2">
      <c r="A74" s="5"/>
      <c r="B74" s="5"/>
      <c r="C74" s="5"/>
      <c r="D74"/>
      <c r="E74"/>
      <c r="F74"/>
      <c r="G74"/>
      <c r="H74"/>
      <c r="I74"/>
      <c r="J74"/>
      <c r="K74"/>
      <c r="L74"/>
      <c r="M74"/>
      <c r="N74"/>
      <c r="O74"/>
      <c r="P74"/>
      <c r="Q74"/>
      <c r="R74"/>
      <c r="S74"/>
      <c r="T74"/>
      <c r="U74"/>
      <c r="V74"/>
      <c r="W74"/>
      <c r="X74"/>
      <c r="Y74"/>
      <c r="Z74"/>
    </row>
    <row r="75" spans="1:26" ht="14.25" customHeight="1" x14ac:dyDescent="0.2">
      <c r="A75" s="5"/>
      <c r="B75" s="5"/>
      <c r="C75" s="5"/>
      <c r="D75"/>
      <c r="E75"/>
      <c r="F75"/>
      <c r="G75"/>
      <c r="H75"/>
      <c r="I75"/>
      <c r="J75"/>
      <c r="K75"/>
      <c r="L75"/>
      <c r="M75"/>
      <c r="N75"/>
      <c r="O75"/>
      <c r="P75"/>
      <c r="Q75"/>
      <c r="R75"/>
      <c r="S75"/>
      <c r="T75"/>
      <c r="U75"/>
      <c r="V75"/>
      <c r="W75"/>
      <c r="X75"/>
      <c r="Y75"/>
      <c r="Z75"/>
    </row>
    <row r="76" spans="1:26" ht="14.25" customHeight="1" x14ac:dyDescent="0.2">
      <c r="A76" s="5"/>
      <c r="B76" s="5"/>
      <c r="C76" s="5"/>
      <c r="D76"/>
      <c r="E76"/>
      <c r="F76"/>
      <c r="G76"/>
      <c r="H76"/>
      <c r="I76"/>
      <c r="J76"/>
      <c r="K76"/>
      <c r="L76"/>
      <c r="M76"/>
      <c r="N76"/>
      <c r="O76"/>
      <c r="P76"/>
      <c r="Q76"/>
      <c r="R76"/>
      <c r="S76"/>
      <c r="T76"/>
      <c r="U76"/>
      <c r="V76"/>
      <c r="W76"/>
      <c r="X76"/>
      <c r="Y76"/>
      <c r="Z76"/>
    </row>
    <row r="77" spans="1:26" ht="14.25" customHeight="1" x14ac:dyDescent="0.2">
      <c r="A77" s="5"/>
      <c r="B77" s="5"/>
      <c r="C77" s="5"/>
      <c r="D77"/>
      <c r="E77"/>
      <c r="F77"/>
      <c r="G77"/>
      <c r="H77"/>
      <c r="I77"/>
      <c r="J77"/>
      <c r="K77"/>
      <c r="L77"/>
      <c r="M77"/>
      <c r="N77"/>
      <c r="O77"/>
      <c r="P77"/>
      <c r="Q77"/>
      <c r="R77"/>
      <c r="S77"/>
      <c r="T77"/>
      <c r="U77"/>
      <c r="V77"/>
      <c r="W77"/>
      <c r="X77"/>
      <c r="Y77"/>
      <c r="Z77"/>
    </row>
    <row r="78" spans="1:26" ht="14.25" customHeight="1" x14ac:dyDescent="0.2">
      <c r="A78" s="5"/>
      <c r="B78" s="5"/>
      <c r="C78" s="5"/>
      <c r="D78"/>
      <c r="E78"/>
      <c r="F78"/>
      <c r="G78"/>
      <c r="H78"/>
      <c r="I78"/>
      <c r="J78"/>
      <c r="K78"/>
      <c r="L78"/>
      <c r="M78"/>
      <c r="N78"/>
      <c r="O78"/>
      <c r="P78"/>
      <c r="Q78"/>
      <c r="R78"/>
      <c r="S78"/>
      <c r="T78"/>
      <c r="U78"/>
      <c r="V78"/>
      <c r="W78"/>
      <c r="X78"/>
      <c r="Y78"/>
      <c r="Z78"/>
    </row>
    <row r="79" spans="1:26" ht="14.25" customHeight="1" x14ac:dyDescent="0.2">
      <c r="A79" s="5"/>
      <c r="B79" s="5"/>
      <c r="C79" s="5"/>
      <c r="D79"/>
      <c r="E79"/>
      <c r="F79"/>
      <c r="G79"/>
      <c r="H79"/>
      <c r="I79"/>
      <c r="J79"/>
      <c r="K79"/>
      <c r="L79"/>
      <c r="M79"/>
      <c r="N79"/>
      <c r="O79"/>
      <c r="P79"/>
      <c r="Q79"/>
      <c r="R79"/>
      <c r="S79"/>
      <c r="T79"/>
      <c r="U79"/>
      <c r="V79"/>
      <c r="W79"/>
      <c r="X79"/>
      <c r="Y79"/>
      <c r="Z79"/>
    </row>
    <row r="80" spans="1:26" ht="14.25" customHeight="1" x14ac:dyDescent="0.2">
      <c r="A80" s="5"/>
      <c r="B80" s="5"/>
      <c r="C80" s="5"/>
      <c r="D80"/>
      <c r="E80"/>
      <c r="F80"/>
      <c r="G80"/>
      <c r="H80"/>
      <c r="I80"/>
      <c r="J80"/>
      <c r="K80"/>
      <c r="L80"/>
      <c r="M80"/>
      <c r="N80"/>
      <c r="O80"/>
      <c r="P80"/>
      <c r="Q80"/>
      <c r="R80"/>
      <c r="S80"/>
      <c r="T80"/>
      <c r="U80"/>
      <c r="V80"/>
      <c r="W80"/>
      <c r="X80"/>
      <c r="Y80"/>
      <c r="Z80"/>
    </row>
    <row r="81" spans="1:48" ht="14.25" customHeight="1" x14ac:dyDescent="0.2">
      <c r="A81" s="5"/>
      <c r="B81" s="5"/>
      <c r="C81" s="5"/>
      <c r="D81"/>
      <c r="E81"/>
      <c r="F81"/>
      <c r="G81"/>
      <c r="H81"/>
      <c r="I81"/>
      <c r="J81"/>
      <c r="K81"/>
      <c r="L81"/>
      <c r="M81"/>
      <c r="N81"/>
      <c r="O81"/>
      <c r="P81"/>
      <c r="Q81"/>
      <c r="R81"/>
      <c r="S81"/>
      <c r="T81"/>
      <c r="U81"/>
      <c r="V81"/>
      <c r="W81"/>
      <c r="X81"/>
      <c r="Y81"/>
      <c r="Z81"/>
    </row>
    <row r="82" spans="1:48" ht="14.25" customHeight="1" x14ac:dyDescent="0.2">
      <c r="A82" s="5"/>
      <c r="B82" s="5"/>
      <c r="C82" s="5"/>
      <c r="D82"/>
      <c r="E82"/>
      <c r="F82"/>
      <c r="G82"/>
      <c r="H82"/>
      <c r="I82"/>
      <c r="J82"/>
      <c r="K82"/>
      <c r="L82"/>
      <c r="M82"/>
      <c r="N82"/>
      <c r="O82"/>
      <c r="P82"/>
      <c r="Q82"/>
      <c r="R82"/>
      <c r="S82"/>
      <c r="T82"/>
      <c r="U82"/>
      <c r="V82"/>
      <c r="W82"/>
      <c r="X82"/>
      <c r="Y82"/>
      <c r="Z82"/>
    </row>
    <row r="83" spans="1:48" ht="14.25" customHeight="1" x14ac:dyDescent="0.2">
      <c r="A83" s="5"/>
      <c r="B83" s="5"/>
      <c r="C83" s="5"/>
      <c r="D83"/>
      <c r="E83"/>
      <c r="F83"/>
      <c r="G83"/>
      <c r="H83"/>
      <c r="I83"/>
      <c r="J83"/>
      <c r="K83"/>
      <c r="L83"/>
      <c r="M83"/>
      <c r="N83"/>
      <c r="O83"/>
      <c r="P83"/>
      <c r="Q83"/>
      <c r="R83"/>
      <c r="S83"/>
      <c r="T83"/>
      <c r="U83"/>
      <c r="V83"/>
      <c r="W83"/>
      <c r="X83"/>
      <c r="Y83"/>
      <c r="Z83"/>
    </row>
    <row r="84" spans="1:48" ht="14.25" customHeight="1" x14ac:dyDescent="0.2">
      <c r="A84" s="5"/>
      <c r="B84" s="5"/>
      <c r="C84" s="5"/>
      <c r="D84"/>
      <c r="E84"/>
      <c r="F84"/>
      <c r="G84"/>
      <c r="H84"/>
      <c r="I84"/>
      <c r="J84"/>
      <c r="K84"/>
      <c r="L84"/>
      <c r="M84"/>
      <c r="N84"/>
      <c r="O84"/>
      <c r="P84"/>
      <c r="Q84"/>
      <c r="R84"/>
      <c r="S84"/>
      <c r="T84"/>
      <c r="U84"/>
      <c r="V84"/>
      <c r="W84"/>
      <c r="X84"/>
      <c r="Y84"/>
      <c r="Z84"/>
      <c r="AA84"/>
      <c r="AB84"/>
      <c r="AC84"/>
      <c r="AD84" s="3"/>
      <c r="AE84" s="3"/>
      <c r="AF84" s="3"/>
      <c r="AG84" s="3"/>
      <c r="AH84" s="3"/>
      <c r="AI84" s="3"/>
      <c r="AJ84" s="3"/>
      <c r="AK84" s="3"/>
      <c r="AL84" s="3"/>
      <c r="AM84" s="3"/>
      <c r="AN84" s="3"/>
      <c r="AO84" s="3"/>
      <c r="AP84" s="3"/>
      <c r="AQ84" s="3"/>
      <c r="AR84" s="3"/>
      <c r="AS84" s="3"/>
      <c r="AT84" s="3"/>
      <c r="AU84" s="3"/>
      <c r="AV84" s="3"/>
    </row>
    <row r="85" spans="1:48" ht="14.25" customHeight="1" x14ac:dyDescent="0.2">
      <c r="A85" s="5"/>
      <c r="B85" s="5"/>
      <c r="C85" s="5"/>
    </row>
    <row r="86" spans="1:48" ht="14.25" customHeight="1" x14ac:dyDescent="0.2">
      <c r="A86" s="5"/>
      <c r="B86" s="5"/>
      <c r="C86" s="5"/>
      <c r="E86" s="4"/>
    </row>
    <row r="87" spans="1:48" ht="14.25" customHeight="1" x14ac:dyDescent="0.2">
      <c r="A87" s="5"/>
      <c r="B87" s="5"/>
      <c r="C87" s="5"/>
      <c r="E87" s="4"/>
    </row>
    <row r="88" spans="1:48" ht="14.25" customHeight="1" x14ac:dyDescent="0.2">
      <c r="A88" s="5"/>
      <c r="B88" s="5"/>
      <c r="C88" s="5"/>
      <c r="D88"/>
    </row>
    <row r="89" spans="1:48" ht="14.25" customHeight="1" x14ac:dyDescent="0.2">
      <c r="A89" s="5"/>
      <c r="B89" s="5"/>
      <c r="C89" s="5"/>
      <c r="D89"/>
    </row>
    <row r="90" spans="1:48" ht="14.25" customHeight="1" x14ac:dyDescent="0.2">
      <c r="A90" s="5"/>
      <c r="B90" s="5"/>
      <c r="C90" s="5"/>
      <c r="D90"/>
    </row>
    <row r="91" spans="1:48" ht="14.25" customHeight="1" x14ac:dyDescent="0.2">
      <c r="A91" s="5"/>
      <c r="B91" s="5"/>
      <c r="C91" s="5"/>
      <c r="D91"/>
    </row>
    <row r="92" spans="1:48" ht="14.25" customHeight="1" x14ac:dyDescent="0.2">
      <c r="A92" s="5"/>
      <c r="B92" s="5"/>
      <c r="C92" s="5"/>
      <c r="D92"/>
    </row>
    <row r="93" spans="1:48" ht="14.25" customHeight="1" x14ac:dyDescent="0.2">
      <c r="A93" s="5"/>
      <c r="B93" s="5"/>
      <c r="C93" s="5"/>
      <c r="D93"/>
    </row>
    <row r="94" spans="1:48" ht="14.25" customHeight="1" x14ac:dyDescent="0.2">
      <c r="A94" s="5"/>
      <c r="B94" s="5"/>
      <c r="C94" s="5"/>
      <c r="D94"/>
    </row>
    <row r="95" spans="1:48" ht="14.25" customHeight="1" x14ac:dyDescent="0.2">
      <c r="A95" s="5"/>
      <c r="B95" s="5"/>
      <c r="C95" s="5"/>
      <c r="D95"/>
    </row>
    <row r="96" spans="1:48" ht="14.25" customHeight="1" x14ac:dyDescent="0.2">
      <c r="A96" s="5"/>
      <c r="B96" s="5"/>
      <c r="C96" s="5"/>
      <c r="D96"/>
    </row>
    <row r="97" spans="1:4" ht="14.25" customHeight="1" x14ac:dyDescent="0.2">
      <c r="A97" s="5"/>
      <c r="B97" s="5"/>
      <c r="C97" s="5"/>
      <c r="D97"/>
    </row>
    <row r="98" spans="1:4" ht="14.25" customHeight="1" x14ac:dyDescent="0.2">
      <c r="A98" s="5"/>
      <c r="B98" s="5"/>
      <c r="C98" s="5"/>
    </row>
    <row r="99" spans="1:4" ht="14.25" customHeight="1" x14ac:dyDescent="0.2">
      <c r="A99" s="5"/>
      <c r="B99" s="5"/>
      <c r="C99" s="5"/>
    </row>
    <row r="100" spans="1:4" ht="14.25" customHeight="1" x14ac:dyDescent="0.2">
      <c r="A100" s="5"/>
      <c r="B100" s="5"/>
      <c r="C100" s="5"/>
    </row>
    <row r="101" spans="1:4" ht="14.25" customHeight="1" x14ac:dyDescent="0.2">
      <c r="A101" s="5"/>
      <c r="B101" s="5"/>
      <c r="C101" s="5"/>
    </row>
    <row r="102" spans="1:4" ht="14.25" customHeight="1" x14ac:dyDescent="0.2">
      <c r="A102" s="5"/>
      <c r="B102" s="5"/>
      <c r="C102" s="5"/>
    </row>
    <row r="103" spans="1:4" ht="14.25" customHeight="1" x14ac:dyDescent="0.2">
      <c r="A103" s="5"/>
      <c r="B103" s="5"/>
      <c r="C103" s="5"/>
    </row>
    <row r="104" spans="1:4" ht="14.25" customHeight="1" x14ac:dyDescent="0.2">
      <c r="A104" s="5"/>
      <c r="B104" s="5"/>
      <c r="C104" s="5"/>
    </row>
    <row r="105" spans="1:4" ht="14.25" customHeight="1" x14ac:dyDescent="0.2">
      <c r="A105" s="5"/>
      <c r="B105" s="5"/>
      <c r="C105" s="5"/>
    </row>
    <row r="106" spans="1:4" ht="14.25" customHeight="1" x14ac:dyDescent="0.2">
      <c r="A106" s="5"/>
      <c r="B106" s="5"/>
      <c r="C106" s="5"/>
    </row>
    <row r="107" spans="1:4" ht="14.25" customHeight="1" x14ac:dyDescent="0.2">
      <c r="A107" s="5"/>
      <c r="B107" s="5"/>
      <c r="C107" s="5"/>
    </row>
    <row r="108" spans="1:4" ht="14.25" customHeight="1" x14ac:dyDescent="0.2">
      <c r="A108" s="5"/>
      <c r="B108" s="5"/>
      <c r="C108" s="5"/>
    </row>
    <row r="109" spans="1:4" ht="14.25" customHeight="1" x14ac:dyDescent="0.2">
      <c r="A109" s="5"/>
      <c r="B109" s="5"/>
      <c r="C109" s="5"/>
    </row>
    <row r="110" spans="1:4" ht="14.25" customHeight="1" x14ac:dyDescent="0.2">
      <c r="A110" s="5"/>
      <c r="B110" s="5"/>
      <c r="C110" s="5"/>
    </row>
    <row r="111" spans="1:4" ht="14.25" customHeight="1" x14ac:dyDescent="0.2">
      <c r="A111" s="5"/>
      <c r="B111" s="5"/>
      <c r="C111" s="5"/>
    </row>
    <row r="112" spans="1:4" ht="14.25" customHeight="1" x14ac:dyDescent="0.2">
      <c r="A112" s="5"/>
      <c r="B112" s="5"/>
      <c r="C112" s="5"/>
    </row>
    <row r="113" spans="1:3" ht="14.25" customHeight="1" x14ac:dyDescent="0.2">
      <c r="A113" s="5"/>
      <c r="B113" s="5"/>
      <c r="C113" s="5"/>
    </row>
    <row r="114" spans="1:3" ht="14.25" customHeight="1" x14ac:dyDescent="0.2">
      <c r="A114" s="5"/>
      <c r="B114" s="5"/>
      <c r="C114" s="5"/>
    </row>
    <row r="115" spans="1:3" ht="14.25" customHeight="1" x14ac:dyDescent="0.2">
      <c r="A115" s="5"/>
      <c r="B115" s="5"/>
      <c r="C115" s="5"/>
    </row>
    <row r="116" spans="1:3" ht="14.25" customHeight="1" x14ac:dyDescent="0.2">
      <c r="A116" s="5"/>
      <c r="B116" s="5"/>
      <c r="C116" s="5"/>
    </row>
    <row r="117" spans="1:3" ht="14.25" customHeight="1" x14ac:dyDescent="0.2">
      <c r="A117" s="5"/>
      <c r="B117" s="5"/>
      <c r="C117" s="5"/>
    </row>
    <row r="118" spans="1:3" ht="14.25" customHeight="1" x14ac:dyDescent="0.2">
      <c r="A118" s="5"/>
      <c r="B118" s="5"/>
      <c r="C118" s="5"/>
    </row>
    <row r="119" spans="1:3" ht="14.25" customHeight="1" x14ac:dyDescent="0.2">
      <c r="A119" s="5"/>
      <c r="B119" s="5"/>
      <c r="C119" s="5"/>
    </row>
    <row r="120" spans="1:3" ht="14.25" customHeight="1" x14ac:dyDescent="0.2">
      <c r="A120" s="5"/>
      <c r="B120" s="5"/>
    </row>
    <row r="121" spans="1:3" ht="14.25" customHeight="1" x14ac:dyDescent="0.2">
      <c r="A121" s="5"/>
      <c r="B121" s="5"/>
    </row>
  </sheetData>
  <sortState ref="A44:D51">
    <sortCondition descending="1" ref="D44"/>
  </sortState>
  <mergeCells count="1">
    <mergeCell ref="J7:M9"/>
  </mergeCells>
  <dataValidations count="3">
    <dataValidation type="list" allowBlank="1" showInputMessage="1" showErrorMessage="1" sqref="C3:C6">
      <formula1>TypeActivite</formula1>
    </dataValidation>
    <dataValidation type="list" allowBlank="1" showInputMessage="1" showErrorMessage="1" sqref="B4">
      <formula1>ActivityTypesAll</formula1>
    </dataValidation>
    <dataValidation type="list" allowBlank="1" showInputMessage="1" showErrorMessage="1" sqref="B9">
      <formula1>"Yes,No"</formula1>
    </dataValidation>
  </dataValidations>
  <hyperlinks>
    <hyperlink ref="B6" location="Data!A1" display="Entrer des nouvelles données"/>
  </hyperlinks>
  <pageMargins left="0.49212598425196852" right="0.49212598425196852" top="0.43" bottom="0.2" header="0" footer="0"/>
  <pageSetup paperSize="9" scale="6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AllUpdates">
                <anchor moveWithCells="1" sizeWithCells="1">
                  <from>
                    <xdr:col>1</xdr:col>
                    <xdr:colOff>66675</xdr:colOff>
                    <xdr:row>9</xdr:row>
                    <xdr:rowOff>133350</xdr:rowOff>
                  </from>
                  <to>
                    <xdr:col>1</xdr:col>
                    <xdr:colOff>1647825</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101">
    <tabColor theme="9" tint="-0.249977111117893"/>
    <pageSetUpPr fitToPage="1"/>
  </sheetPr>
  <dimension ref="B4:S41"/>
  <sheetViews>
    <sheetView zoomScaleNormal="100" workbookViewId="0">
      <selection activeCell="E6" sqref="E6"/>
    </sheetView>
  </sheetViews>
  <sheetFormatPr baseColWidth="10" defaultColWidth="9.140625" defaultRowHeight="12.75" x14ac:dyDescent="0.2"/>
  <cols>
    <col min="1" max="1" width="4.7109375" customWidth="1"/>
    <col min="2" max="2" width="11.7109375" customWidth="1"/>
    <col min="3" max="3" width="15.28515625" customWidth="1"/>
    <col min="4" max="19" width="16.7109375" style="78" customWidth="1"/>
  </cols>
  <sheetData>
    <row r="4" spans="2:19" ht="42" customHeight="1" x14ac:dyDescent="0.2">
      <c r="B4" s="4" t="s">
        <v>51</v>
      </c>
      <c r="C4" s="105" t="s">
        <v>81</v>
      </c>
      <c r="D4" s="77" t="s">
        <v>350</v>
      </c>
      <c r="E4" s="77" t="s">
        <v>360</v>
      </c>
      <c r="F4" s="77" t="s">
        <v>359</v>
      </c>
      <c r="G4" s="77" t="s">
        <v>354</v>
      </c>
      <c r="H4" s="77" t="s">
        <v>356</v>
      </c>
      <c r="I4" s="77" t="s">
        <v>358</v>
      </c>
      <c r="J4" s="77" t="s">
        <v>353</v>
      </c>
      <c r="K4" s="77" t="s">
        <v>361</v>
      </c>
      <c r="L4" s="77" t="s">
        <v>357</v>
      </c>
      <c r="M4" s="77" t="s">
        <v>355</v>
      </c>
      <c r="N4" s="77" t="s">
        <v>351</v>
      </c>
      <c r="O4" s="77" t="s">
        <v>352</v>
      </c>
      <c r="P4"/>
      <c r="Q4"/>
      <c r="R4"/>
      <c r="S4"/>
    </row>
    <row r="5" spans="2:19" ht="30.75" customHeight="1" x14ac:dyDescent="0.2">
      <c r="B5" s="106" t="s">
        <v>369</v>
      </c>
      <c r="C5" s="107" t="s">
        <v>368</v>
      </c>
      <c r="D5" s="108" t="str">
        <f t="array" ref="D5">IFERROR(INDEX(Main3WData[PT.LstOrg],MATCH(CONCATENATE(D$4&amp;$B5)&amp;TRUE,Main3WData[PT.Concat]&amp;Main3WData[PT.Show],0)),"")</f>
        <v>UNICEF, UNFPA, UNDP, PLAN, OMS</v>
      </c>
      <c r="E5" s="108" t="str">
        <f t="array" ref="E5">IFERROR(INDEX(Main3WData[PT.LstOrg],MATCH(CONCATENATE(E$4&amp;$B5)&amp;TRUE,Main3WData[PT.Concat]&amp;Main3WData[PT.Show],0)),"")</f>
        <v>UNMEER, UNFPA, UNDP, OMS, MSF, eHealth Africa</v>
      </c>
      <c r="F5" s="108" t="str">
        <f t="array" ref="F5">IFERROR(INDEX(Main3WData[PT.LstOrg],MATCH(CONCATENATE(F$4&amp;$B5)&amp;TRUE,Main3WData[PT.Concat]&amp;Main3WData[PT.Show],0)),"")</f>
        <v>UNDP</v>
      </c>
      <c r="G5" s="108" t="str">
        <f t="array" ref="G5">IFERROR(INDEX(Main3WData[PT.LstOrg],MATCH(CONCATENATE(G$4&amp;$B5)&amp;TRUE,Main3WData[PT.Concat]&amp;Main3WData[PT.Show],0)),"")</f>
        <v>CRG</v>
      </c>
      <c r="H5" s="108" t="str">
        <f t="array" ref="H5">IFERROR(INDEX(Main3WData[PT.LstOrg],MATCH(CONCATENATE(H$4&amp;$B5)&amp;TRUE,Main3WData[PT.Concat]&amp;Main3WData[PT.Show],0)),"")</f>
        <v>UNMEER, OMS</v>
      </c>
      <c r="I5" s="108" t="str">
        <f t="array" ref="I5">IFERROR(INDEX(Main3WData[PT.LstOrg],MATCH(CONCATENATE(I$4&amp;$B5)&amp;TRUE,Main3WData[PT.Concat]&amp;Main3WData[PT.Show],0)),"")</f>
        <v/>
      </c>
      <c r="J5" s="108" t="str">
        <f t="array" ref="J5">IFERROR(INDEX(Main3WData[PT.LstOrg],MATCH(CONCATENATE(J$4&amp;$B5)&amp;TRUE,Main3WData[PT.Concat]&amp;Main3WData[PT.Show],0)),"")</f>
        <v/>
      </c>
      <c r="K5" s="108" t="str">
        <f t="array" ref="K5">IFERROR(INDEX(Main3WData[PT.LstOrg],MATCH(CONCATENATE(K$4&amp;$B5)&amp;TRUE,Main3WData[PT.Concat]&amp;Main3WData[PT.Show],0)),"")</f>
        <v/>
      </c>
      <c r="L5" s="108" t="str">
        <f t="array" ref="L5">IFERROR(INDEX(Main3WData[PT.LstOrg],MATCH(CONCATENATE(L$4&amp;$B5)&amp;TRUE,Main3WData[PT.Concat]&amp;Main3WData[PT.Show],0)),"")</f>
        <v/>
      </c>
      <c r="M5" s="108" t="str">
        <f t="array" ref="M5">IFERROR(INDEX(Main3WData[PT.LstOrg],MATCH(CONCATENATE(M$4&amp;$B5)&amp;TRUE,Main3WData[PT.Concat]&amp;Main3WData[PT.Show],0)),"")</f>
        <v>WFP, CRS</v>
      </c>
      <c r="N5" s="108" t="str">
        <f t="array" ref="N5">IFERROR(INDEX(Main3WData[PT.LstOrg],MATCH(CONCATENATE(N$4&amp;$B5)&amp;TRUE,Main3WData[PT.Concat]&amp;Main3WData[PT.Show],0)),"")</f>
        <v>OMS, CDC</v>
      </c>
      <c r="O5" s="108" t="str">
        <f t="array" ref="O5">IFERROR(INDEX(Main3WData[PT.LstOrg],MATCH(CONCATENATE(O$4&amp;$B5)&amp;TRUE,Main3WData[PT.Concat]&amp;Main3WData[PT.Show],0)),"")</f>
        <v/>
      </c>
      <c r="P5"/>
      <c r="Q5"/>
      <c r="R5"/>
      <c r="S5"/>
    </row>
    <row r="6" spans="2:19" ht="30.75" customHeight="1" x14ac:dyDescent="0.2">
      <c r="B6" s="106" t="s">
        <v>371</v>
      </c>
      <c r="C6" s="107" t="s">
        <v>370</v>
      </c>
      <c r="D6" s="108" t="str">
        <f t="array" ref="D6">IFERROR(INDEX(Main3WData[PT.LstOrg],MATCH(CONCATENATE(D$4&amp;$B6)&amp;TRUE,Main3WData[PT.Concat]&amp;Main3WData[PT.Show],0)),"")</f>
        <v>UNICEF, UNFPA, UNDP, PLAN, OMS, Internews, CRG/FICR</v>
      </c>
      <c r="E6" s="108" t="str">
        <f t="array" ref="E6">IFERROR(INDEX(Main3WData[PT.LstOrg],MATCH(CONCATENATE(E$4&amp;$B6)&amp;TRUE,Main3WData[PT.Concat]&amp;Main3WData[PT.Show],0)),"")</f>
        <v>UNMEER, UNFPA, UNDP, OMS, MSF, eHealth Africa</v>
      </c>
      <c r="F6" s="108" t="str">
        <f t="array" ref="F6">IFERROR(INDEX(Main3WData[PT.LstOrg],MATCH(CONCATENATE(F$4&amp;$B6)&amp;TRUE,Main3WData[PT.Concat]&amp;Main3WData[PT.Show],0)),"")</f>
        <v>UNDP</v>
      </c>
      <c r="G6" s="108" t="str">
        <f t="array" ref="G6">IFERROR(INDEX(Main3WData[PT.LstOrg],MATCH(CONCATENATE(G$4&amp;$B6)&amp;TRUE,Main3WData[PT.Concat]&amp;Main3WData[PT.Show],0)),"")</f>
        <v>CRG</v>
      </c>
      <c r="H6" s="108" t="str">
        <f t="array" ref="H6">IFERROR(INDEX(Main3WData[PT.LstOrg],MATCH(CONCATENATE(H$4&amp;$B6)&amp;TRUE,Main3WData[PT.Concat]&amp;Main3WData[PT.Show],0)),"")</f>
        <v>UNMEER, OMS</v>
      </c>
      <c r="I6" s="108" t="str">
        <f t="array" ref="I6">IFERROR(INDEX(Main3WData[PT.LstOrg],MATCH(CONCATENATE(I$4&amp;$B6)&amp;TRUE,Main3WData[PT.Concat]&amp;Main3WData[PT.Show],0)),"")</f>
        <v/>
      </c>
      <c r="J6" s="108" t="str">
        <f t="array" ref="J6">IFERROR(INDEX(Main3WData[PT.LstOrg],MATCH(CONCATENATE(J$4&amp;$B6)&amp;TRUE,Main3WData[PT.Concat]&amp;Main3WData[PT.Show],0)),"")</f>
        <v/>
      </c>
      <c r="K6" s="108" t="str">
        <f t="array" ref="K6">IFERROR(INDEX(Main3WData[PT.LstOrg],MATCH(CONCATENATE(K$4&amp;$B6)&amp;TRUE,Main3WData[PT.Concat]&amp;Main3WData[PT.Show],0)),"")</f>
        <v/>
      </c>
      <c r="L6" s="108" t="str">
        <f t="array" ref="L6">IFERROR(INDEX(Main3WData[PT.LstOrg],MATCH(CONCATENATE(L$4&amp;$B6)&amp;TRUE,Main3WData[PT.Concat]&amp;Main3WData[PT.Show],0)),"")</f>
        <v/>
      </c>
      <c r="M6" s="108" t="str">
        <f t="array" ref="M6">IFERROR(INDEX(Main3WData[PT.LstOrg],MATCH(CONCATENATE(M$4&amp;$B6)&amp;TRUE,Main3WData[PT.Concat]&amp;Main3WData[PT.Show],0)),"")</f>
        <v/>
      </c>
      <c r="N6" s="108" t="str">
        <f t="array" ref="N6">IFERROR(INDEX(Main3WData[PT.LstOrg],MATCH(CONCATENATE(N$4&amp;$B6)&amp;TRUE,Main3WData[PT.Concat]&amp;Main3WData[PT.Show],0)),"")</f>
        <v>UNFPA, OMS, Columbia Univ, CDC</v>
      </c>
      <c r="O6" s="108" t="str">
        <f t="array" ref="O6">IFERROR(INDEX(Main3WData[PT.LstOrg],MATCH(CONCATENATE(O$4&amp;$B6)&amp;TRUE,Main3WData[PT.Concat]&amp;Main3WData[PT.Show],0)),"")</f>
        <v/>
      </c>
      <c r="Q6" s="115" t="s">
        <v>53</v>
      </c>
      <c r="R6" s="115"/>
    </row>
    <row r="7" spans="2:19" ht="30.75" customHeight="1" x14ac:dyDescent="0.2">
      <c r="B7" s="106" t="s">
        <v>373</v>
      </c>
      <c r="C7" s="107" t="s">
        <v>372</v>
      </c>
      <c r="D7" s="108" t="str">
        <f t="array" ref="D7">IFERROR(INDEX(Main3WData[PT.LstOrg],MATCH(CONCATENATE(D$4&amp;$B7)&amp;TRUE,Main3WData[PT.Concat]&amp;Main3WData[PT.Show],0)),"")</f>
        <v>UNICEF, UNFPA, PLAN, OMS, Internews</v>
      </c>
      <c r="E7" s="108" t="str">
        <f t="array" ref="E7">IFERROR(INDEX(Main3WData[PT.LstOrg],MATCH(CONCATENATE(E$4&amp;$B7)&amp;TRUE,Main3WData[PT.Concat]&amp;Main3WData[PT.Show],0)),"")</f>
        <v>UNMEER, UNFPA, UNDP, OMS, MSF, eHealth Africa</v>
      </c>
      <c r="F7" s="108" t="str">
        <f t="array" ref="F7">IFERROR(INDEX(Main3WData[PT.LstOrg],MATCH(CONCATENATE(F$4&amp;$B7)&amp;TRUE,Main3WData[PT.Concat]&amp;Main3WData[PT.Show],0)),"")</f>
        <v>UNDP</v>
      </c>
      <c r="G7" s="108" t="str">
        <f t="array" ref="G7">IFERROR(INDEX(Main3WData[PT.LstOrg],MATCH(CONCATENATE(G$4&amp;$B7)&amp;TRUE,Main3WData[PT.Concat]&amp;Main3WData[PT.Show],0)),"")</f>
        <v>CRG</v>
      </c>
      <c r="H7" s="108" t="str">
        <f t="array" ref="H7">IFERROR(INDEX(Main3WData[PT.LstOrg],MATCH(CONCATENATE(H$4&amp;$B7)&amp;TRUE,Main3WData[PT.Concat]&amp;Main3WData[PT.Show],0)),"")</f>
        <v>UNMEER, OMS</v>
      </c>
      <c r="I7" s="108" t="str">
        <f t="array" ref="I7">IFERROR(INDEX(Main3WData[PT.LstOrg],MATCH(CONCATENATE(I$4&amp;$B7)&amp;TRUE,Main3WData[PT.Concat]&amp;Main3WData[PT.Show],0)),"")</f>
        <v/>
      </c>
      <c r="J7" s="108" t="str">
        <f t="array" ref="J7">IFERROR(INDEX(Main3WData[PT.LstOrg],MATCH(CONCATENATE(J$4&amp;$B7)&amp;TRUE,Main3WData[PT.Concat]&amp;Main3WData[PT.Show],0)),"")</f>
        <v/>
      </c>
      <c r="K7" s="108" t="str">
        <f t="array" ref="K7">IFERROR(INDEX(Main3WData[PT.LstOrg],MATCH(CONCATENATE(K$4&amp;$B7)&amp;TRUE,Main3WData[PT.Concat]&amp;Main3WData[PT.Show],0)),"")</f>
        <v/>
      </c>
      <c r="L7" s="108" t="str">
        <f t="array" ref="L7">IFERROR(INDEX(Main3WData[PT.LstOrg],MATCH(CONCATENATE(L$4&amp;$B7)&amp;TRUE,Main3WData[PT.Concat]&amp;Main3WData[PT.Show],0)),"")</f>
        <v/>
      </c>
      <c r="M7" s="108" t="str">
        <f t="array" ref="M7">IFERROR(INDEX(Main3WData[PT.LstOrg],MATCH(CONCATENATE(M$4&amp;$B7)&amp;TRUE,Main3WData[PT.Concat]&amp;Main3WData[PT.Show],0)),"")</f>
        <v/>
      </c>
      <c r="N7" s="108" t="str">
        <f t="array" ref="N7">IFERROR(INDEX(Main3WData[PT.LstOrg],MATCH(CONCATENATE(N$4&amp;$B7)&amp;TRUE,Main3WData[PT.Concat]&amp;Main3WData[PT.Show],0)),"")</f>
        <v>CDC</v>
      </c>
      <c r="O7" s="108" t="str">
        <f t="array" ref="O7">IFERROR(INDEX(Main3WData[PT.LstOrg],MATCH(CONCATENATE(O$4&amp;$B7)&amp;TRUE,Main3WData[PT.Concat]&amp;Main3WData[PT.Show],0)),"")</f>
        <v/>
      </c>
      <c r="Q7" s="115"/>
      <c r="R7" s="115"/>
    </row>
    <row r="8" spans="2:19" ht="30.75" customHeight="1" x14ac:dyDescent="0.2">
      <c r="B8" s="106" t="s">
        <v>375</v>
      </c>
      <c r="C8" s="107" t="s">
        <v>374</v>
      </c>
      <c r="D8" s="108" t="str">
        <f t="array" ref="D8">IFERROR(INDEX(Main3WData[PT.LstOrg],MATCH(CONCATENATE(D$4&amp;$B8)&amp;TRUE,Main3WData[PT.Concat]&amp;Main3WData[PT.Show],0)),"")</f>
        <v>UNICEF, UNFPA, PLAN, OMS</v>
      </c>
      <c r="E8" s="108" t="str">
        <f t="array" ref="E8">IFERROR(INDEX(Main3WData[PT.LstOrg],MATCH(CONCATENATE(E$4&amp;$B8)&amp;TRUE,Main3WData[PT.Concat]&amp;Main3WData[PT.Show],0)),"")</f>
        <v>UNMEER, UNFPA, UNDP, OMS, MSF, eHealth Africa</v>
      </c>
      <c r="F8" s="108" t="str">
        <f t="array" ref="F8">IFERROR(INDEX(Main3WData[PT.LstOrg],MATCH(CONCATENATE(F$4&amp;$B8)&amp;TRUE,Main3WData[PT.Concat]&amp;Main3WData[PT.Show],0)),"")</f>
        <v>UNDP</v>
      </c>
      <c r="G8" s="108" t="str">
        <f t="array" ref="G8">IFERROR(INDEX(Main3WData[PT.LstOrg],MATCH(CONCATENATE(G$4&amp;$B8)&amp;TRUE,Main3WData[PT.Concat]&amp;Main3WData[PT.Show],0)),"")</f>
        <v>CRG</v>
      </c>
      <c r="H8" s="108" t="str">
        <f t="array" ref="H8">IFERROR(INDEX(Main3WData[PT.LstOrg],MATCH(CONCATENATE(H$4&amp;$B8)&amp;TRUE,Main3WData[PT.Concat]&amp;Main3WData[PT.Show],0)),"")</f>
        <v>UNMEER, OMS</v>
      </c>
      <c r="I8" s="108" t="str">
        <f t="array" ref="I8">IFERROR(INDEX(Main3WData[PT.LstOrg],MATCH(CONCATENATE(I$4&amp;$B8)&amp;TRUE,Main3WData[PT.Concat]&amp;Main3WData[PT.Show],0)),"")</f>
        <v/>
      </c>
      <c r="J8" s="108" t="str">
        <f t="array" ref="J8">IFERROR(INDEX(Main3WData[PT.LstOrg],MATCH(CONCATENATE(J$4&amp;$B8)&amp;TRUE,Main3WData[PT.Concat]&amp;Main3WData[PT.Show],0)),"")</f>
        <v/>
      </c>
      <c r="K8" s="108" t="str">
        <f t="array" ref="K8">IFERROR(INDEX(Main3WData[PT.LstOrg],MATCH(CONCATENATE(K$4&amp;$B8)&amp;TRUE,Main3WData[PT.Concat]&amp;Main3WData[PT.Show],0)),"")</f>
        <v/>
      </c>
      <c r="L8" s="108" t="str">
        <f t="array" ref="L8">IFERROR(INDEX(Main3WData[PT.LstOrg],MATCH(CONCATENATE(L$4&amp;$B8)&amp;TRUE,Main3WData[PT.Concat]&amp;Main3WData[PT.Show],0)),"")</f>
        <v/>
      </c>
      <c r="M8" s="108" t="str">
        <f t="array" ref="M8">IFERROR(INDEX(Main3WData[PT.LstOrg],MATCH(CONCATENATE(M$4&amp;$B8)&amp;TRUE,Main3WData[PT.Concat]&amp;Main3WData[PT.Show],0)),"")</f>
        <v/>
      </c>
      <c r="N8" s="108" t="str">
        <f t="array" ref="N8">IFERROR(INDEX(Main3WData[PT.LstOrg],MATCH(CONCATENATE(N$4&amp;$B8)&amp;TRUE,Main3WData[PT.Concat]&amp;Main3WData[PT.Show],0)),"")</f>
        <v>CDC</v>
      </c>
      <c r="O8" s="108" t="str">
        <f t="array" ref="O8">IFERROR(INDEX(Main3WData[PT.LstOrg],MATCH(CONCATENATE(O$4&amp;$B8)&amp;TRUE,Main3WData[PT.Concat]&amp;Main3WData[PT.Show],0)),"")</f>
        <v/>
      </c>
      <c r="Q8" s="115"/>
      <c r="R8" s="115"/>
    </row>
    <row r="9" spans="2:19" ht="30.75" customHeight="1" x14ac:dyDescent="0.2">
      <c r="B9" s="106" t="s">
        <v>377</v>
      </c>
      <c r="C9" s="107" t="s">
        <v>376</v>
      </c>
      <c r="D9" s="108" t="str">
        <f t="array" ref="D9">IFERROR(INDEX(Main3WData[PT.LstOrg],MATCH(CONCATENATE(D$4&amp;$B9)&amp;TRUE,Main3WData[PT.Concat]&amp;Main3WData[PT.Show],0)),"")</f>
        <v>UNICEF, UNFPA, UNDP, PLAN, OMS, Internews, CRG/FICR</v>
      </c>
      <c r="E9" s="108" t="str">
        <f t="array" ref="E9">IFERROR(INDEX(Main3WData[PT.LstOrg],MATCH(CONCATENATE(E$4&amp;$B9)&amp;TRUE,Main3WData[PT.Concat]&amp;Main3WData[PT.Show],0)),"")</f>
        <v>UNMEER, UNFPA, UNDP, OMS, MSF, eHealth Africa</v>
      </c>
      <c r="F9" s="108" t="str">
        <f t="array" ref="F9">IFERROR(INDEX(Main3WData[PT.LstOrg],MATCH(CONCATENATE(F$4&amp;$B9)&amp;TRUE,Main3WData[PT.Concat]&amp;Main3WData[PT.Show],0)),"")</f>
        <v>UNDP</v>
      </c>
      <c r="G9" s="108" t="str">
        <f t="array" ref="G9">IFERROR(INDEX(Main3WData[PT.LstOrg],MATCH(CONCATENATE(G$4&amp;$B9)&amp;TRUE,Main3WData[PT.Concat]&amp;Main3WData[PT.Show],0)),"")</f>
        <v>CRG</v>
      </c>
      <c r="H9" s="108" t="str">
        <f t="array" ref="H9">IFERROR(INDEX(Main3WData[PT.LstOrg],MATCH(CONCATENATE(H$4&amp;$B9)&amp;TRUE,Main3WData[PT.Concat]&amp;Main3WData[PT.Show],0)),"")</f>
        <v>UNMEER, OMS</v>
      </c>
      <c r="I9" s="108" t="str">
        <f t="array" ref="I9">IFERROR(INDEX(Main3WData[PT.LstOrg],MATCH(CONCATENATE(I$4&amp;$B9)&amp;TRUE,Main3WData[PT.Concat]&amp;Main3WData[PT.Show],0)),"")</f>
        <v>UNMEER, OMS</v>
      </c>
      <c r="J9" s="108" t="str">
        <f t="array" ref="J9">IFERROR(INDEX(Main3WData[PT.LstOrg],MATCH(CONCATENATE(J$4&amp;$B9)&amp;TRUE,Main3WData[PT.Concat]&amp;Main3WData[PT.Show],0)),"")</f>
        <v>WFP, USAID/JHPIEGO, MSF, France, CRS</v>
      </c>
      <c r="K9" s="108" t="str">
        <f t="array" ref="K9">IFERROR(INDEX(Main3WData[PT.LstOrg],MATCH(CONCATENATE(K$4&amp;$B9)&amp;TRUE,Main3WData[PT.Concat]&amp;Main3WData[PT.Show],0)),"")</f>
        <v/>
      </c>
      <c r="L9" s="108" t="str">
        <f t="array" ref="L9">IFERROR(INDEX(Main3WData[PT.LstOrg],MATCH(CONCATENATE(L$4&amp;$B9)&amp;TRUE,Main3WData[PT.Concat]&amp;Main3WData[PT.Show],0)),"")</f>
        <v/>
      </c>
      <c r="M9" s="108" t="str">
        <f t="array" ref="M9">IFERROR(INDEX(Main3WData[PT.LstOrg],MATCH(CONCATENATE(M$4&amp;$B9)&amp;TRUE,Main3WData[PT.Concat]&amp;Main3WData[PT.Show],0)),"")</f>
        <v>WFP, DSVC</v>
      </c>
      <c r="N9" s="108" t="str">
        <f t="array" ref="N9">IFERROR(INDEX(Main3WData[PT.LstOrg],MATCH(CONCATENATE(N$4&amp;$B9)&amp;TRUE,Main3WData[PT.Concat]&amp;Main3WData[PT.Show],0)),"")</f>
        <v>USAID/JHPIEGO, UNFPA, save the Children, OMS, Columbia Univ, CDC, ACF-E</v>
      </c>
      <c r="O9" s="108" t="str">
        <f t="array" ref="O9">IFERROR(INDEX(Main3WData[PT.LstOrg],MATCH(CONCATENATE(O$4&amp;$B9)&amp;TRUE,Main3WData[PT.Concat]&amp;Main3WData[PT.Show],0)),"")</f>
        <v>MSF, IP-D, ECHO</v>
      </c>
    </row>
    <row r="10" spans="2:19" ht="30.75" customHeight="1" x14ac:dyDescent="0.2">
      <c r="B10" s="106" t="s">
        <v>379</v>
      </c>
      <c r="C10" s="107" t="s">
        <v>378</v>
      </c>
      <c r="D10" s="108" t="str">
        <f t="array" ref="D10">IFERROR(INDEX(Main3WData[PT.LstOrg],MATCH(CONCATENATE(D$4&amp;$B10)&amp;TRUE,Main3WData[PT.Concat]&amp;Main3WData[PT.Show],0)),"")</f>
        <v>UNICEF, UNFPA, PLAN, OMS</v>
      </c>
      <c r="E10" s="108" t="str">
        <f t="array" ref="E10">IFERROR(INDEX(Main3WData[PT.LstOrg],MATCH(CONCATENATE(E$4&amp;$B10)&amp;TRUE,Main3WData[PT.Concat]&amp;Main3WData[PT.Show],0)),"")</f>
        <v>UNMEER, UNFPA, UNDP, OMS, MSF, eHealth Africa</v>
      </c>
      <c r="F10" s="108" t="str">
        <f t="array" ref="F10">IFERROR(INDEX(Main3WData[PT.LstOrg],MATCH(CONCATENATE(F$4&amp;$B10)&amp;TRUE,Main3WData[PT.Concat]&amp;Main3WData[PT.Show],0)),"")</f>
        <v>UNDP</v>
      </c>
      <c r="G10" s="108" t="str">
        <f t="array" ref="G10">IFERROR(INDEX(Main3WData[PT.LstOrg],MATCH(CONCATENATE(G$4&amp;$B10)&amp;TRUE,Main3WData[PT.Concat]&amp;Main3WData[PT.Show],0)),"")</f>
        <v>CRG</v>
      </c>
      <c r="H10" s="108" t="str">
        <f t="array" ref="H10">IFERROR(INDEX(Main3WData[PT.LstOrg],MATCH(CONCATENATE(H$4&amp;$B10)&amp;TRUE,Main3WData[PT.Concat]&amp;Main3WData[PT.Show],0)),"")</f>
        <v>UNMEER, PLAN, OMS</v>
      </c>
      <c r="I10" s="108" t="str">
        <f t="array" ref="I10">IFERROR(INDEX(Main3WData[PT.LstOrg],MATCH(CONCATENATE(I$4&amp;$B10)&amp;TRUE,Main3WData[PT.Concat]&amp;Main3WData[PT.Show],0)),"")</f>
        <v>OMS</v>
      </c>
      <c r="J10" s="108" t="str">
        <f t="array" ref="J10">IFERROR(INDEX(Main3WData[PT.LstOrg],MATCH(CONCATENATE(J$4&amp;$B10)&amp;TRUE,Main3WData[PT.Concat]&amp;Main3WData[PT.Show],0)),"")</f>
        <v/>
      </c>
      <c r="K10" s="108" t="str">
        <f t="array" ref="K10">IFERROR(INDEX(Main3WData[PT.LstOrg],MATCH(CONCATENATE(K$4&amp;$B10)&amp;TRUE,Main3WData[PT.Concat]&amp;Main3WData[PT.Show],0)),"")</f>
        <v/>
      </c>
      <c r="L10" s="108" t="str">
        <f t="array" ref="L10">IFERROR(INDEX(Main3WData[PT.LstOrg],MATCH(CONCATENATE(L$4&amp;$B10)&amp;TRUE,Main3WData[PT.Concat]&amp;Main3WData[PT.Show],0)),"")</f>
        <v/>
      </c>
      <c r="M10" s="108" t="str">
        <f t="array" ref="M10">IFERROR(INDEX(Main3WData[PT.LstOrg],MATCH(CONCATENATE(M$4&amp;$B10)&amp;TRUE,Main3WData[PT.Concat]&amp;Main3WData[PT.Show],0)),"")</f>
        <v/>
      </c>
      <c r="N10" s="108" t="str">
        <f t="array" ref="N10">IFERROR(INDEX(Main3WData[PT.LstOrg],MATCH(CONCATENATE(N$4&amp;$B10)&amp;TRUE,Main3WData[PT.Concat]&amp;Main3WData[PT.Show],0)),"")</f>
        <v>OMS, CDC</v>
      </c>
      <c r="O10" s="108" t="str">
        <f t="array" ref="O10">IFERROR(INDEX(Main3WData[PT.LstOrg],MATCH(CONCATENATE(O$4&amp;$B10)&amp;TRUE,Main3WData[PT.Concat]&amp;Main3WData[PT.Show],0)),"")</f>
        <v/>
      </c>
    </row>
    <row r="11" spans="2:19" ht="30.75" customHeight="1" x14ac:dyDescent="0.2">
      <c r="B11" s="106" t="s">
        <v>381</v>
      </c>
      <c r="C11" s="107" t="s">
        <v>380</v>
      </c>
      <c r="D11" s="108" t="str">
        <f t="array" ref="D11">IFERROR(INDEX(Main3WData[PT.LstOrg],MATCH(CONCATENATE(D$4&amp;$B11)&amp;TRUE,Main3WData[PT.Concat]&amp;Main3WData[PT.Show],0)),"")</f>
        <v>UNICEF, UNFPA, PLAN, OMS</v>
      </c>
      <c r="E11" s="108" t="str">
        <f t="array" ref="E11">IFERROR(INDEX(Main3WData[PT.LstOrg],MATCH(CONCATENATE(E$4&amp;$B11)&amp;TRUE,Main3WData[PT.Concat]&amp;Main3WData[PT.Show],0)),"")</f>
        <v>UNMEER, UNFPA, UNDP, OMS, MSF, eHealth Africa</v>
      </c>
      <c r="F11" s="108" t="str">
        <f t="array" ref="F11">IFERROR(INDEX(Main3WData[PT.LstOrg],MATCH(CONCATENATE(F$4&amp;$B11)&amp;TRUE,Main3WData[PT.Concat]&amp;Main3WData[PT.Show],0)),"")</f>
        <v>UNDP</v>
      </c>
      <c r="G11" s="108" t="str">
        <f t="array" ref="G11">IFERROR(INDEX(Main3WData[PT.LstOrg],MATCH(CONCATENATE(G$4&amp;$B11)&amp;TRUE,Main3WData[PT.Concat]&amp;Main3WData[PT.Show],0)),"")</f>
        <v>CRG</v>
      </c>
      <c r="H11" s="108" t="str">
        <f t="array" ref="H11">IFERROR(INDEX(Main3WData[PT.LstOrg],MATCH(CONCATENATE(H$4&amp;$B11)&amp;TRUE,Main3WData[PT.Concat]&amp;Main3WData[PT.Show],0)),"")</f>
        <v>UNMEER, PLAN, OMS</v>
      </c>
      <c r="I11" s="108" t="str">
        <f t="array" ref="I11">IFERROR(INDEX(Main3WData[PT.LstOrg],MATCH(CONCATENATE(I$4&amp;$B11)&amp;TRUE,Main3WData[PT.Concat]&amp;Main3WData[PT.Show],0)),"")</f>
        <v/>
      </c>
      <c r="J11" s="108" t="str">
        <f t="array" ref="J11">IFERROR(INDEX(Main3WData[PT.LstOrg],MATCH(CONCATENATE(J$4&amp;$B11)&amp;TRUE,Main3WData[PT.Concat]&amp;Main3WData[PT.Show],0)),"")</f>
        <v/>
      </c>
      <c r="K11" s="108" t="str">
        <f t="array" ref="K11">IFERROR(INDEX(Main3WData[PT.LstOrg],MATCH(CONCATENATE(K$4&amp;$B11)&amp;TRUE,Main3WData[PT.Concat]&amp;Main3WData[PT.Show],0)),"")</f>
        <v/>
      </c>
      <c r="L11" s="108" t="str">
        <f t="array" ref="L11">IFERROR(INDEX(Main3WData[PT.LstOrg],MATCH(CONCATENATE(L$4&amp;$B11)&amp;TRUE,Main3WData[PT.Concat]&amp;Main3WData[PT.Show],0)),"")</f>
        <v/>
      </c>
      <c r="M11" s="108" t="str">
        <f t="array" ref="M11">IFERROR(INDEX(Main3WData[PT.LstOrg],MATCH(CONCATENATE(M$4&amp;$B11)&amp;TRUE,Main3WData[PT.Concat]&amp;Main3WData[PT.Show],0)),"")</f>
        <v/>
      </c>
      <c r="N11" s="108" t="str">
        <f t="array" ref="N11">IFERROR(INDEX(Main3WData[PT.LstOrg],MATCH(CONCATENATE(N$4&amp;$B11)&amp;TRUE,Main3WData[PT.Concat]&amp;Main3WData[PT.Show],0)),"")</f>
        <v>OMS, CDC</v>
      </c>
      <c r="O11" s="108" t="str">
        <f t="array" ref="O11">IFERROR(INDEX(Main3WData[PT.LstOrg],MATCH(CONCATENATE(O$4&amp;$B11)&amp;TRUE,Main3WData[PT.Concat]&amp;Main3WData[PT.Show],0)),"")</f>
        <v/>
      </c>
    </row>
    <row r="12" spans="2:19" ht="30.75" customHeight="1" x14ac:dyDescent="0.2">
      <c r="B12" s="106" t="s">
        <v>383</v>
      </c>
      <c r="C12" s="107" t="s">
        <v>382</v>
      </c>
      <c r="D12" s="108" t="str">
        <f t="array" ref="D12">IFERROR(INDEX(Main3WData[PT.LstOrg],MATCH(CONCATENATE(D$4&amp;$B12)&amp;TRUE,Main3WData[PT.Concat]&amp;Main3WData[PT.Show],0)),"")</f>
        <v>UNICEF, UNFPA, PLAN, OMS, CRG/FICR</v>
      </c>
      <c r="E12" s="108" t="str">
        <f t="array" ref="E12">IFERROR(INDEX(Main3WData[PT.LstOrg],MATCH(CONCATENATE(E$4&amp;$B12)&amp;TRUE,Main3WData[PT.Concat]&amp;Main3WData[PT.Show],0)),"")</f>
        <v>UNMEER, UNFPA, UNDP, OMS, MSF, eHealth Africa</v>
      </c>
      <c r="F12" s="108" t="str">
        <f t="array" ref="F12">IFERROR(INDEX(Main3WData[PT.LstOrg],MATCH(CONCATENATE(F$4&amp;$B12)&amp;TRUE,Main3WData[PT.Concat]&amp;Main3WData[PT.Show],0)),"")</f>
        <v>UNDP</v>
      </c>
      <c r="G12" s="108" t="str">
        <f t="array" ref="G12">IFERROR(INDEX(Main3WData[PT.LstOrg],MATCH(CONCATENATE(G$4&amp;$B12)&amp;TRUE,Main3WData[PT.Concat]&amp;Main3WData[PT.Show],0)),"")</f>
        <v>CRG</v>
      </c>
      <c r="H12" s="108" t="str">
        <f t="array" ref="H12">IFERROR(INDEX(Main3WData[PT.LstOrg],MATCH(CONCATENATE(H$4&amp;$B12)&amp;TRUE,Main3WData[PT.Concat]&amp;Main3WData[PT.Show],0)),"")</f>
        <v>UNMEER, PLAN, OMS</v>
      </c>
      <c r="I12" s="108" t="str">
        <f t="array" ref="I12">IFERROR(INDEX(Main3WData[PT.LstOrg],MATCH(CONCATENATE(I$4&amp;$B12)&amp;TRUE,Main3WData[PT.Concat]&amp;Main3WData[PT.Show],0)),"")</f>
        <v>OMS</v>
      </c>
      <c r="J12" s="108" t="str">
        <f t="array" ref="J12">IFERROR(INDEX(Main3WData[PT.LstOrg],MATCH(CONCATENATE(J$4&amp;$B12)&amp;TRUE,Main3WData[PT.Concat]&amp;Main3WData[PT.Show],0)),"")</f>
        <v/>
      </c>
      <c r="K12" s="108" t="str">
        <f t="array" ref="K12">IFERROR(INDEX(Main3WData[PT.LstOrg],MATCH(CONCATENATE(K$4&amp;$B12)&amp;TRUE,Main3WData[PT.Concat]&amp;Main3WData[PT.Show],0)),"")</f>
        <v/>
      </c>
      <c r="L12" s="108" t="str">
        <f t="array" ref="L12">IFERROR(INDEX(Main3WData[PT.LstOrg],MATCH(CONCATENATE(L$4&amp;$B12)&amp;TRUE,Main3WData[PT.Concat]&amp;Main3WData[PT.Show],0)),"")</f>
        <v/>
      </c>
      <c r="M12" s="108" t="str">
        <f t="array" ref="M12">IFERROR(INDEX(Main3WData[PT.LstOrg],MATCH(CONCATENATE(M$4&amp;$B12)&amp;TRUE,Main3WData[PT.Concat]&amp;Main3WData[PT.Show],0)),"")</f>
        <v>WFP</v>
      </c>
      <c r="N12" s="108" t="str">
        <f t="array" ref="N12">IFERROR(INDEX(Main3WData[PT.LstOrg],MATCH(CONCATENATE(N$4&amp;$B12)&amp;TRUE,Main3WData[PT.Concat]&amp;Main3WData[PT.Show],0)),"")</f>
        <v>UNFPA, OMS, Columbia Univ, CDC</v>
      </c>
      <c r="O12" s="108" t="str">
        <f t="array" ref="O12">IFERROR(INDEX(Main3WData[PT.LstOrg],MATCH(CONCATENATE(O$4&amp;$B12)&amp;TRUE,Main3WData[PT.Concat]&amp;Main3WData[PT.Show],0)),"")</f>
        <v/>
      </c>
    </row>
    <row r="13" spans="2:19" ht="30.75" customHeight="1" x14ac:dyDescent="0.2">
      <c r="B13" s="106" t="s">
        <v>385</v>
      </c>
      <c r="C13" s="107" t="s">
        <v>384</v>
      </c>
      <c r="D13" s="108" t="str">
        <f t="array" ref="D13">IFERROR(INDEX(Main3WData[PT.LstOrg],MATCH(CONCATENATE(D$4&amp;$B13)&amp;TRUE,Main3WData[PT.Concat]&amp;Main3WData[PT.Show],0)),"")</f>
        <v>UNICEF, UNFPA, PLAN, OMS, CRG/FICR</v>
      </c>
      <c r="E13" s="108" t="str">
        <f t="array" ref="E13">IFERROR(INDEX(Main3WData[PT.LstOrg],MATCH(CONCATENATE(E$4&amp;$B13)&amp;TRUE,Main3WData[PT.Concat]&amp;Main3WData[PT.Show],0)),"")</f>
        <v>UNMEER, UNFPA, UNDP, OMS, MSF, eHealth Africa</v>
      </c>
      <c r="F13" s="108" t="str">
        <f t="array" ref="F13">IFERROR(INDEX(Main3WData[PT.LstOrg],MATCH(CONCATENATE(F$4&amp;$B13)&amp;TRUE,Main3WData[PT.Concat]&amp;Main3WData[PT.Show],0)),"")</f>
        <v>UNDP</v>
      </c>
      <c r="G13" s="108" t="str">
        <f t="array" ref="G13">IFERROR(INDEX(Main3WData[PT.LstOrg],MATCH(CONCATENATE(G$4&amp;$B13)&amp;TRUE,Main3WData[PT.Concat]&amp;Main3WData[PT.Show],0)),"")</f>
        <v>CRG</v>
      </c>
      <c r="H13" s="108" t="str">
        <f t="array" ref="H13">IFERROR(INDEX(Main3WData[PT.LstOrg],MATCH(CONCATENATE(H$4&amp;$B13)&amp;TRUE,Main3WData[PT.Concat]&amp;Main3WData[PT.Show],0)),"")</f>
        <v>UNMEER, PLAN, OMS</v>
      </c>
      <c r="I13" s="108" t="str">
        <f t="array" ref="I13">IFERROR(INDEX(Main3WData[PT.LstOrg],MATCH(CONCATENATE(I$4&amp;$B13)&amp;TRUE,Main3WData[PT.Concat]&amp;Main3WData[PT.Show],0)),"")</f>
        <v>UNMEER, OMS</v>
      </c>
      <c r="J13" s="108" t="str">
        <f t="array" ref="J13">IFERROR(INDEX(Main3WData[PT.LstOrg],MATCH(CONCATENATE(J$4&amp;$B13)&amp;TRUE,Main3WData[PT.Concat]&amp;Main3WData[PT.Show],0)),"")</f>
        <v/>
      </c>
      <c r="K13" s="108" t="str">
        <f t="array" ref="K13">IFERROR(INDEX(Main3WData[PT.LstOrg],MATCH(CONCATENATE(K$4&amp;$B13)&amp;TRUE,Main3WData[PT.Concat]&amp;Main3WData[PT.Show],0)),"")</f>
        <v/>
      </c>
      <c r="L13" s="108" t="str">
        <f t="array" ref="L13">IFERROR(INDEX(Main3WData[PT.LstOrg],MATCH(CONCATENATE(L$4&amp;$B13)&amp;TRUE,Main3WData[PT.Concat]&amp;Main3WData[PT.Show],0)),"")</f>
        <v/>
      </c>
      <c r="M13" s="108" t="str">
        <f t="array" ref="M13">IFERROR(INDEX(Main3WData[PT.LstOrg],MATCH(CONCATENATE(M$4&amp;$B13)&amp;TRUE,Main3WData[PT.Concat]&amp;Main3WData[PT.Show],0)),"")</f>
        <v>WFP, CRS</v>
      </c>
      <c r="N13" s="108" t="str">
        <f t="array" ref="N13">IFERROR(INDEX(Main3WData[PT.LstOrg],MATCH(CONCATENATE(N$4&amp;$B13)&amp;TRUE,Main3WData[PT.Concat]&amp;Main3WData[PT.Show],0)),"")</f>
        <v>OMS, CDC</v>
      </c>
      <c r="O13" s="108" t="str">
        <f t="array" ref="O13">IFERROR(INDEX(Main3WData[PT.LstOrg],MATCH(CONCATENATE(O$4&amp;$B13)&amp;TRUE,Main3WData[PT.Concat]&amp;Main3WData[PT.Show],0)),"")</f>
        <v/>
      </c>
    </row>
    <row r="14" spans="2:19" ht="30.75" customHeight="1" x14ac:dyDescent="0.2">
      <c r="B14" s="106" t="s">
        <v>387</v>
      </c>
      <c r="C14" s="107" t="s">
        <v>386</v>
      </c>
      <c r="D14" s="108" t="str">
        <f t="array" ref="D14">IFERROR(INDEX(Main3WData[PT.LstOrg],MATCH(CONCATENATE(D$4&amp;$B14)&amp;TRUE,Main3WData[PT.Concat]&amp;Main3WData[PT.Show],0)),"")</f>
        <v>USAID, UNICEF, UNFPA, Save the Children, PLAN, OMS, Internews, CRG/FICR</v>
      </c>
      <c r="E14" s="108" t="str">
        <f t="array" ref="E14">IFERROR(INDEX(Main3WData[PT.LstOrg],MATCH(CONCATENATE(E$4&amp;$B14)&amp;TRUE,Main3WData[PT.Concat]&amp;Main3WData[PT.Show],0)),"")</f>
        <v>USAID, UNMEER, UNFPA, UNDP, save the children, OMS, MSF, eHealth Africa</v>
      </c>
      <c r="F14" s="108" t="str">
        <f t="array" ref="F14">IFERROR(INDEX(Main3WData[PT.LstOrg],MATCH(CONCATENATE(F$4&amp;$B14)&amp;TRUE,Main3WData[PT.Concat]&amp;Main3WData[PT.Show],0)),"")</f>
        <v>UNDP</v>
      </c>
      <c r="G14" s="108" t="str">
        <f t="array" ref="G14">IFERROR(INDEX(Main3WData[PT.LstOrg],MATCH(CONCATENATE(G$4&amp;$B14)&amp;TRUE,Main3WData[PT.Concat]&amp;Main3WData[PT.Show],0)),"")</f>
        <v>CRG</v>
      </c>
      <c r="H14" s="108" t="str">
        <f t="array" ref="H14">IFERROR(INDEX(Main3WData[PT.LstOrg],MATCH(CONCATENATE(H$4&amp;$B14)&amp;TRUE,Main3WData[PT.Concat]&amp;Main3WData[PT.Show],0)),"")</f>
        <v>UNMEER, UNDP, OMS</v>
      </c>
      <c r="I14" s="108" t="str">
        <f t="array" ref="I14">IFERROR(INDEX(Main3WData[PT.LstOrg],MATCH(CONCATENATE(I$4&amp;$B14)&amp;TRUE,Main3WData[PT.Concat]&amp;Main3WData[PT.Show],0)),"")</f>
        <v>UNMEER, OMS</v>
      </c>
      <c r="J14" s="108" t="str">
        <f t="array" ref="J14">IFERROR(INDEX(Main3WData[PT.LstOrg],MATCH(CONCATENATE(J$4&amp;$B14)&amp;TRUE,Main3WData[PT.Concat]&amp;Main3WData[PT.Show],0)),"")</f>
        <v>MSF, France</v>
      </c>
      <c r="K14" s="108" t="str">
        <f t="array" ref="K14">IFERROR(INDEX(Main3WData[PT.LstOrg],MATCH(CONCATENATE(K$4&amp;$B14)&amp;TRUE,Main3WData[PT.Concat]&amp;Main3WData[PT.Show],0)),"")</f>
        <v/>
      </c>
      <c r="L14" s="108" t="str">
        <f t="array" ref="L14">IFERROR(INDEX(Main3WData[PT.LstOrg],MATCH(CONCATENATE(L$4&amp;$B14)&amp;TRUE,Main3WData[PT.Concat]&amp;Main3WData[PT.Show],0)),"")</f>
        <v/>
      </c>
      <c r="M14" s="108" t="str">
        <f t="array" ref="M14">IFERROR(INDEX(Main3WData[PT.LstOrg],MATCH(CONCATENATE(M$4&amp;$B14)&amp;TRUE,Main3WData[PT.Concat]&amp;Main3WData[PT.Show],0)),"")</f>
        <v>WFP, save the children</v>
      </c>
      <c r="N14" s="108" t="str">
        <f t="array" ref="N14">IFERROR(INDEX(Main3WData[PT.LstOrg],MATCH(CONCATENATE(N$4&amp;$B14)&amp;TRUE,Main3WData[PT.Concat]&amp;Main3WData[PT.Show],0)),"")</f>
        <v>USAID, UNFPA, save the Children, OMS, Columbia Univ, CDC</v>
      </c>
      <c r="O14" s="108" t="str">
        <f t="array" ref="O14">IFERROR(INDEX(Main3WData[PT.LstOrg],MATCH(CONCATENATE(O$4&amp;$B14)&amp;TRUE,Main3WData[PT.Concat]&amp;Main3WData[PT.Show],0)),"")</f>
        <v>MSF, CELLULE</v>
      </c>
    </row>
    <row r="15" spans="2:19" ht="30.75" customHeight="1" x14ac:dyDescent="0.2">
      <c r="B15" s="106" t="s">
        <v>389</v>
      </c>
      <c r="C15" s="107" t="s">
        <v>388</v>
      </c>
      <c r="D15" s="108" t="str">
        <f t="array" ref="D15">IFERROR(INDEX(Main3WData[PT.LstOrg],MATCH(CONCATENATE(D$4&amp;$B15)&amp;TRUE,Main3WData[PT.Concat]&amp;Main3WData[PT.Show],0)),"")</f>
        <v>UNICEF, UNFPA, Save the Children, PLAN, OMS, CRG/FICR</v>
      </c>
      <c r="E15" s="108" t="str">
        <f t="array" ref="E15">IFERROR(INDEX(Main3WData[PT.LstOrg],MATCH(CONCATENATE(E$4&amp;$B15)&amp;TRUE,Main3WData[PT.Concat]&amp;Main3WData[PT.Show],0)),"")</f>
        <v>UNMEER, UNFPA, UNDP, OMS, MSF, eHealth Africa</v>
      </c>
      <c r="F15" s="108" t="str">
        <f t="array" ref="F15">IFERROR(INDEX(Main3WData[PT.LstOrg],MATCH(CONCATENATE(F$4&amp;$B15)&amp;TRUE,Main3WData[PT.Concat]&amp;Main3WData[PT.Show],0)),"")</f>
        <v>UNDP</v>
      </c>
      <c r="G15" s="108" t="str">
        <f t="array" ref="G15">IFERROR(INDEX(Main3WData[PT.LstOrg],MATCH(CONCATENATE(G$4&amp;$B15)&amp;TRUE,Main3WData[PT.Concat]&amp;Main3WData[PT.Show],0)),"")</f>
        <v>CRG</v>
      </c>
      <c r="H15" s="108" t="str">
        <f t="array" ref="H15">IFERROR(INDEX(Main3WData[PT.LstOrg],MATCH(CONCATENATE(H$4&amp;$B15)&amp;TRUE,Main3WData[PT.Concat]&amp;Main3WData[PT.Show],0)),"")</f>
        <v>UNMEER, OMS</v>
      </c>
      <c r="I15" s="108" t="str">
        <f t="array" ref="I15">IFERROR(INDEX(Main3WData[PT.LstOrg],MATCH(CONCATENATE(I$4&amp;$B15)&amp;TRUE,Main3WData[PT.Concat]&amp;Main3WData[PT.Show],0)),"")</f>
        <v>UNMEER, OMS</v>
      </c>
      <c r="J15" s="108" t="str">
        <f t="array" ref="J15">IFERROR(INDEX(Main3WData[PT.LstOrg],MATCH(CONCATENATE(J$4&amp;$B15)&amp;TRUE,Main3WData[PT.Concat]&amp;Main3WData[PT.Show],0)),"")</f>
        <v>WFP, OMS, MSF, France, CRS</v>
      </c>
      <c r="K15" s="108" t="str">
        <f t="array" ref="K15">IFERROR(INDEX(Main3WData[PT.LstOrg],MATCH(CONCATENATE(K$4&amp;$B15)&amp;TRUE,Main3WData[PT.Concat]&amp;Main3WData[PT.Show],0)),"")</f>
        <v/>
      </c>
      <c r="L15" s="108" t="str">
        <f t="array" ref="L15">IFERROR(INDEX(Main3WData[PT.LstOrg],MATCH(CONCATENATE(L$4&amp;$B15)&amp;TRUE,Main3WData[PT.Concat]&amp;Main3WData[PT.Show],0)),"")</f>
        <v/>
      </c>
      <c r="M15" s="108" t="str">
        <f t="array" ref="M15">IFERROR(INDEX(Main3WData[PT.LstOrg],MATCH(CONCATENATE(M$4&amp;$B15)&amp;TRUE,Main3WData[PT.Concat]&amp;Main3WData[PT.Show],0)),"")</f>
        <v>WFP, CRS</v>
      </c>
      <c r="N15" s="108" t="str">
        <f t="array" ref="N15">IFERROR(INDEX(Main3WData[PT.LstOrg],MATCH(CONCATENATE(N$4&amp;$B15)&amp;TRUE,Main3WData[PT.Concat]&amp;Main3WData[PT.Show],0)),"")</f>
        <v>UNFPA, Save the Children, OMS, Columbia Univ, CDC</v>
      </c>
      <c r="O15" s="108" t="str">
        <f t="array" ref="O15">IFERROR(INDEX(Main3WData[PT.LstOrg],MATCH(CONCATENATE(O$4&amp;$B15)&amp;TRUE,Main3WData[PT.Concat]&amp;Main3WData[PT.Show],0)),"")</f>
        <v>FEI/KPLAN</v>
      </c>
    </row>
    <row r="16" spans="2:19" ht="30.75" customHeight="1" x14ac:dyDescent="0.2">
      <c r="B16" s="106" t="s">
        <v>391</v>
      </c>
      <c r="C16" s="107" t="s">
        <v>390</v>
      </c>
      <c r="D16" s="108" t="str">
        <f t="array" ref="D16">IFERROR(INDEX(Main3WData[PT.LstOrg],MATCH(CONCATENATE(D$4&amp;$B16)&amp;TRUE,Main3WData[PT.Concat]&amp;Main3WData[PT.Show],0)),"")</f>
        <v>UNICEF, UNFPA, PLAN, OMS, CRG/FICR</v>
      </c>
      <c r="E16" s="108" t="str">
        <f t="array" ref="E16">IFERROR(INDEX(Main3WData[PT.LstOrg],MATCH(CONCATENATE(E$4&amp;$B16)&amp;TRUE,Main3WData[PT.Concat]&amp;Main3WData[PT.Show],0)),"")</f>
        <v>USAID, UNMEER, UNFPA, UNDP, save the children, OMS, MSF, eHealth Africa</v>
      </c>
      <c r="F16" s="108" t="str">
        <f t="array" ref="F16">IFERROR(INDEX(Main3WData[PT.LstOrg],MATCH(CONCATENATE(F$4&amp;$B16)&amp;TRUE,Main3WData[PT.Concat]&amp;Main3WData[PT.Show],0)),"")</f>
        <v>UNDP</v>
      </c>
      <c r="G16" s="108" t="str">
        <f t="array" ref="G16">IFERROR(INDEX(Main3WData[PT.LstOrg],MATCH(CONCATENATE(G$4&amp;$B16)&amp;TRUE,Main3WData[PT.Concat]&amp;Main3WData[PT.Show],0)),"")</f>
        <v>CRG</v>
      </c>
      <c r="H16" s="108" t="str">
        <f t="array" ref="H16">IFERROR(INDEX(Main3WData[PT.LstOrg],MATCH(CONCATENATE(H$4&amp;$B16)&amp;TRUE,Main3WData[PT.Concat]&amp;Main3WData[PT.Show],0)),"")</f>
        <v>UNMEER, OMS</v>
      </c>
      <c r="I16" s="108" t="str">
        <f t="array" ref="I16">IFERROR(INDEX(Main3WData[PT.LstOrg],MATCH(CONCATENATE(I$4&amp;$B16)&amp;TRUE,Main3WData[PT.Concat]&amp;Main3WData[PT.Show],0)),"")</f>
        <v>OMS</v>
      </c>
      <c r="J16" s="108" t="str">
        <f t="array" ref="J16">IFERROR(INDEX(Main3WData[PT.LstOrg],MATCH(CONCATENATE(J$4&amp;$B16)&amp;TRUE,Main3WData[PT.Concat]&amp;Main3WData[PT.Show],0)),"")</f>
        <v/>
      </c>
      <c r="K16" s="108" t="str">
        <f t="array" ref="K16">IFERROR(INDEX(Main3WData[PT.LstOrg],MATCH(CONCATENATE(K$4&amp;$B16)&amp;TRUE,Main3WData[PT.Concat]&amp;Main3WData[PT.Show],0)),"")</f>
        <v/>
      </c>
      <c r="L16" s="108" t="str">
        <f t="array" ref="L16">IFERROR(INDEX(Main3WData[PT.LstOrg],MATCH(CONCATENATE(L$4&amp;$B16)&amp;TRUE,Main3WData[PT.Concat]&amp;Main3WData[PT.Show],0)),"")</f>
        <v/>
      </c>
      <c r="M16" s="108" t="str">
        <f t="array" ref="M16">IFERROR(INDEX(Main3WData[PT.LstOrg],MATCH(CONCATENATE(M$4&amp;$B16)&amp;TRUE,Main3WData[PT.Concat]&amp;Main3WData[PT.Show],0)),"")</f>
        <v>WFP</v>
      </c>
      <c r="N16" s="108" t="str">
        <f t="array" ref="N16">IFERROR(INDEX(Main3WData[PT.LstOrg],MATCH(CONCATENATE(N$4&amp;$B16)&amp;TRUE,Main3WData[PT.Concat]&amp;Main3WData[PT.Show],0)),"")</f>
        <v>USAID, UNFPA, Save the Children, OMS, Columbia Univ, CDC</v>
      </c>
      <c r="O16" s="108" t="str">
        <f t="array" ref="O16">IFERROR(INDEX(Main3WData[PT.LstOrg],MATCH(CONCATENATE(O$4&amp;$B16)&amp;TRUE,Main3WData[PT.Concat]&amp;Main3WData[PT.Show],0)),"")</f>
        <v/>
      </c>
    </row>
    <row r="17" spans="2:15" ht="30.75" customHeight="1" x14ac:dyDescent="0.2">
      <c r="B17" s="106" t="s">
        <v>393</v>
      </c>
      <c r="C17" s="107" t="s">
        <v>392</v>
      </c>
      <c r="D17" s="108" t="str">
        <f t="array" ref="D17">IFERROR(INDEX(Main3WData[PT.LstOrg],MATCH(CONCATENATE(D$4&amp;$B17)&amp;TRUE,Main3WData[PT.Concat]&amp;Main3WData[PT.Show],0)),"")</f>
        <v>UNICEF, UNFPA, PLAN, OMS, CRG/FICR</v>
      </c>
      <c r="E17" s="108" t="str">
        <f t="array" ref="E17">IFERROR(INDEX(Main3WData[PT.LstOrg],MATCH(CONCATENATE(E$4&amp;$B17)&amp;TRUE,Main3WData[PT.Concat]&amp;Main3WData[PT.Show],0)),"")</f>
        <v>UNMEER, UNFPA, UNDP, OMS, MSF, eHealth Africa</v>
      </c>
      <c r="F17" s="108" t="str">
        <f t="array" ref="F17">IFERROR(INDEX(Main3WData[PT.LstOrg],MATCH(CONCATENATE(F$4&amp;$B17)&amp;TRUE,Main3WData[PT.Concat]&amp;Main3WData[PT.Show],0)),"")</f>
        <v>UNDP</v>
      </c>
      <c r="G17" s="108" t="str">
        <f t="array" ref="G17">IFERROR(INDEX(Main3WData[PT.LstOrg],MATCH(CONCATENATE(G$4&amp;$B17)&amp;TRUE,Main3WData[PT.Concat]&amp;Main3WData[PT.Show],0)),"")</f>
        <v>CRG</v>
      </c>
      <c r="H17" s="108" t="str">
        <f t="array" ref="H17">IFERROR(INDEX(Main3WData[PT.LstOrg],MATCH(CONCATENATE(H$4&amp;$B17)&amp;TRUE,Main3WData[PT.Concat]&amp;Main3WData[PT.Show],0)),"")</f>
        <v>UNMEER, UNDP, OMS</v>
      </c>
      <c r="I17" s="108" t="str">
        <f t="array" ref="I17">IFERROR(INDEX(Main3WData[PT.LstOrg],MATCH(CONCATENATE(I$4&amp;$B17)&amp;TRUE,Main3WData[PT.Concat]&amp;Main3WData[PT.Show],0)),"")</f>
        <v>WFP, UNMEER</v>
      </c>
      <c r="J17" s="108" t="str">
        <f t="array" ref="J17">IFERROR(INDEX(Main3WData[PT.LstOrg],MATCH(CONCATENATE(J$4&amp;$B17)&amp;TRUE,Main3WData[PT.Concat]&amp;Main3WData[PT.Show],0)),"")</f>
        <v>OMS</v>
      </c>
      <c r="K17" s="108" t="str">
        <f t="array" ref="K17">IFERROR(INDEX(Main3WData[PT.LstOrg],MATCH(CONCATENATE(K$4&amp;$B17)&amp;TRUE,Main3WData[PT.Concat]&amp;Main3WData[PT.Show],0)),"")</f>
        <v>USAID, OMS, MSF, CRS</v>
      </c>
      <c r="L17" s="108" t="str">
        <f t="array" ref="L17">IFERROR(INDEX(Main3WData[PT.LstOrg],MATCH(CONCATENATE(L$4&amp;$B17)&amp;TRUE,Main3WData[PT.Concat]&amp;Main3WData[PT.Show],0)),"")</f>
        <v/>
      </c>
      <c r="M17" s="108" t="str">
        <f t="array" ref="M17">IFERROR(INDEX(Main3WData[PT.LstOrg],MATCH(CONCATENATE(M$4&amp;$B17)&amp;TRUE,Main3WData[PT.Concat]&amp;Main3WData[PT.Show],0)),"")</f>
        <v/>
      </c>
      <c r="N17" s="108" t="str">
        <f t="array" ref="N17">IFERROR(INDEX(Main3WData[PT.LstOrg],MATCH(CONCATENATE(N$4&amp;$B17)&amp;TRUE,Main3WData[PT.Concat]&amp;Main3WData[PT.Show],0)),"")</f>
        <v>OMS, CDC</v>
      </c>
      <c r="O17" s="108" t="str">
        <f t="array" ref="O17">IFERROR(INDEX(Main3WData[PT.LstOrg],MATCH(CONCATENATE(O$4&amp;$B17)&amp;TRUE,Main3WData[PT.Concat]&amp;Main3WData[PT.Show],0)),"")</f>
        <v>PLAN</v>
      </c>
    </row>
    <row r="18" spans="2:15" ht="30.75" customHeight="1" x14ac:dyDescent="0.2">
      <c r="B18" s="106" t="s">
        <v>395</v>
      </c>
      <c r="C18" s="107" t="s">
        <v>394</v>
      </c>
      <c r="D18" s="108" t="str">
        <f t="array" ref="D18">IFERROR(INDEX(Main3WData[PT.LstOrg],MATCH(CONCATENATE(D$4&amp;$B18)&amp;TRUE,Main3WData[PT.Concat]&amp;Main3WData[PT.Show],0)),"")</f>
        <v>UNICEF, UNFPA, Save the Children, PLAN, OMS, CRG/FICR</v>
      </c>
      <c r="E18" s="108" t="str">
        <f t="array" ref="E18">IFERROR(INDEX(Main3WData[PT.LstOrg],MATCH(CONCATENATE(E$4&amp;$B18)&amp;TRUE,Main3WData[PT.Concat]&amp;Main3WData[PT.Show],0)),"")</f>
        <v>UNMEER, UNFPA, UNDP, OMS, MSF, eHealth Africa</v>
      </c>
      <c r="F18" s="108" t="str">
        <f t="array" ref="F18">IFERROR(INDEX(Main3WData[PT.LstOrg],MATCH(CONCATENATE(F$4&amp;$B18)&amp;TRUE,Main3WData[PT.Concat]&amp;Main3WData[PT.Show],0)),"")</f>
        <v>UNDP</v>
      </c>
      <c r="G18" s="108" t="str">
        <f t="array" ref="G18">IFERROR(INDEX(Main3WData[PT.LstOrg],MATCH(CONCATENATE(G$4&amp;$B18)&amp;TRUE,Main3WData[PT.Concat]&amp;Main3WData[PT.Show],0)),"")</f>
        <v>CRG</v>
      </c>
      <c r="H18" s="108" t="str">
        <f t="array" ref="H18">IFERROR(INDEX(Main3WData[PT.LstOrg],MATCH(CONCATENATE(H$4&amp;$B18)&amp;TRUE,Main3WData[PT.Concat]&amp;Main3WData[PT.Show],0)),"")</f>
        <v>UNMEER, OMS</v>
      </c>
      <c r="I18" s="108" t="str">
        <f t="array" ref="I18">IFERROR(INDEX(Main3WData[PT.LstOrg],MATCH(CONCATENATE(I$4&amp;$B18)&amp;TRUE,Main3WData[PT.Concat]&amp;Main3WData[PT.Show],0)),"")</f>
        <v>UNMEER, OMS</v>
      </c>
      <c r="J18" s="108" t="str">
        <f t="array" ref="J18">IFERROR(INDEX(Main3WData[PT.LstOrg],MATCH(CONCATENATE(J$4&amp;$B18)&amp;TRUE,Main3WData[PT.Concat]&amp;Main3WData[PT.Show],0)),"")</f>
        <v>save the children</v>
      </c>
      <c r="K18" s="108" t="str">
        <f t="array" ref="K18">IFERROR(INDEX(Main3WData[PT.LstOrg],MATCH(CONCATENATE(K$4&amp;$B18)&amp;TRUE,Main3WData[PT.Concat]&amp;Main3WData[PT.Show],0)),"")</f>
        <v/>
      </c>
      <c r="L18" s="108" t="str">
        <f t="array" ref="L18">IFERROR(INDEX(Main3WData[PT.LstOrg],MATCH(CONCATENATE(L$4&amp;$B18)&amp;TRUE,Main3WData[PT.Concat]&amp;Main3WData[PT.Show],0)),"")</f>
        <v>UNDP</v>
      </c>
      <c r="M18" s="108" t="str">
        <f t="array" ref="M18">IFERROR(INDEX(Main3WData[PT.LstOrg],MATCH(CONCATENATE(M$4&amp;$B18)&amp;TRUE,Main3WData[PT.Concat]&amp;Main3WData[PT.Show],0)),"")</f>
        <v>WFP</v>
      </c>
      <c r="N18" s="108" t="str">
        <f t="array" ref="N18">IFERROR(INDEX(Main3WData[PT.LstOrg],MATCH(CONCATENATE(N$4&amp;$B18)&amp;TRUE,Main3WData[PT.Concat]&amp;Main3WData[PT.Show],0)),"")</f>
        <v>UNFPA, save the Children, OMS, Columbia Univ, CDC</v>
      </c>
      <c r="O18" s="108" t="str">
        <f t="array" ref="O18">IFERROR(INDEX(Main3WData[PT.LstOrg],MATCH(CONCATENATE(O$4&amp;$B18)&amp;TRUE,Main3WData[PT.Concat]&amp;Main3WData[PT.Show],0)),"")</f>
        <v/>
      </c>
    </row>
    <row r="19" spans="2:15" ht="30.75" customHeight="1" x14ac:dyDescent="0.2">
      <c r="B19" s="106" t="s">
        <v>397</v>
      </c>
      <c r="C19" s="107" t="s">
        <v>396</v>
      </c>
      <c r="D19" s="108" t="str">
        <f t="array" ref="D19">IFERROR(INDEX(Main3WData[PT.LstOrg],MATCH(CONCATENATE(D$4&amp;$B19)&amp;TRUE,Main3WData[PT.Concat]&amp;Main3WData[PT.Show],0)),"")</f>
        <v>UNICEF, UNFPA, UNDP, PLAN GUINEE, PLAN, OMS, Internews, CRG/FICR</v>
      </c>
      <c r="E19" s="108" t="str">
        <f t="array" ref="E19">IFERROR(INDEX(Main3WData[PT.LstOrg],MATCH(CONCATENATE(E$4&amp;$B19)&amp;TRUE,Main3WData[PT.Concat]&amp;Main3WData[PT.Show],0)),"")</f>
        <v>UNMEER, UNFPA, UNDP, OMS, MSF, eHealth Africa</v>
      </c>
      <c r="F19" s="108" t="str">
        <f t="array" ref="F19">IFERROR(INDEX(Main3WData[PT.LstOrg],MATCH(CONCATENATE(F$4&amp;$B19)&amp;TRUE,Main3WData[PT.Concat]&amp;Main3WData[PT.Show],0)),"")</f>
        <v>UNDP</v>
      </c>
      <c r="G19" s="108" t="str">
        <f t="array" ref="G19">IFERROR(INDEX(Main3WData[PT.LstOrg],MATCH(CONCATENATE(G$4&amp;$B19)&amp;TRUE,Main3WData[PT.Concat]&amp;Main3WData[PT.Show],0)),"")</f>
        <v>CRG</v>
      </c>
      <c r="H19" s="108" t="str">
        <f t="array" ref="H19">IFERROR(INDEX(Main3WData[PT.LstOrg],MATCH(CONCATENATE(H$4&amp;$B19)&amp;TRUE,Main3WData[PT.Concat]&amp;Main3WData[PT.Show],0)),"")</f>
        <v>UNMEER, PLAN, OMS</v>
      </c>
      <c r="I19" s="108" t="str">
        <f t="array" ref="I19">IFERROR(INDEX(Main3WData[PT.LstOrg],MATCH(CONCATENATE(I$4&amp;$B19)&amp;TRUE,Main3WData[PT.Concat]&amp;Main3WData[PT.Show],0)),"")</f>
        <v>OMS</v>
      </c>
      <c r="J19" s="108" t="str">
        <f t="array" ref="J19">IFERROR(INDEX(Main3WData[PT.LstOrg],MATCH(CONCATENATE(J$4&amp;$B19)&amp;TRUE,Main3WData[PT.Concat]&amp;Main3WData[PT.Show],0)),"")</f>
        <v>WFP, OMS, CUBAINS, CRS</v>
      </c>
      <c r="K19" s="108" t="str">
        <f t="array" ref="K19">IFERROR(INDEX(Main3WData[PT.LstOrg],MATCH(CONCATENATE(K$4&amp;$B19)&amp;TRUE,Main3WData[PT.Concat]&amp;Main3WData[PT.Show],0)),"")</f>
        <v/>
      </c>
      <c r="L19" s="108" t="str">
        <f t="array" ref="L19">IFERROR(INDEX(Main3WData[PT.LstOrg],MATCH(CONCATENATE(L$4&amp;$B19)&amp;TRUE,Main3WData[PT.Concat]&amp;Main3WData[PT.Show],0)),"")</f>
        <v/>
      </c>
      <c r="M19" s="108" t="str">
        <f t="array" ref="M19">IFERROR(INDEX(Main3WData[PT.LstOrg],MATCH(CONCATENATE(M$4&amp;$B19)&amp;TRUE,Main3WData[PT.Concat]&amp;Main3WData[PT.Show],0)),"")</f>
        <v>WFP, CRS</v>
      </c>
      <c r="N19" s="108" t="str">
        <f t="array" ref="N19">IFERROR(INDEX(Main3WData[PT.LstOrg],MATCH(CONCATENATE(N$4&amp;$B19)&amp;TRUE,Main3WData[PT.Concat]&amp;Main3WData[PT.Show],0)),"")</f>
        <v>UNFPA, PLAN, OMS, Columbia Univ, CDC, ACF-E</v>
      </c>
      <c r="O19" s="108" t="str">
        <f t="array" ref="O19">IFERROR(INDEX(Main3WData[PT.LstOrg],MATCH(CONCATENATE(O$4&amp;$B19)&amp;TRUE,Main3WData[PT.Concat]&amp;Main3WData[PT.Show],0)),"")</f>
        <v>RUSSIE</v>
      </c>
    </row>
    <row r="20" spans="2:15" ht="30.75" customHeight="1" x14ac:dyDescent="0.2">
      <c r="B20" s="106" t="s">
        <v>399</v>
      </c>
      <c r="C20" s="107" t="s">
        <v>398</v>
      </c>
      <c r="D20" s="108" t="str">
        <f t="array" ref="D20">IFERROR(INDEX(Main3WData[PT.LstOrg],MATCH(CONCATENATE(D$4&amp;$B20)&amp;TRUE,Main3WData[PT.Concat]&amp;Main3WData[PT.Show],0)),"")</f>
        <v>UNICEF, UNFPA, UNDP, PLAN, OMS, CRG/FICR</v>
      </c>
      <c r="E20" s="108" t="str">
        <f t="array" ref="E20">IFERROR(INDEX(Main3WData[PT.LstOrg],MATCH(CONCATENATE(E$4&amp;$B20)&amp;TRUE,Main3WData[PT.Concat]&amp;Main3WData[PT.Show],0)),"")</f>
        <v>UNMEER, UNFPA, UNDP, OMS, MSF, eHealth Africa</v>
      </c>
      <c r="F20" s="108" t="str">
        <f t="array" ref="F20">IFERROR(INDEX(Main3WData[PT.LstOrg],MATCH(CONCATENATE(F$4&amp;$B20)&amp;TRUE,Main3WData[PT.Concat]&amp;Main3WData[PT.Show],0)),"")</f>
        <v>UNDP</v>
      </c>
      <c r="G20" s="108" t="str">
        <f t="array" ref="G20">IFERROR(INDEX(Main3WData[PT.LstOrg],MATCH(CONCATENATE(G$4&amp;$B20)&amp;TRUE,Main3WData[PT.Concat]&amp;Main3WData[PT.Show],0)),"")</f>
        <v>CRG</v>
      </c>
      <c r="H20" s="108" t="str">
        <f t="array" ref="H20">IFERROR(INDEX(Main3WData[PT.LstOrg],MATCH(CONCATENATE(H$4&amp;$B20)&amp;TRUE,Main3WData[PT.Concat]&amp;Main3WData[PT.Show],0)),"")</f>
        <v>UNMEER, PLAN, OMS</v>
      </c>
      <c r="I20" s="108" t="str">
        <f t="array" ref="I20">IFERROR(INDEX(Main3WData[PT.LstOrg],MATCH(CONCATENATE(I$4&amp;$B20)&amp;TRUE,Main3WData[PT.Concat]&amp;Main3WData[PT.Show],0)),"")</f>
        <v>OMS</v>
      </c>
      <c r="J20" s="108" t="str">
        <f t="array" ref="J20">IFERROR(INDEX(Main3WData[PT.LstOrg],MATCH(CONCATENATE(J$4&amp;$B20)&amp;TRUE,Main3WData[PT.Concat]&amp;Main3WData[PT.Show],0)),"")</f>
        <v/>
      </c>
      <c r="K20" s="108" t="str">
        <f t="array" ref="K20">IFERROR(INDEX(Main3WData[PT.LstOrg],MATCH(CONCATENATE(K$4&amp;$B20)&amp;TRUE,Main3WData[PT.Concat]&amp;Main3WData[PT.Show],0)),"")</f>
        <v/>
      </c>
      <c r="L20" s="108" t="str">
        <f t="array" ref="L20">IFERROR(INDEX(Main3WData[PT.LstOrg],MATCH(CONCATENATE(L$4&amp;$B20)&amp;TRUE,Main3WData[PT.Concat]&amp;Main3WData[PT.Show],0)),"")</f>
        <v/>
      </c>
      <c r="M20" s="108" t="str">
        <f t="array" ref="M20">IFERROR(INDEX(Main3WData[PT.LstOrg],MATCH(CONCATENATE(M$4&amp;$B20)&amp;TRUE,Main3WData[PT.Concat]&amp;Main3WData[PT.Show],0)),"")</f>
        <v>WFP, CRS</v>
      </c>
      <c r="N20" s="108" t="str">
        <f t="array" ref="N20">IFERROR(INDEX(Main3WData[PT.LstOrg],MATCH(CONCATENATE(N$4&amp;$B20)&amp;TRUE,Main3WData[PT.Concat]&amp;Main3WData[PT.Show],0)),"")</f>
        <v>UNFPA, OMS, Columbia Univ, CDC</v>
      </c>
      <c r="O20" s="108" t="str">
        <f t="array" ref="O20">IFERROR(INDEX(Main3WData[PT.LstOrg],MATCH(CONCATENATE(O$4&amp;$B20)&amp;TRUE,Main3WData[PT.Concat]&amp;Main3WData[PT.Show],0)),"")</f>
        <v/>
      </c>
    </row>
    <row r="21" spans="2:15" ht="45" x14ac:dyDescent="0.2">
      <c r="B21" s="106" t="s">
        <v>401</v>
      </c>
      <c r="C21" s="107" t="s">
        <v>400</v>
      </c>
      <c r="D21" s="108" t="str">
        <f t="array" ref="D21">IFERROR(INDEX(Main3WData[PT.LstOrg],MATCH(CONCATENATE(D$4&amp;$B21)&amp;TRUE,Main3WData[PT.Concat]&amp;Main3WData[PT.Show],0)),"")</f>
        <v>UNICEF, UNFPA, UNDP, PLAN, OMS, CRG/FICR</v>
      </c>
      <c r="E21" s="108" t="str">
        <f t="array" ref="E21">IFERROR(INDEX(Main3WData[PT.LstOrg],MATCH(CONCATENATE(E$4&amp;$B21)&amp;TRUE,Main3WData[PT.Concat]&amp;Main3WData[PT.Show],0)),"")</f>
        <v>UNMEER, UNFPA, UNDP, OMS, MSF, eHealth Africa</v>
      </c>
      <c r="F21" s="108" t="str">
        <f t="array" ref="F21">IFERROR(INDEX(Main3WData[PT.LstOrg],MATCH(CONCATENATE(F$4&amp;$B21)&amp;TRUE,Main3WData[PT.Concat]&amp;Main3WData[PT.Show],0)),"")</f>
        <v>UNDP</v>
      </c>
      <c r="G21" s="108" t="str">
        <f t="array" ref="G21">IFERROR(INDEX(Main3WData[PT.LstOrg],MATCH(CONCATENATE(G$4&amp;$B21)&amp;TRUE,Main3WData[PT.Concat]&amp;Main3WData[PT.Show],0)),"")</f>
        <v>CRG</v>
      </c>
      <c r="H21" s="108" t="str">
        <f t="array" ref="H21">IFERROR(INDEX(Main3WData[PT.LstOrg],MATCH(CONCATENATE(H$4&amp;$B21)&amp;TRUE,Main3WData[PT.Concat]&amp;Main3WData[PT.Show],0)),"")</f>
        <v>UNMEER, UNDP, PLAN, OMS</v>
      </c>
      <c r="I21" s="108" t="str">
        <f t="array" ref="I21">IFERROR(INDEX(Main3WData[PT.LstOrg],MATCH(CONCATENATE(I$4&amp;$B21)&amp;TRUE,Main3WData[PT.Concat]&amp;Main3WData[PT.Show],0)),"")</f>
        <v>OMS</v>
      </c>
      <c r="J21" s="108" t="str">
        <f t="array" ref="J21">IFERROR(INDEX(Main3WData[PT.LstOrg],MATCH(CONCATENATE(J$4&amp;$B21)&amp;TRUE,Main3WData[PT.Concat]&amp;Main3WData[PT.Show],0)),"")</f>
        <v>WFP, USAID/JHPIEGO, OMS, MSF, France, CRG</v>
      </c>
      <c r="K21" s="108" t="str">
        <f t="array" ref="K21">IFERROR(INDEX(Main3WData[PT.LstOrg],MATCH(CONCATENATE(K$4&amp;$B21)&amp;TRUE,Main3WData[PT.Concat]&amp;Main3WData[PT.Show],0)),"")</f>
        <v/>
      </c>
      <c r="L21" s="108" t="str">
        <f t="array" ref="L21">IFERROR(INDEX(Main3WData[PT.LstOrg],MATCH(CONCATENATE(L$4&amp;$B21)&amp;TRUE,Main3WData[PT.Concat]&amp;Main3WData[PT.Show],0)),"")</f>
        <v/>
      </c>
      <c r="M21" s="108" t="str">
        <f t="array" ref="M21">IFERROR(INDEX(Main3WData[PT.LstOrg],MATCH(CONCATENATE(M$4&amp;$B21)&amp;TRUE,Main3WData[PT.Concat]&amp;Main3WData[PT.Show],0)),"")</f>
        <v>WFP, CRS</v>
      </c>
      <c r="N21" s="108" t="str">
        <f t="array" ref="N21">IFERROR(INDEX(Main3WData[PT.LstOrg],MATCH(CONCATENATE(N$4&amp;$B21)&amp;TRUE,Main3WData[PT.Concat]&amp;Main3WData[PT.Show],0)),"")</f>
        <v>USAID/JHPIEGO, UNFPA, PLAN, OMS, Columbia Univ, CDC, ACF-E</v>
      </c>
      <c r="O21" s="108" t="str">
        <f t="array" ref="O21">IFERROR(INDEX(Main3WData[PT.LstOrg],MATCH(CONCATENATE(O$4&amp;$B21)&amp;TRUE,Main3WData[PT.Concat]&amp;Main3WData[PT.Show],0)),"")</f>
        <v/>
      </c>
    </row>
    <row r="22" spans="2:15" ht="33.75" x14ac:dyDescent="0.2">
      <c r="B22" s="106" t="s">
        <v>403</v>
      </c>
      <c r="C22" s="107" t="s">
        <v>402</v>
      </c>
      <c r="D22" s="108" t="str">
        <f t="array" ref="D22">IFERROR(INDEX(Main3WData[PT.LstOrg],MATCH(CONCATENATE(D$4&amp;$B22)&amp;TRUE,Main3WData[PT.Concat]&amp;Main3WData[PT.Show],0)),"")</f>
        <v>UNICEF, PLAN</v>
      </c>
      <c r="E22" s="108" t="str">
        <f t="array" ref="E22">IFERROR(INDEX(Main3WData[PT.LstOrg],MATCH(CONCATENATE(E$4&amp;$B22)&amp;TRUE,Main3WData[PT.Concat]&amp;Main3WData[PT.Show],0)),"")</f>
        <v>UNMEER, UNFPA, UNDP, OMS, MSF, eHealth Africa</v>
      </c>
      <c r="F22" s="108" t="str">
        <f t="array" ref="F22">IFERROR(INDEX(Main3WData[PT.LstOrg],MATCH(CONCATENATE(F$4&amp;$B22)&amp;TRUE,Main3WData[PT.Concat]&amp;Main3WData[PT.Show],0)),"")</f>
        <v>UNDP</v>
      </c>
      <c r="G22" s="108" t="str">
        <f t="array" ref="G22">IFERROR(INDEX(Main3WData[PT.LstOrg],MATCH(CONCATENATE(G$4&amp;$B22)&amp;TRUE,Main3WData[PT.Concat]&amp;Main3WData[PT.Show],0)),"")</f>
        <v>CRG</v>
      </c>
      <c r="H22" s="108" t="str">
        <f t="array" ref="H22">IFERROR(INDEX(Main3WData[PT.LstOrg],MATCH(CONCATENATE(H$4&amp;$B22)&amp;TRUE,Main3WData[PT.Concat]&amp;Main3WData[PT.Show],0)),"")</f>
        <v>UNMEER, OMS</v>
      </c>
      <c r="I22" s="108" t="str">
        <f t="array" ref="I22">IFERROR(INDEX(Main3WData[PT.LstOrg],MATCH(CONCATENATE(I$4&amp;$B22)&amp;TRUE,Main3WData[PT.Concat]&amp;Main3WData[PT.Show],0)),"")</f>
        <v/>
      </c>
      <c r="J22" s="108" t="str">
        <f t="array" ref="J22">IFERROR(INDEX(Main3WData[PT.LstOrg],MATCH(CONCATENATE(J$4&amp;$B22)&amp;TRUE,Main3WData[PT.Concat]&amp;Main3WData[PT.Show],0)),"")</f>
        <v/>
      </c>
      <c r="K22" s="108" t="str">
        <f t="array" ref="K22">IFERROR(INDEX(Main3WData[PT.LstOrg],MATCH(CONCATENATE(K$4&amp;$B22)&amp;TRUE,Main3WData[PT.Concat]&amp;Main3WData[PT.Show],0)),"")</f>
        <v/>
      </c>
      <c r="L22" s="108" t="str">
        <f t="array" ref="L22">IFERROR(INDEX(Main3WData[PT.LstOrg],MATCH(CONCATENATE(L$4&amp;$B22)&amp;TRUE,Main3WData[PT.Concat]&amp;Main3WData[PT.Show],0)),"")</f>
        <v/>
      </c>
      <c r="M22" s="108" t="str">
        <f t="array" ref="M22">IFERROR(INDEX(Main3WData[PT.LstOrg],MATCH(CONCATENATE(M$4&amp;$B22)&amp;TRUE,Main3WData[PT.Concat]&amp;Main3WData[PT.Show],0)),"")</f>
        <v/>
      </c>
      <c r="N22" s="108" t="str">
        <f t="array" ref="N22">IFERROR(INDEX(Main3WData[PT.LstOrg],MATCH(CONCATENATE(N$4&amp;$B22)&amp;TRUE,Main3WData[PT.Concat]&amp;Main3WData[PT.Show],0)),"")</f>
        <v>CDC</v>
      </c>
      <c r="O22" s="108" t="str">
        <f t="array" ref="O22">IFERROR(INDEX(Main3WData[PT.LstOrg],MATCH(CONCATENATE(O$4&amp;$B22)&amp;TRUE,Main3WData[PT.Concat]&amp;Main3WData[PT.Show],0)),"")</f>
        <v/>
      </c>
    </row>
    <row r="23" spans="2:15" ht="33.75" x14ac:dyDescent="0.2">
      <c r="B23" s="106" t="s">
        <v>405</v>
      </c>
      <c r="C23" s="107" t="s">
        <v>404</v>
      </c>
      <c r="D23" s="108" t="str">
        <f t="array" ref="D23">IFERROR(INDEX(Main3WData[PT.LstOrg],MATCH(CONCATENATE(D$4&amp;$B23)&amp;TRUE,Main3WData[PT.Concat]&amp;Main3WData[PT.Show],0)),"")</f>
        <v>UNICEF, UNFPA, UNDP, PLAN, OMS, CRG/FICR</v>
      </c>
      <c r="E23" s="108" t="str">
        <f t="array" ref="E23">IFERROR(INDEX(Main3WData[PT.LstOrg],MATCH(CONCATENATE(E$4&amp;$B23)&amp;TRUE,Main3WData[PT.Concat]&amp;Main3WData[PT.Show],0)),"")</f>
        <v>UNMEER, UNFPA, UNDP, OMS, MSF, eHealth Africa</v>
      </c>
      <c r="F23" s="108" t="str">
        <f t="array" ref="F23">IFERROR(INDEX(Main3WData[PT.LstOrg],MATCH(CONCATENATE(F$4&amp;$B23)&amp;TRUE,Main3WData[PT.Concat]&amp;Main3WData[PT.Show],0)),"")</f>
        <v>UNDP</v>
      </c>
      <c r="G23" s="108" t="str">
        <f t="array" ref="G23">IFERROR(INDEX(Main3WData[PT.LstOrg],MATCH(CONCATENATE(G$4&amp;$B23)&amp;TRUE,Main3WData[PT.Concat]&amp;Main3WData[PT.Show],0)),"")</f>
        <v>CRG</v>
      </c>
      <c r="H23" s="108" t="str">
        <f t="array" ref="H23">IFERROR(INDEX(Main3WData[PT.LstOrg],MATCH(CONCATENATE(H$4&amp;$B23)&amp;TRUE,Main3WData[PT.Concat]&amp;Main3WData[PT.Show],0)),"")</f>
        <v>UNMEER, OMS</v>
      </c>
      <c r="I23" s="108" t="str">
        <f t="array" ref="I23">IFERROR(INDEX(Main3WData[PT.LstOrg],MATCH(CONCATENATE(I$4&amp;$B23)&amp;TRUE,Main3WData[PT.Concat]&amp;Main3WData[PT.Show],0)),"")</f>
        <v>OMS</v>
      </c>
      <c r="J23" s="108" t="str">
        <f t="array" ref="J23">IFERROR(INDEX(Main3WData[PT.LstOrg],MATCH(CONCATENATE(J$4&amp;$B23)&amp;TRUE,Main3WData[PT.Concat]&amp;Main3WData[PT.Show],0)),"")</f>
        <v/>
      </c>
      <c r="K23" s="108" t="str">
        <f t="array" ref="K23">IFERROR(INDEX(Main3WData[PT.LstOrg],MATCH(CONCATENATE(K$4&amp;$B23)&amp;TRUE,Main3WData[PT.Concat]&amp;Main3WData[PT.Show],0)),"")</f>
        <v/>
      </c>
      <c r="L23" s="108" t="str">
        <f t="array" ref="L23">IFERROR(INDEX(Main3WData[PT.LstOrg],MATCH(CONCATENATE(L$4&amp;$B23)&amp;TRUE,Main3WData[PT.Concat]&amp;Main3WData[PT.Show],0)),"")</f>
        <v/>
      </c>
      <c r="M23" s="108" t="str">
        <f t="array" ref="M23">IFERROR(INDEX(Main3WData[PT.LstOrg],MATCH(CONCATENATE(M$4&amp;$B23)&amp;TRUE,Main3WData[PT.Concat]&amp;Main3WData[PT.Show],0)),"")</f>
        <v>WFP, CRS</v>
      </c>
      <c r="N23" s="108" t="str">
        <f t="array" ref="N23">IFERROR(INDEX(Main3WData[PT.LstOrg],MATCH(CONCATENATE(N$4&amp;$B23)&amp;TRUE,Main3WData[PT.Concat]&amp;Main3WData[PT.Show],0)),"")</f>
        <v>UNFPA, OMS, Columbia Univ, CDC</v>
      </c>
      <c r="O23" s="108" t="str">
        <f t="array" ref="O23">IFERROR(INDEX(Main3WData[PT.LstOrg],MATCH(CONCATENATE(O$4&amp;$B23)&amp;TRUE,Main3WData[PT.Concat]&amp;Main3WData[PT.Show],0)),"")</f>
        <v/>
      </c>
    </row>
    <row r="24" spans="2:15" ht="33.75" x14ac:dyDescent="0.2">
      <c r="B24" s="106" t="s">
        <v>407</v>
      </c>
      <c r="C24" s="107" t="s">
        <v>406</v>
      </c>
      <c r="D24" s="108" t="str">
        <f t="array" ref="D24">IFERROR(INDEX(Main3WData[PT.LstOrg],MATCH(CONCATENATE(D$4&amp;$B24)&amp;TRUE,Main3WData[PT.Concat]&amp;Main3WData[PT.Show],0)),"")</f>
        <v>UNICEF, UNFPA, UNDP, PLAN, OMS, Internews, CRG/FICR</v>
      </c>
      <c r="E24" s="108" t="str">
        <f t="array" ref="E24">IFERROR(INDEX(Main3WData[PT.LstOrg],MATCH(CONCATENATE(E$4&amp;$B24)&amp;TRUE,Main3WData[PT.Concat]&amp;Main3WData[PT.Show],0)),"")</f>
        <v>UNMEER, UNFPA, UNDP, OMS, MSF, eHealth Africa</v>
      </c>
      <c r="F24" s="108" t="str">
        <f t="array" ref="F24">IFERROR(INDEX(Main3WData[PT.LstOrg],MATCH(CONCATENATE(F$4&amp;$B24)&amp;TRUE,Main3WData[PT.Concat]&amp;Main3WData[PT.Show],0)),"")</f>
        <v>UNDP</v>
      </c>
      <c r="G24" s="108" t="str">
        <f t="array" ref="G24">IFERROR(INDEX(Main3WData[PT.LstOrg],MATCH(CONCATENATE(G$4&amp;$B24)&amp;TRUE,Main3WData[PT.Concat]&amp;Main3WData[PT.Show],0)),"")</f>
        <v>CRG</v>
      </c>
      <c r="H24" s="108" t="str">
        <f t="array" ref="H24">IFERROR(INDEX(Main3WData[PT.LstOrg],MATCH(CONCATENATE(H$4&amp;$B24)&amp;TRUE,Main3WData[PT.Concat]&amp;Main3WData[PT.Show],0)),"")</f>
        <v>UNMEER, PLAN, OMS</v>
      </c>
      <c r="I24" s="108" t="str">
        <f t="array" ref="I24">IFERROR(INDEX(Main3WData[PT.LstOrg],MATCH(CONCATENATE(I$4&amp;$B24)&amp;TRUE,Main3WData[PT.Concat]&amp;Main3WData[PT.Show],0)),"")</f>
        <v/>
      </c>
      <c r="J24" s="108" t="str">
        <f t="array" ref="J24">IFERROR(INDEX(Main3WData[PT.LstOrg],MATCH(CONCATENATE(J$4&amp;$B24)&amp;TRUE,Main3WData[PT.Concat]&amp;Main3WData[PT.Show],0)),"")</f>
        <v/>
      </c>
      <c r="K24" s="108" t="str">
        <f t="array" ref="K24">IFERROR(INDEX(Main3WData[PT.LstOrg],MATCH(CONCATENATE(K$4&amp;$B24)&amp;TRUE,Main3WData[PT.Concat]&amp;Main3WData[PT.Show],0)),"")</f>
        <v/>
      </c>
      <c r="L24" s="108" t="str">
        <f t="array" ref="L24">IFERROR(INDEX(Main3WData[PT.LstOrg],MATCH(CONCATENATE(L$4&amp;$B24)&amp;TRUE,Main3WData[PT.Concat]&amp;Main3WData[PT.Show],0)),"")</f>
        <v/>
      </c>
      <c r="M24" s="108" t="str">
        <f t="array" ref="M24">IFERROR(INDEX(Main3WData[PT.LstOrg],MATCH(CONCATENATE(M$4&amp;$B24)&amp;TRUE,Main3WData[PT.Concat]&amp;Main3WData[PT.Show],0)),"")</f>
        <v/>
      </c>
      <c r="N24" s="108" t="str">
        <f t="array" ref="N24">IFERROR(INDEX(Main3WData[PT.LstOrg],MATCH(CONCATENATE(N$4&amp;$B24)&amp;TRUE,Main3WData[PT.Concat]&amp;Main3WData[PT.Show],0)),"")</f>
        <v>OMS, CDC</v>
      </c>
      <c r="O24" s="108" t="str">
        <f t="array" ref="O24">IFERROR(INDEX(Main3WData[PT.LstOrg],MATCH(CONCATENATE(O$4&amp;$B24)&amp;TRUE,Main3WData[PT.Concat]&amp;Main3WData[PT.Show],0)),"")</f>
        <v/>
      </c>
    </row>
    <row r="25" spans="2:15" ht="33.75" x14ac:dyDescent="0.2">
      <c r="B25" s="106" t="s">
        <v>409</v>
      </c>
      <c r="C25" s="107" t="s">
        <v>408</v>
      </c>
      <c r="D25" s="108" t="str">
        <f t="array" ref="D25">IFERROR(INDEX(Main3WData[PT.LstOrg],MATCH(CONCATENATE(D$4&amp;$B25)&amp;TRUE,Main3WData[PT.Concat]&amp;Main3WData[PT.Show],0)),"")</f>
        <v>UNICEF, UNFPA, UNDP, PLAN, OMS</v>
      </c>
      <c r="E25" s="108" t="str">
        <f t="array" ref="E25">IFERROR(INDEX(Main3WData[PT.LstOrg],MATCH(CONCATENATE(E$4&amp;$B25)&amp;TRUE,Main3WData[PT.Concat]&amp;Main3WData[PT.Show],0)),"")</f>
        <v>UNMEER, UNFPA, UNDP, OMS, MSF, eHealth Africa</v>
      </c>
      <c r="F25" s="108" t="str">
        <f t="array" ref="F25">IFERROR(INDEX(Main3WData[PT.LstOrg],MATCH(CONCATENATE(F$4&amp;$B25)&amp;TRUE,Main3WData[PT.Concat]&amp;Main3WData[PT.Show],0)),"")</f>
        <v>UNDP</v>
      </c>
      <c r="G25" s="108" t="str">
        <f t="array" ref="G25">IFERROR(INDEX(Main3WData[PT.LstOrg],MATCH(CONCATENATE(G$4&amp;$B25)&amp;TRUE,Main3WData[PT.Concat]&amp;Main3WData[PT.Show],0)),"")</f>
        <v>CRG</v>
      </c>
      <c r="H25" s="108" t="str">
        <f t="array" ref="H25">IFERROR(INDEX(Main3WData[PT.LstOrg],MATCH(CONCATENATE(H$4&amp;$B25)&amp;TRUE,Main3WData[PT.Concat]&amp;Main3WData[PT.Show],0)),"")</f>
        <v>UNMEER, OMS</v>
      </c>
      <c r="I25" s="108" t="str">
        <f t="array" ref="I25">IFERROR(INDEX(Main3WData[PT.LstOrg],MATCH(CONCATENATE(I$4&amp;$B25)&amp;TRUE,Main3WData[PT.Concat]&amp;Main3WData[PT.Show],0)),"")</f>
        <v/>
      </c>
      <c r="J25" s="108" t="str">
        <f t="array" ref="J25">IFERROR(INDEX(Main3WData[PT.LstOrg],MATCH(CONCATENATE(J$4&amp;$B25)&amp;TRUE,Main3WData[PT.Concat]&amp;Main3WData[PT.Show],0)),"")</f>
        <v/>
      </c>
      <c r="K25" s="108" t="str">
        <f t="array" ref="K25">IFERROR(INDEX(Main3WData[PT.LstOrg],MATCH(CONCATENATE(K$4&amp;$B25)&amp;TRUE,Main3WData[PT.Concat]&amp;Main3WData[PT.Show],0)),"")</f>
        <v/>
      </c>
      <c r="L25" s="108" t="str">
        <f t="array" ref="L25">IFERROR(INDEX(Main3WData[PT.LstOrg],MATCH(CONCATENATE(L$4&amp;$B25)&amp;TRUE,Main3WData[PT.Concat]&amp;Main3WData[PT.Show],0)),"")</f>
        <v/>
      </c>
      <c r="M25" s="108" t="str">
        <f t="array" ref="M25">IFERROR(INDEX(Main3WData[PT.LstOrg],MATCH(CONCATENATE(M$4&amp;$B25)&amp;TRUE,Main3WData[PT.Concat]&amp;Main3WData[PT.Show],0)),"")</f>
        <v/>
      </c>
      <c r="N25" s="108" t="str">
        <f t="array" ref="N25">IFERROR(INDEX(Main3WData[PT.LstOrg],MATCH(CONCATENATE(N$4&amp;$B25)&amp;TRUE,Main3WData[PT.Concat]&amp;Main3WData[PT.Show],0)),"")</f>
        <v>OMS, CDC</v>
      </c>
      <c r="O25" s="108" t="str">
        <f t="array" ref="O25">IFERROR(INDEX(Main3WData[PT.LstOrg],MATCH(CONCATENATE(O$4&amp;$B25)&amp;TRUE,Main3WData[PT.Concat]&amp;Main3WData[PT.Show],0)),"")</f>
        <v/>
      </c>
    </row>
    <row r="26" spans="2:15" ht="33.75" x14ac:dyDescent="0.2">
      <c r="B26" s="106" t="s">
        <v>411</v>
      </c>
      <c r="C26" s="107" t="s">
        <v>410</v>
      </c>
      <c r="D26" s="108" t="str">
        <f t="array" ref="D26">IFERROR(INDEX(Main3WData[PT.LstOrg],MATCH(CONCATENATE(D$4&amp;$B26)&amp;TRUE,Main3WData[PT.Concat]&amp;Main3WData[PT.Show],0)),"")</f>
        <v>UNICEF, UNFPA, UNDP, PLAN, OMS, CRG/FICR</v>
      </c>
      <c r="E26" s="108" t="str">
        <f t="array" ref="E26">IFERROR(INDEX(Main3WData[PT.LstOrg],MATCH(CONCATENATE(E$4&amp;$B26)&amp;TRUE,Main3WData[PT.Concat]&amp;Main3WData[PT.Show],0)),"")</f>
        <v>UNMEER, UNFPA, UNDP, OMS, MSF, eHealth Africa</v>
      </c>
      <c r="F26" s="108" t="str">
        <f t="array" ref="F26">IFERROR(INDEX(Main3WData[PT.LstOrg],MATCH(CONCATENATE(F$4&amp;$B26)&amp;TRUE,Main3WData[PT.Concat]&amp;Main3WData[PT.Show],0)),"")</f>
        <v>UNDP</v>
      </c>
      <c r="G26" s="108" t="str">
        <f t="array" ref="G26">IFERROR(INDEX(Main3WData[PT.LstOrg],MATCH(CONCATENATE(G$4&amp;$B26)&amp;TRUE,Main3WData[PT.Concat]&amp;Main3WData[PT.Show],0)),"")</f>
        <v>CRG</v>
      </c>
      <c r="H26" s="108" t="str">
        <f t="array" ref="H26">IFERROR(INDEX(Main3WData[PT.LstOrg],MATCH(CONCATENATE(H$4&amp;$B26)&amp;TRUE,Main3WData[PT.Concat]&amp;Main3WData[PT.Show],0)),"")</f>
        <v>UNMEER, OMS</v>
      </c>
      <c r="I26" s="108" t="str">
        <f t="array" ref="I26">IFERROR(INDEX(Main3WData[PT.LstOrg],MATCH(CONCATENATE(I$4&amp;$B26)&amp;TRUE,Main3WData[PT.Concat]&amp;Main3WData[PT.Show],0)),"")</f>
        <v/>
      </c>
      <c r="J26" s="108" t="str">
        <f t="array" ref="J26">IFERROR(INDEX(Main3WData[PT.LstOrg],MATCH(CONCATENATE(J$4&amp;$B26)&amp;TRUE,Main3WData[PT.Concat]&amp;Main3WData[PT.Show],0)),"")</f>
        <v/>
      </c>
      <c r="K26" s="108" t="str">
        <f t="array" ref="K26">IFERROR(INDEX(Main3WData[PT.LstOrg],MATCH(CONCATENATE(K$4&amp;$B26)&amp;TRUE,Main3WData[PT.Concat]&amp;Main3WData[PT.Show],0)),"")</f>
        <v/>
      </c>
      <c r="L26" s="108" t="str">
        <f t="array" ref="L26">IFERROR(INDEX(Main3WData[PT.LstOrg],MATCH(CONCATENATE(L$4&amp;$B26)&amp;TRUE,Main3WData[PT.Concat]&amp;Main3WData[PT.Show],0)),"")</f>
        <v/>
      </c>
      <c r="M26" s="108" t="str">
        <f t="array" ref="M26">IFERROR(INDEX(Main3WData[PT.LstOrg],MATCH(CONCATENATE(M$4&amp;$B26)&amp;TRUE,Main3WData[PT.Concat]&amp;Main3WData[PT.Show],0)),"")</f>
        <v/>
      </c>
      <c r="N26" s="108" t="str">
        <f t="array" ref="N26">IFERROR(INDEX(Main3WData[PT.LstOrg],MATCH(CONCATENATE(N$4&amp;$B26)&amp;TRUE,Main3WData[PT.Concat]&amp;Main3WData[PT.Show],0)),"")</f>
        <v>UNFPA, OMS, Columbia Univ, CDC, ACF-E</v>
      </c>
      <c r="O26" s="108" t="str">
        <f t="array" ref="O26">IFERROR(INDEX(Main3WData[PT.LstOrg],MATCH(CONCATENATE(O$4&amp;$B26)&amp;TRUE,Main3WData[PT.Concat]&amp;Main3WData[PT.Show],0)),"")</f>
        <v/>
      </c>
    </row>
    <row r="27" spans="2:15" ht="33.75" x14ac:dyDescent="0.2">
      <c r="B27" s="106" t="s">
        <v>413</v>
      </c>
      <c r="C27" s="107" t="s">
        <v>412</v>
      </c>
      <c r="D27" s="108" t="str">
        <f t="array" ref="D27">IFERROR(INDEX(Main3WData[PT.LstOrg],MATCH(CONCATENATE(D$4&amp;$B27)&amp;TRUE,Main3WData[PT.Concat]&amp;Main3WData[PT.Show],0)),"")</f>
        <v>UNICEF, PLAN</v>
      </c>
      <c r="E27" s="108" t="str">
        <f t="array" ref="E27">IFERROR(INDEX(Main3WData[PT.LstOrg],MATCH(CONCATENATE(E$4&amp;$B27)&amp;TRUE,Main3WData[PT.Concat]&amp;Main3WData[PT.Show],0)),"")</f>
        <v>UNMEER, UNFPA, UNDP, OMS, MSF, eHealth Africa</v>
      </c>
      <c r="F27" s="108" t="str">
        <f t="array" ref="F27">IFERROR(INDEX(Main3WData[PT.LstOrg],MATCH(CONCATENATE(F$4&amp;$B27)&amp;TRUE,Main3WData[PT.Concat]&amp;Main3WData[PT.Show],0)),"")</f>
        <v>UNDP</v>
      </c>
      <c r="G27" s="108" t="str">
        <f t="array" ref="G27">IFERROR(INDEX(Main3WData[PT.LstOrg],MATCH(CONCATENATE(G$4&amp;$B27)&amp;TRUE,Main3WData[PT.Concat]&amp;Main3WData[PT.Show],0)),"")</f>
        <v>CRG</v>
      </c>
      <c r="H27" s="108" t="str">
        <f t="array" ref="H27">IFERROR(INDEX(Main3WData[PT.LstOrg],MATCH(CONCATENATE(H$4&amp;$B27)&amp;TRUE,Main3WData[PT.Concat]&amp;Main3WData[PT.Show],0)),"")</f>
        <v>UNMEER, OMS</v>
      </c>
      <c r="I27" s="108" t="str">
        <f t="array" ref="I27">IFERROR(INDEX(Main3WData[PT.LstOrg],MATCH(CONCATENATE(I$4&amp;$B27)&amp;TRUE,Main3WData[PT.Concat]&amp;Main3WData[PT.Show],0)),"")</f>
        <v/>
      </c>
      <c r="J27" s="108" t="str">
        <f t="array" ref="J27">IFERROR(INDEX(Main3WData[PT.LstOrg],MATCH(CONCATENATE(J$4&amp;$B27)&amp;TRUE,Main3WData[PT.Concat]&amp;Main3WData[PT.Show],0)),"")</f>
        <v/>
      </c>
      <c r="K27" s="108" t="str">
        <f t="array" ref="K27">IFERROR(INDEX(Main3WData[PT.LstOrg],MATCH(CONCATENATE(K$4&amp;$B27)&amp;TRUE,Main3WData[PT.Concat]&amp;Main3WData[PT.Show],0)),"")</f>
        <v/>
      </c>
      <c r="L27" s="108" t="str">
        <f t="array" ref="L27">IFERROR(INDEX(Main3WData[PT.LstOrg],MATCH(CONCATENATE(L$4&amp;$B27)&amp;TRUE,Main3WData[PT.Concat]&amp;Main3WData[PT.Show],0)),"")</f>
        <v/>
      </c>
      <c r="M27" s="108" t="str">
        <f t="array" ref="M27">IFERROR(INDEX(Main3WData[PT.LstOrg],MATCH(CONCATENATE(M$4&amp;$B27)&amp;TRUE,Main3WData[PT.Concat]&amp;Main3WData[PT.Show],0)),"")</f>
        <v/>
      </c>
      <c r="N27" s="108" t="str">
        <f t="array" ref="N27">IFERROR(INDEX(Main3WData[PT.LstOrg],MATCH(CONCATENATE(N$4&amp;$B27)&amp;TRUE,Main3WData[PT.Concat]&amp;Main3WData[PT.Show],0)),"")</f>
        <v>CDC, ACF-E</v>
      </c>
      <c r="O27" s="108" t="str">
        <f t="array" ref="O27">IFERROR(INDEX(Main3WData[PT.LstOrg],MATCH(CONCATENATE(O$4&amp;$B27)&amp;TRUE,Main3WData[PT.Concat]&amp;Main3WData[PT.Show],0)),"")</f>
        <v/>
      </c>
    </row>
    <row r="28" spans="2:15" ht="33.75" x14ac:dyDescent="0.2">
      <c r="B28" s="106" t="s">
        <v>415</v>
      </c>
      <c r="C28" s="107" t="s">
        <v>414</v>
      </c>
      <c r="D28" s="108" t="str">
        <f t="array" ref="D28">IFERROR(INDEX(Main3WData[PT.LstOrg],MATCH(CONCATENATE(D$4&amp;$B28)&amp;TRUE,Main3WData[PT.Concat]&amp;Main3WData[PT.Show],0)),"")</f>
        <v>UNICEF, UNFPA, UNDP, PLAN, OMS</v>
      </c>
      <c r="E28" s="108" t="str">
        <f t="array" ref="E28">IFERROR(INDEX(Main3WData[PT.LstOrg],MATCH(CONCATENATE(E$4&amp;$B28)&amp;TRUE,Main3WData[PT.Concat]&amp;Main3WData[PT.Show],0)),"")</f>
        <v>UNMEER, UNFPA, UNDP, OMS, MSF, eHealth Africa</v>
      </c>
      <c r="F28" s="108" t="str">
        <f t="array" ref="F28">IFERROR(INDEX(Main3WData[PT.LstOrg],MATCH(CONCATENATE(F$4&amp;$B28)&amp;TRUE,Main3WData[PT.Concat]&amp;Main3WData[PT.Show],0)),"")</f>
        <v>UNDP</v>
      </c>
      <c r="G28" s="108" t="str">
        <f t="array" ref="G28">IFERROR(INDEX(Main3WData[PT.LstOrg],MATCH(CONCATENATE(G$4&amp;$B28)&amp;TRUE,Main3WData[PT.Concat]&amp;Main3WData[PT.Show],0)),"")</f>
        <v>CRG</v>
      </c>
      <c r="H28" s="108" t="str">
        <f t="array" ref="H28">IFERROR(INDEX(Main3WData[PT.LstOrg],MATCH(CONCATENATE(H$4&amp;$B28)&amp;TRUE,Main3WData[PT.Concat]&amp;Main3WData[PT.Show],0)),"")</f>
        <v>UNMEER, OMS</v>
      </c>
      <c r="I28" s="108" t="str">
        <f t="array" ref="I28">IFERROR(INDEX(Main3WData[PT.LstOrg],MATCH(CONCATENATE(I$4&amp;$B28)&amp;TRUE,Main3WData[PT.Concat]&amp;Main3WData[PT.Show],0)),"")</f>
        <v/>
      </c>
      <c r="J28" s="108" t="str">
        <f t="array" ref="J28">IFERROR(INDEX(Main3WData[PT.LstOrg],MATCH(CONCATENATE(J$4&amp;$B28)&amp;TRUE,Main3WData[PT.Concat]&amp;Main3WData[PT.Show],0)),"")</f>
        <v/>
      </c>
      <c r="K28" s="108" t="str">
        <f t="array" ref="K28">IFERROR(INDEX(Main3WData[PT.LstOrg],MATCH(CONCATENATE(K$4&amp;$B28)&amp;TRUE,Main3WData[PT.Concat]&amp;Main3WData[PT.Show],0)),"")</f>
        <v/>
      </c>
      <c r="L28" s="108" t="str">
        <f t="array" ref="L28">IFERROR(INDEX(Main3WData[PT.LstOrg],MATCH(CONCATENATE(L$4&amp;$B28)&amp;TRUE,Main3WData[PT.Concat]&amp;Main3WData[PT.Show],0)),"")</f>
        <v/>
      </c>
      <c r="M28" s="108" t="str">
        <f t="array" ref="M28">IFERROR(INDEX(Main3WData[PT.LstOrg],MATCH(CONCATENATE(M$4&amp;$B28)&amp;TRUE,Main3WData[PT.Concat]&amp;Main3WData[PT.Show],0)),"")</f>
        <v/>
      </c>
      <c r="N28" s="108" t="str">
        <f t="array" ref="N28">IFERROR(INDEX(Main3WData[PT.LstOrg],MATCH(CONCATENATE(N$4&amp;$B28)&amp;TRUE,Main3WData[PT.Concat]&amp;Main3WData[PT.Show],0)),"")</f>
        <v>OMS, CDC</v>
      </c>
      <c r="O28" s="108" t="str">
        <f t="array" ref="O28">IFERROR(INDEX(Main3WData[PT.LstOrg],MATCH(CONCATENATE(O$4&amp;$B28)&amp;TRUE,Main3WData[PT.Concat]&amp;Main3WData[PT.Show],0)),"")</f>
        <v/>
      </c>
    </row>
    <row r="29" spans="2:15" ht="33.75" x14ac:dyDescent="0.2">
      <c r="B29" s="106" t="s">
        <v>417</v>
      </c>
      <c r="C29" s="107" t="s">
        <v>416</v>
      </c>
      <c r="D29" s="108" t="str">
        <f t="array" ref="D29">IFERROR(INDEX(Main3WData[PT.LstOrg],MATCH(CONCATENATE(D$4&amp;$B29)&amp;TRUE,Main3WData[PT.Concat]&amp;Main3WData[PT.Show],0)),"")</f>
        <v>UNICEF, UNFPA, PLAN, OMS</v>
      </c>
      <c r="E29" s="108" t="str">
        <f t="array" ref="E29">IFERROR(INDEX(Main3WData[PT.LstOrg],MATCH(CONCATENATE(E$4&amp;$B29)&amp;TRUE,Main3WData[PT.Concat]&amp;Main3WData[PT.Show],0)),"")</f>
        <v>UNMEER, UNFPA, UNDP, OMS, MSF, eHealth Africa</v>
      </c>
      <c r="F29" s="108" t="str">
        <f t="array" ref="F29">IFERROR(INDEX(Main3WData[PT.LstOrg],MATCH(CONCATENATE(F$4&amp;$B29)&amp;TRUE,Main3WData[PT.Concat]&amp;Main3WData[PT.Show],0)),"")</f>
        <v>UNDP</v>
      </c>
      <c r="G29" s="108" t="str">
        <f t="array" ref="G29">IFERROR(INDEX(Main3WData[PT.LstOrg],MATCH(CONCATENATE(G$4&amp;$B29)&amp;TRUE,Main3WData[PT.Concat]&amp;Main3WData[PT.Show],0)),"")</f>
        <v>CRG</v>
      </c>
      <c r="H29" s="108" t="str">
        <f t="array" ref="H29">IFERROR(INDEX(Main3WData[PT.LstOrg],MATCH(CONCATENATE(H$4&amp;$B29)&amp;TRUE,Main3WData[PT.Concat]&amp;Main3WData[PT.Show],0)),"")</f>
        <v>UNMEER, OMS</v>
      </c>
      <c r="I29" s="108" t="str">
        <f t="array" ref="I29">IFERROR(INDEX(Main3WData[PT.LstOrg],MATCH(CONCATENATE(I$4&amp;$B29)&amp;TRUE,Main3WData[PT.Concat]&amp;Main3WData[PT.Show],0)),"")</f>
        <v/>
      </c>
      <c r="J29" s="108" t="str">
        <f t="array" ref="J29">IFERROR(INDEX(Main3WData[PT.LstOrg],MATCH(CONCATENATE(J$4&amp;$B29)&amp;TRUE,Main3WData[PT.Concat]&amp;Main3WData[PT.Show],0)),"")</f>
        <v/>
      </c>
      <c r="K29" s="108" t="str">
        <f t="array" ref="K29">IFERROR(INDEX(Main3WData[PT.LstOrg],MATCH(CONCATENATE(K$4&amp;$B29)&amp;TRUE,Main3WData[PT.Concat]&amp;Main3WData[PT.Show],0)),"")</f>
        <v/>
      </c>
      <c r="L29" s="108" t="str">
        <f t="array" ref="L29">IFERROR(INDEX(Main3WData[PT.LstOrg],MATCH(CONCATENATE(L$4&amp;$B29)&amp;TRUE,Main3WData[PT.Concat]&amp;Main3WData[PT.Show],0)),"")</f>
        <v/>
      </c>
      <c r="M29" s="108" t="str">
        <f t="array" ref="M29">IFERROR(INDEX(Main3WData[PT.LstOrg],MATCH(CONCATENATE(M$4&amp;$B29)&amp;TRUE,Main3WData[PT.Concat]&amp;Main3WData[PT.Show],0)),"")</f>
        <v/>
      </c>
      <c r="N29" s="108" t="str">
        <f t="array" ref="N29">IFERROR(INDEX(Main3WData[PT.LstOrg],MATCH(CONCATENATE(N$4&amp;$B29)&amp;TRUE,Main3WData[PT.Concat]&amp;Main3WData[PT.Show],0)),"")</f>
        <v>CDC</v>
      </c>
      <c r="O29" s="108" t="str">
        <f t="array" ref="O29">IFERROR(INDEX(Main3WData[PT.LstOrg],MATCH(CONCATENATE(O$4&amp;$B29)&amp;TRUE,Main3WData[PT.Concat]&amp;Main3WData[PT.Show],0)),"")</f>
        <v/>
      </c>
    </row>
    <row r="30" spans="2:15" ht="33.75" x14ac:dyDescent="0.2">
      <c r="B30" s="106" t="s">
        <v>419</v>
      </c>
      <c r="C30" s="107" t="s">
        <v>418</v>
      </c>
      <c r="D30" s="108" t="str">
        <f t="array" ref="D30">IFERROR(INDEX(Main3WData[PT.LstOrg],MATCH(CONCATENATE(D$4&amp;$B30)&amp;TRUE,Main3WData[PT.Concat]&amp;Main3WData[PT.Show],0)),"")</f>
        <v>UNICEF, UNFPA, UNDP, PLAN, OMS</v>
      </c>
      <c r="E30" s="108" t="str">
        <f t="array" ref="E30">IFERROR(INDEX(Main3WData[PT.LstOrg],MATCH(CONCATENATE(E$4&amp;$B30)&amp;TRUE,Main3WData[PT.Concat]&amp;Main3WData[PT.Show],0)),"")</f>
        <v>UNMEER, UNFPA, UNDP, OMS, MSF, eHealth Africa</v>
      </c>
      <c r="F30" s="108" t="str">
        <f t="array" ref="F30">IFERROR(INDEX(Main3WData[PT.LstOrg],MATCH(CONCATENATE(F$4&amp;$B30)&amp;TRUE,Main3WData[PT.Concat]&amp;Main3WData[PT.Show],0)),"")</f>
        <v>UNDP</v>
      </c>
      <c r="G30" s="108" t="str">
        <f t="array" ref="G30">IFERROR(INDEX(Main3WData[PT.LstOrg],MATCH(CONCATENATE(G$4&amp;$B30)&amp;TRUE,Main3WData[PT.Concat]&amp;Main3WData[PT.Show],0)),"")</f>
        <v>CRG</v>
      </c>
      <c r="H30" s="108" t="str">
        <f t="array" ref="H30">IFERROR(INDEX(Main3WData[PT.LstOrg],MATCH(CONCATENATE(H$4&amp;$B30)&amp;TRUE,Main3WData[PT.Concat]&amp;Main3WData[PT.Show],0)),"")</f>
        <v>UNMEER, OMS</v>
      </c>
      <c r="I30" s="108" t="str">
        <f t="array" ref="I30">IFERROR(INDEX(Main3WData[PT.LstOrg],MATCH(CONCATENATE(I$4&amp;$B30)&amp;TRUE,Main3WData[PT.Concat]&amp;Main3WData[PT.Show],0)),"")</f>
        <v/>
      </c>
      <c r="J30" s="108" t="str">
        <f t="array" ref="J30">IFERROR(INDEX(Main3WData[PT.LstOrg],MATCH(CONCATENATE(J$4&amp;$B30)&amp;TRUE,Main3WData[PT.Concat]&amp;Main3WData[PT.Show],0)),"")</f>
        <v/>
      </c>
      <c r="K30" s="108" t="str">
        <f t="array" ref="K30">IFERROR(INDEX(Main3WData[PT.LstOrg],MATCH(CONCATENATE(K$4&amp;$B30)&amp;TRUE,Main3WData[PT.Concat]&amp;Main3WData[PT.Show],0)),"")</f>
        <v/>
      </c>
      <c r="L30" s="108" t="str">
        <f t="array" ref="L30">IFERROR(INDEX(Main3WData[PT.LstOrg],MATCH(CONCATENATE(L$4&amp;$B30)&amp;TRUE,Main3WData[PT.Concat]&amp;Main3WData[PT.Show],0)),"")</f>
        <v/>
      </c>
      <c r="M30" s="108" t="str">
        <f t="array" ref="M30">IFERROR(INDEX(Main3WData[PT.LstOrg],MATCH(CONCATENATE(M$4&amp;$B30)&amp;TRUE,Main3WData[PT.Concat]&amp;Main3WData[PT.Show],0)),"")</f>
        <v/>
      </c>
      <c r="N30" s="108" t="str">
        <f t="array" ref="N30">IFERROR(INDEX(Main3WData[PT.LstOrg],MATCH(CONCATENATE(N$4&amp;$B30)&amp;TRUE,Main3WData[PT.Concat]&amp;Main3WData[PT.Show],0)),"")</f>
        <v>UNFPA, OMS, Columbia Univ, CDC, ACF-E</v>
      </c>
      <c r="O30" s="108" t="str">
        <f t="array" ref="O30">IFERROR(INDEX(Main3WData[PT.LstOrg],MATCH(CONCATENATE(O$4&amp;$B30)&amp;TRUE,Main3WData[PT.Concat]&amp;Main3WData[PT.Show],0)),"")</f>
        <v/>
      </c>
    </row>
    <row r="31" spans="2:15" ht="33.75" x14ac:dyDescent="0.2">
      <c r="B31" s="106" t="s">
        <v>421</v>
      </c>
      <c r="C31" s="107" t="s">
        <v>420</v>
      </c>
      <c r="D31" s="108" t="str">
        <f t="array" ref="D31">IFERROR(INDEX(Main3WData[PT.LstOrg],MATCH(CONCATENATE(D$4&amp;$B31)&amp;TRUE,Main3WData[PT.Concat]&amp;Main3WData[PT.Show],0)),"")</f>
        <v>UNICEF, UNFPA, UNDP, PLAN, OMS</v>
      </c>
      <c r="E31" s="108" t="str">
        <f t="array" ref="E31">IFERROR(INDEX(Main3WData[PT.LstOrg],MATCH(CONCATENATE(E$4&amp;$B31)&amp;TRUE,Main3WData[PT.Concat]&amp;Main3WData[PT.Show],0)),"")</f>
        <v>UNMEER, UNFPA, UNDP, OMS, MSF, eHealth Africa</v>
      </c>
      <c r="F31" s="108" t="str">
        <f t="array" ref="F31">IFERROR(INDEX(Main3WData[PT.LstOrg],MATCH(CONCATENATE(F$4&amp;$B31)&amp;TRUE,Main3WData[PT.Concat]&amp;Main3WData[PT.Show],0)),"")</f>
        <v>UNDP</v>
      </c>
      <c r="G31" s="108" t="str">
        <f t="array" ref="G31">IFERROR(INDEX(Main3WData[PT.LstOrg],MATCH(CONCATENATE(G$4&amp;$B31)&amp;TRUE,Main3WData[PT.Concat]&amp;Main3WData[PT.Show],0)),"")</f>
        <v>CRG</v>
      </c>
      <c r="H31" s="108" t="str">
        <f t="array" ref="H31">IFERROR(INDEX(Main3WData[PT.LstOrg],MATCH(CONCATENATE(H$4&amp;$B31)&amp;TRUE,Main3WData[PT.Concat]&amp;Main3WData[PT.Show],0)),"")</f>
        <v>UNMEER, OMS</v>
      </c>
      <c r="I31" s="108" t="str">
        <f t="array" ref="I31">IFERROR(INDEX(Main3WData[PT.LstOrg],MATCH(CONCATENATE(I$4&amp;$B31)&amp;TRUE,Main3WData[PT.Concat]&amp;Main3WData[PT.Show],0)),"")</f>
        <v/>
      </c>
      <c r="J31" s="108" t="str">
        <f t="array" ref="J31">IFERROR(INDEX(Main3WData[PT.LstOrg],MATCH(CONCATENATE(J$4&amp;$B31)&amp;TRUE,Main3WData[PT.Concat]&amp;Main3WData[PT.Show],0)),"")</f>
        <v/>
      </c>
      <c r="K31" s="108" t="str">
        <f t="array" ref="K31">IFERROR(INDEX(Main3WData[PT.LstOrg],MATCH(CONCATENATE(K$4&amp;$B31)&amp;TRUE,Main3WData[PT.Concat]&amp;Main3WData[PT.Show],0)),"")</f>
        <v/>
      </c>
      <c r="L31" s="108" t="str">
        <f t="array" ref="L31">IFERROR(INDEX(Main3WData[PT.LstOrg],MATCH(CONCATENATE(L$4&amp;$B31)&amp;TRUE,Main3WData[PT.Concat]&amp;Main3WData[PT.Show],0)),"")</f>
        <v/>
      </c>
      <c r="M31" s="108" t="str">
        <f t="array" ref="M31">IFERROR(INDEX(Main3WData[PT.LstOrg],MATCH(CONCATENATE(M$4&amp;$B31)&amp;TRUE,Main3WData[PT.Concat]&amp;Main3WData[PT.Show],0)),"")</f>
        <v/>
      </c>
      <c r="N31" s="108" t="str">
        <f t="array" ref="N31">IFERROR(INDEX(Main3WData[PT.LstOrg],MATCH(CONCATENATE(N$4&amp;$B31)&amp;TRUE,Main3WData[PT.Concat]&amp;Main3WData[PT.Show],0)),"")</f>
        <v>OMS, CDC</v>
      </c>
      <c r="O31" s="108" t="str">
        <f t="array" ref="O31">IFERROR(INDEX(Main3WData[PT.LstOrg],MATCH(CONCATENATE(O$4&amp;$B31)&amp;TRUE,Main3WData[PT.Concat]&amp;Main3WData[PT.Show],0)),"")</f>
        <v/>
      </c>
    </row>
    <row r="32" spans="2:15" ht="33.75" x14ac:dyDescent="0.2">
      <c r="B32" s="106" t="s">
        <v>423</v>
      </c>
      <c r="C32" s="107" t="s">
        <v>422</v>
      </c>
      <c r="D32" s="108" t="str">
        <f t="array" ref="D32">IFERROR(INDEX(Main3WData[PT.LstOrg],MATCH(CONCATENATE(D$4&amp;$B32)&amp;TRUE,Main3WData[PT.Concat]&amp;Main3WData[PT.Show],0)),"")</f>
        <v>UNICEF, UNFPA, UNDP, PLAN, OMS, CRG/FICR</v>
      </c>
      <c r="E32" s="108" t="str">
        <f t="array" ref="E32">IFERROR(INDEX(Main3WData[PT.LstOrg],MATCH(CONCATENATE(E$4&amp;$B32)&amp;TRUE,Main3WData[PT.Concat]&amp;Main3WData[PT.Show],0)),"")</f>
        <v>UNMEER, UNFPA, UNDP, OMS, MSF, eHealth Africa</v>
      </c>
      <c r="F32" s="108" t="str">
        <f t="array" ref="F32">IFERROR(INDEX(Main3WData[PT.LstOrg],MATCH(CONCATENATE(F$4&amp;$B32)&amp;TRUE,Main3WData[PT.Concat]&amp;Main3WData[PT.Show],0)),"")</f>
        <v>UNDP</v>
      </c>
      <c r="G32" s="108" t="str">
        <f t="array" ref="G32">IFERROR(INDEX(Main3WData[PT.LstOrg],MATCH(CONCATENATE(G$4&amp;$B32)&amp;TRUE,Main3WData[PT.Concat]&amp;Main3WData[PT.Show],0)),"")</f>
        <v>CRG</v>
      </c>
      <c r="H32" s="108" t="str">
        <f t="array" ref="H32">IFERROR(INDEX(Main3WData[PT.LstOrg],MATCH(CONCATENATE(H$4&amp;$B32)&amp;TRUE,Main3WData[PT.Concat]&amp;Main3WData[PT.Show],0)),"")</f>
        <v>UNMEER, OMS</v>
      </c>
      <c r="I32" s="108" t="str">
        <f t="array" ref="I32">IFERROR(INDEX(Main3WData[PT.LstOrg],MATCH(CONCATENATE(I$4&amp;$B32)&amp;TRUE,Main3WData[PT.Concat]&amp;Main3WData[PT.Show],0)),"")</f>
        <v/>
      </c>
      <c r="J32" s="108" t="str">
        <f t="array" ref="J32">IFERROR(INDEX(Main3WData[PT.LstOrg],MATCH(CONCATENATE(J$4&amp;$B32)&amp;TRUE,Main3WData[PT.Concat]&amp;Main3WData[PT.Show],0)),"")</f>
        <v/>
      </c>
      <c r="K32" s="108" t="str">
        <f t="array" ref="K32">IFERROR(INDEX(Main3WData[PT.LstOrg],MATCH(CONCATENATE(K$4&amp;$B32)&amp;TRUE,Main3WData[PT.Concat]&amp;Main3WData[PT.Show],0)),"")</f>
        <v/>
      </c>
      <c r="L32" s="108" t="str">
        <f t="array" ref="L32">IFERROR(INDEX(Main3WData[PT.LstOrg],MATCH(CONCATENATE(L$4&amp;$B32)&amp;TRUE,Main3WData[PT.Concat]&amp;Main3WData[PT.Show],0)),"")</f>
        <v/>
      </c>
      <c r="M32" s="108" t="str">
        <f t="array" ref="M32">IFERROR(INDEX(Main3WData[PT.LstOrg],MATCH(CONCATENATE(M$4&amp;$B32)&amp;TRUE,Main3WData[PT.Concat]&amp;Main3WData[PT.Show],0)),"")</f>
        <v/>
      </c>
      <c r="N32" s="108" t="str">
        <f t="array" ref="N32">IFERROR(INDEX(Main3WData[PT.LstOrg],MATCH(CONCATENATE(N$4&amp;$B32)&amp;TRUE,Main3WData[PT.Concat]&amp;Main3WData[PT.Show],0)),"")</f>
        <v>UNFPA, OMS, Columbia Univ, CDC, ACF-E</v>
      </c>
      <c r="O32" s="108" t="str">
        <f t="array" ref="O32">IFERROR(INDEX(Main3WData[PT.LstOrg],MATCH(CONCATENATE(O$4&amp;$B32)&amp;TRUE,Main3WData[PT.Concat]&amp;Main3WData[PT.Show],0)),"")</f>
        <v/>
      </c>
    </row>
    <row r="33" spans="2:15" ht="56.25" x14ac:dyDescent="0.2">
      <c r="B33" s="106" t="s">
        <v>425</v>
      </c>
      <c r="C33" s="107" t="s">
        <v>424</v>
      </c>
      <c r="D33" s="108" t="str">
        <f t="array" ref="D33">IFERROR(INDEX(Main3WData[PT.LstOrg],MATCH(CONCATENATE(D$4&amp;$B33)&amp;TRUE,Main3WData[PT.Concat]&amp;Main3WData[PT.Show],0)),"")</f>
        <v>USAID, UNICEF, UNFPA, UNDP, SAVE THE CHILDREN, PLAN, OMS, Internews, CRG/FICR</v>
      </c>
      <c r="E33" s="108" t="str">
        <f t="array" ref="E33">IFERROR(INDEX(Main3WData[PT.LstOrg],MATCH(CONCATENATE(E$4&amp;$B33)&amp;TRUE,Main3WData[PT.Concat]&amp;Main3WData[PT.Show],0)),"")</f>
        <v>USAID, UNMEER, UNFPA, UNDP, save the children, OMS, MSF, eHealth Africa</v>
      </c>
      <c r="F33" s="108" t="str">
        <f t="array" ref="F33">IFERROR(INDEX(Main3WData[PT.LstOrg],MATCH(CONCATENATE(F$4&amp;$B33)&amp;TRUE,Main3WData[PT.Concat]&amp;Main3WData[PT.Show],0)),"")</f>
        <v>UNDP</v>
      </c>
      <c r="G33" s="108" t="str">
        <f t="array" ref="G33">IFERROR(INDEX(Main3WData[PT.LstOrg],MATCH(CONCATENATE(G$4&amp;$B33)&amp;TRUE,Main3WData[PT.Concat]&amp;Main3WData[PT.Show],0)),"")</f>
        <v>CRG</v>
      </c>
      <c r="H33" s="108" t="str">
        <f t="array" ref="H33">IFERROR(INDEX(Main3WData[PT.LstOrg],MATCH(CONCATENATE(H$4&amp;$B33)&amp;TRUE,Main3WData[PT.Concat]&amp;Main3WData[PT.Show],0)),"")</f>
        <v>UNMEER, OMS</v>
      </c>
      <c r="I33" s="108" t="str">
        <f t="array" ref="I33">IFERROR(INDEX(Main3WData[PT.LstOrg],MATCH(CONCATENATE(I$4&amp;$B33)&amp;TRUE,Main3WData[PT.Concat]&amp;Main3WData[PT.Show],0)),"")</f>
        <v>UNMEER</v>
      </c>
      <c r="J33" s="108" t="str">
        <f t="array" ref="J33">IFERROR(INDEX(Main3WData[PT.LstOrg],MATCH(CONCATENATE(J$4&amp;$B33)&amp;TRUE,Main3WData[PT.Concat]&amp;Main3WData[PT.Show],0)),"")</f>
        <v>WFP, USAID/JHPIEGO, OMS, France, EU</v>
      </c>
      <c r="K33" s="108" t="str">
        <f t="array" ref="K33">IFERROR(INDEX(Main3WData[PT.LstOrg],MATCH(CONCATENATE(K$4&amp;$B33)&amp;TRUE,Main3WData[PT.Concat]&amp;Main3WData[PT.Show],0)),"")</f>
        <v/>
      </c>
      <c r="L33" s="108" t="str">
        <f t="array" ref="L33">IFERROR(INDEX(Main3WData[PT.LstOrg],MATCH(CONCATENATE(L$4&amp;$B33)&amp;TRUE,Main3WData[PT.Concat]&amp;Main3WData[PT.Show],0)),"")</f>
        <v/>
      </c>
      <c r="M33" s="108" t="str">
        <f t="array" ref="M33">IFERROR(INDEX(Main3WData[PT.LstOrg],MATCH(CONCATENATE(M$4&amp;$B33)&amp;TRUE,Main3WData[PT.Concat]&amp;Main3WData[PT.Show],0)),"")</f>
        <v>WFP, DRC</v>
      </c>
      <c r="N33" s="108" t="str">
        <f t="array" ref="N33">IFERROR(INDEX(Main3WData[PT.LstOrg],MATCH(CONCATENATE(N$4&amp;$B33)&amp;TRUE,Main3WData[PT.Concat]&amp;Main3WData[PT.Show],0)),"")</f>
        <v>USAID/JHPIEGO, USAID, UNFPA, Save the Children, OMS, Columbia Univ, CDC</v>
      </c>
      <c r="O33" s="108" t="str">
        <f t="array" ref="O33">IFERROR(INDEX(Main3WData[PT.LstOrg],MATCH(CONCATENATE(O$4&amp;$B33)&amp;TRUE,Main3WData[PT.Concat]&amp;Main3WData[PT.Show],0)),"")</f>
        <v/>
      </c>
    </row>
    <row r="34" spans="2:15" ht="33.75" x14ac:dyDescent="0.2">
      <c r="B34" s="106" t="s">
        <v>427</v>
      </c>
      <c r="C34" s="107" t="s">
        <v>426</v>
      </c>
      <c r="D34" s="108" t="str">
        <f t="array" ref="D34">IFERROR(INDEX(Main3WData[PT.LstOrg],MATCH(CONCATENATE(D$4&amp;$B34)&amp;TRUE,Main3WData[PT.Concat]&amp;Main3WData[PT.Show],0)),"")</f>
        <v>UNICEF, UNFPA, UNDP, PLAN, OMS, CRG/FICR</v>
      </c>
      <c r="E34" s="108" t="str">
        <f t="array" ref="E34">IFERROR(INDEX(Main3WData[PT.LstOrg],MATCH(CONCATENATE(E$4&amp;$B34)&amp;TRUE,Main3WData[PT.Concat]&amp;Main3WData[PT.Show],0)),"")</f>
        <v>UNMEER, UNFPA, UNDP, OMS, MSF, eHealth Africa</v>
      </c>
      <c r="F34" s="108" t="str">
        <f t="array" ref="F34">IFERROR(INDEX(Main3WData[PT.LstOrg],MATCH(CONCATENATE(F$4&amp;$B34)&amp;TRUE,Main3WData[PT.Concat]&amp;Main3WData[PT.Show],0)),"")</f>
        <v>UNDP</v>
      </c>
      <c r="G34" s="108" t="str">
        <f t="array" ref="G34">IFERROR(INDEX(Main3WData[PT.LstOrg],MATCH(CONCATENATE(G$4&amp;$B34)&amp;TRUE,Main3WData[PT.Concat]&amp;Main3WData[PT.Show],0)),"")</f>
        <v>CRG</v>
      </c>
      <c r="H34" s="108" t="str">
        <f t="array" ref="H34">IFERROR(INDEX(Main3WData[PT.LstOrg],MATCH(CONCATENATE(H$4&amp;$B34)&amp;TRUE,Main3WData[PT.Concat]&amp;Main3WData[PT.Show],0)),"")</f>
        <v>UNMEER, UNDP, PLAN, OMS</v>
      </c>
      <c r="I34" s="108" t="str">
        <f t="array" ref="I34">IFERROR(INDEX(Main3WData[PT.LstOrg],MATCH(CONCATENATE(I$4&amp;$B34)&amp;TRUE,Main3WData[PT.Concat]&amp;Main3WData[PT.Show],0)),"")</f>
        <v>UNMEER, OMS</v>
      </c>
      <c r="J34" s="108" t="str">
        <f t="array" ref="J34">IFERROR(INDEX(Main3WData[PT.LstOrg],MATCH(CONCATENATE(J$4&amp;$B34)&amp;TRUE,Main3WData[PT.Concat]&amp;Main3WData[PT.Show],0)),"")</f>
        <v>MSF, Divers Bailleurs, CRS</v>
      </c>
      <c r="K34" s="108" t="str">
        <f t="array" ref="K34">IFERROR(INDEX(Main3WData[PT.LstOrg],MATCH(CONCATENATE(K$4&amp;$B34)&amp;TRUE,Main3WData[PT.Concat]&amp;Main3WData[PT.Show],0)),"")</f>
        <v/>
      </c>
      <c r="L34" s="108" t="str">
        <f t="array" ref="L34">IFERROR(INDEX(Main3WData[PT.LstOrg],MATCH(CONCATENATE(L$4&amp;$B34)&amp;TRUE,Main3WData[PT.Concat]&amp;Main3WData[PT.Show],0)),"")</f>
        <v/>
      </c>
      <c r="M34" s="108" t="str">
        <f t="array" ref="M34">IFERROR(INDEX(Main3WData[PT.LstOrg],MATCH(CONCATENATE(M$4&amp;$B34)&amp;TRUE,Main3WData[PT.Concat]&amp;Main3WData[PT.Show],0)),"")</f>
        <v>WFP, PLAN</v>
      </c>
      <c r="N34" s="108" t="str">
        <f t="array" ref="N34">IFERROR(INDEX(Main3WData[PT.LstOrg],MATCH(CONCATENATE(N$4&amp;$B34)&amp;TRUE,Main3WData[PT.Concat]&amp;Main3WData[PT.Show],0)),"")</f>
        <v>UNFPA, PLAN, OMS, MSF, Columbia Univ, CDC</v>
      </c>
      <c r="O34" s="108" t="str">
        <f t="array" ref="O34">IFERROR(INDEX(Main3WData[PT.LstOrg],MATCH(CONCATENATE(O$4&amp;$B34)&amp;TRUE,Main3WData[PT.Concat]&amp;Main3WData[PT.Show],0)),"")</f>
        <v>MSF, EU</v>
      </c>
    </row>
    <row r="35" spans="2:15" ht="45" x14ac:dyDescent="0.2">
      <c r="B35" s="106" t="s">
        <v>429</v>
      </c>
      <c r="C35" s="107" t="s">
        <v>428</v>
      </c>
      <c r="D35" s="108" t="str">
        <f t="array" ref="D35">IFERROR(INDEX(Main3WData[PT.LstOrg],MATCH(CONCATENATE(D$4&amp;$B35)&amp;TRUE,Main3WData[PT.Concat]&amp;Main3WData[PT.Show],0)),"")</f>
        <v>UNICEF, UNFPA, UNDP, Save the Children, PLAN, OMS, CRG/FICR</v>
      </c>
      <c r="E35" s="108" t="str">
        <f t="array" ref="E35">IFERROR(INDEX(Main3WData[PT.LstOrg],MATCH(CONCATENATE(E$4&amp;$B35)&amp;TRUE,Main3WData[PT.Concat]&amp;Main3WData[PT.Show],0)),"")</f>
        <v>UNMEER, UNFPA, UNDP, OMS, MSF, eHealth Africa</v>
      </c>
      <c r="F35" s="108" t="str">
        <f t="array" ref="F35">IFERROR(INDEX(Main3WData[PT.LstOrg],MATCH(CONCATENATE(F$4&amp;$B35)&amp;TRUE,Main3WData[PT.Concat]&amp;Main3WData[PT.Show],0)),"")</f>
        <v>UNDP</v>
      </c>
      <c r="G35" s="108" t="str">
        <f t="array" ref="G35">IFERROR(INDEX(Main3WData[PT.LstOrg],MATCH(CONCATENATE(G$4&amp;$B35)&amp;TRUE,Main3WData[PT.Concat]&amp;Main3WData[PT.Show],0)),"")</f>
        <v>CRG</v>
      </c>
      <c r="H35" s="108" t="str">
        <f t="array" ref="H35">IFERROR(INDEX(Main3WData[PT.LstOrg],MATCH(CONCATENATE(H$4&amp;$B35)&amp;TRUE,Main3WData[PT.Concat]&amp;Main3WData[PT.Show],0)),"")</f>
        <v>UNMEER, OMS</v>
      </c>
      <c r="I35" s="108" t="str">
        <f t="array" ref="I35">IFERROR(INDEX(Main3WData[PT.LstOrg],MATCH(CONCATENATE(I$4&amp;$B35)&amp;TRUE,Main3WData[PT.Concat]&amp;Main3WData[PT.Show],0)),"")</f>
        <v/>
      </c>
      <c r="J35" s="108" t="str">
        <f t="array" ref="J35">IFERROR(INDEX(Main3WData[PT.LstOrg],MATCH(CONCATENATE(J$4&amp;$B35)&amp;TRUE,Main3WData[PT.Concat]&amp;Main3WData[PT.Show],0)),"")</f>
        <v>EU</v>
      </c>
      <c r="K35" s="108" t="str">
        <f t="array" ref="K35">IFERROR(INDEX(Main3WData[PT.LstOrg],MATCH(CONCATENATE(K$4&amp;$B35)&amp;TRUE,Main3WData[PT.Concat]&amp;Main3WData[PT.Show],0)),"")</f>
        <v/>
      </c>
      <c r="L35" s="108" t="str">
        <f t="array" ref="L35">IFERROR(INDEX(Main3WData[PT.LstOrg],MATCH(CONCATENATE(L$4&amp;$B35)&amp;TRUE,Main3WData[PT.Concat]&amp;Main3WData[PT.Show],0)),"")</f>
        <v/>
      </c>
      <c r="M35" s="108" t="str">
        <f t="array" ref="M35">IFERROR(INDEX(Main3WData[PT.LstOrg],MATCH(CONCATENATE(M$4&amp;$B35)&amp;TRUE,Main3WData[PT.Concat]&amp;Main3WData[PT.Show],0)),"")</f>
        <v>WFP, DRC, CRS</v>
      </c>
      <c r="N35" s="108" t="str">
        <f t="array" ref="N35">IFERROR(INDEX(Main3WData[PT.LstOrg],MATCH(CONCATENATE(N$4&amp;$B35)&amp;TRUE,Main3WData[PT.Concat]&amp;Main3WData[PT.Show],0)),"")</f>
        <v>UNFPA, OMS, Columbia Univ, CDC</v>
      </c>
      <c r="O35" s="108" t="str">
        <f t="array" ref="O35">IFERROR(INDEX(Main3WData[PT.LstOrg],MATCH(CONCATENATE(O$4&amp;$B35)&amp;TRUE,Main3WData[PT.Concat]&amp;Main3WData[PT.Show],0)),"")</f>
        <v/>
      </c>
    </row>
    <row r="36" spans="2:15" ht="33.75" x14ac:dyDescent="0.2">
      <c r="B36" s="106" t="s">
        <v>431</v>
      </c>
      <c r="C36" s="107" t="s">
        <v>430</v>
      </c>
      <c r="D36" s="108" t="str">
        <f t="array" ref="D36">IFERROR(INDEX(Main3WData[PT.LstOrg],MATCH(CONCATENATE(D$4&amp;$B36)&amp;TRUE,Main3WData[PT.Concat]&amp;Main3WData[PT.Show],0)),"")</f>
        <v>UNICEF, UNFPA, UNDP, PLAN, OMS, CRG/FICR</v>
      </c>
      <c r="E36" s="108" t="str">
        <f t="array" ref="E36">IFERROR(INDEX(Main3WData[PT.LstOrg],MATCH(CONCATENATE(E$4&amp;$B36)&amp;TRUE,Main3WData[PT.Concat]&amp;Main3WData[PT.Show],0)),"")</f>
        <v>UNMEER, UNFPA, UNDP, OMS, MSF, eHealth Africa</v>
      </c>
      <c r="F36" s="108" t="str">
        <f t="array" ref="F36">IFERROR(INDEX(Main3WData[PT.LstOrg],MATCH(CONCATENATE(F$4&amp;$B36)&amp;TRUE,Main3WData[PT.Concat]&amp;Main3WData[PT.Show],0)),"")</f>
        <v>UNDP</v>
      </c>
      <c r="G36" s="108" t="str">
        <f t="array" ref="G36">IFERROR(INDEX(Main3WData[PT.LstOrg],MATCH(CONCATENATE(G$4&amp;$B36)&amp;TRUE,Main3WData[PT.Concat]&amp;Main3WData[PT.Show],0)),"")</f>
        <v>CRG</v>
      </c>
      <c r="H36" s="108" t="str">
        <f t="array" ref="H36">IFERROR(INDEX(Main3WData[PT.LstOrg],MATCH(CONCATENATE(H$4&amp;$B36)&amp;TRUE,Main3WData[PT.Concat]&amp;Main3WData[PT.Show],0)),"")</f>
        <v>UNMEER, UNDP, PLAN, OMS</v>
      </c>
      <c r="I36" s="108" t="str">
        <f t="array" ref="I36">IFERROR(INDEX(Main3WData[PT.LstOrg],MATCH(CONCATENATE(I$4&amp;$B36)&amp;TRUE,Main3WData[PT.Concat]&amp;Main3WData[PT.Show],0)),"")</f>
        <v>UNMEER, OMS</v>
      </c>
      <c r="J36" s="108" t="str">
        <f t="array" ref="J36">IFERROR(INDEX(Main3WData[PT.LstOrg],MATCH(CONCATENATE(J$4&amp;$B36)&amp;TRUE,Main3WData[PT.Concat]&amp;Main3WData[PT.Show],0)),"")</f>
        <v>WFP, MSF, France, EU, CRS, CRF</v>
      </c>
      <c r="K36" s="108" t="str">
        <f t="array" ref="K36">IFERROR(INDEX(Main3WData[PT.LstOrg],MATCH(CONCATENATE(K$4&amp;$B36)&amp;TRUE,Main3WData[PT.Concat]&amp;Main3WData[PT.Show],0)),"")</f>
        <v/>
      </c>
      <c r="L36" s="108" t="str">
        <f t="array" ref="L36">IFERROR(INDEX(Main3WData[PT.LstOrg],MATCH(CONCATENATE(L$4&amp;$B36)&amp;TRUE,Main3WData[PT.Concat]&amp;Main3WData[PT.Show],0)),"")</f>
        <v>UNDP</v>
      </c>
      <c r="M36" s="108" t="str">
        <f t="array" ref="M36">IFERROR(INDEX(Main3WData[PT.LstOrg],MATCH(CONCATENATE(M$4&amp;$B36)&amp;TRUE,Main3WData[PT.Concat]&amp;Main3WData[PT.Show],0)),"")</f>
        <v>WFP, save the children, PLAN</v>
      </c>
      <c r="N36" s="108" t="str">
        <f t="array" ref="N36">IFERROR(INDEX(Main3WData[PT.LstOrg],MATCH(CONCATENATE(N$4&amp;$B36)&amp;TRUE,Main3WData[PT.Concat]&amp;Main3WData[PT.Show],0)),"")</f>
        <v>UNFPA, plan, OMS, Columbia Univ, CDC</v>
      </c>
      <c r="O36" s="108" t="str">
        <f t="array" ref="O36">IFERROR(INDEX(Main3WData[PT.LstOrg],MATCH(CONCATENATE(O$4&amp;$B36)&amp;TRUE,Main3WData[PT.Concat]&amp;Main3WData[PT.Show],0)),"")</f>
        <v>IP-D, France</v>
      </c>
    </row>
    <row r="37" spans="2:15" ht="33.75" x14ac:dyDescent="0.2">
      <c r="B37" s="106" t="s">
        <v>433</v>
      </c>
      <c r="C37" s="107" t="s">
        <v>432</v>
      </c>
      <c r="D37" s="108" t="str">
        <f t="array" ref="D37">IFERROR(INDEX(Main3WData[PT.LstOrg],MATCH(CONCATENATE(D$4&amp;$B37)&amp;TRUE,Main3WData[PT.Concat]&amp;Main3WData[PT.Show],0)),"")</f>
        <v>UNICEF, UNFPA, UNDP, PLAN, OMS, Internews, CRG/FICR</v>
      </c>
      <c r="E37" s="108" t="str">
        <f t="array" ref="E37">IFERROR(INDEX(Main3WData[PT.LstOrg],MATCH(CONCATENATE(E$4&amp;$B37)&amp;TRUE,Main3WData[PT.Concat]&amp;Main3WData[PT.Show],0)),"")</f>
        <v>UNMEER, UNFPA, UNDP, OMS, MSF, eHealth Africa</v>
      </c>
      <c r="F37" s="108" t="str">
        <f t="array" ref="F37">IFERROR(INDEX(Main3WData[PT.LstOrg],MATCH(CONCATENATE(F$4&amp;$B37)&amp;TRUE,Main3WData[PT.Concat]&amp;Main3WData[PT.Show],0)),"")</f>
        <v>UNDP</v>
      </c>
      <c r="G37" s="108" t="str">
        <f t="array" ref="G37">IFERROR(INDEX(Main3WData[PT.LstOrg],MATCH(CONCATENATE(G$4&amp;$B37)&amp;TRUE,Main3WData[PT.Concat]&amp;Main3WData[PT.Show],0)),"")</f>
        <v>CRG</v>
      </c>
      <c r="H37" s="108" t="str">
        <f t="array" ref="H37">IFERROR(INDEX(Main3WData[PT.LstOrg],MATCH(CONCATENATE(H$4&amp;$B37)&amp;TRUE,Main3WData[PT.Concat]&amp;Main3WData[PT.Show],0)),"")</f>
        <v>UNMEER, UNDP, PLAN, OMS</v>
      </c>
      <c r="I37" s="108" t="str">
        <f t="array" ref="I37">IFERROR(INDEX(Main3WData[PT.LstOrg],MATCH(CONCATENATE(I$4&amp;$B37)&amp;TRUE,Main3WData[PT.Concat]&amp;Main3WData[PT.Show],0)),"")</f>
        <v>UNMEER, OMS</v>
      </c>
      <c r="J37" s="108" t="str">
        <f t="array" ref="J37">IFERROR(INDEX(Main3WData[PT.LstOrg],MATCH(CONCATENATE(J$4&amp;$B37)&amp;TRUE,Main3WData[PT.Concat]&amp;Main3WData[PT.Show],0)),"")</f>
        <v>WFP, OMS, MSF, ECHO, CRS, ALIMA</v>
      </c>
      <c r="K37" s="108" t="str">
        <f t="array" ref="K37">IFERROR(INDEX(Main3WData[PT.LstOrg],MATCH(CONCATENATE(K$4&amp;$B37)&amp;TRUE,Main3WData[PT.Concat]&amp;Main3WData[PT.Show],0)),"")</f>
        <v/>
      </c>
      <c r="L37" s="108" t="str">
        <f t="array" ref="L37">IFERROR(INDEX(Main3WData[PT.LstOrg],MATCH(CONCATENATE(L$4&amp;$B37)&amp;TRUE,Main3WData[PT.Concat]&amp;Main3WData[PT.Show],0)),"")</f>
        <v>UNDP</v>
      </c>
      <c r="M37" s="108" t="str">
        <f t="array" ref="M37">IFERROR(INDEX(Main3WData[PT.LstOrg],MATCH(CONCATENATE(M$4&amp;$B37)&amp;TRUE,Main3WData[PT.Concat]&amp;Main3WData[PT.Show],0)),"")</f>
        <v>WFP, CRS</v>
      </c>
      <c r="N37" s="108" t="str">
        <f t="array" ref="N37">IFERROR(INDEX(Main3WData[PT.LstOrg],MATCH(CONCATENATE(N$4&amp;$B37)&amp;TRUE,Main3WData[PT.Concat]&amp;Main3WData[PT.Show],0)),"")</f>
        <v>UNFPA, save the Children, Plan, OMS, Columbia Univ, CDC</v>
      </c>
      <c r="O37" s="108" t="str">
        <f t="array" ref="O37">IFERROR(INDEX(Main3WData[PT.LstOrg],MATCH(CONCATENATE(O$4&amp;$B37)&amp;TRUE,Main3WData[PT.Concat]&amp;Main3WData[PT.Show],0)),"")</f>
        <v>WFP, EU</v>
      </c>
    </row>
    <row r="38" spans="2:15" ht="33.75" x14ac:dyDescent="0.2">
      <c r="B38" s="106" t="s">
        <v>435</v>
      </c>
      <c r="C38" s="107" t="s">
        <v>434</v>
      </c>
      <c r="D38" s="108" t="str">
        <f t="array" ref="D38">IFERROR(INDEX(Main3WData[PT.LstOrg],MATCH(CONCATENATE(D$4&amp;$B38)&amp;TRUE,Main3WData[PT.Concat]&amp;Main3WData[PT.Show],0)),"")</f>
        <v>UNICEF, UNFPA, UNDP, PLAN, OMS</v>
      </c>
      <c r="E38" s="108" t="str">
        <f t="array" ref="E38">IFERROR(INDEX(Main3WData[PT.LstOrg],MATCH(CONCATENATE(E$4&amp;$B38)&amp;TRUE,Main3WData[PT.Concat]&amp;Main3WData[PT.Show],0)),"")</f>
        <v>UNMEER, UNFPA, UNDP, OMS, MSF, eHealth Africa</v>
      </c>
      <c r="F38" s="108" t="str">
        <f t="array" ref="F38">IFERROR(INDEX(Main3WData[PT.LstOrg],MATCH(CONCATENATE(F$4&amp;$B38)&amp;TRUE,Main3WData[PT.Concat]&amp;Main3WData[PT.Show],0)),"")</f>
        <v>UNDP</v>
      </c>
      <c r="G38" s="108" t="str">
        <f t="array" ref="G38">IFERROR(INDEX(Main3WData[PT.LstOrg],MATCH(CONCATENATE(G$4&amp;$B38)&amp;TRUE,Main3WData[PT.Concat]&amp;Main3WData[PT.Show],0)),"")</f>
        <v>CRG</v>
      </c>
      <c r="H38" s="108" t="str">
        <f t="array" ref="H38">IFERROR(INDEX(Main3WData[PT.LstOrg],MATCH(CONCATENATE(H$4&amp;$B38)&amp;TRUE,Main3WData[PT.Concat]&amp;Main3WData[PT.Show],0)),"")</f>
        <v>UNMEER, PLAN, OMS</v>
      </c>
      <c r="I38" s="108" t="str">
        <f t="array" ref="I38">IFERROR(INDEX(Main3WData[PT.LstOrg],MATCH(CONCATENATE(I$4&amp;$B38)&amp;TRUE,Main3WData[PT.Concat]&amp;Main3WData[PT.Show],0)),"")</f>
        <v/>
      </c>
      <c r="J38" s="108" t="str">
        <f t="array" ref="J38">IFERROR(INDEX(Main3WData[PT.LstOrg],MATCH(CONCATENATE(J$4&amp;$B38)&amp;TRUE,Main3WData[PT.Concat]&amp;Main3WData[PT.Show],0)),"")</f>
        <v>WFP, CRS</v>
      </c>
      <c r="K38" s="108" t="str">
        <f t="array" ref="K38">IFERROR(INDEX(Main3WData[PT.LstOrg],MATCH(CONCATENATE(K$4&amp;$B38)&amp;TRUE,Main3WData[PT.Concat]&amp;Main3WData[PT.Show],0)),"")</f>
        <v/>
      </c>
      <c r="L38" s="108" t="str">
        <f t="array" ref="L38">IFERROR(INDEX(Main3WData[PT.LstOrg],MATCH(CONCATENATE(L$4&amp;$B38)&amp;TRUE,Main3WData[PT.Concat]&amp;Main3WData[PT.Show],0)),"")</f>
        <v/>
      </c>
      <c r="M38" s="108" t="str">
        <f t="array" ref="M38">IFERROR(INDEX(Main3WData[PT.LstOrg],MATCH(CONCATENATE(M$4&amp;$B38)&amp;TRUE,Main3WData[PT.Concat]&amp;Main3WData[PT.Show],0)),"")</f>
        <v>WFP, CRS</v>
      </c>
      <c r="N38" s="108" t="str">
        <f t="array" ref="N38">IFERROR(INDEX(Main3WData[PT.LstOrg],MATCH(CONCATENATE(N$4&amp;$B38)&amp;TRUE,Main3WData[PT.Concat]&amp;Main3WData[PT.Show],0)),"")</f>
        <v>UNFPA, OMS, CDC</v>
      </c>
      <c r="O38" s="108" t="str">
        <f t="array" ref="O38">IFERROR(INDEX(Main3WData[PT.LstOrg],MATCH(CONCATENATE(O$4&amp;$B38)&amp;TRUE,Main3WData[PT.Concat]&amp;Main3WData[PT.Show],0)),"")</f>
        <v/>
      </c>
    </row>
    <row r="39" spans="2:15" x14ac:dyDescent="0.2">
      <c r="D39"/>
    </row>
    <row r="40" spans="2:15" x14ac:dyDescent="0.2">
      <c r="D40"/>
    </row>
    <row r="41" spans="2:15" x14ac:dyDescent="0.2">
      <c r="D41"/>
    </row>
  </sheetData>
  <mergeCells count="1">
    <mergeCell ref="Q6:R8"/>
  </mergeCells>
  <pageMargins left="0.35433070866141736" right="0.23622047244094491" top="0.67" bottom="0.19685039370078741" header="0.15748031496062992" footer="0.15748031496062992"/>
  <pageSetup paperSize="9" scale="72" fitToHeight="2"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102">
    <tabColor theme="9" tint="-0.249977111117893"/>
  </sheetPr>
  <dimension ref="B1:N50"/>
  <sheetViews>
    <sheetView showGridLines="0" workbookViewId="0">
      <selection activeCell="B1" sqref="B1:K1"/>
    </sheetView>
  </sheetViews>
  <sheetFormatPr baseColWidth="10" defaultColWidth="9.140625" defaultRowHeight="12.75" x14ac:dyDescent="0.2"/>
  <cols>
    <col min="2" max="2" width="15.140625" customWidth="1"/>
    <col min="3" max="13" width="12.42578125" style="59" customWidth="1"/>
    <col min="14" max="14" width="12.42578125" customWidth="1"/>
  </cols>
  <sheetData>
    <row r="1" spans="2:14" ht="28.5" customHeight="1" x14ac:dyDescent="0.2">
      <c r="B1" s="116" t="s">
        <v>532</v>
      </c>
      <c r="C1" s="117"/>
      <c r="D1" s="117"/>
      <c r="E1" s="117"/>
      <c r="F1" s="117"/>
      <c r="G1" s="117"/>
      <c r="H1" s="117"/>
      <c r="I1" s="117"/>
      <c r="J1" s="117"/>
      <c r="K1" s="117"/>
    </row>
    <row r="3" spans="2:14" ht="40.5" customHeight="1" x14ac:dyDescent="0.2">
      <c r="B3" s="72" t="str">
        <f>B4</f>
        <v>District</v>
      </c>
      <c r="C3" s="113" t="s">
        <v>350</v>
      </c>
      <c r="D3" s="113" t="s">
        <v>360</v>
      </c>
      <c r="E3" s="113" t="s">
        <v>359</v>
      </c>
      <c r="F3" s="113" t="s">
        <v>354</v>
      </c>
      <c r="G3" s="113" t="s">
        <v>356</v>
      </c>
      <c r="H3" s="113" t="s">
        <v>358</v>
      </c>
      <c r="I3" s="113" t="s">
        <v>353</v>
      </c>
      <c r="J3" s="113" t="s">
        <v>361</v>
      </c>
      <c r="K3" s="113" t="s">
        <v>357</v>
      </c>
      <c r="L3" s="113" t="s">
        <v>355</v>
      </c>
      <c r="M3" s="113" t="s">
        <v>351</v>
      </c>
      <c r="N3" s="113" t="s">
        <v>352</v>
      </c>
    </row>
    <row r="4" spans="2:14" s="60" customFormat="1" ht="18" hidden="1" customHeight="1" x14ac:dyDescent="0.2">
      <c r="B4" s="60" t="s">
        <v>81</v>
      </c>
      <c r="C4" s="59" t="s">
        <v>350</v>
      </c>
      <c r="D4" s="59" t="s">
        <v>360</v>
      </c>
      <c r="E4" s="59" t="s">
        <v>359</v>
      </c>
      <c r="F4" s="59" t="s">
        <v>354</v>
      </c>
      <c r="G4" s="59" t="s">
        <v>356</v>
      </c>
      <c r="H4" s="59" t="s">
        <v>358</v>
      </c>
      <c r="I4" s="59" t="s">
        <v>353</v>
      </c>
      <c r="J4" s="59" t="s">
        <v>361</v>
      </c>
      <c r="K4" s="59" t="s">
        <v>357</v>
      </c>
      <c r="L4" s="59" t="s">
        <v>355</v>
      </c>
      <c r="M4" s="59" t="s">
        <v>351</v>
      </c>
      <c r="N4" s="59" t="s">
        <v>352</v>
      </c>
    </row>
    <row r="5" spans="2:14" s="10" customFormat="1" ht="12.75" customHeight="1" x14ac:dyDescent="0.2">
      <c r="B5" s="65" t="s">
        <v>368</v>
      </c>
      <c r="C5" s="64">
        <f>INDEX(Gears!$C$6:$N$39,MATCH(Table11[[#This Row],[District]],Gears!$A$6:$A$39,0),MATCH('Calculated table'!C$4,Gears!$C$5:$N$5,0))</f>
        <v>5</v>
      </c>
      <c r="D5" s="64">
        <f>INDEX(Gears!$C$6:$N$39,MATCH(Table11[[#This Row],[District]],Gears!$A$6:$A$39,0),MATCH('Calculated table'!D$4,Gears!$C$5:$N$5,0))</f>
        <v>6</v>
      </c>
      <c r="E5" s="64">
        <f>INDEX(Gears!$C$6:$N$39,MATCH(Table11[[#This Row],[District]],Gears!$A$6:$A$39,0),MATCH('Calculated table'!E$4,Gears!$C$5:$N$5,0))</f>
        <v>1</v>
      </c>
      <c r="F5" s="64">
        <f>INDEX(Gears!$C$6:$N$39,MATCH(Table11[[#This Row],[District]],Gears!$A$6:$A$39,0),MATCH('Calculated table'!F$4,Gears!$C$5:$N$5,0))</f>
        <v>1</v>
      </c>
      <c r="G5" s="64">
        <f>INDEX(Gears!$C$6:$N$39,MATCH(Table11[[#This Row],[District]],Gears!$A$6:$A$39,0),MATCH('Calculated table'!G$4,Gears!$C$5:$N$5,0))</f>
        <v>2</v>
      </c>
      <c r="H5" s="64">
        <f>INDEX(Gears!$C$6:$N$39,MATCH(Table11[[#This Row],[District]],Gears!$A$6:$A$39,0),MATCH('Calculated table'!H$4,Gears!$C$5:$N$5,0))</f>
        <v>0</v>
      </c>
      <c r="I5" s="64">
        <f>INDEX(Gears!$C$6:$N$39,MATCH(Table11[[#This Row],[District]],Gears!$A$6:$A$39,0),MATCH('Calculated table'!I$4,Gears!$C$5:$N$5,0))</f>
        <v>0</v>
      </c>
      <c r="J5" s="64">
        <f>INDEX(Gears!$C$6:$N$39,MATCH(Table11[[#This Row],[District]],Gears!$A$6:$A$39,0),MATCH('Calculated table'!J$4,Gears!$C$5:$N$5,0))</f>
        <v>0</v>
      </c>
      <c r="K5" s="64">
        <f>INDEX(Gears!$C$6:$N$39,MATCH(Table11[[#This Row],[District]],Gears!$A$6:$A$39,0),MATCH('Calculated table'!K$4,Gears!$C$5:$N$5,0))</f>
        <v>0</v>
      </c>
      <c r="L5" s="64">
        <f>INDEX(Gears!$C$6:$N$39,MATCH(Table11[[#This Row],[District]],Gears!$A$6:$A$39,0),MATCH('Calculated table'!L$4,Gears!$C$5:$N$5,0))</f>
        <v>2</v>
      </c>
      <c r="M5" s="64">
        <f>INDEX(Gears!$C$6:$N$39,MATCH(Table11[[#This Row],[District]],Gears!$A$6:$A$39,0),MATCH('Calculated table'!M$4,Gears!$C$5:$N$5,0))</f>
        <v>2</v>
      </c>
      <c r="N5" s="64">
        <f>INDEX(Gears!$C$6:$N$39,MATCH(Table11[[#This Row],[District]],Gears!$A$6:$A$39,0),MATCH('Calculated table'!N$4,Gears!$C$5:$N$5,0))</f>
        <v>0</v>
      </c>
    </row>
    <row r="6" spans="2:14" s="10" customFormat="1" ht="12.75" customHeight="1" x14ac:dyDescent="0.2">
      <c r="B6" s="65" t="s">
        <v>370</v>
      </c>
      <c r="C6" s="64">
        <f>INDEX(Gears!$C$6:$N$39,MATCH(Table11[[#This Row],[District]],Gears!$A$6:$A$39,0),MATCH('Calculated table'!C$4,Gears!$C$5:$N$5,0))</f>
        <v>7</v>
      </c>
      <c r="D6" s="64">
        <f>INDEX(Gears!$C$6:$N$39,MATCH(Table11[[#This Row],[District]],Gears!$A$6:$A$39,0),MATCH('Calculated table'!D$4,Gears!$C$5:$N$5,0))</f>
        <v>6</v>
      </c>
      <c r="E6" s="64">
        <f>INDEX(Gears!$C$6:$N$39,MATCH(Table11[[#This Row],[District]],Gears!$A$6:$A$39,0),MATCH('Calculated table'!E$4,Gears!$C$5:$N$5,0))</f>
        <v>1</v>
      </c>
      <c r="F6" s="64">
        <f>INDEX(Gears!$C$6:$N$39,MATCH(Table11[[#This Row],[District]],Gears!$A$6:$A$39,0),MATCH('Calculated table'!F$4,Gears!$C$5:$N$5,0))</f>
        <v>1</v>
      </c>
      <c r="G6" s="64">
        <f>INDEX(Gears!$C$6:$N$39,MATCH(Table11[[#This Row],[District]],Gears!$A$6:$A$39,0),MATCH('Calculated table'!G$4,Gears!$C$5:$N$5,0))</f>
        <v>2</v>
      </c>
      <c r="H6" s="64">
        <f>INDEX(Gears!$C$6:$N$39,MATCH(Table11[[#This Row],[District]],Gears!$A$6:$A$39,0),MATCH('Calculated table'!H$4,Gears!$C$5:$N$5,0))</f>
        <v>0</v>
      </c>
      <c r="I6" s="64">
        <f>INDEX(Gears!$C$6:$N$39,MATCH(Table11[[#This Row],[District]],Gears!$A$6:$A$39,0),MATCH('Calculated table'!I$4,Gears!$C$5:$N$5,0))</f>
        <v>0</v>
      </c>
      <c r="J6" s="64">
        <f>INDEX(Gears!$C$6:$N$39,MATCH(Table11[[#This Row],[District]],Gears!$A$6:$A$39,0),MATCH('Calculated table'!J$4,Gears!$C$5:$N$5,0))</f>
        <v>0</v>
      </c>
      <c r="K6" s="64">
        <f>INDEX(Gears!$C$6:$N$39,MATCH(Table11[[#This Row],[District]],Gears!$A$6:$A$39,0),MATCH('Calculated table'!K$4,Gears!$C$5:$N$5,0))</f>
        <v>0</v>
      </c>
      <c r="L6" s="64">
        <f>INDEX(Gears!$C$6:$N$39,MATCH(Table11[[#This Row],[District]],Gears!$A$6:$A$39,0),MATCH('Calculated table'!L$4,Gears!$C$5:$N$5,0))</f>
        <v>0</v>
      </c>
      <c r="M6" s="64">
        <f>INDEX(Gears!$C$6:$N$39,MATCH(Table11[[#This Row],[District]],Gears!$A$6:$A$39,0),MATCH('Calculated table'!M$4,Gears!$C$5:$N$5,0))</f>
        <v>4</v>
      </c>
      <c r="N6" s="64">
        <f>INDEX(Gears!$C$6:$N$39,MATCH(Table11[[#This Row],[District]],Gears!$A$6:$A$39,0),MATCH('Calculated table'!N$4,Gears!$C$5:$N$5,0))</f>
        <v>0</v>
      </c>
    </row>
    <row r="7" spans="2:14" s="10" customFormat="1" ht="12.75" customHeight="1" x14ac:dyDescent="0.2">
      <c r="B7" s="65" t="s">
        <v>372</v>
      </c>
      <c r="C7" s="64">
        <f>INDEX(Gears!$C$6:$N$39,MATCH(Table11[[#This Row],[District]],Gears!$A$6:$A$39,0),MATCH('Calculated table'!C$4,Gears!$C$5:$N$5,0))</f>
        <v>5</v>
      </c>
      <c r="D7" s="64">
        <f>INDEX(Gears!$C$6:$N$39,MATCH(Table11[[#This Row],[District]],Gears!$A$6:$A$39,0),MATCH('Calculated table'!D$4,Gears!$C$5:$N$5,0))</f>
        <v>6</v>
      </c>
      <c r="E7" s="64">
        <f>INDEX(Gears!$C$6:$N$39,MATCH(Table11[[#This Row],[District]],Gears!$A$6:$A$39,0),MATCH('Calculated table'!E$4,Gears!$C$5:$N$5,0))</f>
        <v>1</v>
      </c>
      <c r="F7" s="64">
        <f>INDEX(Gears!$C$6:$N$39,MATCH(Table11[[#This Row],[District]],Gears!$A$6:$A$39,0),MATCH('Calculated table'!F$4,Gears!$C$5:$N$5,0))</f>
        <v>1</v>
      </c>
      <c r="G7" s="64">
        <f>INDEX(Gears!$C$6:$N$39,MATCH(Table11[[#This Row],[District]],Gears!$A$6:$A$39,0),MATCH('Calculated table'!G$4,Gears!$C$5:$N$5,0))</f>
        <v>2</v>
      </c>
      <c r="H7" s="64">
        <f>INDEX(Gears!$C$6:$N$39,MATCH(Table11[[#This Row],[District]],Gears!$A$6:$A$39,0),MATCH('Calculated table'!H$4,Gears!$C$5:$N$5,0))</f>
        <v>0</v>
      </c>
      <c r="I7" s="64">
        <f>INDEX(Gears!$C$6:$N$39,MATCH(Table11[[#This Row],[District]],Gears!$A$6:$A$39,0),MATCH('Calculated table'!I$4,Gears!$C$5:$N$5,0))</f>
        <v>0</v>
      </c>
      <c r="J7" s="64">
        <f>INDEX(Gears!$C$6:$N$39,MATCH(Table11[[#This Row],[District]],Gears!$A$6:$A$39,0),MATCH('Calculated table'!J$4,Gears!$C$5:$N$5,0))</f>
        <v>0</v>
      </c>
      <c r="K7" s="64">
        <f>INDEX(Gears!$C$6:$N$39,MATCH(Table11[[#This Row],[District]],Gears!$A$6:$A$39,0),MATCH('Calculated table'!K$4,Gears!$C$5:$N$5,0))</f>
        <v>0</v>
      </c>
      <c r="L7" s="64">
        <f>INDEX(Gears!$C$6:$N$39,MATCH(Table11[[#This Row],[District]],Gears!$A$6:$A$39,0),MATCH('Calculated table'!L$4,Gears!$C$5:$N$5,0))</f>
        <v>0</v>
      </c>
      <c r="M7" s="64">
        <f>INDEX(Gears!$C$6:$N$39,MATCH(Table11[[#This Row],[District]],Gears!$A$6:$A$39,0),MATCH('Calculated table'!M$4,Gears!$C$5:$N$5,0))</f>
        <v>1</v>
      </c>
      <c r="N7" s="64">
        <f>INDEX(Gears!$C$6:$N$39,MATCH(Table11[[#This Row],[District]],Gears!$A$6:$A$39,0),MATCH('Calculated table'!N$4,Gears!$C$5:$N$5,0))</f>
        <v>0</v>
      </c>
    </row>
    <row r="8" spans="2:14" s="10" customFormat="1" ht="12.75" customHeight="1" x14ac:dyDescent="0.2">
      <c r="B8" s="65" t="s">
        <v>374</v>
      </c>
      <c r="C8" s="64">
        <f>INDEX(Gears!$C$6:$N$39,MATCH(Table11[[#This Row],[District]],Gears!$A$6:$A$39,0),MATCH('Calculated table'!C$4,Gears!$C$5:$N$5,0))</f>
        <v>4</v>
      </c>
      <c r="D8" s="64">
        <f>INDEX(Gears!$C$6:$N$39,MATCH(Table11[[#This Row],[District]],Gears!$A$6:$A$39,0),MATCH('Calculated table'!D$4,Gears!$C$5:$N$5,0))</f>
        <v>6</v>
      </c>
      <c r="E8" s="64">
        <f>INDEX(Gears!$C$6:$N$39,MATCH(Table11[[#This Row],[District]],Gears!$A$6:$A$39,0),MATCH('Calculated table'!E$4,Gears!$C$5:$N$5,0))</f>
        <v>1</v>
      </c>
      <c r="F8" s="64">
        <f>INDEX(Gears!$C$6:$N$39,MATCH(Table11[[#This Row],[District]],Gears!$A$6:$A$39,0),MATCH('Calculated table'!F$4,Gears!$C$5:$N$5,0))</f>
        <v>1</v>
      </c>
      <c r="G8" s="64">
        <f>INDEX(Gears!$C$6:$N$39,MATCH(Table11[[#This Row],[District]],Gears!$A$6:$A$39,0),MATCH('Calculated table'!G$4,Gears!$C$5:$N$5,0))</f>
        <v>2</v>
      </c>
      <c r="H8" s="64">
        <f>INDEX(Gears!$C$6:$N$39,MATCH(Table11[[#This Row],[District]],Gears!$A$6:$A$39,0),MATCH('Calculated table'!H$4,Gears!$C$5:$N$5,0))</f>
        <v>0</v>
      </c>
      <c r="I8" s="64">
        <f>INDEX(Gears!$C$6:$N$39,MATCH(Table11[[#This Row],[District]],Gears!$A$6:$A$39,0),MATCH('Calculated table'!I$4,Gears!$C$5:$N$5,0))</f>
        <v>0</v>
      </c>
      <c r="J8" s="64">
        <f>INDEX(Gears!$C$6:$N$39,MATCH(Table11[[#This Row],[District]],Gears!$A$6:$A$39,0),MATCH('Calculated table'!J$4,Gears!$C$5:$N$5,0))</f>
        <v>0</v>
      </c>
      <c r="K8" s="64">
        <f>INDEX(Gears!$C$6:$N$39,MATCH(Table11[[#This Row],[District]],Gears!$A$6:$A$39,0),MATCH('Calculated table'!K$4,Gears!$C$5:$N$5,0))</f>
        <v>0</v>
      </c>
      <c r="L8" s="64">
        <f>INDEX(Gears!$C$6:$N$39,MATCH(Table11[[#This Row],[District]],Gears!$A$6:$A$39,0),MATCH('Calculated table'!L$4,Gears!$C$5:$N$5,0))</f>
        <v>0</v>
      </c>
      <c r="M8" s="64">
        <f>INDEX(Gears!$C$6:$N$39,MATCH(Table11[[#This Row],[District]],Gears!$A$6:$A$39,0),MATCH('Calculated table'!M$4,Gears!$C$5:$N$5,0))</f>
        <v>1</v>
      </c>
      <c r="N8" s="64">
        <f>INDEX(Gears!$C$6:$N$39,MATCH(Table11[[#This Row],[District]],Gears!$A$6:$A$39,0),MATCH('Calculated table'!N$4,Gears!$C$5:$N$5,0))</f>
        <v>0</v>
      </c>
    </row>
    <row r="9" spans="2:14" s="10" customFormat="1" ht="12.75" customHeight="1" x14ac:dyDescent="0.2">
      <c r="B9" s="65" t="s">
        <v>376</v>
      </c>
      <c r="C9" s="64">
        <f>INDEX(Gears!$C$6:$N$39,MATCH(Table11[[#This Row],[District]],Gears!$A$6:$A$39,0),MATCH('Calculated table'!C$4,Gears!$C$5:$N$5,0))</f>
        <v>7</v>
      </c>
      <c r="D9" s="64">
        <f>INDEX(Gears!$C$6:$N$39,MATCH(Table11[[#This Row],[District]],Gears!$A$6:$A$39,0),MATCH('Calculated table'!D$4,Gears!$C$5:$N$5,0))</f>
        <v>6</v>
      </c>
      <c r="E9" s="64">
        <f>INDEX(Gears!$C$6:$N$39,MATCH(Table11[[#This Row],[District]],Gears!$A$6:$A$39,0),MATCH('Calculated table'!E$4,Gears!$C$5:$N$5,0))</f>
        <v>1</v>
      </c>
      <c r="F9" s="64">
        <f>INDEX(Gears!$C$6:$N$39,MATCH(Table11[[#This Row],[District]],Gears!$A$6:$A$39,0),MATCH('Calculated table'!F$4,Gears!$C$5:$N$5,0))</f>
        <v>1</v>
      </c>
      <c r="G9" s="64">
        <f>INDEX(Gears!$C$6:$N$39,MATCH(Table11[[#This Row],[District]],Gears!$A$6:$A$39,0),MATCH('Calculated table'!G$4,Gears!$C$5:$N$5,0))</f>
        <v>2</v>
      </c>
      <c r="H9" s="64">
        <f>INDEX(Gears!$C$6:$N$39,MATCH(Table11[[#This Row],[District]],Gears!$A$6:$A$39,0),MATCH('Calculated table'!H$4,Gears!$C$5:$N$5,0))</f>
        <v>2</v>
      </c>
      <c r="I9" s="64">
        <f>INDEX(Gears!$C$6:$N$39,MATCH(Table11[[#This Row],[District]],Gears!$A$6:$A$39,0),MATCH('Calculated table'!I$4,Gears!$C$5:$N$5,0))</f>
        <v>5</v>
      </c>
      <c r="J9" s="64">
        <f>INDEX(Gears!$C$6:$N$39,MATCH(Table11[[#This Row],[District]],Gears!$A$6:$A$39,0),MATCH('Calculated table'!J$4,Gears!$C$5:$N$5,0))</f>
        <v>0</v>
      </c>
      <c r="K9" s="64">
        <f>INDEX(Gears!$C$6:$N$39,MATCH(Table11[[#This Row],[District]],Gears!$A$6:$A$39,0),MATCH('Calculated table'!K$4,Gears!$C$5:$N$5,0))</f>
        <v>0</v>
      </c>
      <c r="L9" s="64">
        <f>INDEX(Gears!$C$6:$N$39,MATCH(Table11[[#This Row],[District]],Gears!$A$6:$A$39,0),MATCH('Calculated table'!L$4,Gears!$C$5:$N$5,0))</f>
        <v>2</v>
      </c>
      <c r="M9" s="64">
        <f>INDEX(Gears!$C$6:$N$39,MATCH(Table11[[#This Row],[District]],Gears!$A$6:$A$39,0),MATCH('Calculated table'!M$4,Gears!$C$5:$N$5,0))</f>
        <v>7</v>
      </c>
      <c r="N9" s="64">
        <f>INDEX(Gears!$C$6:$N$39,MATCH(Table11[[#This Row],[District]],Gears!$A$6:$A$39,0),MATCH('Calculated table'!N$4,Gears!$C$5:$N$5,0))</f>
        <v>3</v>
      </c>
    </row>
    <row r="10" spans="2:14" s="10" customFormat="1" ht="12.75" customHeight="1" x14ac:dyDescent="0.2">
      <c r="B10" s="65" t="s">
        <v>378</v>
      </c>
      <c r="C10" s="64">
        <f>INDEX(Gears!$C$6:$N$39,MATCH(Table11[[#This Row],[District]],Gears!$A$6:$A$39,0),MATCH('Calculated table'!C$4,Gears!$C$5:$N$5,0))</f>
        <v>4</v>
      </c>
      <c r="D10" s="64">
        <f>INDEX(Gears!$C$6:$N$39,MATCH(Table11[[#This Row],[District]],Gears!$A$6:$A$39,0),MATCH('Calculated table'!D$4,Gears!$C$5:$N$5,0))</f>
        <v>6</v>
      </c>
      <c r="E10" s="64">
        <f>INDEX(Gears!$C$6:$N$39,MATCH(Table11[[#This Row],[District]],Gears!$A$6:$A$39,0),MATCH('Calculated table'!E$4,Gears!$C$5:$N$5,0))</f>
        <v>1</v>
      </c>
      <c r="F10" s="64">
        <f>INDEX(Gears!$C$6:$N$39,MATCH(Table11[[#This Row],[District]],Gears!$A$6:$A$39,0),MATCH('Calculated table'!F$4,Gears!$C$5:$N$5,0))</f>
        <v>1</v>
      </c>
      <c r="G10" s="64">
        <f>INDEX(Gears!$C$6:$N$39,MATCH(Table11[[#This Row],[District]],Gears!$A$6:$A$39,0),MATCH('Calculated table'!G$4,Gears!$C$5:$N$5,0))</f>
        <v>3</v>
      </c>
      <c r="H10" s="64">
        <f>INDEX(Gears!$C$6:$N$39,MATCH(Table11[[#This Row],[District]],Gears!$A$6:$A$39,0),MATCH('Calculated table'!H$4,Gears!$C$5:$N$5,0))</f>
        <v>1</v>
      </c>
      <c r="I10" s="64">
        <f>INDEX(Gears!$C$6:$N$39,MATCH(Table11[[#This Row],[District]],Gears!$A$6:$A$39,0),MATCH('Calculated table'!I$4,Gears!$C$5:$N$5,0))</f>
        <v>0</v>
      </c>
      <c r="J10" s="64">
        <f>INDEX(Gears!$C$6:$N$39,MATCH(Table11[[#This Row],[District]],Gears!$A$6:$A$39,0),MATCH('Calculated table'!J$4,Gears!$C$5:$N$5,0))</f>
        <v>0</v>
      </c>
      <c r="K10" s="64">
        <f>INDEX(Gears!$C$6:$N$39,MATCH(Table11[[#This Row],[District]],Gears!$A$6:$A$39,0),MATCH('Calculated table'!K$4,Gears!$C$5:$N$5,0))</f>
        <v>0</v>
      </c>
      <c r="L10" s="64">
        <f>INDEX(Gears!$C$6:$N$39,MATCH(Table11[[#This Row],[District]],Gears!$A$6:$A$39,0),MATCH('Calculated table'!L$4,Gears!$C$5:$N$5,0))</f>
        <v>0</v>
      </c>
      <c r="M10" s="64">
        <f>INDEX(Gears!$C$6:$N$39,MATCH(Table11[[#This Row],[District]],Gears!$A$6:$A$39,0),MATCH('Calculated table'!M$4,Gears!$C$5:$N$5,0))</f>
        <v>2</v>
      </c>
      <c r="N10" s="64">
        <f>INDEX(Gears!$C$6:$N$39,MATCH(Table11[[#This Row],[District]],Gears!$A$6:$A$39,0),MATCH('Calculated table'!N$4,Gears!$C$5:$N$5,0))</f>
        <v>0</v>
      </c>
    </row>
    <row r="11" spans="2:14" s="10" customFormat="1" ht="12.75" customHeight="1" x14ac:dyDescent="0.2">
      <c r="B11" s="65" t="s">
        <v>380</v>
      </c>
      <c r="C11" s="64">
        <f>INDEX(Gears!$C$6:$N$39,MATCH(Table11[[#This Row],[District]],Gears!$A$6:$A$39,0),MATCH('Calculated table'!C$4,Gears!$C$5:$N$5,0))</f>
        <v>4</v>
      </c>
      <c r="D11" s="64">
        <f>INDEX(Gears!$C$6:$N$39,MATCH(Table11[[#This Row],[District]],Gears!$A$6:$A$39,0),MATCH('Calculated table'!D$4,Gears!$C$5:$N$5,0))</f>
        <v>6</v>
      </c>
      <c r="E11" s="64">
        <f>INDEX(Gears!$C$6:$N$39,MATCH(Table11[[#This Row],[District]],Gears!$A$6:$A$39,0),MATCH('Calculated table'!E$4,Gears!$C$5:$N$5,0))</f>
        <v>1</v>
      </c>
      <c r="F11" s="64">
        <f>INDEX(Gears!$C$6:$N$39,MATCH(Table11[[#This Row],[District]],Gears!$A$6:$A$39,0),MATCH('Calculated table'!F$4,Gears!$C$5:$N$5,0))</f>
        <v>1</v>
      </c>
      <c r="G11" s="64">
        <f>INDEX(Gears!$C$6:$N$39,MATCH(Table11[[#This Row],[District]],Gears!$A$6:$A$39,0),MATCH('Calculated table'!G$4,Gears!$C$5:$N$5,0))</f>
        <v>3</v>
      </c>
      <c r="H11" s="64">
        <f>INDEX(Gears!$C$6:$N$39,MATCH(Table11[[#This Row],[District]],Gears!$A$6:$A$39,0),MATCH('Calculated table'!H$4,Gears!$C$5:$N$5,0))</f>
        <v>0</v>
      </c>
      <c r="I11" s="64">
        <f>INDEX(Gears!$C$6:$N$39,MATCH(Table11[[#This Row],[District]],Gears!$A$6:$A$39,0),MATCH('Calculated table'!I$4,Gears!$C$5:$N$5,0))</f>
        <v>0</v>
      </c>
      <c r="J11" s="64">
        <f>INDEX(Gears!$C$6:$N$39,MATCH(Table11[[#This Row],[District]],Gears!$A$6:$A$39,0),MATCH('Calculated table'!J$4,Gears!$C$5:$N$5,0))</f>
        <v>0</v>
      </c>
      <c r="K11" s="64">
        <f>INDEX(Gears!$C$6:$N$39,MATCH(Table11[[#This Row],[District]],Gears!$A$6:$A$39,0),MATCH('Calculated table'!K$4,Gears!$C$5:$N$5,0))</f>
        <v>0</v>
      </c>
      <c r="L11" s="64">
        <f>INDEX(Gears!$C$6:$N$39,MATCH(Table11[[#This Row],[District]],Gears!$A$6:$A$39,0),MATCH('Calculated table'!L$4,Gears!$C$5:$N$5,0))</f>
        <v>0</v>
      </c>
      <c r="M11" s="64">
        <f>INDEX(Gears!$C$6:$N$39,MATCH(Table11[[#This Row],[District]],Gears!$A$6:$A$39,0),MATCH('Calculated table'!M$4,Gears!$C$5:$N$5,0))</f>
        <v>2</v>
      </c>
      <c r="N11" s="64">
        <f>INDEX(Gears!$C$6:$N$39,MATCH(Table11[[#This Row],[District]],Gears!$A$6:$A$39,0),MATCH('Calculated table'!N$4,Gears!$C$5:$N$5,0))</f>
        <v>0</v>
      </c>
    </row>
    <row r="12" spans="2:14" s="10" customFormat="1" ht="12.75" customHeight="1" x14ac:dyDescent="0.2">
      <c r="B12" s="65" t="s">
        <v>382</v>
      </c>
      <c r="C12" s="64">
        <f>INDEX(Gears!$C$6:$N$39,MATCH(Table11[[#This Row],[District]],Gears!$A$6:$A$39,0),MATCH('Calculated table'!C$4,Gears!$C$5:$N$5,0))</f>
        <v>5</v>
      </c>
      <c r="D12" s="64">
        <f>INDEX(Gears!$C$6:$N$39,MATCH(Table11[[#This Row],[District]],Gears!$A$6:$A$39,0),MATCH('Calculated table'!D$4,Gears!$C$5:$N$5,0))</f>
        <v>6</v>
      </c>
      <c r="E12" s="64">
        <f>INDEX(Gears!$C$6:$N$39,MATCH(Table11[[#This Row],[District]],Gears!$A$6:$A$39,0),MATCH('Calculated table'!E$4,Gears!$C$5:$N$5,0))</f>
        <v>1</v>
      </c>
      <c r="F12" s="64">
        <f>INDEX(Gears!$C$6:$N$39,MATCH(Table11[[#This Row],[District]],Gears!$A$6:$A$39,0),MATCH('Calculated table'!F$4,Gears!$C$5:$N$5,0))</f>
        <v>1</v>
      </c>
      <c r="G12" s="64">
        <f>INDEX(Gears!$C$6:$N$39,MATCH(Table11[[#This Row],[District]],Gears!$A$6:$A$39,0),MATCH('Calculated table'!G$4,Gears!$C$5:$N$5,0))</f>
        <v>3</v>
      </c>
      <c r="H12" s="64">
        <f>INDEX(Gears!$C$6:$N$39,MATCH(Table11[[#This Row],[District]],Gears!$A$6:$A$39,0),MATCH('Calculated table'!H$4,Gears!$C$5:$N$5,0))</f>
        <v>1</v>
      </c>
      <c r="I12" s="64">
        <f>INDEX(Gears!$C$6:$N$39,MATCH(Table11[[#This Row],[District]],Gears!$A$6:$A$39,0),MATCH('Calculated table'!I$4,Gears!$C$5:$N$5,0))</f>
        <v>0</v>
      </c>
      <c r="J12" s="64">
        <f>INDEX(Gears!$C$6:$N$39,MATCH(Table11[[#This Row],[District]],Gears!$A$6:$A$39,0),MATCH('Calculated table'!J$4,Gears!$C$5:$N$5,0))</f>
        <v>0</v>
      </c>
      <c r="K12" s="64">
        <f>INDEX(Gears!$C$6:$N$39,MATCH(Table11[[#This Row],[District]],Gears!$A$6:$A$39,0),MATCH('Calculated table'!K$4,Gears!$C$5:$N$5,0))</f>
        <v>0</v>
      </c>
      <c r="L12" s="64">
        <f>INDEX(Gears!$C$6:$N$39,MATCH(Table11[[#This Row],[District]],Gears!$A$6:$A$39,0),MATCH('Calculated table'!L$4,Gears!$C$5:$N$5,0))</f>
        <v>1</v>
      </c>
      <c r="M12" s="64">
        <f>INDEX(Gears!$C$6:$N$39,MATCH(Table11[[#This Row],[District]],Gears!$A$6:$A$39,0),MATCH('Calculated table'!M$4,Gears!$C$5:$N$5,0))</f>
        <v>4</v>
      </c>
      <c r="N12" s="64">
        <f>INDEX(Gears!$C$6:$N$39,MATCH(Table11[[#This Row],[District]],Gears!$A$6:$A$39,0),MATCH('Calculated table'!N$4,Gears!$C$5:$N$5,0))</f>
        <v>0</v>
      </c>
    </row>
    <row r="13" spans="2:14" s="10" customFormat="1" ht="12.75" customHeight="1" x14ac:dyDescent="0.2">
      <c r="B13" s="65" t="s">
        <v>384</v>
      </c>
      <c r="C13" s="64">
        <f>INDEX(Gears!$C$6:$N$39,MATCH(Table11[[#This Row],[District]],Gears!$A$6:$A$39,0),MATCH('Calculated table'!C$4,Gears!$C$5:$N$5,0))</f>
        <v>5</v>
      </c>
      <c r="D13" s="64">
        <f>INDEX(Gears!$C$6:$N$39,MATCH(Table11[[#This Row],[District]],Gears!$A$6:$A$39,0),MATCH('Calculated table'!D$4,Gears!$C$5:$N$5,0))</f>
        <v>6</v>
      </c>
      <c r="E13" s="64">
        <f>INDEX(Gears!$C$6:$N$39,MATCH(Table11[[#This Row],[District]],Gears!$A$6:$A$39,0),MATCH('Calculated table'!E$4,Gears!$C$5:$N$5,0))</f>
        <v>1</v>
      </c>
      <c r="F13" s="64">
        <f>INDEX(Gears!$C$6:$N$39,MATCH(Table11[[#This Row],[District]],Gears!$A$6:$A$39,0),MATCH('Calculated table'!F$4,Gears!$C$5:$N$5,0))</f>
        <v>1</v>
      </c>
      <c r="G13" s="64">
        <f>INDEX(Gears!$C$6:$N$39,MATCH(Table11[[#This Row],[District]],Gears!$A$6:$A$39,0),MATCH('Calculated table'!G$4,Gears!$C$5:$N$5,0))</f>
        <v>3</v>
      </c>
      <c r="H13" s="64">
        <f>INDEX(Gears!$C$6:$N$39,MATCH(Table11[[#This Row],[District]],Gears!$A$6:$A$39,0),MATCH('Calculated table'!H$4,Gears!$C$5:$N$5,0))</f>
        <v>2</v>
      </c>
      <c r="I13" s="64">
        <f>INDEX(Gears!$C$6:$N$39,MATCH(Table11[[#This Row],[District]],Gears!$A$6:$A$39,0),MATCH('Calculated table'!I$4,Gears!$C$5:$N$5,0))</f>
        <v>0</v>
      </c>
      <c r="J13" s="64">
        <f>INDEX(Gears!$C$6:$N$39,MATCH(Table11[[#This Row],[District]],Gears!$A$6:$A$39,0),MATCH('Calculated table'!J$4,Gears!$C$5:$N$5,0))</f>
        <v>0</v>
      </c>
      <c r="K13" s="64">
        <f>INDEX(Gears!$C$6:$N$39,MATCH(Table11[[#This Row],[District]],Gears!$A$6:$A$39,0),MATCH('Calculated table'!K$4,Gears!$C$5:$N$5,0))</f>
        <v>0</v>
      </c>
      <c r="L13" s="64">
        <f>INDEX(Gears!$C$6:$N$39,MATCH(Table11[[#This Row],[District]],Gears!$A$6:$A$39,0),MATCH('Calculated table'!L$4,Gears!$C$5:$N$5,0))</f>
        <v>2</v>
      </c>
      <c r="M13" s="64">
        <f>INDEX(Gears!$C$6:$N$39,MATCH(Table11[[#This Row],[District]],Gears!$A$6:$A$39,0),MATCH('Calculated table'!M$4,Gears!$C$5:$N$5,0))</f>
        <v>2</v>
      </c>
      <c r="N13" s="64">
        <f>INDEX(Gears!$C$6:$N$39,MATCH(Table11[[#This Row],[District]],Gears!$A$6:$A$39,0),MATCH('Calculated table'!N$4,Gears!$C$5:$N$5,0))</f>
        <v>0</v>
      </c>
    </row>
    <row r="14" spans="2:14" s="10" customFormat="1" ht="12.75" customHeight="1" x14ac:dyDescent="0.2">
      <c r="B14" s="65" t="s">
        <v>386</v>
      </c>
      <c r="C14" s="64">
        <f>INDEX(Gears!$C$6:$N$39,MATCH(Table11[[#This Row],[District]],Gears!$A$6:$A$39,0),MATCH('Calculated table'!C$4,Gears!$C$5:$N$5,0))</f>
        <v>8</v>
      </c>
      <c r="D14" s="64">
        <f>INDEX(Gears!$C$6:$N$39,MATCH(Table11[[#This Row],[District]],Gears!$A$6:$A$39,0),MATCH('Calculated table'!D$4,Gears!$C$5:$N$5,0))</f>
        <v>8</v>
      </c>
      <c r="E14" s="64">
        <f>INDEX(Gears!$C$6:$N$39,MATCH(Table11[[#This Row],[District]],Gears!$A$6:$A$39,0),MATCH('Calculated table'!E$4,Gears!$C$5:$N$5,0))</f>
        <v>1</v>
      </c>
      <c r="F14" s="64">
        <f>INDEX(Gears!$C$6:$N$39,MATCH(Table11[[#This Row],[District]],Gears!$A$6:$A$39,0),MATCH('Calculated table'!F$4,Gears!$C$5:$N$5,0))</f>
        <v>1</v>
      </c>
      <c r="G14" s="64">
        <f>INDEX(Gears!$C$6:$N$39,MATCH(Table11[[#This Row],[District]],Gears!$A$6:$A$39,0),MATCH('Calculated table'!G$4,Gears!$C$5:$N$5,0))</f>
        <v>3</v>
      </c>
      <c r="H14" s="64">
        <f>INDEX(Gears!$C$6:$N$39,MATCH(Table11[[#This Row],[District]],Gears!$A$6:$A$39,0),MATCH('Calculated table'!H$4,Gears!$C$5:$N$5,0))</f>
        <v>2</v>
      </c>
      <c r="I14" s="64">
        <f>INDEX(Gears!$C$6:$N$39,MATCH(Table11[[#This Row],[District]],Gears!$A$6:$A$39,0),MATCH('Calculated table'!I$4,Gears!$C$5:$N$5,0))</f>
        <v>2</v>
      </c>
      <c r="J14" s="64">
        <f>INDEX(Gears!$C$6:$N$39,MATCH(Table11[[#This Row],[District]],Gears!$A$6:$A$39,0),MATCH('Calculated table'!J$4,Gears!$C$5:$N$5,0))</f>
        <v>0</v>
      </c>
      <c r="K14" s="64">
        <f>INDEX(Gears!$C$6:$N$39,MATCH(Table11[[#This Row],[District]],Gears!$A$6:$A$39,0),MATCH('Calculated table'!K$4,Gears!$C$5:$N$5,0))</f>
        <v>0</v>
      </c>
      <c r="L14" s="64">
        <f>INDEX(Gears!$C$6:$N$39,MATCH(Table11[[#This Row],[District]],Gears!$A$6:$A$39,0),MATCH('Calculated table'!L$4,Gears!$C$5:$N$5,0))</f>
        <v>2</v>
      </c>
      <c r="M14" s="64">
        <f>INDEX(Gears!$C$6:$N$39,MATCH(Table11[[#This Row],[District]],Gears!$A$6:$A$39,0),MATCH('Calculated table'!M$4,Gears!$C$5:$N$5,0))</f>
        <v>6</v>
      </c>
      <c r="N14" s="64">
        <f>INDEX(Gears!$C$6:$N$39,MATCH(Table11[[#This Row],[District]],Gears!$A$6:$A$39,0),MATCH('Calculated table'!N$4,Gears!$C$5:$N$5,0))</f>
        <v>2</v>
      </c>
    </row>
    <row r="15" spans="2:14" s="10" customFormat="1" ht="12.75" customHeight="1" x14ac:dyDescent="0.2">
      <c r="B15" s="65" t="s">
        <v>388</v>
      </c>
      <c r="C15" s="64">
        <f>INDEX(Gears!$C$6:$N$39,MATCH(Table11[[#This Row],[District]],Gears!$A$6:$A$39,0),MATCH('Calculated table'!C$4,Gears!$C$5:$N$5,0))</f>
        <v>6</v>
      </c>
      <c r="D15" s="64">
        <f>INDEX(Gears!$C$6:$N$39,MATCH(Table11[[#This Row],[District]],Gears!$A$6:$A$39,0),MATCH('Calculated table'!D$4,Gears!$C$5:$N$5,0))</f>
        <v>6</v>
      </c>
      <c r="E15" s="64">
        <f>INDEX(Gears!$C$6:$N$39,MATCH(Table11[[#This Row],[District]],Gears!$A$6:$A$39,0),MATCH('Calculated table'!E$4,Gears!$C$5:$N$5,0))</f>
        <v>1</v>
      </c>
      <c r="F15" s="64">
        <f>INDEX(Gears!$C$6:$N$39,MATCH(Table11[[#This Row],[District]],Gears!$A$6:$A$39,0),MATCH('Calculated table'!F$4,Gears!$C$5:$N$5,0))</f>
        <v>1</v>
      </c>
      <c r="G15" s="64">
        <f>INDEX(Gears!$C$6:$N$39,MATCH(Table11[[#This Row],[District]],Gears!$A$6:$A$39,0),MATCH('Calculated table'!G$4,Gears!$C$5:$N$5,0))</f>
        <v>2</v>
      </c>
      <c r="H15" s="64">
        <f>INDEX(Gears!$C$6:$N$39,MATCH(Table11[[#This Row],[District]],Gears!$A$6:$A$39,0),MATCH('Calculated table'!H$4,Gears!$C$5:$N$5,0))</f>
        <v>2</v>
      </c>
      <c r="I15" s="64">
        <f>INDEX(Gears!$C$6:$N$39,MATCH(Table11[[#This Row],[District]],Gears!$A$6:$A$39,0),MATCH('Calculated table'!I$4,Gears!$C$5:$N$5,0))</f>
        <v>5</v>
      </c>
      <c r="J15" s="64">
        <f>INDEX(Gears!$C$6:$N$39,MATCH(Table11[[#This Row],[District]],Gears!$A$6:$A$39,0),MATCH('Calculated table'!J$4,Gears!$C$5:$N$5,0))</f>
        <v>0</v>
      </c>
      <c r="K15" s="64">
        <f>INDEX(Gears!$C$6:$N$39,MATCH(Table11[[#This Row],[District]],Gears!$A$6:$A$39,0),MATCH('Calculated table'!K$4,Gears!$C$5:$N$5,0))</f>
        <v>0</v>
      </c>
      <c r="L15" s="64">
        <f>INDEX(Gears!$C$6:$N$39,MATCH(Table11[[#This Row],[District]],Gears!$A$6:$A$39,0),MATCH('Calculated table'!L$4,Gears!$C$5:$N$5,0))</f>
        <v>2</v>
      </c>
      <c r="M15" s="64">
        <f>INDEX(Gears!$C$6:$N$39,MATCH(Table11[[#This Row],[District]],Gears!$A$6:$A$39,0),MATCH('Calculated table'!M$4,Gears!$C$5:$N$5,0))</f>
        <v>5</v>
      </c>
      <c r="N15" s="64">
        <f>INDEX(Gears!$C$6:$N$39,MATCH(Table11[[#This Row],[District]],Gears!$A$6:$A$39,0),MATCH('Calculated table'!N$4,Gears!$C$5:$N$5,0))</f>
        <v>1</v>
      </c>
    </row>
    <row r="16" spans="2:14" s="10" customFormat="1" ht="12.75" customHeight="1" x14ac:dyDescent="0.2">
      <c r="B16" s="65" t="s">
        <v>390</v>
      </c>
      <c r="C16" s="64">
        <f>INDEX(Gears!$C$6:$N$39,MATCH(Table11[[#This Row],[District]],Gears!$A$6:$A$39,0),MATCH('Calculated table'!C$4,Gears!$C$5:$N$5,0))</f>
        <v>5</v>
      </c>
      <c r="D16" s="64">
        <f>INDEX(Gears!$C$6:$N$39,MATCH(Table11[[#This Row],[District]],Gears!$A$6:$A$39,0),MATCH('Calculated table'!D$4,Gears!$C$5:$N$5,0))</f>
        <v>8</v>
      </c>
      <c r="E16" s="64">
        <f>INDEX(Gears!$C$6:$N$39,MATCH(Table11[[#This Row],[District]],Gears!$A$6:$A$39,0),MATCH('Calculated table'!E$4,Gears!$C$5:$N$5,0))</f>
        <v>1</v>
      </c>
      <c r="F16" s="64">
        <f>INDEX(Gears!$C$6:$N$39,MATCH(Table11[[#This Row],[District]],Gears!$A$6:$A$39,0),MATCH('Calculated table'!F$4,Gears!$C$5:$N$5,0))</f>
        <v>1</v>
      </c>
      <c r="G16" s="64">
        <f>INDEX(Gears!$C$6:$N$39,MATCH(Table11[[#This Row],[District]],Gears!$A$6:$A$39,0),MATCH('Calculated table'!G$4,Gears!$C$5:$N$5,0))</f>
        <v>2</v>
      </c>
      <c r="H16" s="64">
        <f>INDEX(Gears!$C$6:$N$39,MATCH(Table11[[#This Row],[District]],Gears!$A$6:$A$39,0),MATCH('Calculated table'!H$4,Gears!$C$5:$N$5,0))</f>
        <v>1</v>
      </c>
      <c r="I16" s="64">
        <f>INDEX(Gears!$C$6:$N$39,MATCH(Table11[[#This Row],[District]],Gears!$A$6:$A$39,0),MATCH('Calculated table'!I$4,Gears!$C$5:$N$5,0))</f>
        <v>0</v>
      </c>
      <c r="J16" s="64">
        <f>INDEX(Gears!$C$6:$N$39,MATCH(Table11[[#This Row],[District]],Gears!$A$6:$A$39,0),MATCH('Calculated table'!J$4,Gears!$C$5:$N$5,0))</f>
        <v>0</v>
      </c>
      <c r="K16" s="64">
        <f>INDEX(Gears!$C$6:$N$39,MATCH(Table11[[#This Row],[District]],Gears!$A$6:$A$39,0),MATCH('Calculated table'!K$4,Gears!$C$5:$N$5,0))</f>
        <v>0</v>
      </c>
      <c r="L16" s="64">
        <f>INDEX(Gears!$C$6:$N$39,MATCH(Table11[[#This Row],[District]],Gears!$A$6:$A$39,0),MATCH('Calculated table'!L$4,Gears!$C$5:$N$5,0))</f>
        <v>1</v>
      </c>
      <c r="M16" s="64">
        <f>INDEX(Gears!$C$6:$N$39,MATCH(Table11[[#This Row],[District]],Gears!$A$6:$A$39,0),MATCH('Calculated table'!M$4,Gears!$C$5:$N$5,0))</f>
        <v>6</v>
      </c>
      <c r="N16" s="64">
        <f>INDEX(Gears!$C$6:$N$39,MATCH(Table11[[#This Row],[District]],Gears!$A$6:$A$39,0),MATCH('Calculated table'!N$4,Gears!$C$5:$N$5,0))</f>
        <v>0</v>
      </c>
    </row>
    <row r="17" spans="2:14" s="10" customFormat="1" ht="12.75" customHeight="1" x14ac:dyDescent="0.2">
      <c r="B17" s="65" t="s">
        <v>392</v>
      </c>
      <c r="C17" s="64">
        <f>INDEX(Gears!$C$6:$N$39,MATCH(Table11[[#This Row],[District]],Gears!$A$6:$A$39,0),MATCH('Calculated table'!C$4,Gears!$C$5:$N$5,0))</f>
        <v>5</v>
      </c>
      <c r="D17" s="64">
        <f>INDEX(Gears!$C$6:$N$39,MATCH(Table11[[#This Row],[District]],Gears!$A$6:$A$39,0),MATCH('Calculated table'!D$4,Gears!$C$5:$N$5,0))</f>
        <v>6</v>
      </c>
      <c r="E17" s="64">
        <f>INDEX(Gears!$C$6:$N$39,MATCH(Table11[[#This Row],[District]],Gears!$A$6:$A$39,0),MATCH('Calculated table'!E$4,Gears!$C$5:$N$5,0))</f>
        <v>1</v>
      </c>
      <c r="F17" s="64">
        <f>INDEX(Gears!$C$6:$N$39,MATCH(Table11[[#This Row],[District]],Gears!$A$6:$A$39,0),MATCH('Calculated table'!F$4,Gears!$C$5:$N$5,0))</f>
        <v>1</v>
      </c>
      <c r="G17" s="64">
        <f>INDEX(Gears!$C$6:$N$39,MATCH(Table11[[#This Row],[District]],Gears!$A$6:$A$39,0),MATCH('Calculated table'!G$4,Gears!$C$5:$N$5,0))</f>
        <v>3</v>
      </c>
      <c r="H17" s="64">
        <f>INDEX(Gears!$C$6:$N$39,MATCH(Table11[[#This Row],[District]],Gears!$A$6:$A$39,0),MATCH('Calculated table'!H$4,Gears!$C$5:$N$5,0))</f>
        <v>2</v>
      </c>
      <c r="I17" s="64">
        <f>INDEX(Gears!$C$6:$N$39,MATCH(Table11[[#This Row],[District]],Gears!$A$6:$A$39,0),MATCH('Calculated table'!I$4,Gears!$C$5:$N$5,0))</f>
        <v>1</v>
      </c>
      <c r="J17" s="64">
        <f>INDEX(Gears!$C$6:$N$39,MATCH(Table11[[#This Row],[District]],Gears!$A$6:$A$39,0),MATCH('Calculated table'!J$4,Gears!$C$5:$N$5,0))</f>
        <v>4</v>
      </c>
      <c r="K17" s="64">
        <f>INDEX(Gears!$C$6:$N$39,MATCH(Table11[[#This Row],[District]],Gears!$A$6:$A$39,0),MATCH('Calculated table'!K$4,Gears!$C$5:$N$5,0))</f>
        <v>0</v>
      </c>
      <c r="L17" s="64">
        <f>INDEX(Gears!$C$6:$N$39,MATCH(Table11[[#This Row],[District]],Gears!$A$6:$A$39,0),MATCH('Calculated table'!L$4,Gears!$C$5:$N$5,0))</f>
        <v>0</v>
      </c>
      <c r="M17" s="64">
        <f>INDEX(Gears!$C$6:$N$39,MATCH(Table11[[#This Row],[District]],Gears!$A$6:$A$39,0),MATCH('Calculated table'!M$4,Gears!$C$5:$N$5,0))</f>
        <v>2</v>
      </c>
      <c r="N17" s="64">
        <f>INDEX(Gears!$C$6:$N$39,MATCH(Table11[[#This Row],[District]],Gears!$A$6:$A$39,0),MATCH('Calculated table'!N$4,Gears!$C$5:$N$5,0))</f>
        <v>1</v>
      </c>
    </row>
    <row r="18" spans="2:14" s="10" customFormat="1" ht="12.75" customHeight="1" x14ac:dyDescent="0.2">
      <c r="B18" s="65" t="s">
        <v>394</v>
      </c>
      <c r="C18" s="64">
        <f>INDEX(Gears!$C$6:$N$39,MATCH(Table11[[#This Row],[District]],Gears!$A$6:$A$39,0),MATCH('Calculated table'!C$4,Gears!$C$5:$N$5,0))</f>
        <v>6</v>
      </c>
      <c r="D18" s="64">
        <f>INDEX(Gears!$C$6:$N$39,MATCH(Table11[[#This Row],[District]],Gears!$A$6:$A$39,0),MATCH('Calculated table'!D$4,Gears!$C$5:$N$5,0))</f>
        <v>6</v>
      </c>
      <c r="E18" s="64">
        <f>INDEX(Gears!$C$6:$N$39,MATCH(Table11[[#This Row],[District]],Gears!$A$6:$A$39,0),MATCH('Calculated table'!E$4,Gears!$C$5:$N$5,0))</f>
        <v>1</v>
      </c>
      <c r="F18" s="64">
        <f>INDEX(Gears!$C$6:$N$39,MATCH(Table11[[#This Row],[District]],Gears!$A$6:$A$39,0),MATCH('Calculated table'!F$4,Gears!$C$5:$N$5,0))</f>
        <v>1</v>
      </c>
      <c r="G18" s="64">
        <f>INDEX(Gears!$C$6:$N$39,MATCH(Table11[[#This Row],[District]],Gears!$A$6:$A$39,0),MATCH('Calculated table'!G$4,Gears!$C$5:$N$5,0))</f>
        <v>2</v>
      </c>
      <c r="H18" s="64">
        <f>INDEX(Gears!$C$6:$N$39,MATCH(Table11[[#This Row],[District]],Gears!$A$6:$A$39,0),MATCH('Calculated table'!H$4,Gears!$C$5:$N$5,0))</f>
        <v>2</v>
      </c>
      <c r="I18" s="64">
        <f>INDEX(Gears!$C$6:$N$39,MATCH(Table11[[#This Row],[District]],Gears!$A$6:$A$39,0),MATCH('Calculated table'!I$4,Gears!$C$5:$N$5,0))</f>
        <v>1</v>
      </c>
      <c r="J18" s="64">
        <f>INDEX(Gears!$C$6:$N$39,MATCH(Table11[[#This Row],[District]],Gears!$A$6:$A$39,0),MATCH('Calculated table'!J$4,Gears!$C$5:$N$5,0))</f>
        <v>0</v>
      </c>
      <c r="K18" s="64">
        <f>INDEX(Gears!$C$6:$N$39,MATCH(Table11[[#This Row],[District]],Gears!$A$6:$A$39,0),MATCH('Calculated table'!K$4,Gears!$C$5:$N$5,0))</f>
        <v>1</v>
      </c>
      <c r="L18" s="64">
        <f>INDEX(Gears!$C$6:$N$39,MATCH(Table11[[#This Row],[District]],Gears!$A$6:$A$39,0),MATCH('Calculated table'!L$4,Gears!$C$5:$N$5,0))</f>
        <v>1</v>
      </c>
      <c r="M18" s="64">
        <f>INDEX(Gears!$C$6:$N$39,MATCH(Table11[[#This Row],[District]],Gears!$A$6:$A$39,0),MATCH('Calculated table'!M$4,Gears!$C$5:$N$5,0))</f>
        <v>5</v>
      </c>
      <c r="N18" s="64">
        <f>INDEX(Gears!$C$6:$N$39,MATCH(Table11[[#This Row],[District]],Gears!$A$6:$A$39,0),MATCH('Calculated table'!N$4,Gears!$C$5:$N$5,0))</f>
        <v>0</v>
      </c>
    </row>
    <row r="19" spans="2:14" s="10" customFormat="1" ht="12.75" customHeight="1" x14ac:dyDescent="0.2">
      <c r="B19" s="65" t="s">
        <v>396</v>
      </c>
      <c r="C19" s="64">
        <f>INDEX(Gears!$C$6:$N$39,MATCH(Table11[[#This Row],[District]],Gears!$A$6:$A$39,0),MATCH('Calculated table'!C$4,Gears!$C$5:$N$5,0))</f>
        <v>8</v>
      </c>
      <c r="D19" s="64">
        <f>INDEX(Gears!$C$6:$N$39,MATCH(Table11[[#This Row],[District]],Gears!$A$6:$A$39,0),MATCH('Calculated table'!D$4,Gears!$C$5:$N$5,0))</f>
        <v>6</v>
      </c>
      <c r="E19" s="64">
        <f>INDEX(Gears!$C$6:$N$39,MATCH(Table11[[#This Row],[District]],Gears!$A$6:$A$39,0),MATCH('Calculated table'!E$4,Gears!$C$5:$N$5,0))</f>
        <v>1</v>
      </c>
      <c r="F19" s="64">
        <f>INDEX(Gears!$C$6:$N$39,MATCH(Table11[[#This Row],[District]],Gears!$A$6:$A$39,0),MATCH('Calculated table'!F$4,Gears!$C$5:$N$5,0))</f>
        <v>1</v>
      </c>
      <c r="G19" s="64">
        <f>INDEX(Gears!$C$6:$N$39,MATCH(Table11[[#This Row],[District]],Gears!$A$6:$A$39,0),MATCH('Calculated table'!G$4,Gears!$C$5:$N$5,0))</f>
        <v>3</v>
      </c>
      <c r="H19" s="64">
        <f>INDEX(Gears!$C$6:$N$39,MATCH(Table11[[#This Row],[District]],Gears!$A$6:$A$39,0),MATCH('Calculated table'!H$4,Gears!$C$5:$N$5,0))</f>
        <v>1</v>
      </c>
      <c r="I19" s="64">
        <f>INDEX(Gears!$C$6:$N$39,MATCH(Table11[[#This Row],[District]],Gears!$A$6:$A$39,0),MATCH('Calculated table'!I$4,Gears!$C$5:$N$5,0))</f>
        <v>4</v>
      </c>
      <c r="J19" s="64">
        <f>INDEX(Gears!$C$6:$N$39,MATCH(Table11[[#This Row],[District]],Gears!$A$6:$A$39,0),MATCH('Calculated table'!J$4,Gears!$C$5:$N$5,0))</f>
        <v>0</v>
      </c>
      <c r="K19" s="64">
        <f>INDEX(Gears!$C$6:$N$39,MATCH(Table11[[#This Row],[District]],Gears!$A$6:$A$39,0),MATCH('Calculated table'!K$4,Gears!$C$5:$N$5,0))</f>
        <v>0</v>
      </c>
      <c r="L19" s="64">
        <f>INDEX(Gears!$C$6:$N$39,MATCH(Table11[[#This Row],[District]],Gears!$A$6:$A$39,0),MATCH('Calculated table'!L$4,Gears!$C$5:$N$5,0))</f>
        <v>2</v>
      </c>
      <c r="M19" s="64">
        <f>INDEX(Gears!$C$6:$N$39,MATCH(Table11[[#This Row],[District]],Gears!$A$6:$A$39,0),MATCH('Calculated table'!M$4,Gears!$C$5:$N$5,0))</f>
        <v>6</v>
      </c>
      <c r="N19" s="64">
        <f>INDEX(Gears!$C$6:$N$39,MATCH(Table11[[#This Row],[District]],Gears!$A$6:$A$39,0),MATCH('Calculated table'!N$4,Gears!$C$5:$N$5,0))</f>
        <v>1</v>
      </c>
    </row>
    <row r="20" spans="2:14" s="10" customFormat="1" ht="12.75" customHeight="1" x14ac:dyDescent="0.2">
      <c r="B20" s="65" t="s">
        <v>398</v>
      </c>
      <c r="C20" s="64">
        <f>INDEX(Gears!$C$6:$N$39,MATCH(Table11[[#This Row],[District]],Gears!$A$6:$A$39,0),MATCH('Calculated table'!C$4,Gears!$C$5:$N$5,0))</f>
        <v>6</v>
      </c>
      <c r="D20" s="64">
        <f>INDEX(Gears!$C$6:$N$39,MATCH(Table11[[#This Row],[District]],Gears!$A$6:$A$39,0),MATCH('Calculated table'!D$4,Gears!$C$5:$N$5,0))</f>
        <v>6</v>
      </c>
      <c r="E20" s="64">
        <f>INDEX(Gears!$C$6:$N$39,MATCH(Table11[[#This Row],[District]],Gears!$A$6:$A$39,0),MATCH('Calculated table'!E$4,Gears!$C$5:$N$5,0))</f>
        <v>1</v>
      </c>
      <c r="F20" s="64">
        <f>INDEX(Gears!$C$6:$N$39,MATCH(Table11[[#This Row],[District]],Gears!$A$6:$A$39,0),MATCH('Calculated table'!F$4,Gears!$C$5:$N$5,0))</f>
        <v>1</v>
      </c>
      <c r="G20" s="64">
        <f>INDEX(Gears!$C$6:$N$39,MATCH(Table11[[#This Row],[District]],Gears!$A$6:$A$39,0),MATCH('Calculated table'!G$4,Gears!$C$5:$N$5,0))</f>
        <v>3</v>
      </c>
      <c r="H20" s="64">
        <f>INDEX(Gears!$C$6:$N$39,MATCH(Table11[[#This Row],[District]],Gears!$A$6:$A$39,0),MATCH('Calculated table'!H$4,Gears!$C$5:$N$5,0))</f>
        <v>1</v>
      </c>
      <c r="I20" s="64">
        <f>INDEX(Gears!$C$6:$N$39,MATCH(Table11[[#This Row],[District]],Gears!$A$6:$A$39,0),MATCH('Calculated table'!I$4,Gears!$C$5:$N$5,0))</f>
        <v>0</v>
      </c>
      <c r="J20" s="64">
        <f>INDEX(Gears!$C$6:$N$39,MATCH(Table11[[#This Row],[District]],Gears!$A$6:$A$39,0),MATCH('Calculated table'!J$4,Gears!$C$5:$N$5,0))</f>
        <v>0</v>
      </c>
      <c r="K20" s="64">
        <f>INDEX(Gears!$C$6:$N$39,MATCH(Table11[[#This Row],[District]],Gears!$A$6:$A$39,0),MATCH('Calculated table'!K$4,Gears!$C$5:$N$5,0))</f>
        <v>0</v>
      </c>
      <c r="L20" s="64">
        <f>INDEX(Gears!$C$6:$N$39,MATCH(Table11[[#This Row],[District]],Gears!$A$6:$A$39,0),MATCH('Calculated table'!L$4,Gears!$C$5:$N$5,0))</f>
        <v>2</v>
      </c>
      <c r="M20" s="64">
        <f>INDEX(Gears!$C$6:$N$39,MATCH(Table11[[#This Row],[District]],Gears!$A$6:$A$39,0),MATCH('Calculated table'!M$4,Gears!$C$5:$N$5,0))</f>
        <v>4</v>
      </c>
      <c r="N20" s="64">
        <f>INDEX(Gears!$C$6:$N$39,MATCH(Table11[[#This Row],[District]],Gears!$A$6:$A$39,0),MATCH('Calculated table'!N$4,Gears!$C$5:$N$5,0))</f>
        <v>0</v>
      </c>
    </row>
    <row r="21" spans="2:14" s="10" customFormat="1" ht="12.75" customHeight="1" x14ac:dyDescent="0.2">
      <c r="B21" s="65" t="s">
        <v>400</v>
      </c>
      <c r="C21" s="64">
        <f>INDEX(Gears!$C$6:$N$39,MATCH(Table11[[#This Row],[District]],Gears!$A$6:$A$39,0),MATCH('Calculated table'!C$4,Gears!$C$5:$N$5,0))</f>
        <v>6</v>
      </c>
      <c r="D21" s="64">
        <f>INDEX(Gears!$C$6:$N$39,MATCH(Table11[[#This Row],[District]],Gears!$A$6:$A$39,0),MATCH('Calculated table'!D$4,Gears!$C$5:$N$5,0))</f>
        <v>6</v>
      </c>
      <c r="E21" s="64">
        <f>INDEX(Gears!$C$6:$N$39,MATCH(Table11[[#This Row],[District]],Gears!$A$6:$A$39,0),MATCH('Calculated table'!E$4,Gears!$C$5:$N$5,0))</f>
        <v>1</v>
      </c>
      <c r="F21" s="64">
        <f>INDEX(Gears!$C$6:$N$39,MATCH(Table11[[#This Row],[District]],Gears!$A$6:$A$39,0),MATCH('Calculated table'!F$4,Gears!$C$5:$N$5,0))</f>
        <v>1</v>
      </c>
      <c r="G21" s="64">
        <f>INDEX(Gears!$C$6:$N$39,MATCH(Table11[[#This Row],[District]],Gears!$A$6:$A$39,0),MATCH('Calculated table'!G$4,Gears!$C$5:$N$5,0))</f>
        <v>4</v>
      </c>
      <c r="H21" s="64">
        <f>INDEX(Gears!$C$6:$N$39,MATCH(Table11[[#This Row],[District]],Gears!$A$6:$A$39,0),MATCH('Calculated table'!H$4,Gears!$C$5:$N$5,0))</f>
        <v>1</v>
      </c>
      <c r="I21" s="64">
        <f>INDEX(Gears!$C$6:$N$39,MATCH(Table11[[#This Row],[District]],Gears!$A$6:$A$39,0),MATCH('Calculated table'!I$4,Gears!$C$5:$N$5,0))</f>
        <v>6</v>
      </c>
      <c r="J21" s="64">
        <f>INDEX(Gears!$C$6:$N$39,MATCH(Table11[[#This Row],[District]],Gears!$A$6:$A$39,0),MATCH('Calculated table'!J$4,Gears!$C$5:$N$5,0))</f>
        <v>0</v>
      </c>
      <c r="K21" s="64">
        <f>INDEX(Gears!$C$6:$N$39,MATCH(Table11[[#This Row],[District]],Gears!$A$6:$A$39,0),MATCH('Calculated table'!K$4,Gears!$C$5:$N$5,0))</f>
        <v>0</v>
      </c>
      <c r="L21" s="64">
        <f>INDEX(Gears!$C$6:$N$39,MATCH(Table11[[#This Row],[District]],Gears!$A$6:$A$39,0),MATCH('Calculated table'!L$4,Gears!$C$5:$N$5,0))</f>
        <v>2</v>
      </c>
      <c r="M21" s="64">
        <f>INDEX(Gears!$C$6:$N$39,MATCH(Table11[[#This Row],[District]],Gears!$A$6:$A$39,0),MATCH('Calculated table'!M$4,Gears!$C$5:$N$5,0))</f>
        <v>7</v>
      </c>
      <c r="N21" s="64">
        <f>INDEX(Gears!$C$6:$N$39,MATCH(Table11[[#This Row],[District]],Gears!$A$6:$A$39,0),MATCH('Calculated table'!N$4,Gears!$C$5:$N$5,0))</f>
        <v>0</v>
      </c>
    </row>
    <row r="22" spans="2:14" s="10" customFormat="1" ht="12.75" customHeight="1" x14ac:dyDescent="0.2">
      <c r="B22" s="65" t="s">
        <v>402</v>
      </c>
      <c r="C22" s="64">
        <f>INDEX(Gears!$C$6:$N$39,MATCH(Table11[[#This Row],[District]],Gears!$A$6:$A$39,0),MATCH('Calculated table'!C$4,Gears!$C$5:$N$5,0))</f>
        <v>2</v>
      </c>
      <c r="D22" s="64">
        <f>INDEX(Gears!$C$6:$N$39,MATCH(Table11[[#This Row],[District]],Gears!$A$6:$A$39,0),MATCH('Calculated table'!D$4,Gears!$C$5:$N$5,0))</f>
        <v>6</v>
      </c>
      <c r="E22" s="64">
        <f>INDEX(Gears!$C$6:$N$39,MATCH(Table11[[#This Row],[District]],Gears!$A$6:$A$39,0),MATCH('Calculated table'!E$4,Gears!$C$5:$N$5,0))</f>
        <v>1</v>
      </c>
      <c r="F22" s="64">
        <f>INDEX(Gears!$C$6:$N$39,MATCH(Table11[[#This Row],[District]],Gears!$A$6:$A$39,0),MATCH('Calculated table'!F$4,Gears!$C$5:$N$5,0))</f>
        <v>1</v>
      </c>
      <c r="G22" s="64">
        <f>INDEX(Gears!$C$6:$N$39,MATCH(Table11[[#This Row],[District]],Gears!$A$6:$A$39,0),MATCH('Calculated table'!G$4,Gears!$C$5:$N$5,0))</f>
        <v>2</v>
      </c>
      <c r="H22" s="64">
        <f>INDEX(Gears!$C$6:$N$39,MATCH(Table11[[#This Row],[District]],Gears!$A$6:$A$39,0),MATCH('Calculated table'!H$4,Gears!$C$5:$N$5,0))</f>
        <v>0</v>
      </c>
      <c r="I22" s="64">
        <f>INDEX(Gears!$C$6:$N$39,MATCH(Table11[[#This Row],[District]],Gears!$A$6:$A$39,0),MATCH('Calculated table'!I$4,Gears!$C$5:$N$5,0))</f>
        <v>0</v>
      </c>
      <c r="J22" s="64">
        <f>INDEX(Gears!$C$6:$N$39,MATCH(Table11[[#This Row],[District]],Gears!$A$6:$A$39,0),MATCH('Calculated table'!J$4,Gears!$C$5:$N$5,0))</f>
        <v>0</v>
      </c>
      <c r="K22" s="64">
        <f>INDEX(Gears!$C$6:$N$39,MATCH(Table11[[#This Row],[District]],Gears!$A$6:$A$39,0),MATCH('Calculated table'!K$4,Gears!$C$5:$N$5,0))</f>
        <v>0</v>
      </c>
      <c r="L22" s="64">
        <f>INDEX(Gears!$C$6:$N$39,MATCH(Table11[[#This Row],[District]],Gears!$A$6:$A$39,0),MATCH('Calculated table'!L$4,Gears!$C$5:$N$5,0))</f>
        <v>0</v>
      </c>
      <c r="M22" s="64">
        <f>INDEX(Gears!$C$6:$N$39,MATCH(Table11[[#This Row],[District]],Gears!$A$6:$A$39,0),MATCH('Calculated table'!M$4,Gears!$C$5:$N$5,0))</f>
        <v>1</v>
      </c>
      <c r="N22" s="64">
        <f>INDEX(Gears!$C$6:$N$39,MATCH(Table11[[#This Row],[District]],Gears!$A$6:$A$39,0),MATCH('Calculated table'!N$4,Gears!$C$5:$N$5,0))</f>
        <v>0</v>
      </c>
    </row>
    <row r="23" spans="2:14" s="10" customFormat="1" ht="12.75" customHeight="1" x14ac:dyDescent="0.2">
      <c r="B23" s="65" t="s">
        <v>404</v>
      </c>
      <c r="C23" s="64">
        <f>INDEX(Gears!$C$6:$N$39,MATCH(Table11[[#This Row],[District]],Gears!$A$6:$A$39,0),MATCH('Calculated table'!C$4,Gears!$C$5:$N$5,0))</f>
        <v>6</v>
      </c>
      <c r="D23" s="64">
        <f>INDEX(Gears!$C$6:$N$39,MATCH(Table11[[#This Row],[District]],Gears!$A$6:$A$39,0),MATCH('Calculated table'!D$4,Gears!$C$5:$N$5,0))</f>
        <v>6</v>
      </c>
      <c r="E23" s="64">
        <f>INDEX(Gears!$C$6:$N$39,MATCH(Table11[[#This Row],[District]],Gears!$A$6:$A$39,0),MATCH('Calculated table'!E$4,Gears!$C$5:$N$5,0))</f>
        <v>1</v>
      </c>
      <c r="F23" s="64">
        <f>INDEX(Gears!$C$6:$N$39,MATCH(Table11[[#This Row],[District]],Gears!$A$6:$A$39,0),MATCH('Calculated table'!F$4,Gears!$C$5:$N$5,0))</f>
        <v>1</v>
      </c>
      <c r="G23" s="64">
        <f>INDEX(Gears!$C$6:$N$39,MATCH(Table11[[#This Row],[District]],Gears!$A$6:$A$39,0),MATCH('Calculated table'!G$4,Gears!$C$5:$N$5,0))</f>
        <v>2</v>
      </c>
      <c r="H23" s="64">
        <f>INDEX(Gears!$C$6:$N$39,MATCH(Table11[[#This Row],[District]],Gears!$A$6:$A$39,0),MATCH('Calculated table'!H$4,Gears!$C$5:$N$5,0))</f>
        <v>1</v>
      </c>
      <c r="I23" s="64">
        <f>INDEX(Gears!$C$6:$N$39,MATCH(Table11[[#This Row],[District]],Gears!$A$6:$A$39,0),MATCH('Calculated table'!I$4,Gears!$C$5:$N$5,0))</f>
        <v>0</v>
      </c>
      <c r="J23" s="64">
        <f>INDEX(Gears!$C$6:$N$39,MATCH(Table11[[#This Row],[District]],Gears!$A$6:$A$39,0),MATCH('Calculated table'!J$4,Gears!$C$5:$N$5,0))</f>
        <v>0</v>
      </c>
      <c r="K23" s="64">
        <f>INDEX(Gears!$C$6:$N$39,MATCH(Table11[[#This Row],[District]],Gears!$A$6:$A$39,0),MATCH('Calculated table'!K$4,Gears!$C$5:$N$5,0))</f>
        <v>0</v>
      </c>
      <c r="L23" s="64">
        <f>INDEX(Gears!$C$6:$N$39,MATCH(Table11[[#This Row],[District]],Gears!$A$6:$A$39,0),MATCH('Calculated table'!L$4,Gears!$C$5:$N$5,0))</f>
        <v>2</v>
      </c>
      <c r="M23" s="64">
        <f>INDEX(Gears!$C$6:$N$39,MATCH(Table11[[#This Row],[District]],Gears!$A$6:$A$39,0),MATCH('Calculated table'!M$4,Gears!$C$5:$N$5,0))</f>
        <v>4</v>
      </c>
      <c r="N23" s="64">
        <f>INDEX(Gears!$C$6:$N$39,MATCH(Table11[[#This Row],[District]],Gears!$A$6:$A$39,0),MATCH('Calculated table'!N$4,Gears!$C$5:$N$5,0))</f>
        <v>0</v>
      </c>
    </row>
    <row r="24" spans="2:14" s="10" customFormat="1" ht="12.75" customHeight="1" x14ac:dyDescent="0.2">
      <c r="B24" s="65" t="s">
        <v>406</v>
      </c>
      <c r="C24" s="64">
        <f>INDEX(Gears!$C$6:$N$39,MATCH(Table11[[#This Row],[District]],Gears!$A$6:$A$39,0),MATCH('Calculated table'!C$4,Gears!$C$5:$N$5,0))</f>
        <v>7</v>
      </c>
      <c r="D24" s="64">
        <f>INDEX(Gears!$C$6:$N$39,MATCH(Table11[[#This Row],[District]],Gears!$A$6:$A$39,0),MATCH('Calculated table'!D$4,Gears!$C$5:$N$5,0))</f>
        <v>6</v>
      </c>
      <c r="E24" s="64">
        <f>INDEX(Gears!$C$6:$N$39,MATCH(Table11[[#This Row],[District]],Gears!$A$6:$A$39,0),MATCH('Calculated table'!E$4,Gears!$C$5:$N$5,0))</f>
        <v>1</v>
      </c>
      <c r="F24" s="64">
        <f>INDEX(Gears!$C$6:$N$39,MATCH(Table11[[#This Row],[District]],Gears!$A$6:$A$39,0),MATCH('Calculated table'!F$4,Gears!$C$5:$N$5,0))</f>
        <v>1</v>
      </c>
      <c r="G24" s="64">
        <f>INDEX(Gears!$C$6:$N$39,MATCH(Table11[[#This Row],[District]],Gears!$A$6:$A$39,0),MATCH('Calculated table'!G$4,Gears!$C$5:$N$5,0))</f>
        <v>3</v>
      </c>
      <c r="H24" s="64">
        <f>INDEX(Gears!$C$6:$N$39,MATCH(Table11[[#This Row],[District]],Gears!$A$6:$A$39,0),MATCH('Calculated table'!H$4,Gears!$C$5:$N$5,0))</f>
        <v>0</v>
      </c>
      <c r="I24" s="64">
        <f>INDEX(Gears!$C$6:$N$39,MATCH(Table11[[#This Row],[District]],Gears!$A$6:$A$39,0),MATCH('Calculated table'!I$4,Gears!$C$5:$N$5,0))</f>
        <v>0</v>
      </c>
      <c r="J24" s="64">
        <f>INDEX(Gears!$C$6:$N$39,MATCH(Table11[[#This Row],[District]],Gears!$A$6:$A$39,0),MATCH('Calculated table'!J$4,Gears!$C$5:$N$5,0))</f>
        <v>0</v>
      </c>
      <c r="K24" s="64">
        <f>INDEX(Gears!$C$6:$N$39,MATCH(Table11[[#This Row],[District]],Gears!$A$6:$A$39,0),MATCH('Calculated table'!K$4,Gears!$C$5:$N$5,0))</f>
        <v>0</v>
      </c>
      <c r="L24" s="64">
        <f>INDEX(Gears!$C$6:$N$39,MATCH(Table11[[#This Row],[District]],Gears!$A$6:$A$39,0),MATCH('Calculated table'!L$4,Gears!$C$5:$N$5,0))</f>
        <v>0</v>
      </c>
      <c r="M24" s="64">
        <f>INDEX(Gears!$C$6:$N$39,MATCH(Table11[[#This Row],[District]],Gears!$A$6:$A$39,0),MATCH('Calculated table'!M$4,Gears!$C$5:$N$5,0))</f>
        <v>2</v>
      </c>
      <c r="N24" s="64">
        <f>INDEX(Gears!$C$6:$N$39,MATCH(Table11[[#This Row],[District]],Gears!$A$6:$A$39,0),MATCH('Calculated table'!N$4,Gears!$C$5:$N$5,0))</f>
        <v>0</v>
      </c>
    </row>
    <row r="25" spans="2:14" s="10" customFormat="1" ht="12.75" customHeight="1" x14ac:dyDescent="0.2">
      <c r="B25" s="65" t="s">
        <v>408</v>
      </c>
      <c r="C25" s="64">
        <f>INDEX(Gears!$C$6:$N$39,MATCH(Table11[[#This Row],[District]],Gears!$A$6:$A$39,0),MATCH('Calculated table'!C$4,Gears!$C$5:$N$5,0))</f>
        <v>5</v>
      </c>
      <c r="D25" s="64">
        <f>INDEX(Gears!$C$6:$N$39,MATCH(Table11[[#This Row],[District]],Gears!$A$6:$A$39,0),MATCH('Calculated table'!D$4,Gears!$C$5:$N$5,0))</f>
        <v>6</v>
      </c>
      <c r="E25" s="64">
        <f>INDEX(Gears!$C$6:$N$39,MATCH(Table11[[#This Row],[District]],Gears!$A$6:$A$39,0),MATCH('Calculated table'!E$4,Gears!$C$5:$N$5,0))</f>
        <v>1</v>
      </c>
      <c r="F25" s="64">
        <f>INDEX(Gears!$C$6:$N$39,MATCH(Table11[[#This Row],[District]],Gears!$A$6:$A$39,0),MATCH('Calculated table'!F$4,Gears!$C$5:$N$5,0))</f>
        <v>1</v>
      </c>
      <c r="G25" s="64">
        <f>INDEX(Gears!$C$6:$N$39,MATCH(Table11[[#This Row],[District]],Gears!$A$6:$A$39,0),MATCH('Calculated table'!G$4,Gears!$C$5:$N$5,0))</f>
        <v>2</v>
      </c>
      <c r="H25" s="64">
        <f>INDEX(Gears!$C$6:$N$39,MATCH(Table11[[#This Row],[District]],Gears!$A$6:$A$39,0),MATCH('Calculated table'!H$4,Gears!$C$5:$N$5,0))</f>
        <v>0</v>
      </c>
      <c r="I25" s="64">
        <f>INDEX(Gears!$C$6:$N$39,MATCH(Table11[[#This Row],[District]],Gears!$A$6:$A$39,0),MATCH('Calculated table'!I$4,Gears!$C$5:$N$5,0))</f>
        <v>0</v>
      </c>
      <c r="J25" s="64">
        <f>INDEX(Gears!$C$6:$N$39,MATCH(Table11[[#This Row],[District]],Gears!$A$6:$A$39,0),MATCH('Calculated table'!J$4,Gears!$C$5:$N$5,0))</f>
        <v>0</v>
      </c>
      <c r="K25" s="64">
        <f>INDEX(Gears!$C$6:$N$39,MATCH(Table11[[#This Row],[District]],Gears!$A$6:$A$39,0),MATCH('Calculated table'!K$4,Gears!$C$5:$N$5,0))</f>
        <v>0</v>
      </c>
      <c r="L25" s="64">
        <f>INDEX(Gears!$C$6:$N$39,MATCH(Table11[[#This Row],[District]],Gears!$A$6:$A$39,0),MATCH('Calculated table'!L$4,Gears!$C$5:$N$5,0))</f>
        <v>0</v>
      </c>
      <c r="M25" s="64">
        <f>INDEX(Gears!$C$6:$N$39,MATCH(Table11[[#This Row],[District]],Gears!$A$6:$A$39,0),MATCH('Calculated table'!M$4,Gears!$C$5:$N$5,0))</f>
        <v>2</v>
      </c>
      <c r="N25" s="64">
        <f>INDEX(Gears!$C$6:$N$39,MATCH(Table11[[#This Row],[District]],Gears!$A$6:$A$39,0),MATCH('Calculated table'!N$4,Gears!$C$5:$N$5,0))</f>
        <v>0</v>
      </c>
    </row>
    <row r="26" spans="2:14" ht="14.25" customHeight="1" x14ac:dyDescent="0.2">
      <c r="B26" s="65" t="s">
        <v>410</v>
      </c>
      <c r="C26" s="64">
        <f>INDEX(Gears!$C$6:$N$39,MATCH(Table11[[#This Row],[District]],Gears!$A$6:$A$39,0),MATCH('Calculated table'!C$4,Gears!$C$5:$N$5,0))</f>
        <v>6</v>
      </c>
      <c r="D26" s="64">
        <f>INDEX(Gears!$C$6:$N$39,MATCH(Table11[[#This Row],[District]],Gears!$A$6:$A$39,0),MATCH('Calculated table'!D$4,Gears!$C$5:$N$5,0))</f>
        <v>6</v>
      </c>
      <c r="E26" s="64">
        <f>INDEX(Gears!$C$6:$N$39,MATCH(Table11[[#This Row],[District]],Gears!$A$6:$A$39,0),MATCH('Calculated table'!E$4,Gears!$C$5:$N$5,0))</f>
        <v>1</v>
      </c>
      <c r="F26" s="64">
        <f>INDEX(Gears!$C$6:$N$39,MATCH(Table11[[#This Row],[District]],Gears!$A$6:$A$39,0),MATCH('Calculated table'!F$4,Gears!$C$5:$N$5,0))</f>
        <v>1</v>
      </c>
      <c r="G26" s="64">
        <f>INDEX(Gears!$C$6:$N$39,MATCH(Table11[[#This Row],[District]],Gears!$A$6:$A$39,0),MATCH('Calculated table'!G$4,Gears!$C$5:$N$5,0))</f>
        <v>2</v>
      </c>
      <c r="H26" s="64">
        <f>INDEX(Gears!$C$6:$N$39,MATCH(Table11[[#This Row],[District]],Gears!$A$6:$A$39,0),MATCH('Calculated table'!H$4,Gears!$C$5:$N$5,0))</f>
        <v>0</v>
      </c>
      <c r="I26" s="64">
        <f>INDEX(Gears!$C$6:$N$39,MATCH(Table11[[#This Row],[District]],Gears!$A$6:$A$39,0),MATCH('Calculated table'!I$4,Gears!$C$5:$N$5,0))</f>
        <v>0</v>
      </c>
      <c r="J26" s="64">
        <f>INDEX(Gears!$C$6:$N$39,MATCH(Table11[[#This Row],[District]],Gears!$A$6:$A$39,0),MATCH('Calculated table'!J$4,Gears!$C$5:$N$5,0))</f>
        <v>0</v>
      </c>
      <c r="K26" s="64">
        <f>INDEX(Gears!$C$6:$N$39,MATCH(Table11[[#This Row],[District]],Gears!$A$6:$A$39,0),MATCH('Calculated table'!K$4,Gears!$C$5:$N$5,0))</f>
        <v>0</v>
      </c>
      <c r="L26" s="64">
        <f>INDEX(Gears!$C$6:$N$39,MATCH(Table11[[#This Row],[District]],Gears!$A$6:$A$39,0),MATCH('Calculated table'!L$4,Gears!$C$5:$N$5,0))</f>
        <v>0</v>
      </c>
      <c r="M26" s="64">
        <f>INDEX(Gears!$C$6:$N$39,MATCH(Table11[[#This Row],[District]],Gears!$A$6:$A$39,0),MATCH('Calculated table'!M$4,Gears!$C$5:$N$5,0))</f>
        <v>5</v>
      </c>
      <c r="N26" s="64">
        <f>INDEX(Gears!$C$6:$N$39,MATCH(Table11[[#This Row],[District]],Gears!$A$6:$A$39,0),MATCH('Calculated table'!N$4,Gears!$C$5:$N$5,0))</f>
        <v>0</v>
      </c>
    </row>
    <row r="27" spans="2:14" x14ac:dyDescent="0.2">
      <c r="B27" s="65" t="s">
        <v>412</v>
      </c>
      <c r="C27" s="64">
        <f>INDEX(Gears!$C$6:$N$39,MATCH(Table11[[#This Row],[District]],Gears!$A$6:$A$39,0),MATCH('Calculated table'!C$4,Gears!$C$5:$N$5,0))</f>
        <v>2</v>
      </c>
      <c r="D27" s="64">
        <f>INDEX(Gears!$C$6:$N$39,MATCH(Table11[[#This Row],[District]],Gears!$A$6:$A$39,0),MATCH('Calculated table'!D$4,Gears!$C$5:$N$5,0))</f>
        <v>6</v>
      </c>
      <c r="E27" s="64">
        <f>INDEX(Gears!$C$6:$N$39,MATCH(Table11[[#This Row],[District]],Gears!$A$6:$A$39,0),MATCH('Calculated table'!E$4,Gears!$C$5:$N$5,0))</f>
        <v>1</v>
      </c>
      <c r="F27" s="64">
        <f>INDEX(Gears!$C$6:$N$39,MATCH(Table11[[#This Row],[District]],Gears!$A$6:$A$39,0),MATCH('Calculated table'!F$4,Gears!$C$5:$N$5,0))</f>
        <v>1</v>
      </c>
      <c r="G27" s="64">
        <f>INDEX(Gears!$C$6:$N$39,MATCH(Table11[[#This Row],[District]],Gears!$A$6:$A$39,0),MATCH('Calculated table'!G$4,Gears!$C$5:$N$5,0))</f>
        <v>2</v>
      </c>
      <c r="H27" s="64">
        <f>INDEX(Gears!$C$6:$N$39,MATCH(Table11[[#This Row],[District]],Gears!$A$6:$A$39,0),MATCH('Calculated table'!H$4,Gears!$C$5:$N$5,0))</f>
        <v>0</v>
      </c>
      <c r="I27" s="64">
        <f>INDEX(Gears!$C$6:$N$39,MATCH(Table11[[#This Row],[District]],Gears!$A$6:$A$39,0),MATCH('Calculated table'!I$4,Gears!$C$5:$N$5,0))</f>
        <v>0</v>
      </c>
      <c r="J27" s="64">
        <f>INDEX(Gears!$C$6:$N$39,MATCH(Table11[[#This Row],[District]],Gears!$A$6:$A$39,0),MATCH('Calculated table'!J$4,Gears!$C$5:$N$5,0))</f>
        <v>0</v>
      </c>
      <c r="K27" s="64">
        <f>INDEX(Gears!$C$6:$N$39,MATCH(Table11[[#This Row],[District]],Gears!$A$6:$A$39,0),MATCH('Calculated table'!K$4,Gears!$C$5:$N$5,0))</f>
        <v>0</v>
      </c>
      <c r="L27" s="64">
        <f>INDEX(Gears!$C$6:$N$39,MATCH(Table11[[#This Row],[District]],Gears!$A$6:$A$39,0),MATCH('Calculated table'!L$4,Gears!$C$5:$N$5,0))</f>
        <v>0</v>
      </c>
      <c r="M27" s="64">
        <f>INDEX(Gears!$C$6:$N$39,MATCH(Table11[[#This Row],[District]],Gears!$A$6:$A$39,0),MATCH('Calculated table'!M$4,Gears!$C$5:$N$5,0))</f>
        <v>2</v>
      </c>
      <c r="N27" s="64">
        <f>INDEX(Gears!$C$6:$N$39,MATCH(Table11[[#This Row],[District]],Gears!$A$6:$A$39,0),MATCH('Calculated table'!N$4,Gears!$C$5:$N$5,0))</f>
        <v>0</v>
      </c>
    </row>
    <row r="28" spans="2:14" x14ac:dyDescent="0.2">
      <c r="B28" s="65" t="s">
        <v>414</v>
      </c>
      <c r="C28" s="64">
        <f>INDEX(Gears!$C$6:$N$39,MATCH(Table11[[#This Row],[District]],Gears!$A$6:$A$39,0),MATCH('Calculated table'!C$4,Gears!$C$5:$N$5,0))</f>
        <v>5</v>
      </c>
      <c r="D28" s="64">
        <f>INDEX(Gears!$C$6:$N$39,MATCH(Table11[[#This Row],[District]],Gears!$A$6:$A$39,0),MATCH('Calculated table'!D$4,Gears!$C$5:$N$5,0))</f>
        <v>6</v>
      </c>
      <c r="E28" s="64">
        <f>INDEX(Gears!$C$6:$N$39,MATCH(Table11[[#This Row],[District]],Gears!$A$6:$A$39,0),MATCH('Calculated table'!E$4,Gears!$C$5:$N$5,0))</f>
        <v>1</v>
      </c>
      <c r="F28" s="64">
        <f>INDEX(Gears!$C$6:$N$39,MATCH(Table11[[#This Row],[District]],Gears!$A$6:$A$39,0),MATCH('Calculated table'!F$4,Gears!$C$5:$N$5,0))</f>
        <v>1</v>
      </c>
      <c r="G28" s="64">
        <f>INDEX(Gears!$C$6:$N$39,MATCH(Table11[[#This Row],[District]],Gears!$A$6:$A$39,0),MATCH('Calculated table'!G$4,Gears!$C$5:$N$5,0))</f>
        <v>2</v>
      </c>
      <c r="H28" s="64">
        <f>INDEX(Gears!$C$6:$N$39,MATCH(Table11[[#This Row],[District]],Gears!$A$6:$A$39,0),MATCH('Calculated table'!H$4,Gears!$C$5:$N$5,0))</f>
        <v>0</v>
      </c>
      <c r="I28" s="64">
        <f>INDEX(Gears!$C$6:$N$39,MATCH(Table11[[#This Row],[District]],Gears!$A$6:$A$39,0),MATCH('Calculated table'!I$4,Gears!$C$5:$N$5,0))</f>
        <v>0</v>
      </c>
      <c r="J28" s="64">
        <f>INDEX(Gears!$C$6:$N$39,MATCH(Table11[[#This Row],[District]],Gears!$A$6:$A$39,0),MATCH('Calculated table'!J$4,Gears!$C$5:$N$5,0))</f>
        <v>0</v>
      </c>
      <c r="K28" s="64">
        <f>INDEX(Gears!$C$6:$N$39,MATCH(Table11[[#This Row],[District]],Gears!$A$6:$A$39,0),MATCH('Calculated table'!K$4,Gears!$C$5:$N$5,0))</f>
        <v>0</v>
      </c>
      <c r="L28" s="64">
        <f>INDEX(Gears!$C$6:$N$39,MATCH(Table11[[#This Row],[District]],Gears!$A$6:$A$39,0),MATCH('Calculated table'!L$4,Gears!$C$5:$N$5,0))</f>
        <v>0</v>
      </c>
      <c r="M28" s="64">
        <f>INDEX(Gears!$C$6:$N$39,MATCH(Table11[[#This Row],[District]],Gears!$A$6:$A$39,0),MATCH('Calculated table'!M$4,Gears!$C$5:$N$5,0))</f>
        <v>2</v>
      </c>
      <c r="N28" s="64">
        <f>INDEX(Gears!$C$6:$N$39,MATCH(Table11[[#This Row],[District]],Gears!$A$6:$A$39,0),MATCH('Calculated table'!N$4,Gears!$C$5:$N$5,0))</f>
        <v>0</v>
      </c>
    </row>
    <row r="29" spans="2:14" x14ac:dyDescent="0.2">
      <c r="B29" s="65" t="s">
        <v>416</v>
      </c>
      <c r="C29" s="64">
        <f>INDEX(Gears!$C$6:$N$39,MATCH(Table11[[#This Row],[District]],Gears!$A$6:$A$39,0),MATCH('Calculated table'!C$4,Gears!$C$5:$N$5,0))</f>
        <v>4</v>
      </c>
      <c r="D29" s="64">
        <f>INDEX(Gears!$C$6:$N$39,MATCH(Table11[[#This Row],[District]],Gears!$A$6:$A$39,0),MATCH('Calculated table'!D$4,Gears!$C$5:$N$5,0))</f>
        <v>6</v>
      </c>
      <c r="E29" s="64">
        <f>INDEX(Gears!$C$6:$N$39,MATCH(Table11[[#This Row],[District]],Gears!$A$6:$A$39,0),MATCH('Calculated table'!E$4,Gears!$C$5:$N$5,0))</f>
        <v>1</v>
      </c>
      <c r="F29" s="64">
        <f>INDEX(Gears!$C$6:$N$39,MATCH(Table11[[#This Row],[District]],Gears!$A$6:$A$39,0),MATCH('Calculated table'!F$4,Gears!$C$5:$N$5,0))</f>
        <v>1</v>
      </c>
      <c r="G29" s="64">
        <f>INDEX(Gears!$C$6:$N$39,MATCH(Table11[[#This Row],[District]],Gears!$A$6:$A$39,0),MATCH('Calculated table'!G$4,Gears!$C$5:$N$5,0))</f>
        <v>2</v>
      </c>
      <c r="H29" s="64">
        <f>INDEX(Gears!$C$6:$N$39,MATCH(Table11[[#This Row],[District]],Gears!$A$6:$A$39,0),MATCH('Calculated table'!H$4,Gears!$C$5:$N$5,0))</f>
        <v>0</v>
      </c>
      <c r="I29" s="64">
        <f>INDEX(Gears!$C$6:$N$39,MATCH(Table11[[#This Row],[District]],Gears!$A$6:$A$39,0),MATCH('Calculated table'!I$4,Gears!$C$5:$N$5,0))</f>
        <v>0</v>
      </c>
      <c r="J29" s="64">
        <f>INDEX(Gears!$C$6:$N$39,MATCH(Table11[[#This Row],[District]],Gears!$A$6:$A$39,0),MATCH('Calculated table'!J$4,Gears!$C$5:$N$5,0))</f>
        <v>0</v>
      </c>
      <c r="K29" s="64">
        <f>INDEX(Gears!$C$6:$N$39,MATCH(Table11[[#This Row],[District]],Gears!$A$6:$A$39,0),MATCH('Calculated table'!K$4,Gears!$C$5:$N$5,0))</f>
        <v>0</v>
      </c>
      <c r="L29" s="64">
        <f>INDEX(Gears!$C$6:$N$39,MATCH(Table11[[#This Row],[District]],Gears!$A$6:$A$39,0),MATCH('Calculated table'!L$4,Gears!$C$5:$N$5,0))</f>
        <v>0</v>
      </c>
      <c r="M29" s="64">
        <f>INDEX(Gears!$C$6:$N$39,MATCH(Table11[[#This Row],[District]],Gears!$A$6:$A$39,0),MATCH('Calculated table'!M$4,Gears!$C$5:$N$5,0))</f>
        <v>1</v>
      </c>
      <c r="N29" s="64">
        <f>INDEX(Gears!$C$6:$N$39,MATCH(Table11[[#This Row],[District]],Gears!$A$6:$A$39,0),MATCH('Calculated table'!N$4,Gears!$C$5:$N$5,0))</f>
        <v>0</v>
      </c>
    </row>
    <row r="30" spans="2:14" x14ac:dyDescent="0.2">
      <c r="B30" s="65" t="s">
        <v>418</v>
      </c>
      <c r="C30" s="64">
        <f>INDEX(Gears!$C$6:$N$39,MATCH(Table11[[#This Row],[District]],Gears!$A$6:$A$39,0),MATCH('Calculated table'!C$4,Gears!$C$5:$N$5,0))</f>
        <v>5</v>
      </c>
      <c r="D30" s="64">
        <f>INDEX(Gears!$C$6:$N$39,MATCH(Table11[[#This Row],[District]],Gears!$A$6:$A$39,0),MATCH('Calculated table'!D$4,Gears!$C$5:$N$5,0))</f>
        <v>6</v>
      </c>
      <c r="E30" s="64">
        <f>INDEX(Gears!$C$6:$N$39,MATCH(Table11[[#This Row],[District]],Gears!$A$6:$A$39,0),MATCH('Calculated table'!E$4,Gears!$C$5:$N$5,0))</f>
        <v>1</v>
      </c>
      <c r="F30" s="64">
        <f>INDEX(Gears!$C$6:$N$39,MATCH(Table11[[#This Row],[District]],Gears!$A$6:$A$39,0),MATCH('Calculated table'!F$4,Gears!$C$5:$N$5,0))</f>
        <v>1</v>
      </c>
      <c r="G30" s="64">
        <f>INDEX(Gears!$C$6:$N$39,MATCH(Table11[[#This Row],[District]],Gears!$A$6:$A$39,0),MATCH('Calculated table'!G$4,Gears!$C$5:$N$5,0))</f>
        <v>2</v>
      </c>
      <c r="H30" s="64">
        <f>INDEX(Gears!$C$6:$N$39,MATCH(Table11[[#This Row],[District]],Gears!$A$6:$A$39,0),MATCH('Calculated table'!H$4,Gears!$C$5:$N$5,0))</f>
        <v>0</v>
      </c>
      <c r="I30" s="64">
        <f>INDEX(Gears!$C$6:$N$39,MATCH(Table11[[#This Row],[District]],Gears!$A$6:$A$39,0),MATCH('Calculated table'!I$4,Gears!$C$5:$N$5,0))</f>
        <v>0</v>
      </c>
      <c r="J30" s="64">
        <f>INDEX(Gears!$C$6:$N$39,MATCH(Table11[[#This Row],[District]],Gears!$A$6:$A$39,0),MATCH('Calculated table'!J$4,Gears!$C$5:$N$5,0))</f>
        <v>0</v>
      </c>
      <c r="K30" s="64">
        <f>INDEX(Gears!$C$6:$N$39,MATCH(Table11[[#This Row],[District]],Gears!$A$6:$A$39,0),MATCH('Calculated table'!K$4,Gears!$C$5:$N$5,0))</f>
        <v>0</v>
      </c>
      <c r="L30" s="64">
        <f>INDEX(Gears!$C$6:$N$39,MATCH(Table11[[#This Row],[District]],Gears!$A$6:$A$39,0),MATCH('Calculated table'!L$4,Gears!$C$5:$N$5,0))</f>
        <v>0</v>
      </c>
      <c r="M30" s="64">
        <f>INDEX(Gears!$C$6:$N$39,MATCH(Table11[[#This Row],[District]],Gears!$A$6:$A$39,0),MATCH('Calculated table'!M$4,Gears!$C$5:$N$5,0))</f>
        <v>5</v>
      </c>
      <c r="N30" s="64">
        <f>INDEX(Gears!$C$6:$N$39,MATCH(Table11[[#This Row],[District]],Gears!$A$6:$A$39,0),MATCH('Calculated table'!N$4,Gears!$C$5:$N$5,0))</f>
        <v>0</v>
      </c>
    </row>
    <row r="31" spans="2:14" x14ac:dyDescent="0.2">
      <c r="B31" s="65" t="s">
        <v>420</v>
      </c>
      <c r="C31" s="64">
        <f>INDEX(Gears!$C$6:$N$39,MATCH(Table11[[#This Row],[District]],Gears!$A$6:$A$39,0),MATCH('Calculated table'!C$4,Gears!$C$5:$N$5,0))</f>
        <v>5</v>
      </c>
      <c r="D31" s="64">
        <f>INDEX(Gears!$C$6:$N$39,MATCH(Table11[[#This Row],[District]],Gears!$A$6:$A$39,0),MATCH('Calculated table'!D$4,Gears!$C$5:$N$5,0))</f>
        <v>6</v>
      </c>
      <c r="E31" s="64">
        <f>INDEX(Gears!$C$6:$N$39,MATCH(Table11[[#This Row],[District]],Gears!$A$6:$A$39,0),MATCH('Calculated table'!E$4,Gears!$C$5:$N$5,0))</f>
        <v>1</v>
      </c>
      <c r="F31" s="64">
        <f>INDEX(Gears!$C$6:$N$39,MATCH(Table11[[#This Row],[District]],Gears!$A$6:$A$39,0),MATCH('Calculated table'!F$4,Gears!$C$5:$N$5,0))</f>
        <v>1</v>
      </c>
      <c r="G31" s="64">
        <f>INDEX(Gears!$C$6:$N$39,MATCH(Table11[[#This Row],[District]],Gears!$A$6:$A$39,0),MATCH('Calculated table'!G$4,Gears!$C$5:$N$5,0))</f>
        <v>2</v>
      </c>
      <c r="H31" s="64">
        <f>INDEX(Gears!$C$6:$N$39,MATCH(Table11[[#This Row],[District]],Gears!$A$6:$A$39,0),MATCH('Calculated table'!H$4,Gears!$C$5:$N$5,0))</f>
        <v>0</v>
      </c>
      <c r="I31" s="64">
        <f>INDEX(Gears!$C$6:$N$39,MATCH(Table11[[#This Row],[District]],Gears!$A$6:$A$39,0),MATCH('Calculated table'!I$4,Gears!$C$5:$N$5,0))</f>
        <v>0</v>
      </c>
      <c r="J31" s="64">
        <f>INDEX(Gears!$C$6:$N$39,MATCH(Table11[[#This Row],[District]],Gears!$A$6:$A$39,0),MATCH('Calculated table'!J$4,Gears!$C$5:$N$5,0))</f>
        <v>0</v>
      </c>
      <c r="K31" s="64">
        <f>INDEX(Gears!$C$6:$N$39,MATCH(Table11[[#This Row],[District]],Gears!$A$6:$A$39,0),MATCH('Calculated table'!K$4,Gears!$C$5:$N$5,0))</f>
        <v>0</v>
      </c>
      <c r="L31" s="64">
        <f>INDEX(Gears!$C$6:$N$39,MATCH(Table11[[#This Row],[District]],Gears!$A$6:$A$39,0),MATCH('Calculated table'!L$4,Gears!$C$5:$N$5,0))</f>
        <v>0</v>
      </c>
      <c r="M31" s="64">
        <f>INDEX(Gears!$C$6:$N$39,MATCH(Table11[[#This Row],[District]],Gears!$A$6:$A$39,0),MATCH('Calculated table'!M$4,Gears!$C$5:$N$5,0))</f>
        <v>2</v>
      </c>
      <c r="N31" s="64">
        <f>INDEX(Gears!$C$6:$N$39,MATCH(Table11[[#This Row],[District]],Gears!$A$6:$A$39,0),MATCH('Calculated table'!N$4,Gears!$C$5:$N$5,0))</f>
        <v>0</v>
      </c>
    </row>
    <row r="32" spans="2:14" x14ac:dyDescent="0.2">
      <c r="B32" s="65" t="s">
        <v>422</v>
      </c>
      <c r="C32" s="64">
        <f>INDEX(Gears!$C$6:$N$39,MATCH(Table11[[#This Row],[District]],Gears!$A$6:$A$39,0),MATCH('Calculated table'!C$4,Gears!$C$5:$N$5,0))</f>
        <v>6</v>
      </c>
      <c r="D32" s="64">
        <f>INDEX(Gears!$C$6:$N$39,MATCH(Table11[[#This Row],[District]],Gears!$A$6:$A$39,0),MATCH('Calculated table'!D$4,Gears!$C$5:$N$5,0))</f>
        <v>6</v>
      </c>
      <c r="E32" s="64">
        <f>INDEX(Gears!$C$6:$N$39,MATCH(Table11[[#This Row],[District]],Gears!$A$6:$A$39,0),MATCH('Calculated table'!E$4,Gears!$C$5:$N$5,0))</f>
        <v>1</v>
      </c>
      <c r="F32" s="64">
        <f>INDEX(Gears!$C$6:$N$39,MATCH(Table11[[#This Row],[District]],Gears!$A$6:$A$39,0),MATCH('Calculated table'!F$4,Gears!$C$5:$N$5,0))</f>
        <v>1</v>
      </c>
      <c r="G32" s="64">
        <f>INDEX(Gears!$C$6:$N$39,MATCH(Table11[[#This Row],[District]],Gears!$A$6:$A$39,0),MATCH('Calculated table'!G$4,Gears!$C$5:$N$5,0))</f>
        <v>2</v>
      </c>
      <c r="H32" s="64">
        <f>INDEX(Gears!$C$6:$N$39,MATCH(Table11[[#This Row],[District]],Gears!$A$6:$A$39,0),MATCH('Calculated table'!H$4,Gears!$C$5:$N$5,0))</f>
        <v>0</v>
      </c>
      <c r="I32" s="64">
        <f>INDEX(Gears!$C$6:$N$39,MATCH(Table11[[#This Row],[District]],Gears!$A$6:$A$39,0),MATCH('Calculated table'!I$4,Gears!$C$5:$N$5,0))</f>
        <v>0</v>
      </c>
      <c r="J32" s="64">
        <f>INDEX(Gears!$C$6:$N$39,MATCH(Table11[[#This Row],[District]],Gears!$A$6:$A$39,0),MATCH('Calculated table'!J$4,Gears!$C$5:$N$5,0))</f>
        <v>0</v>
      </c>
      <c r="K32" s="64">
        <f>INDEX(Gears!$C$6:$N$39,MATCH(Table11[[#This Row],[District]],Gears!$A$6:$A$39,0),MATCH('Calculated table'!K$4,Gears!$C$5:$N$5,0))</f>
        <v>0</v>
      </c>
      <c r="L32" s="64">
        <f>INDEX(Gears!$C$6:$N$39,MATCH(Table11[[#This Row],[District]],Gears!$A$6:$A$39,0),MATCH('Calculated table'!L$4,Gears!$C$5:$N$5,0))</f>
        <v>0</v>
      </c>
      <c r="M32" s="64">
        <f>INDEX(Gears!$C$6:$N$39,MATCH(Table11[[#This Row],[District]],Gears!$A$6:$A$39,0),MATCH('Calculated table'!M$4,Gears!$C$5:$N$5,0))</f>
        <v>5</v>
      </c>
      <c r="N32" s="64">
        <f>INDEX(Gears!$C$6:$N$39,MATCH(Table11[[#This Row],[District]],Gears!$A$6:$A$39,0),MATCH('Calculated table'!N$4,Gears!$C$5:$N$5,0))</f>
        <v>0</v>
      </c>
    </row>
    <row r="33" spans="2:14" x14ac:dyDescent="0.2">
      <c r="B33" s="65" t="s">
        <v>424</v>
      </c>
      <c r="C33" s="64">
        <f>INDEX(Gears!$C$6:$N$39,MATCH(Table11[[#This Row],[District]],Gears!$A$6:$A$39,0),MATCH('Calculated table'!C$4,Gears!$C$5:$N$5,0))</f>
        <v>9</v>
      </c>
      <c r="D33" s="64">
        <f>INDEX(Gears!$C$6:$N$39,MATCH(Table11[[#This Row],[District]],Gears!$A$6:$A$39,0),MATCH('Calculated table'!D$4,Gears!$C$5:$N$5,0))</f>
        <v>8</v>
      </c>
      <c r="E33" s="64">
        <f>INDEX(Gears!$C$6:$N$39,MATCH(Table11[[#This Row],[District]],Gears!$A$6:$A$39,0),MATCH('Calculated table'!E$4,Gears!$C$5:$N$5,0))</f>
        <v>1</v>
      </c>
      <c r="F33" s="64">
        <f>INDEX(Gears!$C$6:$N$39,MATCH(Table11[[#This Row],[District]],Gears!$A$6:$A$39,0),MATCH('Calculated table'!F$4,Gears!$C$5:$N$5,0))</f>
        <v>1</v>
      </c>
      <c r="G33" s="64">
        <f>INDEX(Gears!$C$6:$N$39,MATCH(Table11[[#This Row],[District]],Gears!$A$6:$A$39,0),MATCH('Calculated table'!G$4,Gears!$C$5:$N$5,0))</f>
        <v>2</v>
      </c>
      <c r="H33" s="64">
        <f>INDEX(Gears!$C$6:$N$39,MATCH(Table11[[#This Row],[District]],Gears!$A$6:$A$39,0),MATCH('Calculated table'!H$4,Gears!$C$5:$N$5,0))</f>
        <v>1</v>
      </c>
      <c r="I33" s="64">
        <f>INDEX(Gears!$C$6:$N$39,MATCH(Table11[[#This Row],[District]],Gears!$A$6:$A$39,0),MATCH('Calculated table'!I$4,Gears!$C$5:$N$5,0))</f>
        <v>5</v>
      </c>
      <c r="J33" s="64">
        <f>INDEX(Gears!$C$6:$N$39,MATCH(Table11[[#This Row],[District]],Gears!$A$6:$A$39,0),MATCH('Calculated table'!J$4,Gears!$C$5:$N$5,0))</f>
        <v>0</v>
      </c>
      <c r="K33" s="64">
        <f>INDEX(Gears!$C$6:$N$39,MATCH(Table11[[#This Row],[District]],Gears!$A$6:$A$39,0),MATCH('Calculated table'!K$4,Gears!$C$5:$N$5,0))</f>
        <v>0</v>
      </c>
      <c r="L33" s="64">
        <f>INDEX(Gears!$C$6:$N$39,MATCH(Table11[[#This Row],[District]],Gears!$A$6:$A$39,0),MATCH('Calculated table'!L$4,Gears!$C$5:$N$5,0))</f>
        <v>2</v>
      </c>
      <c r="M33" s="64">
        <f>INDEX(Gears!$C$6:$N$39,MATCH(Table11[[#This Row],[District]],Gears!$A$6:$A$39,0),MATCH('Calculated table'!M$4,Gears!$C$5:$N$5,0))</f>
        <v>7</v>
      </c>
      <c r="N33" s="64">
        <f>INDEX(Gears!$C$6:$N$39,MATCH(Table11[[#This Row],[District]],Gears!$A$6:$A$39,0),MATCH('Calculated table'!N$4,Gears!$C$5:$N$5,0))</f>
        <v>0</v>
      </c>
    </row>
    <row r="34" spans="2:14" x14ac:dyDescent="0.2">
      <c r="B34" s="65" t="s">
        <v>426</v>
      </c>
      <c r="C34" s="64">
        <f>INDEX(Gears!$C$6:$N$39,MATCH(Table11[[#This Row],[District]],Gears!$A$6:$A$39,0),MATCH('Calculated table'!C$4,Gears!$C$5:$N$5,0))</f>
        <v>6</v>
      </c>
      <c r="D34" s="64">
        <f>INDEX(Gears!$C$6:$N$39,MATCH(Table11[[#This Row],[District]],Gears!$A$6:$A$39,0),MATCH('Calculated table'!D$4,Gears!$C$5:$N$5,0))</f>
        <v>6</v>
      </c>
      <c r="E34" s="64">
        <f>INDEX(Gears!$C$6:$N$39,MATCH(Table11[[#This Row],[District]],Gears!$A$6:$A$39,0),MATCH('Calculated table'!E$4,Gears!$C$5:$N$5,0))</f>
        <v>1</v>
      </c>
      <c r="F34" s="64">
        <f>INDEX(Gears!$C$6:$N$39,MATCH(Table11[[#This Row],[District]],Gears!$A$6:$A$39,0),MATCH('Calculated table'!F$4,Gears!$C$5:$N$5,0))</f>
        <v>1</v>
      </c>
      <c r="G34" s="64">
        <f>INDEX(Gears!$C$6:$N$39,MATCH(Table11[[#This Row],[District]],Gears!$A$6:$A$39,0),MATCH('Calculated table'!G$4,Gears!$C$5:$N$5,0))</f>
        <v>4</v>
      </c>
      <c r="H34" s="64">
        <f>INDEX(Gears!$C$6:$N$39,MATCH(Table11[[#This Row],[District]],Gears!$A$6:$A$39,0),MATCH('Calculated table'!H$4,Gears!$C$5:$N$5,0))</f>
        <v>2</v>
      </c>
      <c r="I34" s="64">
        <f>INDEX(Gears!$C$6:$N$39,MATCH(Table11[[#This Row],[District]],Gears!$A$6:$A$39,0),MATCH('Calculated table'!I$4,Gears!$C$5:$N$5,0))</f>
        <v>3</v>
      </c>
      <c r="J34" s="64">
        <f>INDEX(Gears!$C$6:$N$39,MATCH(Table11[[#This Row],[District]],Gears!$A$6:$A$39,0),MATCH('Calculated table'!J$4,Gears!$C$5:$N$5,0))</f>
        <v>0</v>
      </c>
      <c r="K34" s="64">
        <f>INDEX(Gears!$C$6:$N$39,MATCH(Table11[[#This Row],[District]],Gears!$A$6:$A$39,0),MATCH('Calculated table'!K$4,Gears!$C$5:$N$5,0))</f>
        <v>0</v>
      </c>
      <c r="L34" s="64">
        <f>INDEX(Gears!$C$6:$N$39,MATCH(Table11[[#This Row],[District]],Gears!$A$6:$A$39,0),MATCH('Calculated table'!L$4,Gears!$C$5:$N$5,0))</f>
        <v>2</v>
      </c>
      <c r="M34" s="64">
        <f>INDEX(Gears!$C$6:$N$39,MATCH(Table11[[#This Row],[District]],Gears!$A$6:$A$39,0),MATCH('Calculated table'!M$4,Gears!$C$5:$N$5,0))</f>
        <v>6</v>
      </c>
      <c r="N34" s="64">
        <f>INDEX(Gears!$C$6:$N$39,MATCH(Table11[[#This Row],[District]],Gears!$A$6:$A$39,0),MATCH('Calculated table'!N$4,Gears!$C$5:$N$5,0))</f>
        <v>2</v>
      </c>
    </row>
    <row r="35" spans="2:14" x14ac:dyDescent="0.2">
      <c r="B35" s="65" t="s">
        <v>428</v>
      </c>
      <c r="C35" s="64">
        <f>INDEX(Gears!$C$6:$N$39,MATCH(Table11[[#This Row],[District]],Gears!$A$6:$A$39,0),MATCH('Calculated table'!C$4,Gears!$C$5:$N$5,0))</f>
        <v>7</v>
      </c>
      <c r="D35" s="64">
        <f>INDEX(Gears!$C$6:$N$39,MATCH(Table11[[#This Row],[District]],Gears!$A$6:$A$39,0),MATCH('Calculated table'!D$4,Gears!$C$5:$N$5,0))</f>
        <v>6</v>
      </c>
      <c r="E35" s="64">
        <f>INDEX(Gears!$C$6:$N$39,MATCH(Table11[[#This Row],[District]],Gears!$A$6:$A$39,0),MATCH('Calculated table'!E$4,Gears!$C$5:$N$5,0))</f>
        <v>1</v>
      </c>
      <c r="F35" s="64">
        <f>INDEX(Gears!$C$6:$N$39,MATCH(Table11[[#This Row],[District]],Gears!$A$6:$A$39,0),MATCH('Calculated table'!F$4,Gears!$C$5:$N$5,0))</f>
        <v>1</v>
      </c>
      <c r="G35" s="64">
        <f>INDEX(Gears!$C$6:$N$39,MATCH(Table11[[#This Row],[District]],Gears!$A$6:$A$39,0),MATCH('Calculated table'!G$4,Gears!$C$5:$N$5,0))</f>
        <v>2</v>
      </c>
      <c r="H35" s="64">
        <f>INDEX(Gears!$C$6:$N$39,MATCH(Table11[[#This Row],[District]],Gears!$A$6:$A$39,0),MATCH('Calculated table'!H$4,Gears!$C$5:$N$5,0))</f>
        <v>0</v>
      </c>
      <c r="I35" s="64">
        <f>INDEX(Gears!$C$6:$N$39,MATCH(Table11[[#This Row],[District]],Gears!$A$6:$A$39,0),MATCH('Calculated table'!I$4,Gears!$C$5:$N$5,0))</f>
        <v>1</v>
      </c>
      <c r="J35" s="64">
        <f>INDEX(Gears!$C$6:$N$39,MATCH(Table11[[#This Row],[District]],Gears!$A$6:$A$39,0),MATCH('Calculated table'!J$4,Gears!$C$5:$N$5,0))</f>
        <v>0</v>
      </c>
      <c r="K35" s="64">
        <f>INDEX(Gears!$C$6:$N$39,MATCH(Table11[[#This Row],[District]],Gears!$A$6:$A$39,0),MATCH('Calculated table'!K$4,Gears!$C$5:$N$5,0))</f>
        <v>0</v>
      </c>
      <c r="L35" s="64">
        <f>INDEX(Gears!$C$6:$N$39,MATCH(Table11[[#This Row],[District]],Gears!$A$6:$A$39,0),MATCH('Calculated table'!L$4,Gears!$C$5:$N$5,0))</f>
        <v>3</v>
      </c>
      <c r="M35" s="64">
        <f>INDEX(Gears!$C$6:$N$39,MATCH(Table11[[#This Row],[District]],Gears!$A$6:$A$39,0),MATCH('Calculated table'!M$4,Gears!$C$5:$N$5,0))</f>
        <v>4</v>
      </c>
      <c r="N35" s="64">
        <f>INDEX(Gears!$C$6:$N$39,MATCH(Table11[[#This Row],[District]],Gears!$A$6:$A$39,0),MATCH('Calculated table'!N$4,Gears!$C$5:$N$5,0))</f>
        <v>0</v>
      </c>
    </row>
    <row r="36" spans="2:14" x14ac:dyDescent="0.2">
      <c r="B36" s="65" t="s">
        <v>430</v>
      </c>
      <c r="C36" s="64">
        <f>INDEX(Gears!$C$6:$N$39,MATCH(Table11[[#This Row],[District]],Gears!$A$6:$A$39,0),MATCH('Calculated table'!C$4,Gears!$C$5:$N$5,0))</f>
        <v>6</v>
      </c>
      <c r="D36" s="64">
        <f>INDEX(Gears!$C$6:$N$39,MATCH(Table11[[#This Row],[District]],Gears!$A$6:$A$39,0),MATCH('Calculated table'!D$4,Gears!$C$5:$N$5,0))</f>
        <v>6</v>
      </c>
      <c r="E36" s="64">
        <f>INDEX(Gears!$C$6:$N$39,MATCH(Table11[[#This Row],[District]],Gears!$A$6:$A$39,0),MATCH('Calculated table'!E$4,Gears!$C$5:$N$5,0))</f>
        <v>1</v>
      </c>
      <c r="F36" s="64">
        <f>INDEX(Gears!$C$6:$N$39,MATCH(Table11[[#This Row],[District]],Gears!$A$6:$A$39,0),MATCH('Calculated table'!F$4,Gears!$C$5:$N$5,0))</f>
        <v>1</v>
      </c>
      <c r="G36" s="64">
        <f>INDEX(Gears!$C$6:$N$39,MATCH(Table11[[#This Row],[District]],Gears!$A$6:$A$39,0),MATCH('Calculated table'!G$4,Gears!$C$5:$N$5,0))</f>
        <v>4</v>
      </c>
      <c r="H36" s="64">
        <f>INDEX(Gears!$C$6:$N$39,MATCH(Table11[[#This Row],[District]],Gears!$A$6:$A$39,0),MATCH('Calculated table'!H$4,Gears!$C$5:$N$5,0))</f>
        <v>2</v>
      </c>
      <c r="I36" s="64">
        <f>INDEX(Gears!$C$6:$N$39,MATCH(Table11[[#This Row],[District]],Gears!$A$6:$A$39,0),MATCH('Calculated table'!I$4,Gears!$C$5:$N$5,0))</f>
        <v>6</v>
      </c>
      <c r="J36" s="64">
        <f>INDEX(Gears!$C$6:$N$39,MATCH(Table11[[#This Row],[District]],Gears!$A$6:$A$39,0),MATCH('Calculated table'!J$4,Gears!$C$5:$N$5,0))</f>
        <v>0</v>
      </c>
      <c r="K36" s="64">
        <f>INDEX(Gears!$C$6:$N$39,MATCH(Table11[[#This Row],[District]],Gears!$A$6:$A$39,0),MATCH('Calculated table'!K$4,Gears!$C$5:$N$5,0))</f>
        <v>1</v>
      </c>
      <c r="L36" s="64">
        <f>INDEX(Gears!$C$6:$N$39,MATCH(Table11[[#This Row],[District]],Gears!$A$6:$A$39,0),MATCH('Calculated table'!L$4,Gears!$C$5:$N$5,0))</f>
        <v>3</v>
      </c>
      <c r="M36" s="64">
        <f>INDEX(Gears!$C$6:$N$39,MATCH(Table11[[#This Row],[District]],Gears!$A$6:$A$39,0),MATCH('Calculated table'!M$4,Gears!$C$5:$N$5,0))</f>
        <v>5</v>
      </c>
      <c r="N36" s="64">
        <f>INDEX(Gears!$C$6:$N$39,MATCH(Table11[[#This Row],[District]],Gears!$A$6:$A$39,0),MATCH('Calculated table'!N$4,Gears!$C$5:$N$5,0))</f>
        <v>2</v>
      </c>
    </row>
    <row r="37" spans="2:14" x14ac:dyDescent="0.2">
      <c r="B37" s="65" t="s">
        <v>432</v>
      </c>
      <c r="C37" s="64">
        <f>INDEX(Gears!$C$6:$N$39,MATCH(Table11[[#This Row],[District]],Gears!$A$6:$A$39,0),MATCH('Calculated table'!C$4,Gears!$C$5:$N$5,0))</f>
        <v>7</v>
      </c>
      <c r="D37" s="64">
        <f>INDEX(Gears!$C$6:$N$39,MATCH(Table11[[#This Row],[District]],Gears!$A$6:$A$39,0),MATCH('Calculated table'!D$4,Gears!$C$5:$N$5,0))</f>
        <v>6</v>
      </c>
      <c r="E37" s="64">
        <f>INDEX(Gears!$C$6:$N$39,MATCH(Table11[[#This Row],[District]],Gears!$A$6:$A$39,0),MATCH('Calculated table'!E$4,Gears!$C$5:$N$5,0))</f>
        <v>1</v>
      </c>
      <c r="F37" s="64">
        <f>INDEX(Gears!$C$6:$N$39,MATCH(Table11[[#This Row],[District]],Gears!$A$6:$A$39,0),MATCH('Calculated table'!F$4,Gears!$C$5:$N$5,0))</f>
        <v>1</v>
      </c>
      <c r="G37" s="64">
        <f>INDEX(Gears!$C$6:$N$39,MATCH(Table11[[#This Row],[District]],Gears!$A$6:$A$39,0),MATCH('Calculated table'!G$4,Gears!$C$5:$N$5,0))</f>
        <v>4</v>
      </c>
      <c r="H37" s="64">
        <f>INDEX(Gears!$C$6:$N$39,MATCH(Table11[[#This Row],[District]],Gears!$A$6:$A$39,0),MATCH('Calculated table'!H$4,Gears!$C$5:$N$5,0))</f>
        <v>2</v>
      </c>
      <c r="I37" s="64">
        <f>INDEX(Gears!$C$6:$N$39,MATCH(Table11[[#This Row],[District]],Gears!$A$6:$A$39,0),MATCH('Calculated table'!I$4,Gears!$C$5:$N$5,0))</f>
        <v>6</v>
      </c>
      <c r="J37" s="64">
        <f>INDEX(Gears!$C$6:$N$39,MATCH(Table11[[#This Row],[District]],Gears!$A$6:$A$39,0),MATCH('Calculated table'!J$4,Gears!$C$5:$N$5,0))</f>
        <v>0</v>
      </c>
      <c r="K37" s="64">
        <f>INDEX(Gears!$C$6:$N$39,MATCH(Table11[[#This Row],[District]],Gears!$A$6:$A$39,0),MATCH('Calculated table'!K$4,Gears!$C$5:$N$5,0))</f>
        <v>1</v>
      </c>
      <c r="L37" s="64">
        <f>INDEX(Gears!$C$6:$N$39,MATCH(Table11[[#This Row],[District]],Gears!$A$6:$A$39,0),MATCH('Calculated table'!L$4,Gears!$C$5:$N$5,0))</f>
        <v>2</v>
      </c>
      <c r="M37" s="64">
        <f>INDEX(Gears!$C$6:$N$39,MATCH(Table11[[#This Row],[District]],Gears!$A$6:$A$39,0),MATCH('Calculated table'!M$4,Gears!$C$5:$N$5,0))</f>
        <v>6</v>
      </c>
      <c r="N37" s="64">
        <f>INDEX(Gears!$C$6:$N$39,MATCH(Table11[[#This Row],[District]],Gears!$A$6:$A$39,0),MATCH('Calculated table'!N$4,Gears!$C$5:$N$5,0))</f>
        <v>2</v>
      </c>
    </row>
    <row r="38" spans="2:14" x14ac:dyDescent="0.2">
      <c r="B38" s="65" t="s">
        <v>434</v>
      </c>
      <c r="C38" s="64">
        <f>INDEX(Gears!$C$6:$N$39,MATCH(Table11[[#This Row],[District]],Gears!$A$6:$A$39,0),MATCH('Calculated table'!C$4,Gears!$C$5:$N$5,0))</f>
        <v>5</v>
      </c>
      <c r="D38" s="64">
        <f>INDEX(Gears!$C$6:$N$39,MATCH(Table11[[#This Row],[District]],Gears!$A$6:$A$39,0),MATCH('Calculated table'!D$4,Gears!$C$5:$N$5,0))</f>
        <v>6</v>
      </c>
      <c r="E38" s="64">
        <f>INDEX(Gears!$C$6:$N$39,MATCH(Table11[[#This Row],[District]],Gears!$A$6:$A$39,0),MATCH('Calculated table'!E$4,Gears!$C$5:$N$5,0))</f>
        <v>1</v>
      </c>
      <c r="F38" s="64">
        <f>INDEX(Gears!$C$6:$N$39,MATCH(Table11[[#This Row],[District]],Gears!$A$6:$A$39,0),MATCH('Calculated table'!F$4,Gears!$C$5:$N$5,0))</f>
        <v>1</v>
      </c>
      <c r="G38" s="64">
        <f>INDEX(Gears!$C$6:$N$39,MATCH(Table11[[#This Row],[District]],Gears!$A$6:$A$39,0),MATCH('Calculated table'!G$4,Gears!$C$5:$N$5,0))</f>
        <v>3</v>
      </c>
      <c r="H38" s="64">
        <f>INDEX(Gears!$C$6:$N$39,MATCH(Table11[[#This Row],[District]],Gears!$A$6:$A$39,0),MATCH('Calculated table'!H$4,Gears!$C$5:$N$5,0))</f>
        <v>0</v>
      </c>
      <c r="I38" s="64">
        <f>INDEX(Gears!$C$6:$N$39,MATCH(Table11[[#This Row],[District]],Gears!$A$6:$A$39,0),MATCH('Calculated table'!I$4,Gears!$C$5:$N$5,0))</f>
        <v>2</v>
      </c>
      <c r="J38" s="64">
        <f>INDEX(Gears!$C$6:$N$39,MATCH(Table11[[#This Row],[District]],Gears!$A$6:$A$39,0),MATCH('Calculated table'!J$4,Gears!$C$5:$N$5,0))</f>
        <v>0</v>
      </c>
      <c r="K38" s="64">
        <f>INDEX(Gears!$C$6:$N$39,MATCH(Table11[[#This Row],[District]],Gears!$A$6:$A$39,0),MATCH('Calculated table'!K$4,Gears!$C$5:$N$5,0))</f>
        <v>0</v>
      </c>
      <c r="L38" s="64">
        <f>INDEX(Gears!$C$6:$N$39,MATCH(Table11[[#This Row],[District]],Gears!$A$6:$A$39,0),MATCH('Calculated table'!L$4,Gears!$C$5:$N$5,0))</f>
        <v>2</v>
      </c>
      <c r="M38" s="64">
        <f>INDEX(Gears!$C$6:$N$39,MATCH(Table11[[#This Row],[District]],Gears!$A$6:$A$39,0),MATCH('Calculated table'!M$4,Gears!$C$5:$N$5,0))</f>
        <v>3</v>
      </c>
      <c r="N38" s="64">
        <f>INDEX(Gears!$C$6:$N$39,MATCH(Table11[[#This Row],[District]],Gears!$A$6:$A$39,0),MATCH('Calculated table'!N$4,Gears!$C$5:$N$5,0))</f>
        <v>0</v>
      </c>
    </row>
    <row r="39" spans="2:14" x14ac:dyDescent="0.2">
      <c r="C39"/>
      <c r="N39" s="10"/>
    </row>
    <row r="40" spans="2:14" x14ac:dyDescent="0.2">
      <c r="C40"/>
      <c r="N40" s="10"/>
    </row>
    <row r="41" spans="2:14" x14ac:dyDescent="0.2">
      <c r="C41"/>
    </row>
    <row r="42" spans="2:14" x14ac:dyDescent="0.2">
      <c r="C42"/>
    </row>
    <row r="43" spans="2:14" x14ac:dyDescent="0.2">
      <c r="C43"/>
    </row>
    <row r="44" spans="2:14" x14ac:dyDescent="0.2">
      <c r="C44"/>
    </row>
    <row r="45" spans="2:14" x14ac:dyDescent="0.2">
      <c r="C45"/>
    </row>
    <row r="46" spans="2:14" x14ac:dyDescent="0.2">
      <c r="C46"/>
    </row>
    <row r="47" spans="2:14" x14ac:dyDescent="0.2">
      <c r="C47"/>
    </row>
    <row r="48" spans="2:14" x14ac:dyDescent="0.2">
      <c r="C48"/>
    </row>
    <row r="49" spans="3:3" x14ac:dyDescent="0.2">
      <c r="C49"/>
    </row>
    <row r="50" spans="3:3" x14ac:dyDescent="0.2">
      <c r="C50"/>
    </row>
  </sheetData>
  <mergeCells count="1">
    <mergeCell ref="B1:K1"/>
  </mergeCells>
  <conditionalFormatting sqref="C5:N38">
    <cfRule type="expression" dxfId="83" priority="44" stopIfTrue="1">
      <formula>C5=0</formula>
    </cfRule>
  </conditionalFormatting>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 stopIfTrue="1" id="{6980845B-D63F-4422-BD4A-A3559462B93D}">
            <xm:f>C5&lt;=Gears!$W$6</xm:f>
            <x14:dxf>
              <fill>
                <patternFill patternType="solid">
                  <fgColor theme="0"/>
                  <bgColor rgb="FFC7D6EE"/>
                </patternFill>
              </fill>
            </x14:dxf>
          </x14:cfRule>
          <x14:cfRule type="expression" priority="46" stopIfTrue="1" id="{20DD24CF-AD09-4350-9F18-77A09831C1B3}">
            <xm:f>C5&lt;=Gears!$W$7</xm:f>
            <x14:dxf>
              <fill>
                <patternFill patternType="solid">
                  <fgColor theme="0"/>
                  <bgColor rgb="FF95B6DF"/>
                </patternFill>
              </fill>
            </x14:dxf>
          </x14:cfRule>
          <x14:cfRule type="expression" priority="47" stopIfTrue="1" id="{51B29447-54F6-46A8-B945-AE07D50DDA50}">
            <xm:f>C5&lt;=Gears!$W$8</xm:f>
            <x14:dxf>
              <font>
                <color theme="0"/>
              </font>
              <fill>
                <patternFill patternType="solid">
                  <fgColor theme="0"/>
                  <bgColor rgb="FF659AD2"/>
                </patternFill>
              </fill>
            </x14:dxf>
          </x14:cfRule>
          <x14:cfRule type="expression" priority="48" stopIfTrue="1" id="{5D100164-C1B7-4BEA-BE2C-BCF114CB126F}">
            <xm:f>C5&lt;=Gears!$W$9</xm:f>
            <x14:dxf>
              <font>
                <color theme="0"/>
              </font>
              <fill>
                <patternFill patternType="solid">
                  <fgColor theme="0"/>
                  <bgColor rgb="FF026CB6"/>
                </patternFill>
              </fill>
            </x14:dxf>
          </x14:cfRule>
          <x14:cfRule type="expression" priority="49" stopIfTrue="1" id="{CB754EC5-501C-42DD-A3D9-9D526092ECCE}">
            <xm:f>C5&lt;=Gears!$W$10</xm:f>
            <x14:dxf>
              <font>
                <color theme="0"/>
              </font>
              <fill>
                <patternFill patternType="solid">
                  <fgColor theme="0"/>
                  <bgColor rgb="FF003469"/>
                </patternFill>
              </fill>
            </x14:dxf>
          </x14:cfRule>
          <xm:sqref>C5:N38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200">
    <tabColor theme="3" tint="-0.249977111117893"/>
  </sheetPr>
  <dimension ref="A1:R819"/>
  <sheetViews>
    <sheetView showGridLines="0" workbookViewId="0">
      <pane ySplit="5" topLeftCell="A756" activePane="bottomLeft" state="frozen"/>
      <selection pane="bottomLeft" activeCell="G5" sqref="G5"/>
    </sheetView>
  </sheetViews>
  <sheetFormatPr baseColWidth="10" defaultColWidth="0" defaultRowHeight="12.75" x14ac:dyDescent="0.2"/>
  <cols>
    <col min="1" max="1" width="2.28515625" customWidth="1"/>
    <col min="2" max="2" width="16.5703125" customWidth="1"/>
    <col min="3" max="3" width="33.5703125" customWidth="1"/>
    <col min="4" max="4" width="17.7109375" customWidth="1"/>
    <col min="5" max="5" width="26.5703125" customWidth="1"/>
    <col min="6" max="6" width="21.7109375" customWidth="1"/>
    <col min="7" max="7" width="20" customWidth="1"/>
    <col min="8" max="8" width="15.42578125" customWidth="1"/>
    <col min="9" max="9" width="16.140625" customWidth="1"/>
    <col min="10" max="10" width="16" hidden="1" customWidth="1"/>
    <col min="11" max="11" width="14.28515625" customWidth="1"/>
    <col min="12" max="12" width="17.85546875" hidden="1" customWidth="1"/>
    <col min="13" max="18" width="11.28515625" hidden="1" customWidth="1"/>
    <col min="19" max="16384" width="9.140625" hidden="1"/>
  </cols>
  <sheetData>
    <row r="1" spans="1:18" s="1" customFormat="1" ht="31.5" customHeight="1" x14ac:dyDescent="0.35">
      <c r="B1" s="118" t="s">
        <v>54</v>
      </c>
      <c r="C1" s="118"/>
      <c r="D1" s="118"/>
      <c r="E1" s="118"/>
      <c r="F1" s="118"/>
      <c r="G1" s="118"/>
      <c r="J1"/>
      <c r="L1" s="63" t="s">
        <v>52</v>
      </c>
      <c r="M1" s="63"/>
      <c r="N1" s="63"/>
      <c r="O1" s="63"/>
      <c r="P1" s="63"/>
      <c r="Q1" s="63"/>
      <c r="R1" s="63"/>
    </row>
    <row r="2" spans="1:18" s="1" customFormat="1" ht="18.75" customHeight="1" x14ac:dyDescent="0.2">
      <c r="B2" s="14"/>
      <c r="C2"/>
      <c r="D2" s="13"/>
      <c r="E2" s="13"/>
      <c r="F2" s="13"/>
      <c r="G2" s="13"/>
      <c r="J2"/>
    </row>
    <row r="3" spans="1:18" s="1" customFormat="1" ht="31.5" customHeight="1" thickBot="1" x14ac:dyDescent="0.25">
      <c r="B3" s="104">
        <f>COUNTBLANK(Main3WData[Acronym])</f>
        <v>0</v>
      </c>
      <c r="C3" s="119" t="s">
        <v>339</v>
      </c>
      <c r="D3" s="120"/>
      <c r="E3" s="103">
        <f>COUNTBLANK(Main3WData[Sector])</f>
        <v>0</v>
      </c>
      <c r="F3" s="103">
        <f>COUNTBLANK(Main3WData[Activity Type])</f>
        <v>0</v>
      </c>
      <c r="G3" s="103">
        <f>COUNTBLANK(Main3WData[Admin Unit Name])</f>
        <v>0</v>
      </c>
      <c r="H3" s="102"/>
      <c r="I3" s="103">
        <f>COUNTBLANK(Main3WData[Beneficiaries])</f>
        <v>0</v>
      </c>
      <c r="J3"/>
    </row>
    <row r="4" spans="1:18" s="1" customFormat="1" ht="39.75" customHeight="1" thickTop="1" x14ac:dyDescent="0.2">
      <c r="B4" s="29" t="s">
        <v>0</v>
      </c>
      <c r="C4" s="29" t="s">
        <v>1</v>
      </c>
      <c r="D4" s="11" t="s">
        <v>19</v>
      </c>
      <c r="E4" s="12" t="s">
        <v>5</v>
      </c>
      <c r="F4" s="12" t="s">
        <v>11</v>
      </c>
      <c r="G4" s="12" t="s">
        <v>20</v>
      </c>
      <c r="H4" s="12" t="s">
        <v>9</v>
      </c>
      <c r="I4" s="12" t="s">
        <v>41</v>
      </c>
      <c r="J4" s="12" t="s">
        <v>42</v>
      </c>
      <c r="K4" s="58" t="s">
        <v>43</v>
      </c>
      <c r="L4" s="58" t="s">
        <v>45</v>
      </c>
      <c r="M4" s="58" t="s">
        <v>44</v>
      </c>
      <c r="N4" s="58" t="s">
        <v>46</v>
      </c>
      <c r="O4" s="58" t="s">
        <v>47</v>
      </c>
      <c r="P4" s="58" t="s">
        <v>48</v>
      </c>
      <c r="Q4" s="58" t="s">
        <v>49</v>
      </c>
      <c r="R4" s="58" t="s">
        <v>50</v>
      </c>
    </row>
    <row r="5" spans="1:18" s="1" customFormat="1" ht="18" customHeight="1" x14ac:dyDescent="0.2">
      <c r="A5" s="25"/>
      <c r="B5" s="66" t="s">
        <v>477</v>
      </c>
      <c r="C5" s="27" t="str">
        <f>INDEX(Organizations[],MATCH(Main3WData[[#This Row],[Acronym]],AcronymList,0),1)</f>
        <v>United States Agency for International Development</v>
      </c>
      <c r="D5" s="27" t="str">
        <f>INDEX(Organizations[],MATCH(Main3WData[[#This Row],[Acronym]],AcronymList,0),3)</f>
        <v>Donors</v>
      </c>
      <c r="E5" s="53" t="s">
        <v>350</v>
      </c>
      <c r="F5" s="53" t="s">
        <v>82</v>
      </c>
      <c r="G5" s="53" t="s">
        <v>424</v>
      </c>
      <c r="H5" s="28" t="str">
        <f>VLOOKUP(Main3WData[[#This Row],[Admin Unit Name]],AdminUnits[],2,FALSE)</f>
        <v>GIN008001</v>
      </c>
      <c r="I5" s="57">
        <v>0</v>
      </c>
      <c r="J5" s="56" t="str">
        <f>Main3WData[[#This Row],[Acronym]]&amp;Main3WData[[#This Row],[Sector]]&amp;Main3WData[[#This Row],[Activity Type]]&amp;Main3WData[[#This Row],[Pcode]]</f>
        <v>USAIDCommunication/Mobilisation socialeOngoingGIN008001</v>
      </c>
      <c r="K5" s="69">
        <f>COUNTIF(Main3WData[Concatenate],Main3WData[[#This Row],[Concatenate]])</f>
        <v>1</v>
      </c>
      <c r="L5" s="61" t="str">
        <f>Main3WData[[#This Row],[Sector]]&amp;Main3WData[[#This Row],[Pcode]]</f>
        <v>Communication/Mobilisation socialeGIN008001</v>
      </c>
      <c r="M5" s="71">
        <f>COUNTIF($L$5:L5,Main3WData[[#This Row],[PT.Concat]])</f>
        <v>1</v>
      </c>
      <c r="N5" s="70">
        <f>MATCH(Main3WData[[#This Row],[PT.Concat]],$L$5:L5,0)</f>
        <v>1</v>
      </c>
      <c r="O5" s="62" t="b">
        <f>Main3WData[[#This Row],[Count PT.Concat]]=1</f>
        <v>1</v>
      </c>
      <c r="P5" s="62">
        <f t="array" ref="P5">MAX(($N$4:N4=Main3WData[[#This Row],[PT.ID]])*ROW($N$4:N4))</f>
        <v>0</v>
      </c>
      <c r="Q5" s="62" t="str">
        <f>IF(Main3WData[[#This Row],[PT.FirstID]],Main3WData[[#This Row],[Acronym]],INDEX($Q$4:Q4,Main3WData[[#This Row],[PT.LastID.Row]]-ROW($Q$4)+1) &amp; ", "&amp;Main3WData[[#This Row],[Acronym]])</f>
        <v>USAID</v>
      </c>
      <c r="R5" s="62" t="b">
        <f t="array" ref="R5">MAX(IF(Main3WData[PT.ID]=Main3WData[[#This Row],[PT.ID]],Main3WData[PT.LastID.Row]))=Main3WData[[#This Row],[PT.LastID.Row]]</f>
        <v>0</v>
      </c>
    </row>
    <row r="6" spans="1:18" s="1" customFormat="1" ht="16.5" customHeight="1" x14ac:dyDescent="0.2">
      <c r="B6" s="55" t="s">
        <v>77</v>
      </c>
      <c r="C6" s="27" t="str">
        <f>INDEX(Organizations[],MATCH(Main3WData[[#This Row],[Acronym]],AcronymList,0),1)</f>
        <v>United Nations Children's Fund</v>
      </c>
      <c r="D6" s="27" t="str">
        <f>INDEX(Organizations[],MATCH(Main3WData[[#This Row],[Acronym]],AcronymList,0),3)</f>
        <v>UN Agency</v>
      </c>
      <c r="E6" s="54" t="s">
        <v>350</v>
      </c>
      <c r="F6" s="53" t="s">
        <v>82</v>
      </c>
      <c r="G6" s="54" t="s">
        <v>424</v>
      </c>
      <c r="H6" s="28" t="str">
        <f>VLOOKUP(Main3WData[[#This Row],[Admin Unit Name]],AdminUnits[],2,FALSE)</f>
        <v>GIN008001</v>
      </c>
      <c r="I6" s="57">
        <v>0</v>
      </c>
      <c r="J6" s="67" t="str">
        <f>Main3WData[[#This Row],[Acronym]]&amp;Main3WData[[#This Row],[Sector]]&amp;Main3WData[[#This Row],[Activity Type]]&amp;Main3WData[[#This Row],[Pcode]]</f>
        <v>UNICEFCommunication/Mobilisation socialeOngoingGIN008001</v>
      </c>
      <c r="K6" s="69">
        <f>COUNTIF(Main3WData[Concatenate],Main3WData[[#This Row],[Concatenate]])</f>
        <v>1</v>
      </c>
      <c r="L6" s="61" t="str">
        <f>Main3WData[[#This Row],[Sector]]&amp;Main3WData[[#This Row],[Pcode]]</f>
        <v>Communication/Mobilisation socialeGIN008001</v>
      </c>
      <c r="M6" s="71">
        <f>COUNTIF($L$5:L6,Main3WData[[#This Row],[PT.Concat]])</f>
        <v>2</v>
      </c>
      <c r="N6" s="70">
        <f>MATCH(Main3WData[[#This Row],[PT.Concat]],$L$5:L6,0)</f>
        <v>1</v>
      </c>
      <c r="O6" s="62" t="b">
        <f>Main3WData[[#This Row],[Count PT.Concat]]=1</f>
        <v>0</v>
      </c>
      <c r="P6" s="62">
        <f t="array" ref="P6">MAX(($N$4:N5=Main3WData[[#This Row],[PT.ID]])*ROW($N$4:N5))</f>
        <v>5</v>
      </c>
      <c r="Q6" s="62" t="str">
        <f>IF(Main3WData[[#This Row],[PT.FirstID]],Main3WData[[#This Row],[Acronym]],INDEX($Q$4:Q5,Main3WData[[#This Row],[PT.LastID.Row]]-ROW($Q$4)+1) &amp; ", "&amp;Main3WData[[#This Row],[Acronym]])</f>
        <v>USAID, UNICEF</v>
      </c>
      <c r="R6" s="62" t="b">
        <f t="array" ref="R6">MAX(IF(Main3WData[PT.ID]=Main3WData[[#This Row],[PT.ID]],Main3WData[PT.LastID.Row]))=Main3WData[[#This Row],[PT.LastID.Row]]</f>
        <v>0</v>
      </c>
    </row>
    <row r="7" spans="1:18" s="1" customFormat="1" ht="16.5" customHeight="1" x14ac:dyDescent="0.2">
      <c r="B7" s="55" t="s">
        <v>75</v>
      </c>
      <c r="C7" s="27" t="str">
        <f>INDEX(Organizations[],MATCH(Main3WData[[#This Row],[Acronym]],AcronymList,0),1)</f>
        <v>United Nations Population Fund</v>
      </c>
      <c r="D7" s="27" t="str">
        <f>INDEX(Organizations[],MATCH(Main3WData[[#This Row],[Acronym]],AcronymList,0),3)</f>
        <v>UN Agency</v>
      </c>
      <c r="E7" s="54" t="s">
        <v>350</v>
      </c>
      <c r="F7" s="53" t="s">
        <v>82</v>
      </c>
      <c r="G7" s="54" t="s">
        <v>424</v>
      </c>
      <c r="H7" s="28" t="str">
        <f>VLOOKUP(Main3WData[[#This Row],[Admin Unit Name]],AdminUnits[],2,FALSE)</f>
        <v>GIN008001</v>
      </c>
      <c r="I7" s="57">
        <v>0</v>
      </c>
      <c r="J7" s="67" t="str">
        <f>Main3WData[[#This Row],[Acronym]]&amp;Main3WData[[#This Row],[Sector]]&amp;Main3WData[[#This Row],[Activity Type]]&amp;Main3WData[[#This Row],[Pcode]]</f>
        <v>UNFPACommunication/Mobilisation socialeOngoingGIN008001</v>
      </c>
      <c r="K7" s="69">
        <f>COUNTIF(Main3WData[Concatenate],Main3WData[[#This Row],[Concatenate]])</f>
        <v>1</v>
      </c>
      <c r="L7" s="61" t="str">
        <f>Main3WData[[#This Row],[Sector]]&amp;Main3WData[[#This Row],[Pcode]]</f>
        <v>Communication/Mobilisation socialeGIN008001</v>
      </c>
      <c r="M7" s="71">
        <f>COUNTIF($L$5:L7,Main3WData[[#This Row],[PT.Concat]])</f>
        <v>3</v>
      </c>
      <c r="N7" s="70">
        <f>MATCH(Main3WData[[#This Row],[PT.Concat]],$L$5:L7,0)</f>
        <v>1</v>
      </c>
      <c r="O7" s="62" t="b">
        <f>Main3WData[[#This Row],[Count PT.Concat]]=1</f>
        <v>0</v>
      </c>
      <c r="P7" s="62">
        <f t="array" ref="P7">MAX(($N$4:N6=Main3WData[[#This Row],[PT.ID]])*ROW($N$4:N6))</f>
        <v>6</v>
      </c>
      <c r="Q7" s="62" t="str">
        <f>IF(Main3WData[[#This Row],[PT.FirstID]],Main3WData[[#This Row],[Acronym]],INDEX($Q$4:Q6,Main3WData[[#This Row],[PT.LastID.Row]]-ROW($Q$4)+1) &amp; ", "&amp;Main3WData[[#This Row],[Acronym]])</f>
        <v>USAID, UNICEF, UNFPA</v>
      </c>
      <c r="R7" s="62" t="b">
        <f t="array" ref="R7">MAX(IF(Main3WData[PT.ID]=Main3WData[[#This Row],[PT.ID]],Main3WData[PT.LastID.Row]))=Main3WData[[#This Row],[PT.LastID.Row]]</f>
        <v>0</v>
      </c>
    </row>
    <row r="8" spans="1:18" s="1" customFormat="1" ht="16.5" customHeight="1" x14ac:dyDescent="0.2">
      <c r="B8" s="55" t="s">
        <v>473</v>
      </c>
      <c r="C8" s="27" t="str">
        <f>INDEX(Organizations[],MATCH(Main3WData[[#This Row],[Acronym]],AcronymList,0),1)</f>
        <v>United Nations Development Programme</v>
      </c>
      <c r="D8" s="27" t="str">
        <f>INDEX(Organizations[],MATCH(Main3WData[[#This Row],[Acronym]],AcronymList,0),3)</f>
        <v>UN Agency</v>
      </c>
      <c r="E8" s="54" t="s">
        <v>350</v>
      </c>
      <c r="F8" s="53" t="s">
        <v>82</v>
      </c>
      <c r="G8" s="54" t="s">
        <v>424</v>
      </c>
      <c r="H8" s="28" t="str">
        <f>VLOOKUP(Main3WData[[#This Row],[Admin Unit Name]],AdminUnits[],2,FALSE)</f>
        <v>GIN008001</v>
      </c>
      <c r="I8" s="57">
        <v>0</v>
      </c>
      <c r="J8" s="67" t="str">
        <f>Main3WData[[#This Row],[Acronym]]&amp;Main3WData[[#This Row],[Sector]]&amp;Main3WData[[#This Row],[Activity Type]]&amp;Main3WData[[#This Row],[Pcode]]</f>
        <v>UNDPCommunication/Mobilisation socialeOngoingGIN008001</v>
      </c>
      <c r="K8" s="69">
        <f>COUNTIF(Main3WData[Concatenate],Main3WData[[#This Row],[Concatenate]])</f>
        <v>1</v>
      </c>
      <c r="L8" s="61" t="str">
        <f>Main3WData[[#This Row],[Sector]]&amp;Main3WData[[#This Row],[Pcode]]</f>
        <v>Communication/Mobilisation socialeGIN008001</v>
      </c>
      <c r="M8" s="71">
        <f>COUNTIF($L$5:L8,Main3WData[[#This Row],[PT.Concat]])</f>
        <v>4</v>
      </c>
      <c r="N8" s="70">
        <f>MATCH(Main3WData[[#This Row],[PT.Concat]],$L$5:L8,0)</f>
        <v>1</v>
      </c>
      <c r="O8" s="62" t="b">
        <f>Main3WData[[#This Row],[Count PT.Concat]]=1</f>
        <v>0</v>
      </c>
      <c r="P8" s="62">
        <f t="array" ref="P8">MAX(($N$4:N7=Main3WData[[#This Row],[PT.ID]])*ROW($N$4:N7))</f>
        <v>7</v>
      </c>
      <c r="Q8" s="62" t="str">
        <f>IF(Main3WData[[#This Row],[PT.FirstID]],Main3WData[[#This Row],[Acronym]],INDEX($Q$4:Q7,Main3WData[[#This Row],[PT.LastID.Row]]-ROW($Q$4)+1) &amp; ", "&amp;Main3WData[[#This Row],[Acronym]])</f>
        <v>USAID, UNICEF, UNFPA, UNDP</v>
      </c>
      <c r="R8" s="62" t="b">
        <f t="array" ref="R8">MAX(IF(Main3WData[PT.ID]=Main3WData[[#This Row],[PT.ID]],Main3WData[PT.LastID.Row]))=Main3WData[[#This Row],[PT.LastID.Row]]</f>
        <v>0</v>
      </c>
    </row>
    <row r="9" spans="1:18" s="1" customFormat="1" ht="16.5" customHeight="1" x14ac:dyDescent="0.2">
      <c r="B9" s="55" t="s">
        <v>522</v>
      </c>
      <c r="C9" s="27" t="str">
        <f>INDEX(Organizations[],MATCH(Main3WData[[#This Row],[Acronym]],AcronymList,0),1)</f>
        <v>Save the Children</v>
      </c>
      <c r="D9" s="27" t="str">
        <f>INDEX(Organizations[],MATCH(Main3WData[[#This Row],[Acronym]],AcronymList,0),3)</f>
        <v>International NGO</v>
      </c>
      <c r="E9" s="54" t="s">
        <v>350</v>
      </c>
      <c r="F9" s="53" t="s">
        <v>82</v>
      </c>
      <c r="G9" s="54" t="s">
        <v>424</v>
      </c>
      <c r="H9" s="28" t="str">
        <f>VLOOKUP(Main3WData[[#This Row],[Admin Unit Name]],AdminUnits[],2,FALSE)</f>
        <v>GIN008001</v>
      </c>
      <c r="I9" s="57">
        <v>0</v>
      </c>
      <c r="J9" s="67" t="str">
        <f>Main3WData[[#This Row],[Acronym]]&amp;Main3WData[[#This Row],[Sector]]&amp;Main3WData[[#This Row],[Activity Type]]&amp;Main3WData[[#This Row],[Pcode]]</f>
        <v>SAVE THE CHILDRENCommunication/Mobilisation socialeOngoingGIN008001</v>
      </c>
      <c r="K9" s="69">
        <f>COUNTIF(Main3WData[Concatenate],Main3WData[[#This Row],[Concatenate]])</f>
        <v>1</v>
      </c>
      <c r="L9" s="61" t="str">
        <f>Main3WData[[#This Row],[Sector]]&amp;Main3WData[[#This Row],[Pcode]]</f>
        <v>Communication/Mobilisation socialeGIN008001</v>
      </c>
      <c r="M9" s="71">
        <f>COUNTIF($L$5:L9,Main3WData[[#This Row],[PT.Concat]])</f>
        <v>5</v>
      </c>
      <c r="N9" s="70">
        <f>MATCH(Main3WData[[#This Row],[PT.Concat]],$L$5:L9,0)</f>
        <v>1</v>
      </c>
      <c r="O9" s="62" t="b">
        <f>Main3WData[[#This Row],[Count PT.Concat]]=1</f>
        <v>0</v>
      </c>
      <c r="P9" s="62">
        <f t="array" ref="P9">MAX(($N$4:N8=Main3WData[[#This Row],[PT.ID]])*ROW($N$4:N8))</f>
        <v>8</v>
      </c>
      <c r="Q9" s="62" t="str">
        <f>IF(Main3WData[[#This Row],[PT.FirstID]],Main3WData[[#This Row],[Acronym]],INDEX($Q$4:Q8,Main3WData[[#This Row],[PT.LastID.Row]]-ROW($Q$4)+1) &amp; ", "&amp;Main3WData[[#This Row],[Acronym]])</f>
        <v>USAID, UNICEF, UNFPA, UNDP, SAVE THE CHILDREN</v>
      </c>
      <c r="R9" s="62" t="b">
        <f t="array" ref="R9">MAX(IF(Main3WData[PT.ID]=Main3WData[[#This Row],[PT.ID]],Main3WData[PT.LastID.Row]))=Main3WData[[#This Row],[PT.LastID.Row]]</f>
        <v>0</v>
      </c>
    </row>
    <row r="10" spans="1:18" s="1" customFormat="1" ht="16.5" customHeight="1" x14ac:dyDescent="0.2">
      <c r="B10" s="55" t="s">
        <v>72</v>
      </c>
      <c r="C10" s="27" t="str">
        <f>INDEX(Organizations[],MATCH(Main3WData[[#This Row],[Acronym]],AcronymList,0),1)</f>
        <v>PLAN</v>
      </c>
      <c r="D10" s="27" t="str">
        <f>INDEX(Organizations[],MATCH(Main3WData[[#This Row],[Acronym]],AcronymList,0),3)</f>
        <v>International Organization</v>
      </c>
      <c r="E10" s="54" t="s">
        <v>350</v>
      </c>
      <c r="F10" s="53" t="s">
        <v>82</v>
      </c>
      <c r="G10" s="54" t="s">
        <v>424</v>
      </c>
      <c r="H10" s="28" t="str">
        <f>VLOOKUP(Main3WData[[#This Row],[Admin Unit Name]],AdminUnits[],2,FALSE)</f>
        <v>GIN008001</v>
      </c>
      <c r="I10" s="57">
        <v>0</v>
      </c>
      <c r="J10" s="67" t="str">
        <f>Main3WData[[#This Row],[Acronym]]&amp;Main3WData[[#This Row],[Sector]]&amp;Main3WData[[#This Row],[Activity Type]]&amp;Main3WData[[#This Row],[Pcode]]</f>
        <v>PLANCommunication/Mobilisation socialeOngoingGIN008001</v>
      </c>
      <c r="K10" s="69">
        <f>COUNTIF(Main3WData[Concatenate],Main3WData[[#This Row],[Concatenate]])</f>
        <v>1</v>
      </c>
      <c r="L10" s="61" t="str">
        <f>Main3WData[[#This Row],[Sector]]&amp;Main3WData[[#This Row],[Pcode]]</f>
        <v>Communication/Mobilisation socialeGIN008001</v>
      </c>
      <c r="M10" s="71">
        <f>COUNTIF($L$5:L10,Main3WData[[#This Row],[PT.Concat]])</f>
        <v>6</v>
      </c>
      <c r="N10" s="70">
        <f>MATCH(Main3WData[[#This Row],[PT.Concat]],$L$5:L10,0)</f>
        <v>1</v>
      </c>
      <c r="O10" s="62" t="b">
        <f>Main3WData[[#This Row],[Count PT.Concat]]=1</f>
        <v>0</v>
      </c>
      <c r="P10" s="62">
        <f t="array" ref="P10">MAX(($N$4:N9=Main3WData[[#This Row],[PT.ID]])*ROW($N$4:N9))</f>
        <v>9</v>
      </c>
      <c r="Q10" s="62" t="str">
        <f>IF(Main3WData[[#This Row],[PT.FirstID]],Main3WData[[#This Row],[Acronym]],INDEX($Q$4:Q9,Main3WData[[#This Row],[PT.LastID.Row]]-ROW($Q$4)+1) &amp; ", "&amp;Main3WData[[#This Row],[Acronym]])</f>
        <v>USAID, UNICEF, UNFPA, UNDP, SAVE THE CHILDREN, PLAN</v>
      </c>
      <c r="R10" s="62" t="b">
        <f t="array" ref="R10">MAX(IF(Main3WData[PT.ID]=Main3WData[[#This Row],[PT.ID]],Main3WData[PT.LastID.Row]))=Main3WData[[#This Row],[PT.LastID.Row]]</f>
        <v>0</v>
      </c>
    </row>
    <row r="11" spans="1:18" s="1" customFormat="1" ht="16.5" customHeight="1" x14ac:dyDescent="0.2">
      <c r="B11" s="55" t="s">
        <v>512</v>
      </c>
      <c r="C11" s="27" t="str">
        <f>INDEX(Organizations[],MATCH(Main3WData[[#This Row],[Acronym]],AcronymList,0),1)</f>
        <v>World Health Organization</v>
      </c>
      <c r="D11" s="27" t="str">
        <f>INDEX(Organizations[],MATCH(Main3WData[[#This Row],[Acronym]],AcronymList,0),3)</f>
        <v>UN Agency</v>
      </c>
      <c r="E11" s="54" t="s">
        <v>350</v>
      </c>
      <c r="F11" s="53" t="s">
        <v>82</v>
      </c>
      <c r="G11" s="54" t="s">
        <v>424</v>
      </c>
      <c r="H11" s="28" t="str">
        <f>VLOOKUP(Main3WData[[#This Row],[Admin Unit Name]],AdminUnits[],2,FALSE)</f>
        <v>GIN008001</v>
      </c>
      <c r="I11" s="57">
        <v>0</v>
      </c>
      <c r="J11" s="67" t="str">
        <f>Main3WData[[#This Row],[Acronym]]&amp;Main3WData[[#This Row],[Sector]]&amp;Main3WData[[#This Row],[Activity Type]]&amp;Main3WData[[#This Row],[Pcode]]</f>
        <v>OMSCommunication/Mobilisation socialeOngoingGIN008001</v>
      </c>
      <c r="K11" s="69">
        <f>COUNTIF(Main3WData[Concatenate],Main3WData[[#This Row],[Concatenate]])</f>
        <v>1</v>
      </c>
      <c r="L11" s="61" t="str">
        <f>Main3WData[[#This Row],[Sector]]&amp;Main3WData[[#This Row],[Pcode]]</f>
        <v>Communication/Mobilisation socialeGIN008001</v>
      </c>
      <c r="M11" s="71">
        <f>COUNTIF($L$5:L11,Main3WData[[#This Row],[PT.Concat]])</f>
        <v>7</v>
      </c>
      <c r="N11" s="70">
        <f>MATCH(Main3WData[[#This Row],[PT.Concat]],$L$5:L11,0)</f>
        <v>1</v>
      </c>
      <c r="O11" s="62" t="b">
        <f>Main3WData[[#This Row],[Count PT.Concat]]=1</f>
        <v>0</v>
      </c>
      <c r="P11" s="62">
        <f t="array" ref="P11">MAX(($N$4:N10=Main3WData[[#This Row],[PT.ID]])*ROW($N$4:N10))</f>
        <v>10</v>
      </c>
      <c r="Q11" s="62" t="str">
        <f>IF(Main3WData[[#This Row],[PT.FirstID]],Main3WData[[#This Row],[Acronym]],INDEX($Q$4:Q10,Main3WData[[#This Row],[PT.LastID.Row]]-ROW($Q$4)+1) &amp; ", "&amp;Main3WData[[#This Row],[Acronym]])</f>
        <v>USAID, UNICEF, UNFPA, UNDP, SAVE THE CHILDREN, PLAN, OMS</v>
      </c>
      <c r="R11" s="62" t="b">
        <f t="array" ref="R11">MAX(IF(Main3WData[PT.ID]=Main3WData[[#This Row],[PT.ID]],Main3WData[PT.LastID.Row]))=Main3WData[[#This Row],[PT.LastID.Row]]</f>
        <v>0</v>
      </c>
    </row>
    <row r="12" spans="1:18" s="1" customFormat="1" ht="16.5" customHeight="1" x14ac:dyDescent="0.2">
      <c r="B12" s="55" t="s">
        <v>509</v>
      </c>
      <c r="C12" s="27" t="str">
        <f>INDEX(Organizations[],MATCH(Main3WData[[#This Row],[Acronym]],AcronymList,0),1)</f>
        <v>Internews</v>
      </c>
      <c r="D12" s="27" t="str">
        <f>INDEX(Organizations[],MATCH(Main3WData[[#This Row],[Acronym]],AcronymList,0),3)</f>
        <v>Media</v>
      </c>
      <c r="E12" s="54" t="s">
        <v>350</v>
      </c>
      <c r="F12" s="53" t="s">
        <v>82</v>
      </c>
      <c r="G12" s="54" t="s">
        <v>424</v>
      </c>
      <c r="H12" s="28" t="str">
        <f>VLOOKUP(Main3WData[[#This Row],[Admin Unit Name]],AdminUnits[],2,FALSE)</f>
        <v>GIN008001</v>
      </c>
      <c r="I12" s="57">
        <v>0</v>
      </c>
      <c r="J12" s="67" t="str">
        <f>Main3WData[[#This Row],[Acronym]]&amp;Main3WData[[#This Row],[Sector]]&amp;Main3WData[[#This Row],[Activity Type]]&amp;Main3WData[[#This Row],[Pcode]]</f>
        <v>InternewsCommunication/Mobilisation socialeOngoingGIN008001</v>
      </c>
      <c r="K12" s="69">
        <f>COUNTIF(Main3WData[Concatenate],Main3WData[[#This Row],[Concatenate]])</f>
        <v>1</v>
      </c>
      <c r="L12" s="61" t="str">
        <f>Main3WData[[#This Row],[Sector]]&amp;Main3WData[[#This Row],[Pcode]]</f>
        <v>Communication/Mobilisation socialeGIN008001</v>
      </c>
      <c r="M12" s="71">
        <f>COUNTIF($L$5:L12,Main3WData[[#This Row],[PT.Concat]])</f>
        <v>8</v>
      </c>
      <c r="N12" s="70">
        <f>MATCH(Main3WData[[#This Row],[PT.Concat]],$L$5:L12,0)</f>
        <v>1</v>
      </c>
      <c r="O12" s="62" t="b">
        <f>Main3WData[[#This Row],[Count PT.Concat]]=1</f>
        <v>0</v>
      </c>
      <c r="P12" s="62">
        <f t="array" ref="P12">MAX(($N$4:N11=Main3WData[[#This Row],[PT.ID]])*ROW($N$4:N11))</f>
        <v>11</v>
      </c>
      <c r="Q12" s="62" t="str">
        <f>IF(Main3WData[[#This Row],[PT.FirstID]],Main3WData[[#This Row],[Acronym]],INDEX($Q$4:Q11,Main3WData[[#This Row],[PT.LastID.Row]]-ROW($Q$4)+1) &amp; ", "&amp;Main3WData[[#This Row],[Acronym]])</f>
        <v>USAID, UNICEF, UNFPA, UNDP, SAVE THE CHILDREN, PLAN, OMS, Internews</v>
      </c>
      <c r="R12" s="62" t="b">
        <f t="array" ref="R12">MAX(IF(Main3WData[PT.ID]=Main3WData[[#This Row],[PT.ID]],Main3WData[PT.LastID.Row]))=Main3WData[[#This Row],[PT.LastID.Row]]</f>
        <v>0</v>
      </c>
    </row>
    <row r="13" spans="1:18" s="1" customFormat="1" ht="16.5" customHeight="1" x14ac:dyDescent="0.2">
      <c r="B13" s="55" t="s">
        <v>499</v>
      </c>
      <c r="C13" s="27" t="str">
        <f>INDEX(Organizations[],MATCH(Main3WData[[#This Row],[Acronym]],AcronymList,0),1)</f>
        <v>Croix-Rouge Guinée/Fédération internationale de la Croix-Rouge</v>
      </c>
      <c r="D13" s="27" t="str">
        <f>INDEX(Organizations[],MATCH(Main3WData[[#This Row],[Acronym]],AcronymList,0),3)</f>
        <v>International Organization</v>
      </c>
      <c r="E13" s="54" t="s">
        <v>350</v>
      </c>
      <c r="F13" s="53" t="s">
        <v>82</v>
      </c>
      <c r="G13" s="54" t="s">
        <v>424</v>
      </c>
      <c r="H13" s="28" t="str">
        <f>VLOOKUP(Main3WData[[#This Row],[Admin Unit Name]],AdminUnits[],2,FALSE)</f>
        <v>GIN008001</v>
      </c>
      <c r="I13" s="57">
        <v>0</v>
      </c>
      <c r="J13" s="67" t="str">
        <f>Main3WData[[#This Row],[Acronym]]&amp;Main3WData[[#This Row],[Sector]]&amp;Main3WData[[#This Row],[Activity Type]]&amp;Main3WData[[#This Row],[Pcode]]</f>
        <v>CRG/FICRCommunication/Mobilisation socialeOngoingGIN008001</v>
      </c>
      <c r="K13" s="69">
        <f>COUNTIF(Main3WData[Concatenate],Main3WData[[#This Row],[Concatenate]])</f>
        <v>1</v>
      </c>
      <c r="L13" s="61" t="str">
        <f>Main3WData[[#This Row],[Sector]]&amp;Main3WData[[#This Row],[Pcode]]</f>
        <v>Communication/Mobilisation socialeGIN008001</v>
      </c>
      <c r="M13" s="71">
        <f>COUNTIF($L$5:L13,Main3WData[[#This Row],[PT.Concat]])</f>
        <v>9</v>
      </c>
      <c r="N13" s="70">
        <f>MATCH(Main3WData[[#This Row],[PT.Concat]],$L$5:L13,0)</f>
        <v>1</v>
      </c>
      <c r="O13" s="62" t="b">
        <f>Main3WData[[#This Row],[Count PT.Concat]]=1</f>
        <v>0</v>
      </c>
      <c r="P13" s="62">
        <f t="array" ref="P13">MAX(($N$4:N12=Main3WData[[#This Row],[PT.ID]])*ROW($N$4:N12))</f>
        <v>12</v>
      </c>
      <c r="Q13" s="62" t="str">
        <f>IF(Main3WData[[#This Row],[PT.FirstID]],Main3WData[[#This Row],[Acronym]],INDEX($Q$4:Q12,Main3WData[[#This Row],[PT.LastID.Row]]-ROW($Q$4)+1) &amp; ", "&amp;Main3WData[[#This Row],[Acronym]])</f>
        <v>USAID, UNICEF, UNFPA, UNDP, SAVE THE CHILDREN, PLAN, OMS, Internews, CRG/FICR</v>
      </c>
      <c r="R13" s="62" t="b">
        <f t="array" ref="R13">MAX(IF(Main3WData[PT.ID]=Main3WData[[#This Row],[PT.ID]],Main3WData[PT.LastID.Row]))=Main3WData[[#This Row],[PT.LastID.Row]]</f>
        <v>1</v>
      </c>
    </row>
    <row r="14" spans="1:18" s="1" customFormat="1" ht="16.5" customHeight="1" x14ac:dyDescent="0.2">
      <c r="B14" s="55" t="s">
        <v>477</v>
      </c>
      <c r="C14" s="27" t="str">
        <f>INDEX(Organizations[],MATCH(Main3WData[[#This Row],[Acronym]],AcronymList,0),1)</f>
        <v>United States Agency for International Development</v>
      </c>
      <c r="D14" s="27" t="str">
        <f>INDEX(Organizations[],MATCH(Main3WData[[#This Row],[Acronym]],AcronymList,0),3)</f>
        <v>Donors</v>
      </c>
      <c r="E14" s="54" t="s">
        <v>360</v>
      </c>
      <c r="F14" s="53" t="s">
        <v>82</v>
      </c>
      <c r="G14" s="54" t="s">
        <v>424</v>
      </c>
      <c r="H14" s="28" t="str">
        <f>VLOOKUP(Main3WData[[#This Row],[Admin Unit Name]],AdminUnits[],2,FALSE)</f>
        <v>GIN008001</v>
      </c>
      <c r="I14" s="57">
        <v>0</v>
      </c>
      <c r="J14" s="67" t="str">
        <f>Main3WData[[#This Row],[Acronym]]&amp;Main3WData[[#This Row],[Sector]]&amp;Main3WData[[#This Row],[Activity Type]]&amp;Main3WData[[#This Row],[Pcode]]</f>
        <v>USAIDCoordinationOngoingGIN008001</v>
      </c>
      <c r="K14" s="69">
        <f>COUNTIF(Main3WData[Concatenate],Main3WData[[#This Row],[Concatenate]])</f>
        <v>1</v>
      </c>
      <c r="L14" s="61" t="str">
        <f>Main3WData[[#This Row],[Sector]]&amp;Main3WData[[#This Row],[Pcode]]</f>
        <v>CoordinationGIN008001</v>
      </c>
      <c r="M14" s="71">
        <f>COUNTIF($L$5:L14,Main3WData[[#This Row],[PT.Concat]])</f>
        <v>1</v>
      </c>
      <c r="N14" s="70">
        <f>MATCH(Main3WData[[#This Row],[PT.Concat]],$L$5:L14,0)</f>
        <v>10</v>
      </c>
      <c r="O14" s="62" t="b">
        <f>Main3WData[[#This Row],[Count PT.Concat]]=1</f>
        <v>1</v>
      </c>
      <c r="P14" s="62">
        <f t="array" ref="P14">MAX(($N$4:N13=Main3WData[[#This Row],[PT.ID]])*ROW($N$4:N13))</f>
        <v>0</v>
      </c>
      <c r="Q14" s="62" t="str">
        <f>IF(Main3WData[[#This Row],[PT.FirstID]],Main3WData[[#This Row],[Acronym]],INDEX($Q$4:Q13,Main3WData[[#This Row],[PT.LastID.Row]]-ROW($Q$4)+1) &amp; ", "&amp;Main3WData[[#This Row],[Acronym]])</f>
        <v>USAID</v>
      </c>
      <c r="R14" s="62" t="b">
        <f t="array" ref="R14">MAX(IF(Main3WData[PT.ID]=Main3WData[[#This Row],[PT.ID]],Main3WData[PT.LastID.Row]))=Main3WData[[#This Row],[PT.LastID.Row]]</f>
        <v>0</v>
      </c>
    </row>
    <row r="15" spans="1:18" s="1" customFormat="1" ht="16.5" customHeight="1" x14ac:dyDescent="0.2">
      <c r="B15" s="55" t="s">
        <v>516</v>
      </c>
      <c r="C15" s="27" t="str">
        <f>INDEX(Organizations[],MATCH(Main3WData[[#This Row],[Acronym]],AcronymList,0),1)</f>
        <v>UNITED NATION MISSION FOR EBOLA  EMERGENCY RESPONSE</v>
      </c>
      <c r="D15" s="27" t="str">
        <f>INDEX(Organizations[],MATCH(Main3WData[[#This Row],[Acronym]],AcronymList,0),3)</f>
        <v>UN Agency</v>
      </c>
      <c r="E15" s="54" t="s">
        <v>360</v>
      </c>
      <c r="F15" s="53" t="s">
        <v>82</v>
      </c>
      <c r="G15" s="54" t="s">
        <v>424</v>
      </c>
      <c r="H15" s="28" t="str">
        <f>VLOOKUP(Main3WData[[#This Row],[Admin Unit Name]],AdminUnits[],2,FALSE)</f>
        <v>GIN008001</v>
      </c>
      <c r="I15" s="57">
        <v>0</v>
      </c>
      <c r="J15" s="67" t="str">
        <f>Main3WData[[#This Row],[Acronym]]&amp;Main3WData[[#This Row],[Sector]]&amp;Main3WData[[#This Row],[Activity Type]]&amp;Main3WData[[#This Row],[Pcode]]</f>
        <v>UNMEERCoordinationOngoingGIN008001</v>
      </c>
      <c r="K15" s="69">
        <f>COUNTIF(Main3WData[Concatenate],Main3WData[[#This Row],[Concatenate]])</f>
        <v>1</v>
      </c>
      <c r="L15" s="61" t="str">
        <f>Main3WData[[#This Row],[Sector]]&amp;Main3WData[[#This Row],[Pcode]]</f>
        <v>CoordinationGIN008001</v>
      </c>
      <c r="M15" s="71">
        <f>COUNTIF($L$5:L15,Main3WData[[#This Row],[PT.Concat]])</f>
        <v>2</v>
      </c>
      <c r="N15" s="70">
        <f>MATCH(Main3WData[[#This Row],[PT.Concat]],$L$5:L15,0)</f>
        <v>10</v>
      </c>
      <c r="O15" s="62" t="b">
        <f>Main3WData[[#This Row],[Count PT.Concat]]=1</f>
        <v>0</v>
      </c>
      <c r="P15" s="62">
        <f t="array" ref="P15">MAX(($N$4:N14=Main3WData[[#This Row],[PT.ID]])*ROW($N$4:N14))</f>
        <v>14</v>
      </c>
      <c r="Q15" s="62" t="str">
        <f>IF(Main3WData[[#This Row],[PT.FirstID]],Main3WData[[#This Row],[Acronym]],INDEX($Q$4:Q14,Main3WData[[#This Row],[PT.LastID.Row]]-ROW($Q$4)+1) &amp; ", "&amp;Main3WData[[#This Row],[Acronym]])</f>
        <v>USAID, UNMEER</v>
      </c>
      <c r="R15" s="62" t="b">
        <f t="array" ref="R15">MAX(IF(Main3WData[PT.ID]=Main3WData[[#This Row],[PT.ID]],Main3WData[PT.LastID.Row]))=Main3WData[[#This Row],[PT.LastID.Row]]</f>
        <v>0</v>
      </c>
    </row>
    <row r="16" spans="1:18" s="1" customFormat="1" ht="16.5" customHeight="1" x14ac:dyDescent="0.2">
      <c r="B16" s="55" t="s">
        <v>75</v>
      </c>
      <c r="C16" s="27" t="str">
        <f>INDEX(Organizations[],MATCH(Main3WData[[#This Row],[Acronym]],AcronymList,0),1)</f>
        <v>United Nations Population Fund</v>
      </c>
      <c r="D16" s="27" t="str">
        <f>INDEX(Organizations[],MATCH(Main3WData[[#This Row],[Acronym]],AcronymList,0),3)</f>
        <v>UN Agency</v>
      </c>
      <c r="E16" s="54" t="s">
        <v>360</v>
      </c>
      <c r="F16" s="53" t="s">
        <v>82</v>
      </c>
      <c r="G16" s="54" t="s">
        <v>424</v>
      </c>
      <c r="H16" s="28" t="str">
        <f>VLOOKUP(Main3WData[[#This Row],[Admin Unit Name]],AdminUnits[],2,FALSE)</f>
        <v>GIN008001</v>
      </c>
      <c r="I16" s="57">
        <v>0</v>
      </c>
      <c r="J16" s="67" t="str">
        <f>Main3WData[[#This Row],[Acronym]]&amp;Main3WData[[#This Row],[Sector]]&amp;Main3WData[[#This Row],[Activity Type]]&amp;Main3WData[[#This Row],[Pcode]]</f>
        <v>UNFPACoordinationOngoingGIN008001</v>
      </c>
      <c r="K16" s="69">
        <f>COUNTIF(Main3WData[Concatenate],Main3WData[[#This Row],[Concatenate]])</f>
        <v>1</v>
      </c>
      <c r="L16" s="61" t="str">
        <f>Main3WData[[#This Row],[Sector]]&amp;Main3WData[[#This Row],[Pcode]]</f>
        <v>CoordinationGIN008001</v>
      </c>
      <c r="M16" s="71">
        <f>COUNTIF($L$5:L16,Main3WData[[#This Row],[PT.Concat]])</f>
        <v>3</v>
      </c>
      <c r="N16" s="70">
        <f>MATCH(Main3WData[[#This Row],[PT.Concat]],$L$5:L16,0)</f>
        <v>10</v>
      </c>
      <c r="O16" s="62" t="b">
        <f>Main3WData[[#This Row],[Count PT.Concat]]=1</f>
        <v>0</v>
      </c>
      <c r="P16" s="62">
        <f t="array" ref="P16">MAX(($N$4:N15=Main3WData[[#This Row],[PT.ID]])*ROW($N$4:N15))</f>
        <v>15</v>
      </c>
      <c r="Q16" s="62" t="str">
        <f>IF(Main3WData[[#This Row],[PT.FirstID]],Main3WData[[#This Row],[Acronym]],INDEX($Q$4:Q15,Main3WData[[#This Row],[PT.LastID.Row]]-ROW($Q$4)+1) &amp; ", "&amp;Main3WData[[#This Row],[Acronym]])</f>
        <v>USAID, UNMEER, UNFPA</v>
      </c>
      <c r="R16" s="62" t="b">
        <f t="array" ref="R16">MAX(IF(Main3WData[PT.ID]=Main3WData[[#This Row],[PT.ID]],Main3WData[PT.LastID.Row]))=Main3WData[[#This Row],[PT.LastID.Row]]</f>
        <v>0</v>
      </c>
    </row>
    <row r="17" spans="2:18" s="1" customFormat="1" ht="16.5" customHeight="1" x14ac:dyDescent="0.2">
      <c r="B17" s="55" t="s">
        <v>473</v>
      </c>
      <c r="C17" s="27" t="str">
        <f>INDEX(Organizations[],MATCH(Main3WData[[#This Row],[Acronym]],AcronymList,0),1)</f>
        <v>United Nations Development Programme</v>
      </c>
      <c r="D17" s="27" t="str">
        <f>INDEX(Organizations[],MATCH(Main3WData[[#This Row],[Acronym]],AcronymList,0),3)</f>
        <v>UN Agency</v>
      </c>
      <c r="E17" s="54" t="s">
        <v>360</v>
      </c>
      <c r="F17" s="53" t="s">
        <v>82</v>
      </c>
      <c r="G17" s="54" t="s">
        <v>424</v>
      </c>
      <c r="H17" s="28" t="str">
        <f>VLOOKUP(Main3WData[[#This Row],[Admin Unit Name]],AdminUnits[],2,FALSE)</f>
        <v>GIN008001</v>
      </c>
      <c r="I17" s="57">
        <v>0</v>
      </c>
      <c r="J17" s="67" t="str">
        <f>Main3WData[[#This Row],[Acronym]]&amp;Main3WData[[#This Row],[Sector]]&amp;Main3WData[[#This Row],[Activity Type]]&amp;Main3WData[[#This Row],[Pcode]]</f>
        <v>UNDPCoordinationOngoingGIN008001</v>
      </c>
      <c r="K17" s="69">
        <f>COUNTIF(Main3WData[Concatenate],Main3WData[[#This Row],[Concatenate]])</f>
        <v>1</v>
      </c>
      <c r="L17" s="61" t="str">
        <f>Main3WData[[#This Row],[Sector]]&amp;Main3WData[[#This Row],[Pcode]]</f>
        <v>CoordinationGIN008001</v>
      </c>
      <c r="M17" s="71">
        <f>COUNTIF($L$5:L17,Main3WData[[#This Row],[PT.Concat]])</f>
        <v>4</v>
      </c>
      <c r="N17" s="70">
        <f>MATCH(Main3WData[[#This Row],[PT.Concat]],$L$5:L17,0)</f>
        <v>10</v>
      </c>
      <c r="O17" s="62" t="b">
        <f>Main3WData[[#This Row],[Count PT.Concat]]=1</f>
        <v>0</v>
      </c>
      <c r="P17" s="62">
        <f t="array" ref="P17">MAX(($N$4:N16=Main3WData[[#This Row],[PT.ID]])*ROW($N$4:N16))</f>
        <v>16</v>
      </c>
      <c r="Q17" s="62" t="str">
        <f>IF(Main3WData[[#This Row],[PT.FirstID]],Main3WData[[#This Row],[Acronym]],INDEX($Q$4:Q16,Main3WData[[#This Row],[PT.LastID.Row]]-ROW($Q$4)+1) &amp; ", "&amp;Main3WData[[#This Row],[Acronym]])</f>
        <v>USAID, UNMEER, UNFPA, UNDP</v>
      </c>
      <c r="R17" s="62" t="b">
        <f t="array" ref="R17">MAX(IF(Main3WData[PT.ID]=Main3WData[[#This Row],[PT.ID]],Main3WData[PT.LastID.Row]))=Main3WData[[#This Row],[PT.LastID.Row]]</f>
        <v>0</v>
      </c>
    </row>
    <row r="18" spans="2:18" s="1" customFormat="1" ht="16.5" customHeight="1" x14ac:dyDescent="0.2">
      <c r="B18" s="55" t="s">
        <v>523</v>
      </c>
      <c r="C18" s="27" t="str">
        <f>INDEX(Organizations[],MATCH(Main3WData[[#This Row],[Acronym]],AcronymList,0),1)</f>
        <v>Save the Children</v>
      </c>
      <c r="D18" s="27" t="str">
        <f>INDEX(Organizations[],MATCH(Main3WData[[#This Row],[Acronym]],AcronymList,0),3)</f>
        <v>International NGO</v>
      </c>
      <c r="E18" s="54" t="s">
        <v>360</v>
      </c>
      <c r="F18" s="53" t="s">
        <v>82</v>
      </c>
      <c r="G18" s="54" t="s">
        <v>424</v>
      </c>
      <c r="H18" s="28" t="str">
        <f>VLOOKUP(Main3WData[[#This Row],[Admin Unit Name]],AdminUnits[],2,FALSE)</f>
        <v>GIN008001</v>
      </c>
      <c r="I18" s="57">
        <v>0</v>
      </c>
      <c r="J18" s="67" t="str">
        <f>Main3WData[[#This Row],[Acronym]]&amp;Main3WData[[#This Row],[Sector]]&amp;Main3WData[[#This Row],[Activity Type]]&amp;Main3WData[[#This Row],[Pcode]]</f>
        <v>save the childrenCoordinationOngoingGIN008001</v>
      </c>
      <c r="K18" s="69">
        <f>COUNTIF(Main3WData[Concatenate],Main3WData[[#This Row],[Concatenate]])</f>
        <v>1</v>
      </c>
      <c r="L18" s="61" t="str">
        <f>Main3WData[[#This Row],[Sector]]&amp;Main3WData[[#This Row],[Pcode]]</f>
        <v>CoordinationGIN008001</v>
      </c>
      <c r="M18" s="71">
        <f>COUNTIF($L$5:L18,Main3WData[[#This Row],[PT.Concat]])</f>
        <v>5</v>
      </c>
      <c r="N18" s="70">
        <f>MATCH(Main3WData[[#This Row],[PT.Concat]],$L$5:L18,0)</f>
        <v>10</v>
      </c>
      <c r="O18" s="62" t="b">
        <f>Main3WData[[#This Row],[Count PT.Concat]]=1</f>
        <v>0</v>
      </c>
      <c r="P18" s="62">
        <f t="array" ref="P18">MAX(($N$4:N17=Main3WData[[#This Row],[PT.ID]])*ROW($N$4:N17))</f>
        <v>17</v>
      </c>
      <c r="Q18" s="62" t="str">
        <f>IF(Main3WData[[#This Row],[PT.FirstID]],Main3WData[[#This Row],[Acronym]],INDEX($Q$4:Q17,Main3WData[[#This Row],[PT.LastID.Row]]-ROW($Q$4)+1) &amp; ", "&amp;Main3WData[[#This Row],[Acronym]])</f>
        <v>USAID, UNMEER, UNFPA, UNDP, save the children</v>
      </c>
      <c r="R18" s="62" t="b">
        <f t="array" ref="R18">MAX(IF(Main3WData[PT.ID]=Main3WData[[#This Row],[PT.ID]],Main3WData[PT.LastID.Row]))=Main3WData[[#This Row],[PT.LastID.Row]]</f>
        <v>0</v>
      </c>
    </row>
    <row r="19" spans="2:18" s="1" customFormat="1" ht="16.5" customHeight="1" x14ac:dyDescent="0.2">
      <c r="B19" s="55" t="s">
        <v>512</v>
      </c>
      <c r="C19" s="27" t="str">
        <f>INDEX(Organizations[],MATCH(Main3WData[[#This Row],[Acronym]],AcronymList,0),1)</f>
        <v>World Health Organization</v>
      </c>
      <c r="D19" s="27" t="str">
        <f>INDEX(Organizations[],MATCH(Main3WData[[#This Row],[Acronym]],AcronymList,0),3)</f>
        <v>UN Agency</v>
      </c>
      <c r="E19" s="54" t="s">
        <v>360</v>
      </c>
      <c r="F19" s="53" t="s">
        <v>82</v>
      </c>
      <c r="G19" s="54" t="s">
        <v>424</v>
      </c>
      <c r="H19" s="28" t="str">
        <f>VLOOKUP(Main3WData[[#This Row],[Admin Unit Name]],AdminUnits[],2,FALSE)</f>
        <v>GIN008001</v>
      </c>
      <c r="I19" s="57">
        <v>0</v>
      </c>
      <c r="J19" s="67" t="str">
        <f>Main3WData[[#This Row],[Acronym]]&amp;Main3WData[[#This Row],[Sector]]&amp;Main3WData[[#This Row],[Activity Type]]&amp;Main3WData[[#This Row],[Pcode]]</f>
        <v>OMSCoordinationOngoingGIN008001</v>
      </c>
      <c r="K19" s="69">
        <f>COUNTIF(Main3WData[Concatenate],Main3WData[[#This Row],[Concatenate]])</f>
        <v>1</v>
      </c>
      <c r="L19" s="61" t="str">
        <f>Main3WData[[#This Row],[Sector]]&amp;Main3WData[[#This Row],[Pcode]]</f>
        <v>CoordinationGIN008001</v>
      </c>
      <c r="M19" s="71">
        <f>COUNTIF($L$5:L19,Main3WData[[#This Row],[PT.Concat]])</f>
        <v>6</v>
      </c>
      <c r="N19" s="70">
        <f>MATCH(Main3WData[[#This Row],[PT.Concat]],$L$5:L19,0)</f>
        <v>10</v>
      </c>
      <c r="O19" s="62" t="b">
        <f>Main3WData[[#This Row],[Count PT.Concat]]=1</f>
        <v>0</v>
      </c>
      <c r="P19" s="62">
        <f t="array" ref="P19">MAX(($N$4:N18=Main3WData[[#This Row],[PT.ID]])*ROW($N$4:N18))</f>
        <v>18</v>
      </c>
      <c r="Q19" s="62" t="str">
        <f>IF(Main3WData[[#This Row],[PT.FirstID]],Main3WData[[#This Row],[Acronym]],INDEX($Q$4:Q18,Main3WData[[#This Row],[PT.LastID.Row]]-ROW($Q$4)+1) &amp; ", "&amp;Main3WData[[#This Row],[Acronym]])</f>
        <v>USAID, UNMEER, UNFPA, UNDP, save the children, OMS</v>
      </c>
      <c r="R19" s="62" t="b">
        <f t="array" ref="R19">MAX(IF(Main3WData[PT.ID]=Main3WData[[#This Row],[PT.ID]],Main3WData[PT.LastID.Row]))=Main3WData[[#This Row],[PT.LastID.Row]]</f>
        <v>0</v>
      </c>
    </row>
    <row r="20" spans="2:18" s="1" customFormat="1" ht="16.5" customHeight="1" x14ac:dyDescent="0.2">
      <c r="B20" s="55" t="s">
        <v>71</v>
      </c>
      <c r="C20" s="27" t="str">
        <f>INDEX(Organizations[],MATCH(Main3WData[[#This Row],[Acronym]],AcronymList,0),1)</f>
        <v>Medecins sans Frontieres</v>
      </c>
      <c r="D20" s="27" t="str">
        <f>INDEX(Organizations[],MATCH(Main3WData[[#This Row],[Acronym]],AcronymList,0),3)</f>
        <v>International NGO</v>
      </c>
      <c r="E20" s="54" t="s">
        <v>360</v>
      </c>
      <c r="F20" s="53" t="s">
        <v>82</v>
      </c>
      <c r="G20" s="54" t="s">
        <v>424</v>
      </c>
      <c r="H20" s="28" t="str">
        <f>VLOOKUP(Main3WData[[#This Row],[Admin Unit Name]],AdminUnits[],2,FALSE)</f>
        <v>GIN008001</v>
      </c>
      <c r="I20" s="57">
        <v>0</v>
      </c>
      <c r="J20" s="67" t="str">
        <f>Main3WData[[#This Row],[Acronym]]&amp;Main3WData[[#This Row],[Sector]]&amp;Main3WData[[#This Row],[Activity Type]]&amp;Main3WData[[#This Row],[Pcode]]</f>
        <v>MSFCoordinationOngoingGIN008001</v>
      </c>
      <c r="K20" s="69">
        <f>COUNTIF(Main3WData[Concatenate],Main3WData[[#This Row],[Concatenate]])</f>
        <v>1</v>
      </c>
      <c r="L20" s="61" t="str">
        <f>Main3WData[[#This Row],[Sector]]&amp;Main3WData[[#This Row],[Pcode]]</f>
        <v>CoordinationGIN008001</v>
      </c>
      <c r="M20" s="71">
        <f>COUNTIF($L$5:L20,Main3WData[[#This Row],[PT.Concat]])</f>
        <v>7</v>
      </c>
      <c r="N20" s="70">
        <f>MATCH(Main3WData[[#This Row],[PT.Concat]],$L$5:L20,0)</f>
        <v>10</v>
      </c>
      <c r="O20" s="62" t="b">
        <f>Main3WData[[#This Row],[Count PT.Concat]]=1</f>
        <v>0</v>
      </c>
      <c r="P20" s="62">
        <f t="array" ref="P20">MAX(($N$4:N19=Main3WData[[#This Row],[PT.ID]])*ROW($N$4:N19))</f>
        <v>19</v>
      </c>
      <c r="Q20" s="62" t="str">
        <f>IF(Main3WData[[#This Row],[PT.FirstID]],Main3WData[[#This Row],[Acronym]],INDEX($Q$4:Q19,Main3WData[[#This Row],[PT.LastID.Row]]-ROW($Q$4)+1) &amp; ", "&amp;Main3WData[[#This Row],[Acronym]])</f>
        <v>USAID, UNMEER, UNFPA, UNDP, save the children, OMS, MSF</v>
      </c>
      <c r="R20" s="62" t="b">
        <f t="array" ref="R20">MAX(IF(Main3WData[PT.ID]=Main3WData[[#This Row],[PT.ID]],Main3WData[PT.LastID.Row]))=Main3WData[[#This Row],[PT.LastID.Row]]</f>
        <v>0</v>
      </c>
    </row>
    <row r="21" spans="2:18" s="1" customFormat="1" ht="16.5" customHeight="1" x14ac:dyDescent="0.2">
      <c r="B21" s="55" t="s">
        <v>507</v>
      </c>
      <c r="C21" s="27" t="str">
        <f>INDEX(Organizations[],MATCH(Main3WData[[#This Row],[Acronym]],AcronymList,0),1)</f>
        <v>eHealth Africa</v>
      </c>
      <c r="D21" s="27" t="str">
        <f>INDEX(Organizations[],MATCH(Main3WData[[#This Row],[Acronym]],AcronymList,0),3)</f>
        <v>International Organization</v>
      </c>
      <c r="E21" s="54" t="s">
        <v>360</v>
      </c>
      <c r="F21" s="53" t="s">
        <v>82</v>
      </c>
      <c r="G21" s="54" t="s">
        <v>424</v>
      </c>
      <c r="H21" s="28" t="str">
        <f>VLOOKUP(Main3WData[[#This Row],[Admin Unit Name]],AdminUnits[],2,FALSE)</f>
        <v>GIN008001</v>
      </c>
      <c r="I21" s="57">
        <v>0</v>
      </c>
      <c r="J21" s="67" t="str">
        <f>Main3WData[[#This Row],[Acronym]]&amp;Main3WData[[#This Row],[Sector]]&amp;Main3WData[[#This Row],[Activity Type]]&amp;Main3WData[[#This Row],[Pcode]]</f>
        <v>eHealth AfricaCoordinationOngoingGIN008001</v>
      </c>
      <c r="K21" s="69">
        <f>COUNTIF(Main3WData[Concatenate],Main3WData[[#This Row],[Concatenate]])</f>
        <v>1</v>
      </c>
      <c r="L21" s="61" t="str">
        <f>Main3WData[[#This Row],[Sector]]&amp;Main3WData[[#This Row],[Pcode]]</f>
        <v>CoordinationGIN008001</v>
      </c>
      <c r="M21" s="71">
        <f>COUNTIF($L$5:L21,Main3WData[[#This Row],[PT.Concat]])</f>
        <v>8</v>
      </c>
      <c r="N21" s="70">
        <f>MATCH(Main3WData[[#This Row],[PT.Concat]],$L$5:L21,0)</f>
        <v>10</v>
      </c>
      <c r="O21" s="62" t="b">
        <f>Main3WData[[#This Row],[Count PT.Concat]]=1</f>
        <v>0</v>
      </c>
      <c r="P21" s="62">
        <f t="array" ref="P21">MAX(($N$4:N20=Main3WData[[#This Row],[PT.ID]])*ROW($N$4:N20))</f>
        <v>20</v>
      </c>
      <c r="Q21" s="62" t="str">
        <f>IF(Main3WData[[#This Row],[PT.FirstID]],Main3WData[[#This Row],[Acronym]],INDEX($Q$4:Q20,Main3WData[[#This Row],[PT.LastID.Row]]-ROW($Q$4)+1) &amp; ", "&amp;Main3WData[[#This Row],[Acronym]])</f>
        <v>USAID, UNMEER, UNFPA, UNDP, save the children, OMS, MSF, eHealth Africa</v>
      </c>
      <c r="R21" s="62" t="b">
        <f t="array" ref="R21">MAX(IF(Main3WData[PT.ID]=Main3WData[[#This Row],[PT.ID]],Main3WData[PT.LastID.Row]))=Main3WData[[#This Row],[PT.LastID.Row]]</f>
        <v>1</v>
      </c>
    </row>
    <row r="22" spans="2:18" s="1" customFormat="1" ht="16.5" customHeight="1" x14ac:dyDescent="0.2">
      <c r="B22" s="55" t="s">
        <v>473</v>
      </c>
      <c r="C22" s="27" t="str">
        <f>INDEX(Organizations[],MATCH(Main3WData[[#This Row],[Acronym]],AcronymList,0),1)</f>
        <v>United Nations Development Programme</v>
      </c>
      <c r="D22" s="27" t="str">
        <f>INDEX(Organizations[],MATCH(Main3WData[[#This Row],[Acronym]],AcronymList,0),3)</f>
        <v>UN Agency</v>
      </c>
      <c r="E22" s="54" t="s">
        <v>359</v>
      </c>
      <c r="F22" s="53" t="s">
        <v>82</v>
      </c>
      <c r="G22" s="54" t="s">
        <v>424</v>
      </c>
      <c r="H22" s="28" t="str">
        <f>VLOOKUP(Main3WData[[#This Row],[Admin Unit Name]],AdminUnits[],2,FALSE)</f>
        <v>GIN008001</v>
      </c>
      <c r="I22" s="57">
        <v>0</v>
      </c>
      <c r="J22" s="67" t="str">
        <f>Main3WData[[#This Row],[Acronym]]&amp;Main3WData[[#This Row],[Sector]]&amp;Main3WData[[#This Row],[Activity Type]]&amp;Main3WData[[#This Row],[Pcode]]</f>
        <v>UNDPFinanceOngoingGIN008001</v>
      </c>
      <c r="K22" s="69">
        <f>COUNTIF(Main3WData[Concatenate],Main3WData[[#This Row],[Concatenate]])</f>
        <v>1</v>
      </c>
      <c r="L22" s="61" t="str">
        <f>Main3WData[[#This Row],[Sector]]&amp;Main3WData[[#This Row],[Pcode]]</f>
        <v>FinanceGIN008001</v>
      </c>
      <c r="M22" s="71">
        <f>COUNTIF($L$5:L22,Main3WData[[#This Row],[PT.Concat]])</f>
        <v>1</v>
      </c>
      <c r="N22" s="70">
        <f>MATCH(Main3WData[[#This Row],[PT.Concat]],$L$5:L22,0)</f>
        <v>18</v>
      </c>
      <c r="O22" s="62" t="b">
        <f>Main3WData[[#This Row],[Count PT.Concat]]=1</f>
        <v>1</v>
      </c>
      <c r="P22" s="62">
        <f t="array" ref="P22">MAX(($N$4:N21=Main3WData[[#This Row],[PT.ID]])*ROW($N$4:N21))</f>
        <v>0</v>
      </c>
      <c r="Q22" s="62" t="str">
        <f>IF(Main3WData[[#This Row],[PT.FirstID]],Main3WData[[#This Row],[Acronym]],INDEX($Q$4:Q21,Main3WData[[#This Row],[PT.LastID.Row]]-ROW($Q$4)+1) &amp; ", "&amp;Main3WData[[#This Row],[Acronym]])</f>
        <v>UNDP</v>
      </c>
      <c r="R22" s="62" t="b">
        <f t="array" ref="R22">MAX(IF(Main3WData[PT.ID]=Main3WData[[#This Row],[PT.ID]],Main3WData[PT.LastID.Row]))=Main3WData[[#This Row],[PT.LastID.Row]]</f>
        <v>1</v>
      </c>
    </row>
    <row r="23" spans="2:18" s="1" customFormat="1" ht="16.5" customHeight="1" x14ac:dyDescent="0.2">
      <c r="B23" s="55" t="s">
        <v>451</v>
      </c>
      <c r="C23" s="27" t="str">
        <f>INDEX(Organizations[],MATCH(Main3WData[[#This Row],[Acronym]],AcronymList,0),1)</f>
        <v>Croix-Rouge Guinée</v>
      </c>
      <c r="D23" s="27" t="str">
        <f>INDEX(Organizations[],MATCH(Main3WData[[#This Row],[Acronym]],AcronymList,0),3)</f>
        <v>Red Cross Movement</v>
      </c>
      <c r="E23" s="54" t="s">
        <v>354</v>
      </c>
      <c r="F23" s="53" t="s">
        <v>82</v>
      </c>
      <c r="G23" s="54" t="s">
        <v>424</v>
      </c>
      <c r="H23" s="28" t="str">
        <f>VLOOKUP(Main3WData[[#This Row],[Admin Unit Name]],AdminUnits[],2,FALSE)</f>
        <v>GIN008001</v>
      </c>
      <c r="I23" s="57">
        <v>0</v>
      </c>
      <c r="J23" s="67" t="str">
        <f>Main3WData[[#This Row],[Acronym]]&amp;Main3WData[[#This Row],[Sector]]&amp;Main3WData[[#This Row],[Activity Type]]&amp;Main3WData[[#This Row],[Pcode]]</f>
        <v>CRGGestion des corps et desinfectionOngoingGIN008001</v>
      </c>
      <c r="K23" s="69">
        <f>COUNTIF(Main3WData[Concatenate],Main3WData[[#This Row],[Concatenate]])</f>
        <v>1</v>
      </c>
      <c r="L23" s="61" t="str">
        <f>Main3WData[[#This Row],[Sector]]&amp;Main3WData[[#This Row],[Pcode]]</f>
        <v>Gestion des corps et desinfectionGIN008001</v>
      </c>
      <c r="M23" s="71">
        <f>COUNTIF($L$5:L23,Main3WData[[#This Row],[PT.Concat]])</f>
        <v>1</v>
      </c>
      <c r="N23" s="70">
        <f>MATCH(Main3WData[[#This Row],[PT.Concat]],$L$5:L23,0)</f>
        <v>19</v>
      </c>
      <c r="O23" s="62" t="b">
        <f>Main3WData[[#This Row],[Count PT.Concat]]=1</f>
        <v>1</v>
      </c>
      <c r="P23" s="62">
        <f t="array" ref="P23">MAX(($N$4:N22=Main3WData[[#This Row],[PT.ID]])*ROW($N$4:N22))</f>
        <v>0</v>
      </c>
      <c r="Q23" s="62" t="str">
        <f>IF(Main3WData[[#This Row],[PT.FirstID]],Main3WData[[#This Row],[Acronym]],INDEX($Q$4:Q22,Main3WData[[#This Row],[PT.LastID.Row]]-ROW($Q$4)+1) &amp; ", "&amp;Main3WData[[#This Row],[Acronym]])</f>
        <v>CRG</v>
      </c>
      <c r="R23" s="62" t="b">
        <f t="array" ref="R23">MAX(IF(Main3WData[PT.ID]=Main3WData[[#This Row],[PT.ID]],Main3WData[PT.LastID.Row]))=Main3WData[[#This Row],[PT.LastID.Row]]</f>
        <v>1</v>
      </c>
    </row>
    <row r="24" spans="2:18" s="1" customFormat="1" ht="16.5" customHeight="1" x14ac:dyDescent="0.2">
      <c r="B24" s="55" t="s">
        <v>516</v>
      </c>
      <c r="C24" s="27" t="str">
        <f>INDEX(Organizations[],MATCH(Main3WData[[#This Row],[Acronym]],AcronymList,0),1)</f>
        <v>UNITED NATION MISSION FOR EBOLA  EMERGENCY RESPONSE</v>
      </c>
      <c r="D24" s="27" t="str">
        <f>INDEX(Organizations[],MATCH(Main3WData[[#This Row],[Acronym]],AcronymList,0),3)</f>
        <v>UN Agency</v>
      </c>
      <c r="E24" s="54" t="s">
        <v>356</v>
      </c>
      <c r="F24" s="53" t="s">
        <v>82</v>
      </c>
      <c r="G24" s="54" t="s">
        <v>424</v>
      </c>
      <c r="H24" s="28" t="str">
        <f>VLOOKUP(Main3WData[[#This Row],[Admin Unit Name]],AdminUnits[],2,FALSE)</f>
        <v>GIN008001</v>
      </c>
      <c r="I24" s="57">
        <v>0</v>
      </c>
      <c r="J24" s="67" t="str">
        <f>Main3WData[[#This Row],[Acronym]]&amp;Main3WData[[#This Row],[Sector]]&amp;Main3WData[[#This Row],[Activity Type]]&amp;Main3WData[[#This Row],[Pcode]]</f>
        <v>UNMEERGestion des donnéesOngoingGIN008001</v>
      </c>
      <c r="K24" s="69">
        <f>COUNTIF(Main3WData[Concatenate],Main3WData[[#This Row],[Concatenate]])</f>
        <v>1</v>
      </c>
      <c r="L24" s="61" t="str">
        <f>Main3WData[[#This Row],[Sector]]&amp;Main3WData[[#This Row],[Pcode]]</f>
        <v>Gestion des donnéesGIN008001</v>
      </c>
      <c r="M24" s="71">
        <f>COUNTIF($L$5:L24,Main3WData[[#This Row],[PT.Concat]])</f>
        <v>1</v>
      </c>
      <c r="N24" s="70">
        <f>MATCH(Main3WData[[#This Row],[PT.Concat]],$L$5:L24,0)</f>
        <v>20</v>
      </c>
      <c r="O24" s="62" t="b">
        <f>Main3WData[[#This Row],[Count PT.Concat]]=1</f>
        <v>1</v>
      </c>
      <c r="P24" s="62">
        <f t="array" ref="P24">MAX(($N$4:N23=Main3WData[[#This Row],[PT.ID]])*ROW($N$4:N23))</f>
        <v>0</v>
      </c>
      <c r="Q24" s="62" t="str">
        <f>IF(Main3WData[[#This Row],[PT.FirstID]],Main3WData[[#This Row],[Acronym]],INDEX($Q$4:Q23,Main3WData[[#This Row],[PT.LastID.Row]]-ROW($Q$4)+1) &amp; ", "&amp;Main3WData[[#This Row],[Acronym]])</f>
        <v>UNMEER</v>
      </c>
      <c r="R24" s="62" t="b">
        <f t="array" ref="R24">MAX(IF(Main3WData[PT.ID]=Main3WData[[#This Row],[PT.ID]],Main3WData[PT.LastID.Row]))=Main3WData[[#This Row],[PT.LastID.Row]]</f>
        <v>0</v>
      </c>
    </row>
    <row r="25" spans="2:18" s="1" customFormat="1" ht="16.5" customHeight="1" x14ac:dyDescent="0.2">
      <c r="B25" s="55" t="s">
        <v>512</v>
      </c>
      <c r="C25" s="27" t="str">
        <f>INDEX(Organizations[],MATCH(Main3WData[[#This Row],[Acronym]],AcronymList,0),1)</f>
        <v>World Health Organization</v>
      </c>
      <c r="D25" s="27" t="str">
        <f>INDEX(Organizations[],MATCH(Main3WData[[#This Row],[Acronym]],AcronymList,0),3)</f>
        <v>UN Agency</v>
      </c>
      <c r="E25" s="54" t="s">
        <v>356</v>
      </c>
      <c r="F25" s="53" t="s">
        <v>82</v>
      </c>
      <c r="G25" s="54" t="s">
        <v>424</v>
      </c>
      <c r="H25" s="28" t="str">
        <f>VLOOKUP(Main3WData[[#This Row],[Admin Unit Name]],AdminUnits[],2,FALSE)</f>
        <v>GIN008001</v>
      </c>
      <c r="I25" s="57">
        <v>0</v>
      </c>
      <c r="J25" s="67" t="str">
        <f>Main3WData[[#This Row],[Acronym]]&amp;Main3WData[[#This Row],[Sector]]&amp;Main3WData[[#This Row],[Activity Type]]&amp;Main3WData[[#This Row],[Pcode]]</f>
        <v>OMSGestion des donnéesOngoingGIN008001</v>
      </c>
      <c r="K25" s="69">
        <f>COUNTIF(Main3WData[Concatenate],Main3WData[[#This Row],[Concatenate]])</f>
        <v>1</v>
      </c>
      <c r="L25" s="61" t="str">
        <f>Main3WData[[#This Row],[Sector]]&amp;Main3WData[[#This Row],[Pcode]]</f>
        <v>Gestion des donnéesGIN008001</v>
      </c>
      <c r="M25" s="71">
        <f>COUNTIF($L$5:L25,Main3WData[[#This Row],[PT.Concat]])</f>
        <v>2</v>
      </c>
      <c r="N25" s="70">
        <f>MATCH(Main3WData[[#This Row],[PT.Concat]],$L$5:L25,0)</f>
        <v>20</v>
      </c>
      <c r="O25" s="62" t="b">
        <f>Main3WData[[#This Row],[Count PT.Concat]]=1</f>
        <v>0</v>
      </c>
      <c r="P25" s="62">
        <f t="array" ref="P25">MAX(($N$4:N24=Main3WData[[#This Row],[PT.ID]])*ROW($N$4:N24))</f>
        <v>24</v>
      </c>
      <c r="Q25" s="62" t="str">
        <f>IF(Main3WData[[#This Row],[PT.FirstID]],Main3WData[[#This Row],[Acronym]],INDEX($Q$4:Q24,Main3WData[[#This Row],[PT.LastID.Row]]-ROW($Q$4)+1) &amp; ", "&amp;Main3WData[[#This Row],[Acronym]])</f>
        <v>UNMEER, OMS</v>
      </c>
      <c r="R25" s="62" t="b">
        <f t="array" ref="R25">MAX(IF(Main3WData[PT.ID]=Main3WData[[#This Row],[PT.ID]],Main3WData[PT.LastID.Row]))=Main3WData[[#This Row],[PT.LastID.Row]]</f>
        <v>1</v>
      </c>
    </row>
    <row r="26" spans="2:18" s="1" customFormat="1" ht="16.5" customHeight="1" x14ac:dyDescent="0.2">
      <c r="B26" s="55" t="s">
        <v>516</v>
      </c>
      <c r="C26" s="27" t="str">
        <f>INDEX(Organizations[],MATCH(Main3WData[[#This Row],[Acronym]],AcronymList,0),1)</f>
        <v>UNITED NATION MISSION FOR EBOLA  EMERGENCY RESPONSE</v>
      </c>
      <c r="D26" s="27" t="str">
        <f>INDEX(Organizations[],MATCH(Main3WData[[#This Row],[Acronym]],AcronymList,0),3)</f>
        <v>UN Agency</v>
      </c>
      <c r="E26" s="54" t="s">
        <v>358</v>
      </c>
      <c r="F26" s="53" t="s">
        <v>82</v>
      </c>
      <c r="G26" s="54" t="s">
        <v>424</v>
      </c>
      <c r="H26" s="28" t="str">
        <f>VLOOKUP(Main3WData[[#This Row],[Admin Unit Name]],AdminUnits[],2,FALSE)</f>
        <v>GIN008001</v>
      </c>
      <c r="I26" s="57">
        <v>0</v>
      </c>
      <c r="J26" s="67" t="str">
        <f>Main3WData[[#This Row],[Acronym]]&amp;Main3WData[[#This Row],[Sector]]&amp;Main3WData[[#This Row],[Activity Type]]&amp;Main3WData[[#This Row],[Pcode]]</f>
        <v>UNMEERLogistiquesOngoingGIN008001</v>
      </c>
      <c r="K26" s="69">
        <f>COUNTIF(Main3WData[Concatenate],Main3WData[[#This Row],[Concatenate]])</f>
        <v>1</v>
      </c>
      <c r="L26" s="61" t="str">
        <f>Main3WData[[#This Row],[Sector]]&amp;Main3WData[[#This Row],[Pcode]]</f>
        <v>LogistiquesGIN008001</v>
      </c>
      <c r="M26" s="71">
        <f>COUNTIF($L$5:L26,Main3WData[[#This Row],[PT.Concat]])</f>
        <v>1</v>
      </c>
      <c r="N26" s="70">
        <f>MATCH(Main3WData[[#This Row],[PT.Concat]],$L$5:L26,0)</f>
        <v>22</v>
      </c>
      <c r="O26" s="62" t="b">
        <f>Main3WData[[#This Row],[Count PT.Concat]]=1</f>
        <v>1</v>
      </c>
      <c r="P26" s="62">
        <f t="array" ref="P26">MAX(($N$4:N25=Main3WData[[#This Row],[PT.ID]])*ROW($N$4:N25))</f>
        <v>0</v>
      </c>
      <c r="Q26" s="62" t="str">
        <f>IF(Main3WData[[#This Row],[PT.FirstID]],Main3WData[[#This Row],[Acronym]],INDEX($Q$4:Q25,Main3WData[[#This Row],[PT.LastID.Row]]-ROW($Q$4)+1) &amp; ", "&amp;Main3WData[[#This Row],[Acronym]])</f>
        <v>UNMEER</v>
      </c>
      <c r="R26" s="62" t="b">
        <f t="array" ref="R26">MAX(IF(Main3WData[PT.ID]=Main3WData[[#This Row],[PT.ID]],Main3WData[PT.LastID.Row]))=Main3WData[[#This Row],[PT.LastID.Row]]</f>
        <v>1</v>
      </c>
    </row>
    <row r="27" spans="2:18" s="1" customFormat="1" ht="16.5" customHeight="1" x14ac:dyDescent="0.2">
      <c r="B27" s="55" t="s">
        <v>78</v>
      </c>
      <c r="C27" s="27" t="str">
        <f>INDEX(Organizations[],MATCH(Main3WData[[#This Row],[Acronym]],AcronymList,0),1)</f>
        <v>World Food Programme</v>
      </c>
      <c r="D27" s="27" t="str">
        <f>INDEX(Organizations[],MATCH(Main3WData[[#This Row],[Acronym]],AcronymList,0),3)</f>
        <v>UN Agency</v>
      </c>
      <c r="E27" s="54" t="s">
        <v>353</v>
      </c>
      <c r="F27" s="53" t="s">
        <v>82</v>
      </c>
      <c r="G27" s="54" t="s">
        <v>424</v>
      </c>
      <c r="H27" s="28" t="str">
        <f>VLOOKUP(Main3WData[[#This Row],[Admin Unit Name]],AdminUnits[],2,FALSE)</f>
        <v>GIN008001</v>
      </c>
      <c r="I27" s="57">
        <v>0</v>
      </c>
      <c r="J27" s="67" t="str">
        <f>Main3WData[[#This Row],[Acronym]]&amp;Main3WData[[#This Row],[Sector]]&amp;Main3WData[[#This Row],[Activity Type]]&amp;Main3WData[[#This Row],[Pcode]]</f>
        <v>WFPPrise en chargeOngoingGIN008001</v>
      </c>
      <c r="K27" s="69">
        <f>COUNTIF(Main3WData[Concatenate],Main3WData[[#This Row],[Concatenate]])</f>
        <v>1</v>
      </c>
      <c r="L27" s="61" t="str">
        <f>Main3WData[[#This Row],[Sector]]&amp;Main3WData[[#This Row],[Pcode]]</f>
        <v>Prise en chargeGIN008001</v>
      </c>
      <c r="M27" s="71">
        <f>COUNTIF($L$5:L27,Main3WData[[#This Row],[PT.Concat]])</f>
        <v>1</v>
      </c>
      <c r="N27" s="70">
        <f>MATCH(Main3WData[[#This Row],[PT.Concat]],$L$5:L27,0)</f>
        <v>23</v>
      </c>
      <c r="O27" s="62" t="b">
        <f>Main3WData[[#This Row],[Count PT.Concat]]=1</f>
        <v>1</v>
      </c>
      <c r="P27" s="62">
        <f t="array" ref="P27">MAX(($N$4:N26=Main3WData[[#This Row],[PT.ID]])*ROW($N$4:N26))</f>
        <v>0</v>
      </c>
      <c r="Q27" s="62" t="str">
        <f>IF(Main3WData[[#This Row],[PT.FirstID]],Main3WData[[#This Row],[Acronym]],INDEX($Q$4:Q26,Main3WData[[#This Row],[PT.LastID.Row]]-ROW($Q$4)+1) &amp; ", "&amp;Main3WData[[#This Row],[Acronym]])</f>
        <v>WFP</v>
      </c>
      <c r="R27" s="62" t="b">
        <f t="array" ref="R27">MAX(IF(Main3WData[PT.ID]=Main3WData[[#This Row],[PT.ID]],Main3WData[PT.LastID.Row]))=Main3WData[[#This Row],[PT.LastID.Row]]</f>
        <v>0</v>
      </c>
    </row>
    <row r="28" spans="2:18" s="1" customFormat="1" ht="16.5" customHeight="1" x14ac:dyDescent="0.2">
      <c r="B28" s="55" t="s">
        <v>517</v>
      </c>
      <c r="C28" s="27" t="str">
        <f>INDEX(Organizations[],MATCH(Main3WData[[#This Row],[Acronym]],AcronymList,0),1)</f>
        <v>USAID/JHPIEGO</v>
      </c>
      <c r="D28" s="27" t="str">
        <f>INDEX(Organizations[],MATCH(Main3WData[[#This Row],[Acronym]],AcronymList,0),3)</f>
        <v>International Organization</v>
      </c>
      <c r="E28" s="54" t="s">
        <v>353</v>
      </c>
      <c r="F28" s="53" t="s">
        <v>82</v>
      </c>
      <c r="G28" s="54" t="s">
        <v>424</v>
      </c>
      <c r="H28" s="28" t="str">
        <f>VLOOKUP(Main3WData[[#This Row],[Admin Unit Name]],AdminUnits[],2,FALSE)</f>
        <v>GIN008001</v>
      </c>
      <c r="I28" s="57">
        <v>0</v>
      </c>
      <c r="J28" s="67" t="str">
        <f>Main3WData[[#This Row],[Acronym]]&amp;Main3WData[[#This Row],[Sector]]&amp;Main3WData[[#This Row],[Activity Type]]&amp;Main3WData[[#This Row],[Pcode]]</f>
        <v>USAID/JHPIEGOPrise en chargeOngoingGIN008001</v>
      </c>
      <c r="K28" s="69">
        <f>COUNTIF(Main3WData[Concatenate],Main3WData[[#This Row],[Concatenate]])</f>
        <v>1</v>
      </c>
      <c r="L28" s="61" t="str">
        <f>Main3WData[[#This Row],[Sector]]&amp;Main3WData[[#This Row],[Pcode]]</f>
        <v>Prise en chargeGIN008001</v>
      </c>
      <c r="M28" s="71">
        <f>COUNTIF($L$5:L28,Main3WData[[#This Row],[PT.Concat]])</f>
        <v>2</v>
      </c>
      <c r="N28" s="70">
        <f>MATCH(Main3WData[[#This Row],[PT.Concat]],$L$5:L28,0)</f>
        <v>23</v>
      </c>
      <c r="O28" s="62" t="b">
        <f>Main3WData[[#This Row],[Count PT.Concat]]=1</f>
        <v>0</v>
      </c>
      <c r="P28" s="62">
        <f t="array" ref="P28">MAX(($N$4:N27=Main3WData[[#This Row],[PT.ID]])*ROW($N$4:N27))</f>
        <v>27</v>
      </c>
      <c r="Q28" s="62" t="str">
        <f>IF(Main3WData[[#This Row],[PT.FirstID]],Main3WData[[#This Row],[Acronym]],INDEX($Q$4:Q27,Main3WData[[#This Row],[PT.LastID.Row]]-ROW($Q$4)+1) &amp; ", "&amp;Main3WData[[#This Row],[Acronym]])</f>
        <v>WFP, USAID/JHPIEGO</v>
      </c>
      <c r="R28" s="62" t="b">
        <f t="array" ref="R28">MAX(IF(Main3WData[PT.ID]=Main3WData[[#This Row],[PT.ID]],Main3WData[PT.LastID.Row]))=Main3WData[[#This Row],[PT.LastID.Row]]</f>
        <v>0</v>
      </c>
    </row>
    <row r="29" spans="2:18" s="1" customFormat="1" ht="16.5" customHeight="1" x14ac:dyDescent="0.2">
      <c r="B29" s="55" t="s">
        <v>512</v>
      </c>
      <c r="C29" s="27" t="str">
        <f>INDEX(Organizations[],MATCH(Main3WData[[#This Row],[Acronym]],AcronymList,0),1)</f>
        <v>World Health Organization</v>
      </c>
      <c r="D29" s="27" t="str">
        <f>INDEX(Organizations[],MATCH(Main3WData[[#This Row],[Acronym]],AcronymList,0),3)</f>
        <v>UN Agency</v>
      </c>
      <c r="E29" s="54" t="s">
        <v>353</v>
      </c>
      <c r="F29" s="53" t="s">
        <v>82</v>
      </c>
      <c r="G29" s="54" t="s">
        <v>424</v>
      </c>
      <c r="H29" s="28" t="str">
        <f>VLOOKUP(Main3WData[[#This Row],[Admin Unit Name]],AdminUnits[],2,FALSE)</f>
        <v>GIN008001</v>
      </c>
      <c r="I29" s="57">
        <v>0</v>
      </c>
      <c r="J29" s="67" t="str">
        <f>Main3WData[[#This Row],[Acronym]]&amp;Main3WData[[#This Row],[Sector]]&amp;Main3WData[[#This Row],[Activity Type]]&amp;Main3WData[[#This Row],[Pcode]]</f>
        <v>OMSPrise en chargeOngoingGIN008001</v>
      </c>
      <c r="K29" s="69">
        <f>COUNTIF(Main3WData[Concatenate],Main3WData[[#This Row],[Concatenate]])</f>
        <v>1</v>
      </c>
      <c r="L29" s="61" t="str">
        <f>Main3WData[[#This Row],[Sector]]&amp;Main3WData[[#This Row],[Pcode]]</f>
        <v>Prise en chargeGIN008001</v>
      </c>
      <c r="M29" s="71">
        <f>COUNTIF($L$5:L29,Main3WData[[#This Row],[PT.Concat]])</f>
        <v>3</v>
      </c>
      <c r="N29" s="70">
        <f>MATCH(Main3WData[[#This Row],[PT.Concat]],$L$5:L29,0)</f>
        <v>23</v>
      </c>
      <c r="O29" s="62" t="b">
        <f>Main3WData[[#This Row],[Count PT.Concat]]=1</f>
        <v>0</v>
      </c>
      <c r="P29" s="62">
        <f t="array" ref="P29">MAX(($N$4:N28=Main3WData[[#This Row],[PT.ID]])*ROW($N$4:N28))</f>
        <v>28</v>
      </c>
      <c r="Q29" s="62" t="str">
        <f>IF(Main3WData[[#This Row],[PT.FirstID]],Main3WData[[#This Row],[Acronym]],INDEX($Q$4:Q28,Main3WData[[#This Row],[PT.LastID.Row]]-ROW($Q$4)+1) &amp; ", "&amp;Main3WData[[#This Row],[Acronym]])</f>
        <v>WFP, USAID/JHPIEGO, OMS</v>
      </c>
      <c r="R29" s="62" t="b">
        <f t="array" ref="R29">MAX(IF(Main3WData[PT.ID]=Main3WData[[#This Row],[PT.ID]],Main3WData[PT.LastID.Row]))=Main3WData[[#This Row],[PT.LastID.Row]]</f>
        <v>0</v>
      </c>
    </row>
    <row r="30" spans="2:18" s="1" customFormat="1" ht="16.5" customHeight="1" x14ac:dyDescent="0.2">
      <c r="B30" s="55" t="s">
        <v>454</v>
      </c>
      <c r="C30" s="27" t="str">
        <f>INDEX(Organizations[],MATCH(Main3WData[[#This Row],[Acronym]],AcronymList,0),1)</f>
        <v>France</v>
      </c>
      <c r="D30" s="27" t="str">
        <f>INDEX(Organizations[],MATCH(Main3WData[[#This Row],[Acronym]],AcronymList,0),3)</f>
        <v>Donors</v>
      </c>
      <c r="E30" s="54" t="s">
        <v>353</v>
      </c>
      <c r="F30" s="53" t="s">
        <v>82</v>
      </c>
      <c r="G30" s="54" t="s">
        <v>424</v>
      </c>
      <c r="H30" s="28" t="str">
        <f>VLOOKUP(Main3WData[[#This Row],[Admin Unit Name]],AdminUnits[],2,FALSE)</f>
        <v>GIN008001</v>
      </c>
      <c r="I30" s="57">
        <v>0</v>
      </c>
      <c r="J30" s="67" t="str">
        <f>Main3WData[[#This Row],[Acronym]]&amp;Main3WData[[#This Row],[Sector]]&amp;Main3WData[[#This Row],[Activity Type]]&amp;Main3WData[[#This Row],[Pcode]]</f>
        <v>FrancePrise en chargeOngoingGIN008001</v>
      </c>
      <c r="K30" s="69">
        <f>COUNTIF(Main3WData[Concatenate],Main3WData[[#This Row],[Concatenate]])</f>
        <v>1</v>
      </c>
      <c r="L30" s="61" t="str">
        <f>Main3WData[[#This Row],[Sector]]&amp;Main3WData[[#This Row],[Pcode]]</f>
        <v>Prise en chargeGIN008001</v>
      </c>
      <c r="M30" s="71">
        <f>COUNTIF($L$5:L30,Main3WData[[#This Row],[PT.Concat]])</f>
        <v>4</v>
      </c>
      <c r="N30" s="70">
        <f>MATCH(Main3WData[[#This Row],[PT.Concat]],$L$5:L30,0)</f>
        <v>23</v>
      </c>
      <c r="O30" s="62" t="b">
        <f>Main3WData[[#This Row],[Count PT.Concat]]=1</f>
        <v>0</v>
      </c>
      <c r="P30" s="62">
        <f t="array" ref="P30">MAX(($N$4:N29=Main3WData[[#This Row],[PT.ID]])*ROW($N$4:N29))</f>
        <v>29</v>
      </c>
      <c r="Q30" s="62" t="str">
        <f>IF(Main3WData[[#This Row],[PT.FirstID]],Main3WData[[#This Row],[Acronym]],INDEX($Q$4:Q29,Main3WData[[#This Row],[PT.LastID.Row]]-ROW($Q$4)+1) &amp; ", "&amp;Main3WData[[#This Row],[Acronym]])</f>
        <v>WFP, USAID/JHPIEGO, OMS, France</v>
      </c>
      <c r="R30" s="62" t="b">
        <f t="array" ref="R30">MAX(IF(Main3WData[PT.ID]=Main3WData[[#This Row],[PT.ID]],Main3WData[PT.LastID.Row]))=Main3WData[[#This Row],[PT.LastID.Row]]</f>
        <v>0</v>
      </c>
    </row>
    <row r="31" spans="2:18" s="1" customFormat="1" ht="16.5" customHeight="1" x14ac:dyDescent="0.2">
      <c r="B31" s="55" t="s">
        <v>453</v>
      </c>
      <c r="C31" s="27" t="str">
        <f>INDEX(Organizations[],MATCH(Main3WData[[#This Row],[Acronym]],AcronymList,0),1)</f>
        <v>European Union</v>
      </c>
      <c r="D31" s="27" t="str">
        <f>INDEX(Organizations[],MATCH(Main3WData[[#This Row],[Acronym]],AcronymList,0),3)</f>
        <v>Donors</v>
      </c>
      <c r="E31" s="54" t="s">
        <v>353</v>
      </c>
      <c r="F31" s="53" t="s">
        <v>82</v>
      </c>
      <c r="G31" s="54" t="s">
        <v>424</v>
      </c>
      <c r="H31" s="28" t="str">
        <f>VLOOKUP(Main3WData[[#This Row],[Admin Unit Name]],AdminUnits[],2,FALSE)</f>
        <v>GIN008001</v>
      </c>
      <c r="I31" s="57">
        <v>0</v>
      </c>
      <c r="J31" s="67" t="str">
        <f>Main3WData[[#This Row],[Acronym]]&amp;Main3WData[[#This Row],[Sector]]&amp;Main3WData[[#This Row],[Activity Type]]&amp;Main3WData[[#This Row],[Pcode]]</f>
        <v>EUPrise en chargeOngoingGIN008001</v>
      </c>
      <c r="K31" s="69">
        <f>COUNTIF(Main3WData[Concatenate],Main3WData[[#This Row],[Concatenate]])</f>
        <v>1</v>
      </c>
      <c r="L31" s="61" t="str">
        <f>Main3WData[[#This Row],[Sector]]&amp;Main3WData[[#This Row],[Pcode]]</f>
        <v>Prise en chargeGIN008001</v>
      </c>
      <c r="M31" s="71">
        <f>COUNTIF($L$5:L31,Main3WData[[#This Row],[PT.Concat]])</f>
        <v>5</v>
      </c>
      <c r="N31" s="70">
        <f>MATCH(Main3WData[[#This Row],[PT.Concat]],$L$5:L31,0)</f>
        <v>23</v>
      </c>
      <c r="O31" s="62" t="b">
        <f>Main3WData[[#This Row],[Count PT.Concat]]=1</f>
        <v>0</v>
      </c>
      <c r="P31" s="62">
        <f t="array" ref="P31">MAX(($N$4:N30=Main3WData[[#This Row],[PT.ID]])*ROW($N$4:N30))</f>
        <v>30</v>
      </c>
      <c r="Q31" s="62" t="str">
        <f>IF(Main3WData[[#This Row],[PT.FirstID]],Main3WData[[#This Row],[Acronym]],INDEX($Q$4:Q30,Main3WData[[#This Row],[PT.LastID.Row]]-ROW($Q$4)+1) &amp; ", "&amp;Main3WData[[#This Row],[Acronym]])</f>
        <v>WFP, USAID/JHPIEGO, OMS, France, EU</v>
      </c>
      <c r="R31" s="62" t="b">
        <f t="array" ref="R31">MAX(IF(Main3WData[PT.ID]=Main3WData[[#This Row],[PT.ID]],Main3WData[PT.LastID.Row]))=Main3WData[[#This Row],[PT.LastID.Row]]</f>
        <v>1</v>
      </c>
    </row>
    <row r="32" spans="2:18" s="1" customFormat="1" ht="16.5" customHeight="1" x14ac:dyDescent="0.2">
      <c r="B32" s="55" t="s">
        <v>78</v>
      </c>
      <c r="C32" s="27" t="str">
        <f>INDEX(Organizations[],MATCH(Main3WData[[#This Row],[Acronym]],AcronymList,0),1)</f>
        <v>World Food Programme</v>
      </c>
      <c r="D32" s="27" t="str">
        <f>INDEX(Organizations[],MATCH(Main3WData[[#This Row],[Acronym]],AcronymList,0),3)</f>
        <v>UN Agency</v>
      </c>
      <c r="E32" s="54" t="s">
        <v>355</v>
      </c>
      <c r="F32" s="53" t="s">
        <v>82</v>
      </c>
      <c r="G32" s="54" t="s">
        <v>424</v>
      </c>
      <c r="H32" s="28" t="str">
        <f>VLOOKUP(Main3WData[[#This Row],[Admin Unit Name]],AdminUnits[],2,FALSE)</f>
        <v>GIN008001</v>
      </c>
      <c r="I32" s="57">
        <v>0</v>
      </c>
      <c r="J32" s="67" t="str">
        <f>Main3WData[[#This Row],[Acronym]]&amp;Main3WData[[#This Row],[Sector]]&amp;Main3WData[[#This Row],[Activity Type]]&amp;Main3WData[[#This Row],[Pcode]]</f>
        <v>WFPSoutien nutritionnel et socialOngoingGIN008001</v>
      </c>
      <c r="K32" s="69">
        <f>COUNTIF(Main3WData[Concatenate],Main3WData[[#This Row],[Concatenate]])</f>
        <v>1</v>
      </c>
      <c r="L32" s="61" t="str">
        <f>Main3WData[[#This Row],[Sector]]&amp;Main3WData[[#This Row],[Pcode]]</f>
        <v>Soutien nutritionnel et socialGIN008001</v>
      </c>
      <c r="M32" s="71">
        <f>COUNTIF($L$5:L32,Main3WData[[#This Row],[PT.Concat]])</f>
        <v>1</v>
      </c>
      <c r="N32" s="70">
        <f>MATCH(Main3WData[[#This Row],[PT.Concat]],$L$5:L32,0)</f>
        <v>28</v>
      </c>
      <c r="O32" s="62" t="b">
        <f>Main3WData[[#This Row],[Count PT.Concat]]=1</f>
        <v>1</v>
      </c>
      <c r="P32" s="62">
        <f t="array" ref="P32">MAX(($N$4:N31=Main3WData[[#This Row],[PT.ID]])*ROW($N$4:N31))</f>
        <v>0</v>
      </c>
      <c r="Q32" s="62" t="str">
        <f>IF(Main3WData[[#This Row],[PT.FirstID]],Main3WData[[#This Row],[Acronym]],INDEX($Q$4:Q31,Main3WData[[#This Row],[PT.LastID.Row]]-ROW($Q$4)+1) &amp; ", "&amp;Main3WData[[#This Row],[Acronym]])</f>
        <v>WFP</v>
      </c>
      <c r="R32" s="62" t="b">
        <f t="array" ref="R32">MAX(IF(Main3WData[PT.ID]=Main3WData[[#This Row],[PT.ID]],Main3WData[PT.LastID.Row]))=Main3WData[[#This Row],[PT.LastID.Row]]</f>
        <v>0</v>
      </c>
    </row>
    <row r="33" spans="2:18" s="1" customFormat="1" ht="16.5" customHeight="1" x14ac:dyDescent="0.2">
      <c r="B33" s="55" t="s">
        <v>503</v>
      </c>
      <c r="C33" s="27" t="str">
        <f>INDEX(Organizations[],MATCH(Main3WData[[#This Row],[Acronym]],AcronymList,0),1)</f>
        <v>Danish Refugee Council</v>
      </c>
      <c r="D33" s="27" t="str">
        <f>INDEX(Organizations[],MATCH(Main3WData[[#This Row],[Acronym]],AcronymList,0),3)</f>
        <v>International NGO</v>
      </c>
      <c r="E33" s="54" t="s">
        <v>355</v>
      </c>
      <c r="F33" s="53" t="s">
        <v>82</v>
      </c>
      <c r="G33" s="54" t="s">
        <v>424</v>
      </c>
      <c r="H33" s="28" t="str">
        <f>VLOOKUP(Main3WData[[#This Row],[Admin Unit Name]],AdminUnits[],2,FALSE)</f>
        <v>GIN008001</v>
      </c>
      <c r="I33" s="57">
        <v>0</v>
      </c>
      <c r="J33" s="67" t="str">
        <f>Main3WData[[#This Row],[Acronym]]&amp;Main3WData[[#This Row],[Sector]]&amp;Main3WData[[#This Row],[Activity Type]]&amp;Main3WData[[#This Row],[Pcode]]</f>
        <v>DRCSoutien nutritionnel et socialOngoingGIN008001</v>
      </c>
      <c r="K33" s="69">
        <f>COUNTIF(Main3WData[Concatenate],Main3WData[[#This Row],[Concatenate]])</f>
        <v>1</v>
      </c>
      <c r="L33" s="61" t="str">
        <f>Main3WData[[#This Row],[Sector]]&amp;Main3WData[[#This Row],[Pcode]]</f>
        <v>Soutien nutritionnel et socialGIN008001</v>
      </c>
      <c r="M33" s="71">
        <f>COUNTIF($L$5:L33,Main3WData[[#This Row],[PT.Concat]])</f>
        <v>2</v>
      </c>
      <c r="N33" s="70">
        <f>MATCH(Main3WData[[#This Row],[PT.Concat]],$L$5:L33,0)</f>
        <v>28</v>
      </c>
      <c r="O33" s="62" t="b">
        <f>Main3WData[[#This Row],[Count PT.Concat]]=1</f>
        <v>0</v>
      </c>
      <c r="P33" s="62">
        <f t="array" ref="P33">MAX(($N$4:N32=Main3WData[[#This Row],[PT.ID]])*ROW($N$4:N32))</f>
        <v>32</v>
      </c>
      <c r="Q33" s="62" t="str">
        <f>IF(Main3WData[[#This Row],[PT.FirstID]],Main3WData[[#This Row],[Acronym]],INDEX($Q$4:Q32,Main3WData[[#This Row],[PT.LastID.Row]]-ROW($Q$4)+1) &amp; ", "&amp;Main3WData[[#This Row],[Acronym]])</f>
        <v>WFP, DRC</v>
      </c>
      <c r="R33" s="62" t="b">
        <f t="array" ref="R33">MAX(IF(Main3WData[PT.ID]=Main3WData[[#This Row],[PT.ID]],Main3WData[PT.LastID.Row]))=Main3WData[[#This Row],[PT.LastID.Row]]</f>
        <v>1</v>
      </c>
    </row>
    <row r="34" spans="2:18" s="1" customFormat="1" ht="16.5" customHeight="1" x14ac:dyDescent="0.2">
      <c r="B34" s="55" t="s">
        <v>517</v>
      </c>
      <c r="C34" s="27" t="str">
        <f>INDEX(Organizations[],MATCH(Main3WData[[#This Row],[Acronym]],AcronymList,0),1)</f>
        <v>USAID/JHPIEGO</v>
      </c>
      <c r="D34" s="27" t="str">
        <f>INDEX(Organizations[],MATCH(Main3WData[[#This Row],[Acronym]],AcronymList,0),3)</f>
        <v>International Organization</v>
      </c>
      <c r="E34" s="54" t="s">
        <v>351</v>
      </c>
      <c r="F34" s="53" t="s">
        <v>82</v>
      </c>
      <c r="G34" s="54" t="s">
        <v>424</v>
      </c>
      <c r="H34" s="28" t="str">
        <f>VLOOKUP(Main3WData[[#This Row],[Admin Unit Name]],AdminUnits[],2,FALSE)</f>
        <v>GIN008001</v>
      </c>
      <c r="I34" s="57">
        <v>0</v>
      </c>
      <c r="J34" s="67" t="str">
        <f>Main3WData[[#This Row],[Acronym]]&amp;Main3WData[[#This Row],[Sector]]&amp;Main3WData[[#This Row],[Activity Type]]&amp;Main3WData[[#This Row],[Pcode]]</f>
        <v>USAID/JHPIEGOSurveillance &amp; suiviOngoingGIN008001</v>
      </c>
      <c r="K34" s="69">
        <f>COUNTIF(Main3WData[Concatenate],Main3WData[[#This Row],[Concatenate]])</f>
        <v>1</v>
      </c>
      <c r="L34" s="61" t="str">
        <f>Main3WData[[#This Row],[Sector]]&amp;Main3WData[[#This Row],[Pcode]]</f>
        <v>Surveillance &amp; suiviGIN008001</v>
      </c>
      <c r="M34" s="71">
        <f>COUNTIF($L$5:L34,Main3WData[[#This Row],[PT.Concat]])</f>
        <v>1</v>
      </c>
      <c r="N34" s="70">
        <f>MATCH(Main3WData[[#This Row],[PT.Concat]],$L$5:L34,0)</f>
        <v>30</v>
      </c>
      <c r="O34" s="62" t="b">
        <f>Main3WData[[#This Row],[Count PT.Concat]]=1</f>
        <v>1</v>
      </c>
      <c r="P34" s="62">
        <f t="array" ref="P34">MAX(($N$4:N33=Main3WData[[#This Row],[PT.ID]])*ROW($N$4:N33))</f>
        <v>0</v>
      </c>
      <c r="Q34" s="62" t="str">
        <f>IF(Main3WData[[#This Row],[PT.FirstID]],Main3WData[[#This Row],[Acronym]],INDEX($Q$4:Q33,Main3WData[[#This Row],[PT.LastID.Row]]-ROW($Q$4)+1) &amp; ", "&amp;Main3WData[[#This Row],[Acronym]])</f>
        <v>USAID/JHPIEGO</v>
      </c>
      <c r="R34" s="62" t="b">
        <f t="array" ref="R34">MAX(IF(Main3WData[PT.ID]=Main3WData[[#This Row],[PT.ID]],Main3WData[PT.LastID.Row]))=Main3WData[[#This Row],[PT.LastID.Row]]</f>
        <v>0</v>
      </c>
    </row>
    <row r="35" spans="2:18" s="1" customFormat="1" ht="16.5" customHeight="1" x14ac:dyDescent="0.2">
      <c r="B35" s="55" t="s">
        <v>477</v>
      </c>
      <c r="C35" s="27" t="str">
        <f>INDEX(Organizations[],MATCH(Main3WData[[#This Row],[Acronym]],AcronymList,0),1)</f>
        <v>United States Agency for International Development</v>
      </c>
      <c r="D35" s="27" t="str">
        <f>INDEX(Organizations[],MATCH(Main3WData[[#This Row],[Acronym]],AcronymList,0),3)</f>
        <v>Donors</v>
      </c>
      <c r="E35" s="54" t="s">
        <v>351</v>
      </c>
      <c r="F35" s="53" t="s">
        <v>82</v>
      </c>
      <c r="G35" s="54" t="s">
        <v>424</v>
      </c>
      <c r="H35" s="28" t="str">
        <f>VLOOKUP(Main3WData[[#This Row],[Admin Unit Name]],AdminUnits[],2,FALSE)</f>
        <v>GIN008001</v>
      </c>
      <c r="I35" s="57">
        <v>0</v>
      </c>
      <c r="J35" s="67" t="str">
        <f>Main3WData[[#This Row],[Acronym]]&amp;Main3WData[[#This Row],[Sector]]&amp;Main3WData[[#This Row],[Activity Type]]&amp;Main3WData[[#This Row],[Pcode]]</f>
        <v>USAIDSurveillance &amp; suiviOngoingGIN008001</v>
      </c>
      <c r="K35" s="69">
        <f>COUNTIF(Main3WData[Concatenate],Main3WData[[#This Row],[Concatenate]])</f>
        <v>1</v>
      </c>
      <c r="L35" s="61" t="str">
        <f>Main3WData[[#This Row],[Sector]]&amp;Main3WData[[#This Row],[Pcode]]</f>
        <v>Surveillance &amp; suiviGIN008001</v>
      </c>
      <c r="M35" s="71">
        <f>COUNTIF($L$5:L35,Main3WData[[#This Row],[PT.Concat]])</f>
        <v>2</v>
      </c>
      <c r="N35" s="70">
        <f>MATCH(Main3WData[[#This Row],[PT.Concat]],$L$5:L35,0)</f>
        <v>30</v>
      </c>
      <c r="O35" s="62" t="b">
        <f>Main3WData[[#This Row],[Count PT.Concat]]=1</f>
        <v>0</v>
      </c>
      <c r="P35" s="62">
        <f t="array" ref="P35">MAX(($N$4:N34=Main3WData[[#This Row],[PT.ID]])*ROW($N$4:N34))</f>
        <v>34</v>
      </c>
      <c r="Q35" s="62" t="str">
        <f>IF(Main3WData[[#This Row],[PT.FirstID]],Main3WData[[#This Row],[Acronym]],INDEX($Q$4:Q34,Main3WData[[#This Row],[PT.LastID.Row]]-ROW($Q$4)+1) &amp; ", "&amp;Main3WData[[#This Row],[Acronym]])</f>
        <v>USAID/JHPIEGO, USAID</v>
      </c>
      <c r="R35" s="62" t="b">
        <f t="array" ref="R35">MAX(IF(Main3WData[PT.ID]=Main3WData[[#This Row],[PT.ID]],Main3WData[PT.LastID.Row]))=Main3WData[[#This Row],[PT.LastID.Row]]</f>
        <v>0</v>
      </c>
    </row>
    <row r="36" spans="2:18" s="1" customFormat="1" ht="16.5" customHeight="1" x14ac:dyDescent="0.2">
      <c r="B36" s="55" t="s">
        <v>75</v>
      </c>
      <c r="C36" s="27" t="str">
        <f>INDEX(Organizations[],MATCH(Main3WData[[#This Row],[Acronym]],AcronymList,0),1)</f>
        <v>United Nations Population Fund</v>
      </c>
      <c r="D36" s="27" t="str">
        <f>INDEX(Organizations[],MATCH(Main3WData[[#This Row],[Acronym]],AcronymList,0),3)</f>
        <v>UN Agency</v>
      </c>
      <c r="E36" s="54" t="s">
        <v>351</v>
      </c>
      <c r="F36" s="53" t="s">
        <v>82</v>
      </c>
      <c r="G36" s="54" t="s">
        <v>424</v>
      </c>
      <c r="H36" s="28" t="str">
        <f>VLOOKUP(Main3WData[[#This Row],[Admin Unit Name]],AdminUnits[],2,FALSE)</f>
        <v>GIN008001</v>
      </c>
      <c r="I36" s="57">
        <v>0</v>
      </c>
      <c r="J36" s="67" t="str">
        <f>Main3WData[[#This Row],[Acronym]]&amp;Main3WData[[#This Row],[Sector]]&amp;Main3WData[[#This Row],[Activity Type]]&amp;Main3WData[[#This Row],[Pcode]]</f>
        <v>UNFPASurveillance &amp; suiviOngoingGIN008001</v>
      </c>
      <c r="K36" s="69">
        <f>COUNTIF(Main3WData[Concatenate],Main3WData[[#This Row],[Concatenate]])</f>
        <v>1</v>
      </c>
      <c r="L36" s="61" t="str">
        <f>Main3WData[[#This Row],[Sector]]&amp;Main3WData[[#This Row],[Pcode]]</f>
        <v>Surveillance &amp; suiviGIN008001</v>
      </c>
      <c r="M36" s="71">
        <f>COUNTIF($L$5:L36,Main3WData[[#This Row],[PT.Concat]])</f>
        <v>3</v>
      </c>
      <c r="N36" s="70">
        <f>MATCH(Main3WData[[#This Row],[PT.Concat]],$L$5:L36,0)</f>
        <v>30</v>
      </c>
      <c r="O36" s="62" t="b">
        <f>Main3WData[[#This Row],[Count PT.Concat]]=1</f>
        <v>0</v>
      </c>
      <c r="P36" s="62">
        <f t="array" ref="P36">MAX(($N$4:N35=Main3WData[[#This Row],[PT.ID]])*ROW($N$4:N35))</f>
        <v>35</v>
      </c>
      <c r="Q36" s="62" t="str">
        <f>IF(Main3WData[[#This Row],[PT.FirstID]],Main3WData[[#This Row],[Acronym]],INDEX($Q$4:Q35,Main3WData[[#This Row],[PT.LastID.Row]]-ROW($Q$4)+1) &amp; ", "&amp;Main3WData[[#This Row],[Acronym]])</f>
        <v>USAID/JHPIEGO, USAID, UNFPA</v>
      </c>
      <c r="R36" s="62" t="b">
        <f t="array" ref="R36">MAX(IF(Main3WData[PT.ID]=Main3WData[[#This Row],[PT.ID]],Main3WData[PT.LastID.Row]))=Main3WData[[#This Row],[PT.LastID.Row]]</f>
        <v>0</v>
      </c>
    </row>
    <row r="37" spans="2:18" s="1" customFormat="1" ht="16.5" customHeight="1" x14ac:dyDescent="0.2">
      <c r="B37" s="55" t="s">
        <v>73</v>
      </c>
      <c r="C37" s="27" t="str">
        <f>INDEX(Organizations[],MATCH(Main3WData[[#This Row],[Acronym]],AcronymList,0),1)</f>
        <v>Save the Children</v>
      </c>
      <c r="D37" s="27" t="str">
        <f>INDEX(Organizations[],MATCH(Main3WData[[#This Row],[Acronym]],AcronymList,0),3)</f>
        <v>International NGO</v>
      </c>
      <c r="E37" s="54" t="s">
        <v>351</v>
      </c>
      <c r="F37" s="53" t="s">
        <v>82</v>
      </c>
      <c r="G37" s="54" t="s">
        <v>424</v>
      </c>
      <c r="H37" s="28" t="str">
        <f>VLOOKUP(Main3WData[[#This Row],[Admin Unit Name]],AdminUnits[],2,FALSE)</f>
        <v>GIN008001</v>
      </c>
      <c r="I37" s="57">
        <v>0</v>
      </c>
      <c r="J37" s="67" t="str">
        <f>Main3WData[[#This Row],[Acronym]]&amp;Main3WData[[#This Row],[Sector]]&amp;Main3WData[[#This Row],[Activity Type]]&amp;Main3WData[[#This Row],[Pcode]]</f>
        <v>Save the ChildrenSurveillance &amp; suiviOngoingGIN008001</v>
      </c>
      <c r="K37" s="69">
        <f>COUNTIF(Main3WData[Concatenate],Main3WData[[#This Row],[Concatenate]])</f>
        <v>1</v>
      </c>
      <c r="L37" s="61" t="str">
        <f>Main3WData[[#This Row],[Sector]]&amp;Main3WData[[#This Row],[Pcode]]</f>
        <v>Surveillance &amp; suiviGIN008001</v>
      </c>
      <c r="M37" s="71">
        <f>COUNTIF($L$5:L37,Main3WData[[#This Row],[PT.Concat]])</f>
        <v>4</v>
      </c>
      <c r="N37" s="70">
        <f>MATCH(Main3WData[[#This Row],[PT.Concat]],$L$5:L37,0)</f>
        <v>30</v>
      </c>
      <c r="O37" s="62" t="b">
        <f>Main3WData[[#This Row],[Count PT.Concat]]=1</f>
        <v>0</v>
      </c>
      <c r="P37" s="62">
        <f t="array" ref="P37">MAX(($N$4:N36=Main3WData[[#This Row],[PT.ID]])*ROW($N$4:N36))</f>
        <v>36</v>
      </c>
      <c r="Q37" s="62" t="str">
        <f>IF(Main3WData[[#This Row],[PT.FirstID]],Main3WData[[#This Row],[Acronym]],INDEX($Q$4:Q36,Main3WData[[#This Row],[PT.LastID.Row]]-ROW($Q$4)+1) &amp; ", "&amp;Main3WData[[#This Row],[Acronym]])</f>
        <v>USAID/JHPIEGO, USAID, UNFPA, Save the Children</v>
      </c>
      <c r="R37" s="62" t="b">
        <f t="array" ref="R37">MAX(IF(Main3WData[PT.ID]=Main3WData[[#This Row],[PT.ID]],Main3WData[PT.LastID.Row]))=Main3WData[[#This Row],[PT.LastID.Row]]</f>
        <v>0</v>
      </c>
    </row>
    <row r="38" spans="2:18" s="1" customFormat="1" ht="16.5" customHeight="1" x14ac:dyDescent="0.2">
      <c r="B38" s="55" t="s">
        <v>512</v>
      </c>
      <c r="C38" s="27" t="str">
        <f>INDEX(Organizations[],MATCH(Main3WData[[#This Row],[Acronym]],AcronymList,0),1)</f>
        <v>World Health Organization</v>
      </c>
      <c r="D38" s="27" t="str">
        <f>INDEX(Organizations[],MATCH(Main3WData[[#This Row],[Acronym]],AcronymList,0),3)</f>
        <v>UN Agency</v>
      </c>
      <c r="E38" s="54" t="s">
        <v>351</v>
      </c>
      <c r="F38" s="53" t="s">
        <v>82</v>
      </c>
      <c r="G38" s="54" t="s">
        <v>424</v>
      </c>
      <c r="H38" s="28" t="str">
        <f>VLOOKUP(Main3WData[[#This Row],[Admin Unit Name]],AdminUnits[],2,FALSE)</f>
        <v>GIN008001</v>
      </c>
      <c r="I38" s="57">
        <v>0</v>
      </c>
      <c r="J38" s="67" t="str">
        <f>Main3WData[[#This Row],[Acronym]]&amp;Main3WData[[#This Row],[Sector]]&amp;Main3WData[[#This Row],[Activity Type]]&amp;Main3WData[[#This Row],[Pcode]]</f>
        <v>OMSSurveillance &amp; suiviOngoingGIN008001</v>
      </c>
      <c r="K38" s="69">
        <f>COUNTIF(Main3WData[Concatenate],Main3WData[[#This Row],[Concatenate]])</f>
        <v>1</v>
      </c>
      <c r="L38" s="61" t="str">
        <f>Main3WData[[#This Row],[Sector]]&amp;Main3WData[[#This Row],[Pcode]]</f>
        <v>Surveillance &amp; suiviGIN008001</v>
      </c>
      <c r="M38" s="71">
        <f>COUNTIF($L$5:L38,Main3WData[[#This Row],[PT.Concat]])</f>
        <v>5</v>
      </c>
      <c r="N38" s="70">
        <f>MATCH(Main3WData[[#This Row],[PT.Concat]],$L$5:L38,0)</f>
        <v>30</v>
      </c>
      <c r="O38" s="62" t="b">
        <f>Main3WData[[#This Row],[Count PT.Concat]]=1</f>
        <v>0</v>
      </c>
      <c r="P38" s="62">
        <f t="array" ref="P38">MAX(($N$4:N37=Main3WData[[#This Row],[PT.ID]])*ROW($N$4:N37))</f>
        <v>37</v>
      </c>
      <c r="Q38" s="62" t="str">
        <f>IF(Main3WData[[#This Row],[PT.FirstID]],Main3WData[[#This Row],[Acronym]],INDEX($Q$4:Q37,Main3WData[[#This Row],[PT.LastID.Row]]-ROW($Q$4)+1) &amp; ", "&amp;Main3WData[[#This Row],[Acronym]])</f>
        <v>USAID/JHPIEGO, USAID, UNFPA, Save the Children, OMS</v>
      </c>
      <c r="R38" s="62" t="b">
        <f t="array" ref="R38">MAX(IF(Main3WData[PT.ID]=Main3WData[[#This Row],[PT.ID]],Main3WData[PT.LastID.Row]))=Main3WData[[#This Row],[PT.LastID.Row]]</f>
        <v>0</v>
      </c>
    </row>
    <row r="39" spans="2:18" s="1" customFormat="1" ht="16.5" customHeight="1" x14ac:dyDescent="0.2">
      <c r="B39" s="55" t="s">
        <v>496</v>
      </c>
      <c r="C39" s="27" t="str">
        <f>INDEX(Organizations[],MATCH(Main3WData[[#This Row],[Acronym]],AcronymList,0),1)</f>
        <v>Columbia University</v>
      </c>
      <c r="D39" s="27" t="str">
        <f>INDEX(Organizations[],MATCH(Main3WData[[#This Row],[Acronym]],AcronymList,0),3)</f>
        <v>Education</v>
      </c>
      <c r="E39" s="54" t="s">
        <v>351</v>
      </c>
      <c r="F39" s="53" t="s">
        <v>82</v>
      </c>
      <c r="G39" s="54" t="s">
        <v>424</v>
      </c>
      <c r="H39" s="28" t="str">
        <f>VLOOKUP(Main3WData[[#This Row],[Admin Unit Name]],AdminUnits[],2,FALSE)</f>
        <v>GIN008001</v>
      </c>
      <c r="I39" s="57">
        <v>0</v>
      </c>
      <c r="J39" s="67" t="str">
        <f>Main3WData[[#This Row],[Acronym]]&amp;Main3WData[[#This Row],[Sector]]&amp;Main3WData[[#This Row],[Activity Type]]&amp;Main3WData[[#This Row],[Pcode]]</f>
        <v>Columbia UnivSurveillance &amp; suiviOngoingGIN008001</v>
      </c>
      <c r="K39" s="69">
        <f>COUNTIF(Main3WData[Concatenate],Main3WData[[#This Row],[Concatenate]])</f>
        <v>1</v>
      </c>
      <c r="L39" s="61" t="str">
        <f>Main3WData[[#This Row],[Sector]]&amp;Main3WData[[#This Row],[Pcode]]</f>
        <v>Surveillance &amp; suiviGIN008001</v>
      </c>
      <c r="M39" s="71">
        <f>COUNTIF($L$5:L39,Main3WData[[#This Row],[PT.Concat]])</f>
        <v>6</v>
      </c>
      <c r="N39" s="70">
        <f>MATCH(Main3WData[[#This Row],[PT.Concat]],$L$5:L39,0)</f>
        <v>30</v>
      </c>
      <c r="O39" s="62" t="b">
        <f>Main3WData[[#This Row],[Count PT.Concat]]=1</f>
        <v>0</v>
      </c>
      <c r="P39" s="62">
        <f t="array" ref="P39">MAX(($N$4:N38=Main3WData[[#This Row],[PT.ID]])*ROW($N$4:N38))</f>
        <v>38</v>
      </c>
      <c r="Q39" s="62" t="str">
        <f>IF(Main3WData[[#This Row],[PT.FirstID]],Main3WData[[#This Row],[Acronym]],INDEX($Q$4:Q38,Main3WData[[#This Row],[PT.LastID.Row]]-ROW($Q$4)+1) &amp; ", "&amp;Main3WData[[#This Row],[Acronym]])</f>
        <v>USAID/JHPIEGO, USAID, UNFPA, Save the Children, OMS, Columbia Univ</v>
      </c>
      <c r="R39" s="62" t="b">
        <f t="array" ref="R39">MAX(IF(Main3WData[PT.ID]=Main3WData[[#This Row],[PT.ID]],Main3WData[PT.LastID.Row]))=Main3WData[[#This Row],[PT.LastID.Row]]</f>
        <v>0</v>
      </c>
    </row>
    <row r="40" spans="2:18" s="1" customFormat="1" ht="16.5" customHeight="1" x14ac:dyDescent="0.2">
      <c r="B40" s="55" t="s">
        <v>64</v>
      </c>
      <c r="C40" s="27" t="str">
        <f>INDEX(Organizations[],MATCH(Main3WData[[#This Row],[Acronym]],AcronymList,0),1)</f>
        <v>CDC</v>
      </c>
      <c r="D40" s="27" t="str">
        <f>INDEX(Organizations[],MATCH(Main3WData[[#This Row],[Acronym]],AcronymList,0),3)</f>
        <v>International NGO</v>
      </c>
      <c r="E40" s="54" t="s">
        <v>351</v>
      </c>
      <c r="F40" s="53" t="s">
        <v>82</v>
      </c>
      <c r="G40" s="54" t="s">
        <v>424</v>
      </c>
      <c r="H40" s="28" t="str">
        <f>VLOOKUP(Main3WData[[#This Row],[Admin Unit Name]],AdminUnits[],2,FALSE)</f>
        <v>GIN008001</v>
      </c>
      <c r="I40" s="57">
        <v>0</v>
      </c>
      <c r="J40" s="67" t="str">
        <f>Main3WData[[#This Row],[Acronym]]&amp;Main3WData[[#This Row],[Sector]]&amp;Main3WData[[#This Row],[Activity Type]]&amp;Main3WData[[#This Row],[Pcode]]</f>
        <v>CDCSurveillance &amp; suiviOngoingGIN008001</v>
      </c>
      <c r="K40" s="69">
        <f>COUNTIF(Main3WData[Concatenate],Main3WData[[#This Row],[Concatenate]])</f>
        <v>1</v>
      </c>
      <c r="L40" s="61" t="str">
        <f>Main3WData[[#This Row],[Sector]]&amp;Main3WData[[#This Row],[Pcode]]</f>
        <v>Surveillance &amp; suiviGIN008001</v>
      </c>
      <c r="M40" s="71">
        <f>COUNTIF($L$5:L40,Main3WData[[#This Row],[PT.Concat]])</f>
        <v>7</v>
      </c>
      <c r="N40" s="70">
        <f>MATCH(Main3WData[[#This Row],[PT.Concat]],$L$5:L40,0)</f>
        <v>30</v>
      </c>
      <c r="O40" s="62" t="b">
        <f>Main3WData[[#This Row],[Count PT.Concat]]=1</f>
        <v>0</v>
      </c>
      <c r="P40" s="62">
        <f t="array" ref="P40">MAX(($N$4:N39=Main3WData[[#This Row],[PT.ID]])*ROW($N$4:N39))</f>
        <v>39</v>
      </c>
      <c r="Q40" s="62" t="str">
        <f>IF(Main3WData[[#This Row],[PT.FirstID]],Main3WData[[#This Row],[Acronym]],INDEX($Q$4:Q39,Main3WData[[#This Row],[PT.LastID.Row]]-ROW($Q$4)+1) &amp; ", "&amp;Main3WData[[#This Row],[Acronym]])</f>
        <v>USAID/JHPIEGO, USAID, UNFPA, Save the Children, OMS, Columbia Univ, CDC</v>
      </c>
      <c r="R40" s="62" t="b">
        <f t="array" ref="R40">MAX(IF(Main3WData[PT.ID]=Main3WData[[#This Row],[PT.ID]],Main3WData[PT.LastID.Row]))=Main3WData[[#This Row],[PT.LastID.Row]]</f>
        <v>1</v>
      </c>
    </row>
    <row r="41" spans="2:18" s="1" customFormat="1" ht="16.5" customHeight="1" x14ac:dyDescent="0.2">
      <c r="B41" s="55" t="s">
        <v>77</v>
      </c>
      <c r="C41" s="27" t="str">
        <f>INDEX(Organizations[],MATCH(Main3WData[[#This Row],[Acronym]],AcronymList,0),1)</f>
        <v>United Nations Children's Fund</v>
      </c>
      <c r="D41" s="27" t="str">
        <f>INDEX(Organizations[],MATCH(Main3WData[[#This Row],[Acronym]],AcronymList,0),3)</f>
        <v>UN Agency</v>
      </c>
      <c r="E41" s="54" t="s">
        <v>350</v>
      </c>
      <c r="F41" s="53" t="s">
        <v>82</v>
      </c>
      <c r="G41" s="54" t="s">
        <v>368</v>
      </c>
      <c r="H41" s="28" t="str">
        <f>VLOOKUP(Main3WData[[#This Row],[Admin Unit Name]],AdminUnits[],2,FALSE)</f>
        <v>GIN001001</v>
      </c>
      <c r="I41" s="57">
        <v>0</v>
      </c>
      <c r="J41" s="67" t="str">
        <f>Main3WData[[#This Row],[Acronym]]&amp;Main3WData[[#This Row],[Sector]]&amp;Main3WData[[#This Row],[Activity Type]]&amp;Main3WData[[#This Row],[Pcode]]</f>
        <v>UNICEFCommunication/Mobilisation socialeOngoingGIN001001</v>
      </c>
      <c r="K41" s="69">
        <f>COUNTIF(Main3WData[Concatenate],Main3WData[[#This Row],[Concatenate]])</f>
        <v>1</v>
      </c>
      <c r="L41" s="61" t="str">
        <f>Main3WData[[#This Row],[Sector]]&amp;Main3WData[[#This Row],[Pcode]]</f>
        <v>Communication/Mobilisation socialeGIN001001</v>
      </c>
      <c r="M41" s="71">
        <f>COUNTIF($L$5:L41,Main3WData[[#This Row],[PT.Concat]])</f>
        <v>1</v>
      </c>
      <c r="N41" s="70">
        <f>MATCH(Main3WData[[#This Row],[PT.Concat]],$L$5:L41,0)</f>
        <v>37</v>
      </c>
      <c r="O41" s="62" t="b">
        <f>Main3WData[[#This Row],[Count PT.Concat]]=1</f>
        <v>1</v>
      </c>
      <c r="P41" s="62">
        <f t="array" ref="P41">MAX(($N$4:N40=Main3WData[[#This Row],[PT.ID]])*ROW($N$4:N40))</f>
        <v>0</v>
      </c>
      <c r="Q41" s="62" t="str">
        <f>IF(Main3WData[[#This Row],[PT.FirstID]],Main3WData[[#This Row],[Acronym]],INDEX($Q$4:Q40,Main3WData[[#This Row],[PT.LastID.Row]]-ROW($Q$4)+1) &amp; ", "&amp;Main3WData[[#This Row],[Acronym]])</f>
        <v>UNICEF</v>
      </c>
      <c r="R41" s="62" t="b">
        <f t="array" ref="R41">MAX(IF(Main3WData[PT.ID]=Main3WData[[#This Row],[PT.ID]],Main3WData[PT.LastID.Row]))=Main3WData[[#This Row],[PT.LastID.Row]]</f>
        <v>0</v>
      </c>
    </row>
    <row r="42" spans="2:18" s="1" customFormat="1" ht="16.5" customHeight="1" x14ac:dyDescent="0.2">
      <c r="B42" s="55" t="s">
        <v>75</v>
      </c>
      <c r="C42" s="27" t="str">
        <f>INDEX(Organizations[],MATCH(Main3WData[[#This Row],[Acronym]],AcronymList,0),1)</f>
        <v>United Nations Population Fund</v>
      </c>
      <c r="D42" s="27" t="str">
        <f>INDEX(Organizations[],MATCH(Main3WData[[#This Row],[Acronym]],AcronymList,0),3)</f>
        <v>UN Agency</v>
      </c>
      <c r="E42" s="54" t="s">
        <v>350</v>
      </c>
      <c r="F42" s="53" t="s">
        <v>82</v>
      </c>
      <c r="G42" s="54" t="s">
        <v>368</v>
      </c>
      <c r="H42" s="28" t="str">
        <f>VLOOKUP(Main3WData[[#This Row],[Admin Unit Name]],AdminUnits[],2,FALSE)</f>
        <v>GIN001001</v>
      </c>
      <c r="I42" s="57">
        <v>0</v>
      </c>
      <c r="J42" s="67" t="str">
        <f>Main3WData[[#This Row],[Acronym]]&amp;Main3WData[[#This Row],[Sector]]&amp;Main3WData[[#This Row],[Activity Type]]&amp;Main3WData[[#This Row],[Pcode]]</f>
        <v>UNFPACommunication/Mobilisation socialeOngoingGIN001001</v>
      </c>
      <c r="K42" s="69">
        <f>COUNTIF(Main3WData[Concatenate],Main3WData[[#This Row],[Concatenate]])</f>
        <v>1</v>
      </c>
      <c r="L42" s="61" t="str">
        <f>Main3WData[[#This Row],[Sector]]&amp;Main3WData[[#This Row],[Pcode]]</f>
        <v>Communication/Mobilisation socialeGIN001001</v>
      </c>
      <c r="M42" s="71">
        <f>COUNTIF($L$5:L42,Main3WData[[#This Row],[PT.Concat]])</f>
        <v>2</v>
      </c>
      <c r="N42" s="70">
        <f>MATCH(Main3WData[[#This Row],[PT.Concat]],$L$5:L42,0)</f>
        <v>37</v>
      </c>
      <c r="O42" s="62" t="b">
        <f>Main3WData[[#This Row],[Count PT.Concat]]=1</f>
        <v>0</v>
      </c>
      <c r="P42" s="62">
        <f t="array" ref="P42">MAX(($N$4:N41=Main3WData[[#This Row],[PT.ID]])*ROW($N$4:N41))</f>
        <v>41</v>
      </c>
      <c r="Q42" s="62" t="str">
        <f>IF(Main3WData[[#This Row],[PT.FirstID]],Main3WData[[#This Row],[Acronym]],INDEX($Q$4:Q41,Main3WData[[#This Row],[PT.LastID.Row]]-ROW($Q$4)+1) &amp; ", "&amp;Main3WData[[#This Row],[Acronym]])</f>
        <v>UNICEF, UNFPA</v>
      </c>
      <c r="R42" s="62" t="b">
        <f t="array" ref="R42">MAX(IF(Main3WData[PT.ID]=Main3WData[[#This Row],[PT.ID]],Main3WData[PT.LastID.Row]))=Main3WData[[#This Row],[PT.LastID.Row]]</f>
        <v>0</v>
      </c>
    </row>
    <row r="43" spans="2:18" s="1" customFormat="1" ht="16.5" customHeight="1" x14ac:dyDescent="0.2">
      <c r="B43" s="55" t="s">
        <v>473</v>
      </c>
      <c r="C43" s="27" t="str">
        <f>INDEX(Organizations[],MATCH(Main3WData[[#This Row],[Acronym]],AcronymList,0),1)</f>
        <v>United Nations Development Programme</v>
      </c>
      <c r="D43" s="27" t="str">
        <f>INDEX(Organizations[],MATCH(Main3WData[[#This Row],[Acronym]],AcronymList,0),3)</f>
        <v>UN Agency</v>
      </c>
      <c r="E43" s="54" t="s">
        <v>350</v>
      </c>
      <c r="F43" s="53" t="s">
        <v>82</v>
      </c>
      <c r="G43" s="54" t="s">
        <v>368</v>
      </c>
      <c r="H43" s="28" t="str">
        <f>VLOOKUP(Main3WData[[#This Row],[Admin Unit Name]],AdminUnits[],2,FALSE)</f>
        <v>GIN001001</v>
      </c>
      <c r="I43" s="57">
        <v>0</v>
      </c>
      <c r="J43" s="67" t="str">
        <f>Main3WData[[#This Row],[Acronym]]&amp;Main3WData[[#This Row],[Sector]]&amp;Main3WData[[#This Row],[Activity Type]]&amp;Main3WData[[#This Row],[Pcode]]</f>
        <v>UNDPCommunication/Mobilisation socialeOngoingGIN001001</v>
      </c>
      <c r="K43" s="69">
        <f>COUNTIF(Main3WData[Concatenate],Main3WData[[#This Row],[Concatenate]])</f>
        <v>1</v>
      </c>
      <c r="L43" s="61" t="str">
        <f>Main3WData[[#This Row],[Sector]]&amp;Main3WData[[#This Row],[Pcode]]</f>
        <v>Communication/Mobilisation socialeGIN001001</v>
      </c>
      <c r="M43" s="71">
        <f>COUNTIF($L$5:L43,Main3WData[[#This Row],[PT.Concat]])</f>
        <v>3</v>
      </c>
      <c r="N43" s="70">
        <f>MATCH(Main3WData[[#This Row],[PT.Concat]],$L$5:L43,0)</f>
        <v>37</v>
      </c>
      <c r="O43" s="62" t="b">
        <f>Main3WData[[#This Row],[Count PT.Concat]]=1</f>
        <v>0</v>
      </c>
      <c r="P43" s="62">
        <f t="array" ref="P43">MAX(($N$4:N42=Main3WData[[#This Row],[PT.ID]])*ROW($N$4:N42))</f>
        <v>42</v>
      </c>
      <c r="Q43" s="62" t="str">
        <f>IF(Main3WData[[#This Row],[PT.FirstID]],Main3WData[[#This Row],[Acronym]],INDEX($Q$4:Q42,Main3WData[[#This Row],[PT.LastID.Row]]-ROW($Q$4)+1) &amp; ", "&amp;Main3WData[[#This Row],[Acronym]])</f>
        <v>UNICEF, UNFPA, UNDP</v>
      </c>
      <c r="R43" s="62" t="b">
        <f t="array" ref="R43">MAX(IF(Main3WData[PT.ID]=Main3WData[[#This Row],[PT.ID]],Main3WData[PT.LastID.Row]))=Main3WData[[#This Row],[PT.LastID.Row]]</f>
        <v>0</v>
      </c>
    </row>
    <row r="44" spans="2:18" s="1" customFormat="1" ht="16.5" customHeight="1" x14ac:dyDescent="0.2">
      <c r="B44" s="55" t="s">
        <v>72</v>
      </c>
      <c r="C44" s="27" t="str">
        <f>INDEX(Organizations[],MATCH(Main3WData[[#This Row],[Acronym]],AcronymList,0),1)</f>
        <v>PLAN</v>
      </c>
      <c r="D44" s="27" t="str">
        <f>INDEX(Organizations[],MATCH(Main3WData[[#This Row],[Acronym]],AcronymList,0),3)</f>
        <v>International Organization</v>
      </c>
      <c r="E44" s="54" t="s">
        <v>350</v>
      </c>
      <c r="F44" s="53" t="s">
        <v>82</v>
      </c>
      <c r="G44" s="54" t="s">
        <v>368</v>
      </c>
      <c r="H44" s="28" t="str">
        <f>VLOOKUP(Main3WData[[#This Row],[Admin Unit Name]],AdminUnits[],2,FALSE)</f>
        <v>GIN001001</v>
      </c>
      <c r="I44" s="57">
        <v>0</v>
      </c>
      <c r="J44" s="67" t="str">
        <f>Main3WData[[#This Row],[Acronym]]&amp;Main3WData[[#This Row],[Sector]]&amp;Main3WData[[#This Row],[Activity Type]]&amp;Main3WData[[#This Row],[Pcode]]</f>
        <v>PLANCommunication/Mobilisation socialeOngoingGIN001001</v>
      </c>
      <c r="K44" s="69">
        <f>COUNTIF(Main3WData[Concatenate],Main3WData[[#This Row],[Concatenate]])</f>
        <v>1</v>
      </c>
      <c r="L44" s="61" t="str">
        <f>Main3WData[[#This Row],[Sector]]&amp;Main3WData[[#This Row],[Pcode]]</f>
        <v>Communication/Mobilisation socialeGIN001001</v>
      </c>
      <c r="M44" s="71">
        <f>COUNTIF($L$5:L44,Main3WData[[#This Row],[PT.Concat]])</f>
        <v>4</v>
      </c>
      <c r="N44" s="70">
        <f>MATCH(Main3WData[[#This Row],[PT.Concat]],$L$5:L44,0)</f>
        <v>37</v>
      </c>
      <c r="O44" s="62" t="b">
        <f>Main3WData[[#This Row],[Count PT.Concat]]=1</f>
        <v>0</v>
      </c>
      <c r="P44" s="62">
        <f t="array" ref="P44">MAX(($N$4:N43=Main3WData[[#This Row],[PT.ID]])*ROW($N$4:N43))</f>
        <v>43</v>
      </c>
      <c r="Q44" s="62" t="str">
        <f>IF(Main3WData[[#This Row],[PT.FirstID]],Main3WData[[#This Row],[Acronym]],INDEX($Q$4:Q43,Main3WData[[#This Row],[PT.LastID.Row]]-ROW($Q$4)+1) &amp; ", "&amp;Main3WData[[#This Row],[Acronym]])</f>
        <v>UNICEF, UNFPA, UNDP, PLAN</v>
      </c>
      <c r="R44" s="62" t="b">
        <f t="array" ref="R44">MAX(IF(Main3WData[PT.ID]=Main3WData[[#This Row],[PT.ID]],Main3WData[PT.LastID.Row]))=Main3WData[[#This Row],[PT.LastID.Row]]</f>
        <v>0</v>
      </c>
    </row>
    <row r="45" spans="2:18" s="1" customFormat="1" ht="16.5" customHeight="1" x14ac:dyDescent="0.2">
      <c r="B45" s="55" t="s">
        <v>512</v>
      </c>
      <c r="C45" s="27" t="str">
        <f>INDEX(Organizations[],MATCH(Main3WData[[#This Row],[Acronym]],AcronymList,0),1)</f>
        <v>World Health Organization</v>
      </c>
      <c r="D45" s="27" t="str">
        <f>INDEX(Organizations[],MATCH(Main3WData[[#This Row],[Acronym]],AcronymList,0),3)</f>
        <v>UN Agency</v>
      </c>
      <c r="E45" s="54" t="s">
        <v>350</v>
      </c>
      <c r="F45" s="53" t="s">
        <v>82</v>
      </c>
      <c r="G45" s="54" t="s">
        <v>368</v>
      </c>
      <c r="H45" s="28" t="str">
        <f>VLOOKUP(Main3WData[[#This Row],[Admin Unit Name]],AdminUnits[],2,FALSE)</f>
        <v>GIN001001</v>
      </c>
      <c r="I45" s="57">
        <v>0</v>
      </c>
      <c r="J45" s="67" t="str">
        <f>Main3WData[[#This Row],[Acronym]]&amp;Main3WData[[#This Row],[Sector]]&amp;Main3WData[[#This Row],[Activity Type]]&amp;Main3WData[[#This Row],[Pcode]]</f>
        <v>OMSCommunication/Mobilisation socialeOngoingGIN001001</v>
      </c>
      <c r="K45" s="69">
        <f>COUNTIF(Main3WData[Concatenate],Main3WData[[#This Row],[Concatenate]])</f>
        <v>1</v>
      </c>
      <c r="L45" s="61" t="str">
        <f>Main3WData[[#This Row],[Sector]]&amp;Main3WData[[#This Row],[Pcode]]</f>
        <v>Communication/Mobilisation socialeGIN001001</v>
      </c>
      <c r="M45" s="71">
        <f>COUNTIF($L$5:L45,Main3WData[[#This Row],[PT.Concat]])</f>
        <v>5</v>
      </c>
      <c r="N45" s="70">
        <f>MATCH(Main3WData[[#This Row],[PT.Concat]],$L$5:L45,0)</f>
        <v>37</v>
      </c>
      <c r="O45" s="62" t="b">
        <f>Main3WData[[#This Row],[Count PT.Concat]]=1</f>
        <v>0</v>
      </c>
      <c r="P45" s="62">
        <f t="array" ref="P45">MAX(($N$4:N44=Main3WData[[#This Row],[PT.ID]])*ROW($N$4:N44))</f>
        <v>44</v>
      </c>
      <c r="Q45" s="62" t="str">
        <f>IF(Main3WData[[#This Row],[PT.FirstID]],Main3WData[[#This Row],[Acronym]],INDEX($Q$4:Q44,Main3WData[[#This Row],[PT.LastID.Row]]-ROW($Q$4)+1) &amp; ", "&amp;Main3WData[[#This Row],[Acronym]])</f>
        <v>UNICEF, UNFPA, UNDP, PLAN, OMS</v>
      </c>
      <c r="R45" s="62" t="b">
        <f t="array" ref="R45">MAX(IF(Main3WData[PT.ID]=Main3WData[[#This Row],[PT.ID]],Main3WData[PT.LastID.Row]))=Main3WData[[#This Row],[PT.LastID.Row]]</f>
        <v>1</v>
      </c>
    </row>
    <row r="46" spans="2:18" s="1" customFormat="1" ht="16.5" customHeight="1" x14ac:dyDescent="0.2">
      <c r="B46" s="55" t="s">
        <v>516</v>
      </c>
      <c r="C46" s="27" t="str">
        <f>INDEX(Organizations[],MATCH(Main3WData[[#This Row],[Acronym]],AcronymList,0),1)</f>
        <v>UNITED NATION MISSION FOR EBOLA  EMERGENCY RESPONSE</v>
      </c>
      <c r="D46" s="27" t="str">
        <f>INDEX(Organizations[],MATCH(Main3WData[[#This Row],[Acronym]],AcronymList,0),3)</f>
        <v>UN Agency</v>
      </c>
      <c r="E46" s="54" t="s">
        <v>360</v>
      </c>
      <c r="F46" s="53" t="s">
        <v>82</v>
      </c>
      <c r="G46" s="54" t="s">
        <v>368</v>
      </c>
      <c r="H46" s="28" t="str">
        <f>VLOOKUP(Main3WData[[#This Row],[Admin Unit Name]],AdminUnits[],2,FALSE)</f>
        <v>GIN001001</v>
      </c>
      <c r="I46" s="57">
        <v>0</v>
      </c>
      <c r="J46" s="67" t="str">
        <f>Main3WData[[#This Row],[Acronym]]&amp;Main3WData[[#This Row],[Sector]]&amp;Main3WData[[#This Row],[Activity Type]]&amp;Main3WData[[#This Row],[Pcode]]</f>
        <v>UNMEERCoordinationOngoingGIN001001</v>
      </c>
      <c r="K46" s="69">
        <f>COUNTIF(Main3WData[Concatenate],Main3WData[[#This Row],[Concatenate]])</f>
        <v>1</v>
      </c>
      <c r="L46" s="61" t="str">
        <f>Main3WData[[#This Row],[Sector]]&amp;Main3WData[[#This Row],[Pcode]]</f>
        <v>CoordinationGIN001001</v>
      </c>
      <c r="M46" s="71">
        <f>COUNTIF($L$5:L46,Main3WData[[#This Row],[PT.Concat]])</f>
        <v>1</v>
      </c>
      <c r="N46" s="70">
        <f>MATCH(Main3WData[[#This Row],[PT.Concat]],$L$5:L46,0)</f>
        <v>42</v>
      </c>
      <c r="O46" s="62" t="b">
        <f>Main3WData[[#This Row],[Count PT.Concat]]=1</f>
        <v>1</v>
      </c>
      <c r="P46" s="62">
        <f t="array" ref="P46">MAX(($N$4:N45=Main3WData[[#This Row],[PT.ID]])*ROW($N$4:N45))</f>
        <v>0</v>
      </c>
      <c r="Q46" s="62" t="str">
        <f>IF(Main3WData[[#This Row],[PT.FirstID]],Main3WData[[#This Row],[Acronym]],INDEX($Q$4:Q45,Main3WData[[#This Row],[PT.LastID.Row]]-ROW($Q$4)+1) &amp; ", "&amp;Main3WData[[#This Row],[Acronym]])</f>
        <v>UNMEER</v>
      </c>
      <c r="R46" s="62" t="b">
        <f t="array" ref="R46">MAX(IF(Main3WData[PT.ID]=Main3WData[[#This Row],[PT.ID]],Main3WData[PT.LastID.Row]))=Main3WData[[#This Row],[PT.LastID.Row]]</f>
        <v>0</v>
      </c>
    </row>
    <row r="47" spans="2:18" s="1" customFormat="1" ht="16.5" customHeight="1" x14ac:dyDescent="0.2">
      <c r="B47" s="55" t="s">
        <v>75</v>
      </c>
      <c r="C47" s="27" t="str">
        <f>INDEX(Organizations[],MATCH(Main3WData[[#This Row],[Acronym]],AcronymList,0),1)</f>
        <v>United Nations Population Fund</v>
      </c>
      <c r="D47" s="27" t="str">
        <f>INDEX(Organizations[],MATCH(Main3WData[[#This Row],[Acronym]],AcronymList,0),3)</f>
        <v>UN Agency</v>
      </c>
      <c r="E47" s="54" t="s">
        <v>360</v>
      </c>
      <c r="F47" s="53" t="s">
        <v>82</v>
      </c>
      <c r="G47" s="54" t="s">
        <v>368</v>
      </c>
      <c r="H47" s="28" t="str">
        <f>VLOOKUP(Main3WData[[#This Row],[Admin Unit Name]],AdminUnits[],2,FALSE)</f>
        <v>GIN001001</v>
      </c>
      <c r="I47" s="57">
        <v>0</v>
      </c>
      <c r="J47" s="67" t="str">
        <f>Main3WData[[#This Row],[Acronym]]&amp;Main3WData[[#This Row],[Sector]]&amp;Main3WData[[#This Row],[Activity Type]]&amp;Main3WData[[#This Row],[Pcode]]</f>
        <v>UNFPACoordinationOngoingGIN001001</v>
      </c>
      <c r="K47" s="69">
        <f>COUNTIF(Main3WData[Concatenate],Main3WData[[#This Row],[Concatenate]])</f>
        <v>1</v>
      </c>
      <c r="L47" s="61" t="str">
        <f>Main3WData[[#This Row],[Sector]]&amp;Main3WData[[#This Row],[Pcode]]</f>
        <v>CoordinationGIN001001</v>
      </c>
      <c r="M47" s="71">
        <f>COUNTIF($L$5:L47,Main3WData[[#This Row],[PT.Concat]])</f>
        <v>2</v>
      </c>
      <c r="N47" s="70">
        <f>MATCH(Main3WData[[#This Row],[PT.Concat]],$L$5:L47,0)</f>
        <v>42</v>
      </c>
      <c r="O47" s="62" t="b">
        <f>Main3WData[[#This Row],[Count PT.Concat]]=1</f>
        <v>0</v>
      </c>
      <c r="P47" s="62">
        <f t="array" ref="P47">MAX(($N$4:N46=Main3WData[[#This Row],[PT.ID]])*ROW($N$4:N46))</f>
        <v>46</v>
      </c>
      <c r="Q47" s="62" t="str">
        <f>IF(Main3WData[[#This Row],[PT.FirstID]],Main3WData[[#This Row],[Acronym]],INDEX($Q$4:Q46,Main3WData[[#This Row],[PT.LastID.Row]]-ROW($Q$4)+1) &amp; ", "&amp;Main3WData[[#This Row],[Acronym]])</f>
        <v>UNMEER, UNFPA</v>
      </c>
      <c r="R47" s="62" t="b">
        <f t="array" ref="R47">MAX(IF(Main3WData[PT.ID]=Main3WData[[#This Row],[PT.ID]],Main3WData[PT.LastID.Row]))=Main3WData[[#This Row],[PT.LastID.Row]]</f>
        <v>0</v>
      </c>
    </row>
    <row r="48" spans="2:18" s="1" customFormat="1" ht="16.5" customHeight="1" x14ac:dyDescent="0.2">
      <c r="B48" s="55" t="s">
        <v>473</v>
      </c>
      <c r="C48" s="27" t="str">
        <f>INDEX(Organizations[],MATCH(Main3WData[[#This Row],[Acronym]],AcronymList,0),1)</f>
        <v>United Nations Development Programme</v>
      </c>
      <c r="D48" s="27" t="str">
        <f>INDEX(Organizations[],MATCH(Main3WData[[#This Row],[Acronym]],AcronymList,0),3)</f>
        <v>UN Agency</v>
      </c>
      <c r="E48" s="54" t="s">
        <v>360</v>
      </c>
      <c r="F48" s="53" t="s">
        <v>82</v>
      </c>
      <c r="G48" s="54" t="s">
        <v>368</v>
      </c>
      <c r="H48" s="28" t="str">
        <f>VLOOKUP(Main3WData[[#This Row],[Admin Unit Name]],AdminUnits[],2,FALSE)</f>
        <v>GIN001001</v>
      </c>
      <c r="I48" s="57">
        <v>0</v>
      </c>
      <c r="J48" s="67" t="str">
        <f>Main3WData[[#This Row],[Acronym]]&amp;Main3WData[[#This Row],[Sector]]&amp;Main3WData[[#This Row],[Activity Type]]&amp;Main3WData[[#This Row],[Pcode]]</f>
        <v>UNDPCoordinationOngoingGIN001001</v>
      </c>
      <c r="K48" s="69">
        <f>COUNTIF(Main3WData[Concatenate],Main3WData[[#This Row],[Concatenate]])</f>
        <v>1</v>
      </c>
      <c r="L48" s="61" t="str">
        <f>Main3WData[[#This Row],[Sector]]&amp;Main3WData[[#This Row],[Pcode]]</f>
        <v>CoordinationGIN001001</v>
      </c>
      <c r="M48" s="71">
        <f>COUNTIF($L$5:L48,Main3WData[[#This Row],[PT.Concat]])</f>
        <v>3</v>
      </c>
      <c r="N48" s="70">
        <f>MATCH(Main3WData[[#This Row],[PT.Concat]],$L$5:L48,0)</f>
        <v>42</v>
      </c>
      <c r="O48" s="62" t="b">
        <f>Main3WData[[#This Row],[Count PT.Concat]]=1</f>
        <v>0</v>
      </c>
      <c r="P48" s="62">
        <f t="array" ref="P48">MAX(($N$4:N47=Main3WData[[#This Row],[PT.ID]])*ROW($N$4:N47))</f>
        <v>47</v>
      </c>
      <c r="Q48" s="62" t="str">
        <f>IF(Main3WData[[#This Row],[PT.FirstID]],Main3WData[[#This Row],[Acronym]],INDEX($Q$4:Q47,Main3WData[[#This Row],[PT.LastID.Row]]-ROW($Q$4)+1) &amp; ", "&amp;Main3WData[[#This Row],[Acronym]])</f>
        <v>UNMEER, UNFPA, UNDP</v>
      </c>
      <c r="R48" s="62" t="b">
        <f t="array" ref="R48">MAX(IF(Main3WData[PT.ID]=Main3WData[[#This Row],[PT.ID]],Main3WData[PT.LastID.Row]))=Main3WData[[#This Row],[PT.LastID.Row]]</f>
        <v>0</v>
      </c>
    </row>
    <row r="49" spans="2:18" s="1" customFormat="1" ht="16.5" customHeight="1" x14ac:dyDescent="0.2">
      <c r="B49" s="55" t="s">
        <v>512</v>
      </c>
      <c r="C49" s="27" t="str">
        <f>INDEX(Organizations[],MATCH(Main3WData[[#This Row],[Acronym]],AcronymList,0),1)</f>
        <v>World Health Organization</v>
      </c>
      <c r="D49" s="27" t="str">
        <f>INDEX(Organizations[],MATCH(Main3WData[[#This Row],[Acronym]],AcronymList,0),3)</f>
        <v>UN Agency</v>
      </c>
      <c r="E49" s="54" t="s">
        <v>360</v>
      </c>
      <c r="F49" s="53" t="s">
        <v>82</v>
      </c>
      <c r="G49" s="54" t="s">
        <v>368</v>
      </c>
      <c r="H49" s="28" t="str">
        <f>VLOOKUP(Main3WData[[#This Row],[Admin Unit Name]],AdminUnits[],2,FALSE)</f>
        <v>GIN001001</v>
      </c>
      <c r="I49" s="57">
        <v>0</v>
      </c>
      <c r="J49" s="67" t="str">
        <f>Main3WData[[#This Row],[Acronym]]&amp;Main3WData[[#This Row],[Sector]]&amp;Main3WData[[#This Row],[Activity Type]]&amp;Main3WData[[#This Row],[Pcode]]</f>
        <v>OMSCoordinationOngoingGIN001001</v>
      </c>
      <c r="K49" s="69">
        <f>COUNTIF(Main3WData[Concatenate],Main3WData[[#This Row],[Concatenate]])</f>
        <v>1</v>
      </c>
      <c r="L49" s="61" t="str">
        <f>Main3WData[[#This Row],[Sector]]&amp;Main3WData[[#This Row],[Pcode]]</f>
        <v>CoordinationGIN001001</v>
      </c>
      <c r="M49" s="71">
        <f>COUNTIF($L$5:L49,Main3WData[[#This Row],[PT.Concat]])</f>
        <v>4</v>
      </c>
      <c r="N49" s="70">
        <f>MATCH(Main3WData[[#This Row],[PT.Concat]],$L$5:L49,0)</f>
        <v>42</v>
      </c>
      <c r="O49" s="62" t="b">
        <f>Main3WData[[#This Row],[Count PT.Concat]]=1</f>
        <v>0</v>
      </c>
      <c r="P49" s="62">
        <f t="array" ref="P49">MAX(($N$4:N48=Main3WData[[#This Row],[PT.ID]])*ROW($N$4:N48))</f>
        <v>48</v>
      </c>
      <c r="Q49" s="62" t="str">
        <f>IF(Main3WData[[#This Row],[PT.FirstID]],Main3WData[[#This Row],[Acronym]],INDEX($Q$4:Q48,Main3WData[[#This Row],[PT.LastID.Row]]-ROW($Q$4)+1) &amp; ", "&amp;Main3WData[[#This Row],[Acronym]])</f>
        <v>UNMEER, UNFPA, UNDP, OMS</v>
      </c>
      <c r="R49" s="62" t="b">
        <f t="array" ref="R49">MAX(IF(Main3WData[PT.ID]=Main3WData[[#This Row],[PT.ID]],Main3WData[PT.LastID.Row]))=Main3WData[[#This Row],[PT.LastID.Row]]</f>
        <v>0</v>
      </c>
    </row>
    <row r="50" spans="2:18" s="1" customFormat="1" ht="16.5" customHeight="1" x14ac:dyDescent="0.2">
      <c r="B50" s="55" t="s">
        <v>71</v>
      </c>
      <c r="C50" s="27" t="str">
        <f>INDEX(Organizations[],MATCH(Main3WData[[#This Row],[Acronym]],AcronymList,0),1)</f>
        <v>Medecins sans Frontieres</v>
      </c>
      <c r="D50" s="27" t="str">
        <f>INDEX(Organizations[],MATCH(Main3WData[[#This Row],[Acronym]],AcronymList,0),3)</f>
        <v>International NGO</v>
      </c>
      <c r="E50" s="54" t="s">
        <v>360</v>
      </c>
      <c r="F50" s="53" t="s">
        <v>82</v>
      </c>
      <c r="G50" s="54" t="s">
        <v>368</v>
      </c>
      <c r="H50" s="28" t="str">
        <f>VLOOKUP(Main3WData[[#This Row],[Admin Unit Name]],AdminUnits[],2,FALSE)</f>
        <v>GIN001001</v>
      </c>
      <c r="I50" s="57">
        <v>0</v>
      </c>
      <c r="J50" s="67" t="str">
        <f>Main3WData[[#This Row],[Acronym]]&amp;Main3WData[[#This Row],[Sector]]&amp;Main3WData[[#This Row],[Activity Type]]&amp;Main3WData[[#This Row],[Pcode]]</f>
        <v>MSFCoordinationOngoingGIN001001</v>
      </c>
      <c r="K50" s="69">
        <f>COUNTIF(Main3WData[Concatenate],Main3WData[[#This Row],[Concatenate]])</f>
        <v>1</v>
      </c>
      <c r="L50" s="61" t="str">
        <f>Main3WData[[#This Row],[Sector]]&amp;Main3WData[[#This Row],[Pcode]]</f>
        <v>CoordinationGIN001001</v>
      </c>
      <c r="M50" s="71">
        <f>COUNTIF($L$5:L50,Main3WData[[#This Row],[PT.Concat]])</f>
        <v>5</v>
      </c>
      <c r="N50" s="70">
        <f>MATCH(Main3WData[[#This Row],[PT.Concat]],$L$5:L50,0)</f>
        <v>42</v>
      </c>
      <c r="O50" s="62" t="b">
        <f>Main3WData[[#This Row],[Count PT.Concat]]=1</f>
        <v>0</v>
      </c>
      <c r="P50" s="62">
        <f t="array" ref="P50">MAX(($N$4:N49=Main3WData[[#This Row],[PT.ID]])*ROW($N$4:N49))</f>
        <v>49</v>
      </c>
      <c r="Q50" s="62" t="str">
        <f>IF(Main3WData[[#This Row],[PT.FirstID]],Main3WData[[#This Row],[Acronym]],INDEX($Q$4:Q49,Main3WData[[#This Row],[PT.LastID.Row]]-ROW($Q$4)+1) &amp; ", "&amp;Main3WData[[#This Row],[Acronym]])</f>
        <v>UNMEER, UNFPA, UNDP, OMS, MSF</v>
      </c>
      <c r="R50" s="62" t="b">
        <f t="array" ref="R50">MAX(IF(Main3WData[PT.ID]=Main3WData[[#This Row],[PT.ID]],Main3WData[PT.LastID.Row]))=Main3WData[[#This Row],[PT.LastID.Row]]</f>
        <v>0</v>
      </c>
    </row>
    <row r="51" spans="2:18" s="1" customFormat="1" ht="16.5" customHeight="1" x14ac:dyDescent="0.2">
      <c r="B51" s="55" t="s">
        <v>507</v>
      </c>
      <c r="C51" s="27" t="str">
        <f>INDEX(Organizations[],MATCH(Main3WData[[#This Row],[Acronym]],AcronymList,0),1)</f>
        <v>eHealth Africa</v>
      </c>
      <c r="D51" s="27" t="str">
        <f>INDEX(Organizations[],MATCH(Main3WData[[#This Row],[Acronym]],AcronymList,0),3)</f>
        <v>International Organization</v>
      </c>
      <c r="E51" s="54" t="s">
        <v>360</v>
      </c>
      <c r="F51" s="53" t="s">
        <v>82</v>
      </c>
      <c r="G51" s="54" t="s">
        <v>368</v>
      </c>
      <c r="H51" s="28" t="str">
        <f>VLOOKUP(Main3WData[[#This Row],[Admin Unit Name]],AdminUnits[],2,FALSE)</f>
        <v>GIN001001</v>
      </c>
      <c r="I51" s="57">
        <v>0</v>
      </c>
      <c r="J51" s="67" t="str">
        <f>Main3WData[[#This Row],[Acronym]]&amp;Main3WData[[#This Row],[Sector]]&amp;Main3WData[[#This Row],[Activity Type]]&amp;Main3WData[[#This Row],[Pcode]]</f>
        <v>eHealth AfricaCoordinationOngoingGIN001001</v>
      </c>
      <c r="K51" s="69">
        <f>COUNTIF(Main3WData[Concatenate],Main3WData[[#This Row],[Concatenate]])</f>
        <v>1</v>
      </c>
      <c r="L51" s="61" t="str">
        <f>Main3WData[[#This Row],[Sector]]&amp;Main3WData[[#This Row],[Pcode]]</f>
        <v>CoordinationGIN001001</v>
      </c>
      <c r="M51" s="71">
        <f>COUNTIF($L$5:L51,Main3WData[[#This Row],[PT.Concat]])</f>
        <v>6</v>
      </c>
      <c r="N51" s="70">
        <f>MATCH(Main3WData[[#This Row],[PT.Concat]],$L$5:L51,0)</f>
        <v>42</v>
      </c>
      <c r="O51" s="62" t="b">
        <f>Main3WData[[#This Row],[Count PT.Concat]]=1</f>
        <v>0</v>
      </c>
      <c r="P51" s="62">
        <f t="array" ref="P51">MAX(($N$4:N50=Main3WData[[#This Row],[PT.ID]])*ROW($N$4:N50))</f>
        <v>50</v>
      </c>
      <c r="Q51" s="62" t="str">
        <f>IF(Main3WData[[#This Row],[PT.FirstID]],Main3WData[[#This Row],[Acronym]],INDEX($Q$4:Q50,Main3WData[[#This Row],[PT.LastID.Row]]-ROW($Q$4)+1) &amp; ", "&amp;Main3WData[[#This Row],[Acronym]])</f>
        <v>UNMEER, UNFPA, UNDP, OMS, MSF, eHealth Africa</v>
      </c>
      <c r="R51" s="62" t="b">
        <f t="array" ref="R51">MAX(IF(Main3WData[PT.ID]=Main3WData[[#This Row],[PT.ID]],Main3WData[PT.LastID.Row]))=Main3WData[[#This Row],[PT.LastID.Row]]</f>
        <v>1</v>
      </c>
    </row>
    <row r="52" spans="2:18" s="1" customFormat="1" ht="16.5" customHeight="1" x14ac:dyDescent="0.2">
      <c r="B52" s="55" t="s">
        <v>473</v>
      </c>
      <c r="C52" s="27" t="str">
        <f>INDEX(Organizations[],MATCH(Main3WData[[#This Row],[Acronym]],AcronymList,0),1)</f>
        <v>United Nations Development Programme</v>
      </c>
      <c r="D52" s="27" t="str">
        <f>INDEX(Organizations[],MATCH(Main3WData[[#This Row],[Acronym]],AcronymList,0),3)</f>
        <v>UN Agency</v>
      </c>
      <c r="E52" s="54" t="s">
        <v>359</v>
      </c>
      <c r="F52" s="53" t="s">
        <v>82</v>
      </c>
      <c r="G52" s="54" t="s">
        <v>368</v>
      </c>
      <c r="H52" s="28" t="str">
        <f>VLOOKUP(Main3WData[[#This Row],[Admin Unit Name]],AdminUnits[],2,FALSE)</f>
        <v>GIN001001</v>
      </c>
      <c r="I52" s="57">
        <v>0</v>
      </c>
      <c r="J52" s="67" t="str">
        <f>Main3WData[[#This Row],[Acronym]]&amp;Main3WData[[#This Row],[Sector]]&amp;Main3WData[[#This Row],[Activity Type]]&amp;Main3WData[[#This Row],[Pcode]]</f>
        <v>UNDPFinanceOngoingGIN001001</v>
      </c>
      <c r="K52" s="69">
        <f>COUNTIF(Main3WData[Concatenate],Main3WData[[#This Row],[Concatenate]])</f>
        <v>1</v>
      </c>
      <c r="L52" s="61" t="str">
        <f>Main3WData[[#This Row],[Sector]]&amp;Main3WData[[#This Row],[Pcode]]</f>
        <v>FinanceGIN001001</v>
      </c>
      <c r="M52" s="71">
        <f>COUNTIF($L$5:L52,Main3WData[[#This Row],[PT.Concat]])</f>
        <v>1</v>
      </c>
      <c r="N52" s="70">
        <f>MATCH(Main3WData[[#This Row],[PT.Concat]],$L$5:L52,0)</f>
        <v>48</v>
      </c>
      <c r="O52" s="62" t="b">
        <f>Main3WData[[#This Row],[Count PT.Concat]]=1</f>
        <v>1</v>
      </c>
      <c r="P52" s="62">
        <f t="array" ref="P52">MAX(($N$4:N51=Main3WData[[#This Row],[PT.ID]])*ROW($N$4:N51))</f>
        <v>0</v>
      </c>
      <c r="Q52" s="62" t="str">
        <f>IF(Main3WData[[#This Row],[PT.FirstID]],Main3WData[[#This Row],[Acronym]],INDEX($Q$4:Q51,Main3WData[[#This Row],[PT.LastID.Row]]-ROW($Q$4)+1) &amp; ", "&amp;Main3WData[[#This Row],[Acronym]])</f>
        <v>UNDP</v>
      </c>
      <c r="R52" s="62" t="b">
        <f t="array" ref="R52">MAX(IF(Main3WData[PT.ID]=Main3WData[[#This Row],[PT.ID]],Main3WData[PT.LastID.Row]))=Main3WData[[#This Row],[PT.LastID.Row]]</f>
        <v>1</v>
      </c>
    </row>
    <row r="53" spans="2:18" s="1" customFormat="1" ht="16.5" customHeight="1" x14ac:dyDescent="0.2">
      <c r="B53" s="55" t="s">
        <v>451</v>
      </c>
      <c r="C53" s="27" t="str">
        <f>INDEX(Organizations[],MATCH(Main3WData[[#This Row],[Acronym]],AcronymList,0),1)</f>
        <v>Croix-Rouge Guinée</v>
      </c>
      <c r="D53" s="27" t="str">
        <f>INDEX(Organizations[],MATCH(Main3WData[[#This Row],[Acronym]],AcronymList,0),3)</f>
        <v>Red Cross Movement</v>
      </c>
      <c r="E53" s="54" t="s">
        <v>354</v>
      </c>
      <c r="F53" s="53" t="s">
        <v>82</v>
      </c>
      <c r="G53" s="54" t="s">
        <v>368</v>
      </c>
      <c r="H53" s="28" t="str">
        <f>VLOOKUP(Main3WData[[#This Row],[Admin Unit Name]],AdminUnits[],2,FALSE)</f>
        <v>GIN001001</v>
      </c>
      <c r="I53" s="57">
        <v>0</v>
      </c>
      <c r="J53" s="67" t="str">
        <f>Main3WData[[#This Row],[Acronym]]&amp;Main3WData[[#This Row],[Sector]]&amp;Main3WData[[#This Row],[Activity Type]]&amp;Main3WData[[#This Row],[Pcode]]</f>
        <v>CRGGestion des corps et desinfectionOngoingGIN001001</v>
      </c>
      <c r="K53" s="69">
        <f>COUNTIF(Main3WData[Concatenate],Main3WData[[#This Row],[Concatenate]])</f>
        <v>1</v>
      </c>
      <c r="L53" s="61" t="str">
        <f>Main3WData[[#This Row],[Sector]]&amp;Main3WData[[#This Row],[Pcode]]</f>
        <v>Gestion des corps et desinfectionGIN001001</v>
      </c>
      <c r="M53" s="71">
        <f>COUNTIF($L$5:L53,Main3WData[[#This Row],[PT.Concat]])</f>
        <v>1</v>
      </c>
      <c r="N53" s="70">
        <f>MATCH(Main3WData[[#This Row],[PT.Concat]],$L$5:L53,0)</f>
        <v>49</v>
      </c>
      <c r="O53" s="62" t="b">
        <f>Main3WData[[#This Row],[Count PT.Concat]]=1</f>
        <v>1</v>
      </c>
      <c r="P53" s="62">
        <f t="array" ref="P53">MAX(($N$4:N52=Main3WData[[#This Row],[PT.ID]])*ROW($N$4:N52))</f>
        <v>0</v>
      </c>
      <c r="Q53" s="62" t="str">
        <f>IF(Main3WData[[#This Row],[PT.FirstID]],Main3WData[[#This Row],[Acronym]],INDEX($Q$4:Q52,Main3WData[[#This Row],[PT.LastID.Row]]-ROW($Q$4)+1) &amp; ", "&amp;Main3WData[[#This Row],[Acronym]])</f>
        <v>CRG</v>
      </c>
      <c r="R53" s="62" t="b">
        <f t="array" ref="R53">MAX(IF(Main3WData[PT.ID]=Main3WData[[#This Row],[PT.ID]],Main3WData[PT.LastID.Row]))=Main3WData[[#This Row],[PT.LastID.Row]]</f>
        <v>1</v>
      </c>
    </row>
    <row r="54" spans="2:18" s="1" customFormat="1" ht="16.5" customHeight="1" x14ac:dyDescent="0.2">
      <c r="B54" s="55" t="s">
        <v>516</v>
      </c>
      <c r="C54" s="27" t="str">
        <f>INDEX(Organizations[],MATCH(Main3WData[[#This Row],[Acronym]],AcronymList,0),1)</f>
        <v>UNITED NATION MISSION FOR EBOLA  EMERGENCY RESPONSE</v>
      </c>
      <c r="D54" s="27" t="str">
        <f>INDEX(Organizations[],MATCH(Main3WData[[#This Row],[Acronym]],AcronymList,0),3)</f>
        <v>UN Agency</v>
      </c>
      <c r="E54" s="54" t="s">
        <v>356</v>
      </c>
      <c r="F54" s="53" t="s">
        <v>82</v>
      </c>
      <c r="G54" s="54" t="s">
        <v>368</v>
      </c>
      <c r="H54" s="28" t="str">
        <f>VLOOKUP(Main3WData[[#This Row],[Admin Unit Name]],AdminUnits[],2,FALSE)</f>
        <v>GIN001001</v>
      </c>
      <c r="I54" s="57">
        <v>0</v>
      </c>
      <c r="J54" s="67" t="str">
        <f>Main3WData[[#This Row],[Acronym]]&amp;Main3WData[[#This Row],[Sector]]&amp;Main3WData[[#This Row],[Activity Type]]&amp;Main3WData[[#This Row],[Pcode]]</f>
        <v>UNMEERGestion des donnéesOngoingGIN001001</v>
      </c>
      <c r="K54" s="69">
        <f>COUNTIF(Main3WData[Concatenate],Main3WData[[#This Row],[Concatenate]])</f>
        <v>1</v>
      </c>
      <c r="L54" s="61" t="str">
        <f>Main3WData[[#This Row],[Sector]]&amp;Main3WData[[#This Row],[Pcode]]</f>
        <v>Gestion des donnéesGIN001001</v>
      </c>
      <c r="M54" s="71">
        <f>COUNTIF($L$5:L54,Main3WData[[#This Row],[PT.Concat]])</f>
        <v>1</v>
      </c>
      <c r="N54" s="70">
        <f>MATCH(Main3WData[[#This Row],[PT.Concat]],$L$5:L54,0)</f>
        <v>50</v>
      </c>
      <c r="O54" s="62" t="b">
        <f>Main3WData[[#This Row],[Count PT.Concat]]=1</f>
        <v>1</v>
      </c>
      <c r="P54" s="62">
        <f t="array" ref="P54">MAX(($N$4:N53=Main3WData[[#This Row],[PT.ID]])*ROW($N$4:N53))</f>
        <v>0</v>
      </c>
      <c r="Q54" s="62" t="str">
        <f>IF(Main3WData[[#This Row],[PT.FirstID]],Main3WData[[#This Row],[Acronym]],INDEX($Q$4:Q53,Main3WData[[#This Row],[PT.LastID.Row]]-ROW($Q$4)+1) &amp; ", "&amp;Main3WData[[#This Row],[Acronym]])</f>
        <v>UNMEER</v>
      </c>
      <c r="R54" s="62" t="b">
        <f t="array" ref="R54">MAX(IF(Main3WData[PT.ID]=Main3WData[[#This Row],[PT.ID]],Main3WData[PT.LastID.Row]))=Main3WData[[#This Row],[PT.LastID.Row]]</f>
        <v>0</v>
      </c>
    </row>
    <row r="55" spans="2:18" s="1" customFormat="1" ht="16.5" customHeight="1" x14ac:dyDescent="0.2">
      <c r="B55" s="55" t="s">
        <v>512</v>
      </c>
      <c r="C55" s="27" t="str">
        <f>INDEX(Organizations[],MATCH(Main3WData[[#This Row],[Acronym]],AcronymList,0),1)</f>
        <v>World Health Organization</v>
      </c>
      <c r="D55" s="27" t="str">
        <f>INDEX(Organizations[],MATCH(Main3WData[[#This Row],[Acronym]],AcronymList,0),3)</f>
        <v>UN Agency</v>
      </c>
      <c r="E55" s="54" t="s">
        <v>356</v>
      </c>
      <c r="F55" s="53" t="s">
        <v>82</v>
      </c>
      <c r="G55" s="54" t="s">
        <v>368</v>
      </c>
      <c r="H55" s="28" t="str">
        <f>VLOOKUP(Main3WData[[#This Row],[Admin Unit Name]],AdminUnits[],2,FALSE)</f>
        <v>GIN001001</v>
      </c>
      <c r="I55" s="57">
        <v>0</v>
      </c>
      <c r="J55" s="67" t="str">
        <f>Main3WData[[#This Row],[Acronym]]&amp;Main3WData[[#This Row],[Sector]]&amp;Main3WData[[#This Row],[Activity Type]]&amp;Main3WData[[#This Row],[Pcode]]</f>
        <v>OMSGestion des donnéesOngoingGIN001001</v>
      </c>
      <c r="K55" s="69">
        <f>COUNTIF(Main3WData[Concatenate],Main3WData[[#This Row],[Concatenate]])</f>
        <v>1</v>
      </c>
      <c r="L55" s="61" t="str">
        <f>Main3WData[[#This Row],[Sector]]&amp;Main3WData[[#This Row],[Pcode]]</f>
        <v>Gestion des donnéesGIN001001</v>
      </c>
      <c r="M55" s="71">
        <f>COUNTIF($L$5:L55,Main3WData[[#This Row],[PT.Concat]])</f>
        <v>2</v>
      </c>
      <c r="N55" s="70">
        <f>MATCH(Main3WData[[#This Row],[PT.Concat]],$L$5:L55,0)</f>
        <v>50</v>
      </c>
      <c r="O55" s="62" t="b">
        <f>Main3WData[[#This Row],[Count PT.Concat]]=1</f>
        <v>0</v>
      </c>
      <c r="P55" s="62">
        <f t="array" ref="P55">MAX(($N$4:N54=Main3WData[[#This Row],[PT.ID]])*ROW($N$4:N54))</f>
        <v>54</v>
      </c>
      <c r="Q55" s="62" t="str">
        <f>IF(Main3WData[[#This Row],[PT.FirstID]],Main3WData[[#This Row],[Acronym]],INDEX($Q$4:Q54,Main3WData[[#This Row],[PT.LastID.Row]]-ROW($Q$4)+1) &amp; ", "&amp;Main3WData[[#This Row],[Acronym]])</f>
        <v>UNMEER, OMS</v>
      </c>
      <c r="R55" s="62" t="b">
        <f t="array" ref="R55">MAX(IF(Main3WData[PT.ID]=Main3WData[[#This Row],[PT.ID]],Main3WData[PT.LastID.Row]))=Main3WData[[#This Row],[PT.LastID.Row]]</f>
        <v>1</v>
      </c>
    </row>
    <row r="56" spans="2:18" s="1" customFormat="1" ht="16.5" customHeight="1" x14ac:dyDescent="0.2">
      <c r="B56" s="55" t="s">
        <v>78</v>
      </c>
      <c r="C56" s="27" t="str">
        <f>INDEX(Organizations[],MATCH(Main3WData[[#This Row],[Acronym]],AcronymList,0),1)</f>
        <v>World Food Programme</v>
      </c>
      <c r="D56" s="27" t="str">
        <f>INDEX(Organizations[],MATCH(Main3WData[[#This Row],[Acronym]],AcronymList,0),3)</f>
        <v>UN Agency</v>
      </c>
      <c r="E56" s="54" t="s">
        <v>355</v>
      </c>
      <c r="F56" s="53" t="s">
        <v>82</v>
      </c>
      <c r="G56" s="54" t="s">
        <v>368</v>
      </c>
      <c r="H56" s="28" t="str">
        <f>VLOOKUP(Main3WData[[#This Row],[Admin Unit Name]],AdminUnits[],2,FALSE)</f>
        <v>GIN001001</v>
      </c>
      <c r="I56" s="57">
        <v>0</v>
      </c>
      <c r="J56" s="67" t="str">
        <f>Main3WData[[#This Row],[Acronym]]&amp;Main3WData[[#This Row],[Sector]]&amp;Main3WData[[#This Row],[Activity Type]]&amp;Main3WData[[#This Row],[Pcode]]</f>
        <v>WFPSoutien nutritionnel et socialOngoingGIN001001</v>
      </c>
      <c r="K56" s="69">
        <f>COUNTIF(Main3WData[Concatenate],Main3WData[[#This Row],[Concatenate]])</f>
        <v>1</v>
      </c>
      <c r="L56" s="61" t="str">
        <f>Main3WData[[#This Row],[Sector]]&amp;Main3WData[[#This Row],[Pcode]]</f>
        <v>Soutien nutritionnel et socialGIN001001</v>
      </c>
      <c r="M56" s="71">
        <f>COUNTIF($L$5:L56,Main3WData[[#This Row],[PT.Concat]])</f>
        <v>1</v>
      </c>
      <c r="N56" s="70">
        <f>MATCH(Main3WData[[#This Row],[PT.Concat]],$L$5:L56,0)</f>
        <v>52</v>
      </c>
      <c r="O56" s="62" t="b">
        <f>Main3WData[[#This Row],[Count PT.Concat]]=1</f>
        <v>1</v>
      </c>
      <c r="P56" s="62">
        <f t="array" ref="P56">MAX(($N$4:N55=Main3WData[[#This Row],[PT.ID]])*ROW($N$4:N55))</f>
        <v>0</v>
      </c>
      <c r="Q56" s="62" t="str">
        <f>IF(Main3WData[[#This Row],[PT.FirstID]],Main3WData[[#This Row],[Acronym]],INDEX($Q$4:Q55,Main3WData[[#This Row],[PT.LastID.Row]]-ROW($Q$4)+1) &amp; ", "&amp;Main3WData[[#This Row],[Acronym]])</f>
        <v>WFP</v>
      </c>
      <c r="R56" s="62" t="b">
        <f t="array" ref="R56">MAX(IF(Main3WData[PT.ID]=Main3WData[[#This Row],[PT.ID]],Main3WData[PT.LastID.Row]))=Main3WData[[#This Row],[PT.LastID.Row]]</f>
        <v>0</v>
      </c>
    </row>
    <row r="57" spans="2:18" s="1" customFormat="1" ht="16.5" customHeight="1" x14ac:dyDescent="0.2">
      <c r="B57" s="55" t="s">
        <v>66</v>
      </c>
      <c r="C57" s="27" t="str">
        <f>INDEX(Organizations[],MATCH(Main3WData[[#This Row],[Acronym]],AcronymList,0),1)</f>
        <v>Catholic Relief Services</v>
      </c>
      <c r="D57" s="27" t="str">
        <f>INDEX(Organizations[],MATCH(Main3WData[[#This Row],[Acronym]],AcronymList,0),3)</f>
        <v>International NGO</v>
      </c>
      <c r="E57" s="54" t="s">
        <v>355</v>
      </c>
      <c r="F57" s="53" t="s">
        <v>82</v>
      </c>
      <c r="G57" s="54" t="s">
        <v>368</v>
      </c>
      <c r="H57" s="28" t="str">
        <f>VLOOKUP(Main3WData[[#This Row],[Admin Unit Name]],AdminUnits[],2,FALSE)</f>
        <v>GIN001001</v>
      </c>
      <c r="I57" s="57">
        <v>0</v>
      </c>
      <c r="J57" s="67" t="str">
        <f>Main3WData[[#This Row],[Acronym]]&amp;Main3WData[[#This Row],[Sector]]&amp;Main3WData[[#This Row],[Activity Type]]&amp;Main3WData[[#This Row],[Pcode]]</f>
        <v>CRSSoutien nutritionnel et socialOngoingGIN001001</v>
      </c>
      <c r="K57" s="69">
        <f>COUNTIF(Main3WData[Concatenate],Main3WData[[#This Row],[Concatenate]])</f>
        <v>1</v>
      </c>
      <c r="L57" s="61" t="str">
        <f>Main3WData[[#This Row],[Sector]]&amp;Main3WData[[#This Row],[Pcode]]</f>
        <v>Soutien nutritionnel et socialGIN001001</v>
      </c>
      <c r="M57" s="71">
        <f>COUNTIF($L$5:L57,Main3WData[[#This Row],[PT.Concat]])</f>
        <v>2</v>
      </c>
      <c r="N57" s="70">
        <f>MATCH(Main3WData[[#This Row],[PT.Concat]],$L$5:L57,0)</f>
        <v>52</v>
      </c>
      <c r="O57" s="62" t="b">
        <f>Main3WData[[#This Row],[Count PT.Concat]]=1</f>
        <v>0</v>
      </c>
      <c r="P57" s="62">
        <f t="array" ref="P57">MAX(($N$4:N56=Main3WData[[#This Row],[PT.ID]])*ROW($N$4:N56))</f>
        <v>56</v>
      </c>
      <c r="Q57" s="62" t="str">
        <f>IF(Main3WData[[#This Row],[PT.FirstID]],Main3WData[[#This Row],[Acronym]],INDEX($Q$4:Q56,Main3WData[[#This Row],[PT.LastID.Row]]-ROW($Q$4)+1) &amp; ", "&amp;Main3WData[[#This Row],[Acronym]])</f>
        <v>WFP, CRS</v>
      </c>
      <c r="R57" s="62" t="b">
        <f t="array" ref="R57">MAX(IF(Main3WData[PT.ID]=Main3WData[[#This Row],[PT.ID]],Main3WData[PT.LastID.Row]))=Main3WData[[#This Row],[PT.LastID.Row]]</f>
        <v>1</v>
      </c>
    </row>
    <row r="58" spans="2:18" s="1" customFormat="1" ht="16.5" customHeight="1" x14ac:dyDescent="0.2">
      <c r="B58" s="55" t="s">
        <v>512</v>
      </c>
      <c r="C58" s="27" t="str">
        <f>INDEX(Organizations[],MATCH(Main3WData[[#This Row],[Acronym]],AcronymList,0),1)</f>
        <v>World Health Organization</v>
      </c>
      <c r="D58" s="27" t="str">
        <f>INDEX(Organizations[],MATCH(Main3WData[[#This Row],[Acronym]],AcronymList,0),3)</f>
        <v>UN Agency</v>
      </c>
      <c r="E58" s="54" t="s">
        <v>351</v>
      </c>
      <c r="F58" s="53" t="s">
        <v>82</v>
      </c>
      <c r="G58" s="54" t="s">
        <v>368</v>
      </c>
      <c r="H58" s="28" t="str">
        <f>VLOOKUP(Main3WData[[#This Row],[Admin Unit Name]],AdminUnits[],2,FALSE)</f>
        <v>GIN001001</v>
      </c>
      <c r="I58" s="57">
        <v>0</v>
      </c>
      <c r="J58" s="67" t="str">
        <f>Main3WData[[#This Row],[Acronym]]&amp;Main3WData[[#This Row],[Sector]]&amp;Main3WData[[#This Row],[Activity Type]]&amp;Main3WData[[#This Row],[Pcode]]</f>
        <v>OMSSurveillance &amp; suiviOngoingGIN001001</v>
      </c>
      <c r="K58" s="69">
        <f>COUNTIF(Main3WData[Concatenate],Main3WData[[#This Row],[Concatenate]])</f>
        <v>1</v>
      </c>
      <c r="L58" s="61" t="str">
        <f>Main3WData[[#This Row],[Sector]]&amp;Main3WData[[#This Row],[Pcode]]</f>
        <v>Surveillance &amp; suiviGIN001001</v>
      </c>
      <c r="M58" s="71">
        <f>COUNTIF($L$5:L58,Main3WData[[#This Row],[PT.Concat]])</f>
        <v>1</v>
      </c>
      <c r="N58" s="70">
        <f>MATCH(Main3WData[[#This Row],[PT.Concat]],$L$5:L58,0)</f>
        <v>54</v>
      </c>
      <c r="O58" s="62" t="b">
        <f>Main3WData[[#This Row],[Count PT.Concat]]=1</f>
        <v>1</v>
      </c>
      <c r="P58" s="62">
        <f t="array" ref="P58">MAX(($N$4:N57=Main3WData[[#This Row],[PT.ID]])*ROW($N$4:N57))</f>
        <v>0</v>
      </c>
      <c r="Q58" s="62" t="str">
        <f>IF(Main3WData[[#This Row],[PT.FirstID]],Main3WData[[#This Row],[Acronym]],INDEX($Q$4:Q57,Main3WData[[#This Row],[PT.LastID.Row]]-ROW($Q$4)+1) &amp; ", "&amp;Main3WData[[#This Row],[Acronym]])</f>
        <v>OMS</v>
      </c>
      <c r="R58" s="62" t="b">
        <f t="array" ref="R58">MAX(IF(Main3WData[PT.ID]=Main3WData[[#This Row],[PT.ID]],Main3WData[PT.LastID.Row]))=Main3WData[[#This Row],[PT.LastID.Row]]</f>
        <v>0</v>
      </c>
    </row>
    <row r="59" spans="2:18" s="1" customFormat="1" ht="16.5" customHeight="1" x14ac:dyDescent="0.2">
      <c r="B59" s="55" t="s">
        <v>64</v>
      </c>
      <c r="C59" s="27" t="str">
        <f>INDEX(Organizations[],MATCH(Main3WData[[#This Row],[Acronym]],AcronymList,0),1)</f>
        <v>CDC</v>
      </c>
      <c r="D59" s="27" t="str">
        <f>INDEX(Organizations[],MATCH(Main3WData[[#This Row],[Acronym]],AcronymList,0),3)</f>
        <v>International NGO</v>
      </c>
      <c r="E59" s="54" t="s">
        <v>351</v>
      </c>
      <c r="F59" s="53" t="s">
        <v>82</v>
      </c>
      <c r="G59" s="54" t="s">
        <v>368</v>
      </c>
      <c r="H59" s="28" t="str">
        <f>VLOOKUP(Main3WData[[#This Row],[Admin Unit Name]],AdminUnits[],2,FALSE)</f>
        <v>GIN001001</v>
      </c>
      <c r="I59" s="57">
        <v>0</v>
      </c>
      <c r="J59" s="67" t="str">
        <f>Main3WData[[#This Row],[Acronym]]&amp;Main3WData[[#This Row],[Sector]]&amp;Main3WData[[#This Row],[Activity Type]]&amp;Main3WData[[#This Row],[Pcode]]</f>
        <v>CDCSurveillance &amp; suiviOngoingGIN001001</v>
      </c>
      <c r="K59" s="69">
        <f>COUNTIF(Main3WData[Concatenate],Main3WData[[#This Row],[Concatenate]])</f>
        <v>1</v>
      </c>
      <c r="L59" s="61" t="str">
        <f>Main3WData[[#This Row],[Sector]]&amp;Main3WData[[#This Row],[Pcode]]</f>
        <v>Surveillance &amp; suiviGIN001001</v>
      </c>
      <c r="M59" s="71">
        <f>COUNTIF($L$5:L59,Main3WData[[#This Row],[PT.Concat]])</f>
        <v>2</v>
      </c>
      <c r="N59" s="70">
        <f>MATCH(Main3WData[[#This Row],[PT.Concat]],$L$5:L59,0)</f>
        <v>54</v>
      </c>
      <c r="O59" s="62" t="b">
        <f>Main3WData[[#This Row],[Count PT.Concat]]=1</f>
        <v>0</v>
      </c>
      <c r="P59" s="62">
        <f t="array" ref="P59">MAX(($N$4:N58=Main3WData[[#This Row],[PT.ID]])*ROW($N$4:N58))</f>
        <v>58</v>
      </c>
      <c r="Q59" s="62" t="str">
        <f>IF(Main3WData[[#This Row],[PT.FirstID]],Main3WData[[#This Row],[Acronym]],INDEX($Q$4:Q58,Main3WData[[#This Row],[PT.LastID.Row]]-ROW($Q$4)+1) &amp; ", "&amp;Main3WData[[#This Row],[Acronym]])</f>
        <v>OMS, CDC</v>
      </c>
      <c r="R59" s="62" t="b">
        <f t="array" ref="R59">MAX(IF(Main3WData[PT.ID]=Main3WData[[#This Row],[PT.ID]],Main3WData[PT.LastID.Row]))=Main3WData[[#This Row],[PT.LastID.Row]]</f>
        <v>1</v>
      </c>
    </row>
    <row r="60" spans="2:18" s="1" customFormat="1" ht="16.5" customHeight="1" x14ac:dyDescent="0.2">
      <c r="B60" s="55" t="s">
        <v>77</v>
      </c>
      <c r="C60" s="27" t="str">
        <f>INDEX(Organizations[],MATCH(Main3WData[[#This Row],[Acronym]],AcronymList,0),1)</f>
        <v>United Nations Children's Fund</v>
      </c>
      <c r="D60" s="27" t="str">
        <f>INDEX(Organizations[],MATCH(Main3WData[[#This Row],[Acronym]],AcronymList,0),3)</f>
        <v>UN Agency</v>
      </c>
      <c r="E60" s="54" t="s">
        <v>350</v>
      </c>
      <c r="F60" s="53" t="s">
        <v>82</v>
      </c>
      <c r="G60" s="54" t="s">
        <v>370</v>
      </c>
      <c r="H60" s="28" t="str">
        <f>VLOOKUP(Main3WData[[#This Row],[Admin Unit Name]],AdminUnits[],2,FALSE)</f>
        <v>GIN001002</v>
      </c>
      <c r="I60" s="57">
        <v>0</v>
      </c>
      <c r="J60" s="67" t="str">
        <f>Main3WData[[#This Row],[Acronym]]&amp;Main3WData[[#This Row],[Sector]]&amp;Main3WData[[#This Row],[Activity Type]]&amp;Main3WData[[#This Row],[Pcode]]</f>
        <v>UNICEFCommunication/Mobilisation socialeOngoingGIN001002</v>
      </c>
      <c r="K60" s="69">
        <f>COUNTIF(Main3WData[Concatenate],Main3WData[[#This Row],[Concatenate]])</f>
        <v>1</v>
      </c>
      <c r="L60" s="61" t="str">
        <f>Main3WData[[#This Row],[Sector]]&amp;Main3WData[[#This Row],[Pcode]]</f>
        <v>Communication/Mobilisation socialeGIN001002</v>
      </c>
      <c r="M60" s="71">
        <f>COUNTIF($L$5:L60,Main3WData[[#This Row],[PT.Concat]])</f>
        <v>1</v>
      </c>
      <c r="N60" s="70">
        <f>MATCH(Main3WData[[#This Row],[PT.Concat]],$L$5:L60,0)</f>
        <v>56</v>
      </c>
      <c r="O60" s="62" t="b">
        <f>Main3WData[[#This Row],[Count PT.Concat]]=1</f>
        <v>1</v>
      </c>
      <c r="P60" s="62">
        <f t="array" ref="P60">MAX(($N$4:N59=Main3WData[[#This Row],[PT.ID]])*ROW($N$4:N59))</f>
        <v>0</v>
      </c>
      <c r="Q60" s="62" t="str">
        <f>IF(Main3WData[[#This Row],[PT.FirstID]],Main3WData[[#This Row],[Acronym]],INDEX($Q$4:Q59,Main3WData[[#This Row],[PT.LastID.Row]]-ROW($Q$4)+1) &amp; ", "&amp;Main3WData[[#This Row],[Acronym]])</f>
        <v>UNICEF</v>
      </c>
      <c r="R60" s="62" t="b">
        <f t="array" ref="R60">MAX(IF(Main3WData[PT.ID]=Main3WData[[#This Row],[PT.ID]],Main3WData[PT.LastID.Row]))=Main3WData[[#This Row],[PT.LastID.Row]]</f>
        <v>0</v>
      </c>
    </row>
    <row r="61" spans="2:18" s="1" customFormat="1" ht="16.5" customHeight="1" x14ac:dyDescent="0.2">
      <c r="B61" s="55" t="s">
        <v>75</v>
      </c>
      <c r="C61" s="27" t="str">
        <f>INDEX(Organizations[],MATCH(Main3WData[[#This Row],[Acronym]],AcronymList,0),1)</f>
        <v>United Nations Population Fund</v>
      </c>
      <c r="D61" s="27" t="str">
        <f>INDEX(Organizations[],MATCH(Main3WData[[#This Row],[Acronym]],AcronymList,0),3)</f>
        <v>UN Agency</v>
      </c>
      <c r="E61" s="54" t="s">
        <v>350</v>
      </c>
      <c r="F61" s="53" t="s">
        <v>82</v>
      </c>
      <c r="G61" s="54" t="s">
        <v>370</v>
      </c>
      <c r="H61" s="28" t="str">
        <f>VLOOKUP(Main3WData[[#This Row],[Admin Unit Name]],AdminUnits[],2,FALSE)</f>
        <v>GIN001002</v>
      </c>
      <c r="I61" s="57">
        <v>0</v>
      </c>
      <c r="J61" s="67" t="str">
        <f>Main3WData[[#This Row],[Acronym]]&amp;Main3WData[[#This Row],[Sector]]&amp;Main3WData[[#This Row],[Activity Type]]&amp;Main3WData[[#This Row],[Pcode]]</f>
        <v>UNFPACommunication/Mobilisation socialeOngoingGIN001002</v>
      </c>
      <c r="K61" s="69">
        <f>COUNTIF(Main3WData[Concatenate],Main3WData[[#This Row],[Concatenate]])</f>
        <v>1</v>
      </c>
      <c r="L61" s="61" t="str">
        <f>Main3WData[[#This Row],[Sector]]&amp;Main3WData[[#This Row],[Pcode]]</f>
        <v>Communication/Mobilisation socialeGIN001002</v>
      </c>
      <c r="M61" s="71">
        <f>COUNTIF($L$5:L61,Main3WData[[#This Row],[PT.Concat]])</f>
        <v>2</v>
      </c>
      <c r="N61" s="70">
        <f>MATCH(Main3WData[[#This Row],[PT.Concat]],$L$5:L61,0)</f>
        <v>56</v>
      </c>
      <c r="O61" s="62" t="b">
        <f>Main3WData[[#This Row],[Count PT.Concat]]=1</f>
        <v>0</v>
      </c>
      <c r="P61" s="62">
        <f t="array" ref="P61">MAX(($N$4:N60=Main3WData[[#This Row],[PT.ID]])*ROW($N$4:N60))</f>
        <v>60</v>
      </c>
      <c r="Q61" s="62" t="str">
        <f>IF(Main3WData[[#This Row],[PT.FirstID]],Main3WData[[#This Row],[Acronym]],INDEX($Q$4:Q60,Main3WData[[#This Row],[PT.LastID.Row]]-ROW($Q$4)+1) &amp; ", "&amp;Main3WData[[#This Row],[Acronym]])</f>
        <v>UNICEF, UNFPA</v>
      </c>
      <c r="R61" s="62" t="b">
        <f t="array" ref="R61">MAX(IF(Main3WData[PT.ID]=Main3WData[[#This Row],[PT.ID]],Main3WData[PT.LastID.Row]))=Main3WData[[#This Row],[PT.LastID.Row]]</f>
        <v>0</v>
      </c>
    </row>
    <row r="62" spans="2:18" s="1" customFormat="1" ht="16.5" customHeight="1" x14ac:dyDescent="0.2">
      <c r="B62" s="55" t="s">
        <v>473</v>
      </c>
      <c r="C62" s="27" t="str">
        <f>INDEX(Organizations[],MATCH(Main3WData[[#This Row],[Acronym]],AcronymList,0),1)</f>
        <v>United Nations Development Programme</v>
      </c>
      <c r="D62" s="27" t="str">
        <f>INDEX(Organizations[],MATCH(Main3WData[[#This Row],[Acronym]],AcronymList,0),3)</f>
        <v>UN Agency</v>
      </c>
      <c r="E62" s="54" t="s">
        <v>350</v>
      </c>
      <c r="F62" s="53" t="s">
        <v>82</v>
      </c>
      <c r="G62" s="54" t="s">
        <v>370</v>
      </c>
      <c r="H62" s="28" t="str">
        <f>VLOOKUP(Main3WData[[#This Row],[Admin Unit Name]],AdminUnits[],2,FALSE)</f>
        <v>GIN001002</v>
      </c>
      <c r="I62" s="57">
        <v>0</v>
      </c>
      <c r="J62" s="67" t="str">
        <f>Main3WData[[#This Row],[Acronym]]&amp;Main3WData[[#This Row],[Sector]]&amp;Main3WData[[#This Row],[Activity Type]]&amp;Main3WData[[#This Row],[Pcode]]</f>
        <v>UNDPCommunication/Mobilisation socialeOngoingGIN001002</v>
      </c>
      <c r="K62" s="69">
        <f>COUNTIF(Main3WData[Concatenate],Main3WData[[#This Row],[Concatenate]])</f>
        <v>1</v>
      </c>
      <c r="L62" s="61" t="str">
        <f>Main3WData[[#This Row],[Sector]]&amp;Main3WData[[#This Row],[Pcode]]</f>
        <v>Communication/Mobilisation socialeGIN001002</v>
      </c>
      <c r="M62" s="71">
        <f>COUNTIF($L$5:L62,Main3WData[[#This Row],[PT.Concat]])</f>
        <v>3</v>
      </c>
      <c r="N62" s="70">
        <f>MATCH(Main3WData[[#This Row],[PT.Concat]],$L$5:L62,0)</f>
        <v>56</v>
      </c>
      <c r="O62" s="62" t="b">
        <f>Main3WData[[#This Row],[Count PT.Concat]]=1</f>
        <v>0</v>
      </c>
      <c r="P62" s="62">
        <f t="array" ref="P62">MAX(($N$4:N61=Main3WData[[#This Row],[PT.ID]])*ROW($N$4:N61))</f>
        <v>61</v>
      </c>
      <c r="Q62" s="62" t="str">
        <f>IF(Main3WData[[#This Row],[PT.FirstID]],Main3WData[[#This Row],[Acronym]],INDEX($Q$4:Q61,Main3WData[[#This Row],[PT.LastID.Row]]-ROW($Q$4)+1) &amp; ", "&amp;Main3WData[[#This Row],[Acronym]])</f>
        <v>UNICEF, UNFPA, UNDP</v>
      </c>
      <c r="R62" s="62" t="b">
        <f t="array" ref="R62">MAX(IF(Main3WData[PT.ID]=Main3WData[[#This Row],[PT.ID]],Main3WData[PT.LastID.Row]))=Main3WData[[#This Row],[PT.LastID.Row]]</f>
        <v>0</v>
      </c>
    </row>
    <row r="63" spans="2:18" s="1" customFormat="1" ht="16.5" customHeight="1" x14ac:dyDescent="0.2">
      <c r="B63" s="55" t="s">
        <v>72</v>
      </c>
      <c r="C63" s="27" t="str">
        <f>INDEX(Organizations[],MATCH(Main3WData[[#This Row],[Acronym]],AcronymList,0),1)</f>
        <v>PLAN</v>
      </c>
      <c r="D63" s="27" t="str">
        <f>INDEX(Organizations[],MATCH(Main3WData[[#This Row],[Acronym]],AcronymList,0),3)</f>
        <v>International Organization</v>
      </c>
      <c r="E63" s="54" t="s">
        <v>350</v>
      </c>
      <c r="F63" s="53" t="s">
        <v>82</v>
      </c>
      <c r="G63" s="54" t="s">
        <v>370</v>
      </c>
      <c r="H63" s="28" t="str">
        <f>VLOOKUP(Main3WData[[#This Row],[Admin Unit Name]],AdminUnits[],2,FALSE)</f>
        <v>GIN001002</v>
      </c>
      <c r="I63" s="57">
        <v>0</v>
      </c>
      <c r="J63" s="67" t="str">
        <f>Main3WData[[#This Row],[Acronym]]&amp;Main3WData[[#This Row],[Sector]]&amp;Main3WData[[#This Row],[Activity Type]]&amp;Main3WData[[#This Row],[Pcode]]</f>
        <v>PLANCommunication/Mobilisation socialeOngoingGIN001002</v>
      </c>
      <c r="K63" s="69">
        <f>COUNTIF(Main3WData[Concatenate],Main3WData[[#This Row],[Concatenate]])</f>
        <v>1</v>
      </c>
      <c r="L63" s="61" t="str">
        <f>Main3WData[[#This Row],[Sector]]&amp;Main3WData[[#This Row],[Pcode]]</f>
        <v>Communication/Mobilisation socialeGIN001002</v>
      </c>
      <c r="M63" s="71">
        <f>COUNTIF($L$5:L63,Main3WData[[#This Row],[PT.Concat]])</f>
        <v>4</v>
      </c>
      <c r="N63" s="70">
        <f>MATCH(Main3WData[[#This Row],[PT.Concat]],$L$5:L63,0)</f>
        <v>56</v>
      </c>
      <c r="O63" s="62" t="b">
        <f>Main3WData[[#This Row],[Count PT.Concat]]=1</f>
        <v>0</v>
      </c>
      <c r="P63" s="62">
        <f t="array" ref="P63">MAX(($N$4:N62=Main3WData[[#This Row],[PT.ID]])*ROW($N$4:N62))</f>
        <v>62</v>
      </c>
      <c r="Q63" s="62" t="str">
        <f>IF(Main3WData[[#This Row],[PT.FirstID]],Main3WData[[#This Row],[Acronym]],INDEX($Q$4:Q62,Main3WData[[#This Row],[PT.LastID.Row]]-ROW($Q$4)+1) &amp; ", "&amp;Main3WData[[#This Row],[Acronym]])</f>
        <v>UNICEF, UNFPA, UNDP, PLAN</v>
      </c>
      <c r="R63" s="62" t="b">
        <f t="array" ref="R63">MAX(IF(Main3WData[PT.ID]=Main3WData[[#This Row],[PT.ID]],Main3WData[PT.LastID.Row]))=Main3WData[[#This Row],[PT.LastID.Row]]</f>
        <v>0</v>
      </c>
    </row>
    <row r="64" spans="2:18" s="1" customFormat="1" ht="16.5" customHeight="1" x14ac:dyDescent="0.2">
      <c r="B64" s="55" t="s">
        <v>512</v>
      </c>
      <c r="C64" s="27" t="str">
        <f>INDEX(Organizations[],MATCH(Main3WData[[#This Row],[Acronym]],AcronymList,0),1)</f>
        <v>World Health Organization</v>
      </c>
      <c r="D64" s="27" t="str">
        <f>INDEX(Organizations[],MATCH(Main3WData[[#This Row],[Acronym]],AcronymList,0),3)</f>
        <v>UN Agency</v>
      </c>
      <c r="E64" s="54" t="s">
        <v>350</v>
      </c>
      <c r="F64" s="53" t="s">
        <v>82</v>
      </c>
      <c r="G64" s="54" t="s">
        <v>370</v>
      </c>
      <c r="H64" s="28" t="str">
        <f>VLOOKUP(Main3WData[[#This Row],[Admin Unit Name]],AdminUnits[],2,FALSE)</f>
        <v>GIN001002</v>
      </c>
      <c r="I64" s="57">
        <v>0</v>
      </c>
      <c r="J64" s="67" t="str">
        <f>Main3WData[[#This Row],[Acronym]]&amp;Main3WData[[#This Row],[Sector]]&amp;Main3WData[[#This Row],[Activity Type]]&amp;Main3WData[[#This Row],[Pcode]]</f>
        <v>OMSCommunication/Mobilisation socialeOngoingGIN001002</v>
      </c>
      <c r="K64" s="69">
        <f>COUNTIF(Main3WData[Concatenate],Main3WData[[#This Row],[Concatenate]])</f>
        <v>1</v>
      </c>
      <c r="L64" s="61" t="str">
        <f>Main3WData[[#This Row],[Sector]]&amp;Main3WData[[#This Row],[Pcode]]</f>
        <v>Communication/Mobilisation socialeGIN001002</v>
      </c>
      <c r="M64" s="71">
        <f>COUNTIF($L$5:L64,Main3WData[[#This Row],[PT.Concat]])</f>
        <v>5</v>
      </c>
      <c r="N64" s="70">
        <f>MATCH(Main3WData[[#This Row],[PT.Concat]],$L$5:L64,0)</f>
        <v>56</v>
      </c>
      <c r="O64" s="62" t="b">
        <f>Main3WData[[#This Row],[Count PT.Concat]]=1</f>
        <v>0</v>
      </c>
      <c r="P64" s="62">
        <f t="array" ref="P64">MAX(($N$4:N63=Main3WData[[#This Row],[PT.ID]])*ROW($N$4:N63))</f>
        <v>63</v>
      </c>
      <c r="Q64" s="62" t="str">
        <f>IF(Main3WData[[#This Row],[PT.FirstID]],Main3WData[[#This Row],[Acronym]],INDEX($Q$4:Q63,Main3WData[[#This Row],[PT.LastID.Row]]-ROW($Q$4)+1) &amp; ", "&amp;Main3WData[[#This Row],[Acronym]])</f>
        <v>UNICEF, UNFPA, UNDP, PLAN, OMS</v>
      </c>
      <c r="R64" s="62" t="b">
        <f t="array" ref="R64">MAX(IF(Main3WData[PT.ID]=Main3WData[[#This Row],[PT.ID]],Main3WData[PT.LastID.Row]))=Main3WData[[#This Row],[PT.LastID.Row]]</f>
        <v>0</v>
      </c>
    </row>
    <row r="65" spans="2:18" s="1" customFormat="1" ht="16.5" customHeight="1" x14ac:dyDescent="0.2">
      <c r="B65" s="55" t="s">
        <v>509</v>
      </c>
      <c r="C65" s="27" t="str">
        <f>INDEX(Organizations[],MATCH(Main3WData[[#This Row],[Acronym]],AcronymList,0),1)</f>
        <v>Internews</v>
      </c>
      <c r="D65" s="27" t="str">
        <f>INDEX(Organizations[],MATCH(Main3WData[[#This Row],[Acronym]],AcronymList,0),3)</f>
        <v>Media</v>
      </c>
      <c r="E65" s="54" t="s">
        <v>350</v>
      </c>
      <c r="F65" s="53" t="s">
        <v>82</v>
      </c>
      <c r="G65" s="54" t="s">
        <v>370</v>
      </c>
      <c r="H65" s="28" t="str">
        <f>VLOOKUP(Main3WData[[#This Row],[Admin Unit Name]],AdminUnits[],2,FALSE)</f>
        <v>GIN001002</v>
      </c>
      <c r="I65" s="57">
        <v>0</v>
      </c>
      <c r="J65" s="67" t="str">
        <f>Main3WData[[#This Row],[Acronym]]&amp;Main3WData[[#This Row],[Sector]]&amp;Main3WData[[#This Row],[Activity Type]]&amp;Main3WData[[#This Row],[Pcode]]</f>
        <v>InternewsCommunication/Mobilisation socialeOngoingGIN001002</v>
      </c>
      <c r="K65" s="69">
        <f>COUNTIF(Main3WData[Concatenate],Main3WData[[#This Row],[Concatenate]])</f>
        <v>1</v>
      </c>
      <c r="L65" s="61" t="str">
        <f>Main3WData[[#This Row],[Sector]]&amp;Main3WData[[#This Row],[Pcode]]</f>
        <v>Communication/Mobilisation socialeGIN001002</v>
      </c>
      <c r="M65" s="71">
        <f>COUNTIF($L$5:L65,Main3WData[[#This Row],[PT.Concat]])</f>
        <v>6</v>
      </c>
      <c r="N65" s="70">
        <f>MATCH(Main3WData[[#This Row],[PT.Concat]],$L$5:L65,0)</f>
        <v>56</v>
      </c>
      <c r="O65" s="62" t="b">
        <f>Main3WData[[#This Row],[Count PT.Concat]]=1</f>
        <v>0</v>
      </c>
      <c r="P65" s="62">
        <f t="array" ref="P65">MAX(($N$4:N64=Main3WData[[#This Row],[PT.ID]])*ROW($N$4:N64))</f>
        <v>64</v>
      </c>
      <c r="Q65" s="62" t="str">
        <f>IF(Main3WData[[#This Row],[PT.FirstID]],Main3WData[[#This Row],[Acronym]],INDEX($Q$4:Q64,Main3WData[[#This Row],[PT.LastID.Row]]-ROW($Q$4)+1) &amp; ", "&amp;Main3WData[[#This Row],[Acronym]])</f>
        <v>UNICEF, UNFPA, UNDP, PLAN, OMS, Internews</v>
      </c>
      <c r="R65" s="62" t="b">
        <f t="array" ref="R65">MAX(IF(Main3WData[PT.ID]=Main3WData[[#This Row],[PT.ID]],Main3WData[PT.LastID.Row]))=Main3WData[[#This Row],[PT.LastID.Row]]</f>
        <v>0</v>
      </c>
    </row>
    <row r="66" spans="2:18" s="1" customFormat="1" ht="16.5" customHeight="1" x14ac:dyDescent="0.2">
      <c r="B66" s="55" t="s">
        <v>499</v>
      </c>
      <c r="C66" s="27" t="str">
        <f>INDEX(Organizations[],MATCH(Main3WData[[#This Row],[Acronym]],AcronymList,0),1)</f>
        <v>Croix-Rouge Guinée/Fédération internationale de la Croix-Rouge</v>
      </c>
      <c r="D66" s="27" t="str">
        <f>INDEX(Organizations[],MATCH(Main3WData[[#This Row],[Acronym]],AcronymList,0),3)</f>
        <v>International Organization</v>
      </c>
      <c r="E66" s="54" t="s">
        <v>350</v>
      </c>
      <c r="F66" s="53" t="s">
        <v>82</v>
      </c>
      <c r="G66" s="54" t="s">
        <v>370</v>
      </c>
      <c r="H66" s="28" t="str">
        <f>VLOOKUP(Main3WData[[#This Row],[Admin Unit Name]],AdminUnits[],2,FALSE)</f>
        <v>GIN001002</v>
      </c>
      <c r="I66" s="57">
        <v>0</v>
      </c>
      <c r="J66" s="67" t="str">
        <f>Main3WData[[#This Row],[Acronym]]&amp;Main3WData[[#This Row],[Sector]]&amp;Main3WData[[#This Row],[Activity Type]]&amp;Main3WData[[#This Row],[Pcode]]</f>
        <v>CRG/FICRCommunication/Mobilisation socialeOngoingGIN001002</v>
      </c>
      <c r="K66" s="69">
        <f>COUNTIF(Main3WData[Concatenate],Main3WData[[#This Row],[Concatenate]])</f>
        <v>1</v>
      </c>
      <c r="L66" s="61" t="str">
        <f>Main3WData[[#This Row],[Sector]]&amp;Main3WData[[#This Row],[Pcode]]</f>
        <v>Communication/Mobilisation socialeGIN001002</v>
      </c>
      <c r="M66" s="71">
        <f>COUNTIF($L$5:L66,Main3WData[[#This Row],[PT.Concat]])</f>
        <v>7</v>
      </c>
      <c r="N66" s="70">
        <f>MATCH(Main3WData[[#This Row],[PT.Concat]],$L$5:L66,0)</f>
        <v>56</v>
      </c>
      <c r="O66" s="62" t="b">
        <f>Main3WData[[#This Row],[Count PT.Concat]]=1</f>
        <v>0</v>
      </c>
      <c r="P66" s="62">
        <f t="array" ref="P66">MAX(($N$4:N65=Main3WData[[#This Row],[PT.ID]])*ROW($N$4:N65))</f>
        <v>65</v>
      </c>
      <c r="Q66" s="62" t="str">
        <f>IF(Main3WData[[#This Row],[PT.FirstID]],Main3WData[[#This Row],[Acronym]],INDEX($Q$4:Q65,Main3WData[[#This Row],[PT.LastID.Row]]-ROW($Q$4)+1) &amp; ", "&amp;Main3WData[[#This Row],[Acronym]])</f>
        <v>UNICEF, UNFPA, UNDP, PLAN, OMS, Internews, CRG/FICR</v>
      </c>
      <c r="R66" s="62" t="b">
        <f t="array" ref="R66">MAX(IF(Main3WData[PT.ID]=Main3WData[[#This Row],[PT.ID]],Main3WData[PT.LastID.Row]))=Main3WData[[#This Row],[PT.LastID.Row]]</f>
        <v>1</v>
      </c>
    </row>
    <row r="67" spans="2:18" s="1" customFormat="1" ht="16.5" customHeight="1" x14ac:dyDescent="0.2">
      <c r="B67" s="55" t="s">
        <v>516</v>
      </c>
      <c r="C67" s="27" t="str">
        <f>INDEX(Organizations[],MATCH(Main3WData[[#This Row],[Acronym]],AcronymList,0),1)</f>
        <v>UNITED NATION MISSION FOR EBOLA  EMERGENCY RESPONSE</v>
      </c>
      <c r="D67" s="27" t="str">
        <f>INDEX(Organizations[],MATCH(Main3WData[[#This Row],[Acronym]],AcronymList,0),3)</f>
        <v>UN Agency</v>
      </c>
      <c r="E67" s="54" t="s">
        <v>360</v>
      </c>
      <c r="F67" s="53" t="s">
        <v>82</v>
      </c>
      <c r="G67" s="54" t="s">
        <v>370</v>
      </c>
      <c r="H67" s="28" t="str">
        <f>VLOOKUP(Main3WData[[#This Row],[Admin Unit Name]],AdminUnits[],2,FALSE)</f>
        <v>GIN001002</v>
      </c>
      <c r="I67" s="57">
        <v>0</v>
      </c>
      <c r="J67" s="67" t="str">
        <f>Main3WData[[#This Row],[Acronym]]&amp;Main3WData[[#This Row],[Sector]]&amp;Main3WData[[#This Row],[Activity Type]]&amp;Main3WData[[#This Row],[Pcode]]</f>
        <v>UNMEERCoordinationOngoingGIN001002</v>
      </c>
      <c r="K67" s="69">
        <f>COUNTIF(Main3WData[Concatenate],Main3WData[[#This Row],[Concatenate]])</f>
        <v>1</v>
      </c>
      <c r="L67" s="61" t="str">
        <f>Main3WData[[#This Row],[Sector]]&amp;Main3WData[[#This Row],[Pcode]]</f>
        <v>CoordinationGIN001002</v>
      </c>
      <c r="M67" s="71">
        <f>COUNTIF($L$5:L67,Main3WData[[#This Row],[PT.Concat]])</f>
        <v>1</v>
      </c>
      <c r="N67" s="70">
        <f>MATCH(Main3WData[[#This Row],[PT.Concat]],$L$5:L67,0)</f>
        <v>63</v>
      </c>
      <c r="O67" s="62" t="b">
        <f>Main3WData[[#This Row],[Count PT.Concat]]=1</f>
        <v>1</v>
      </c>
      <c r="P67" s="62">
        <f t="array" ref="P67">MAX(($N$4:N66=Main3WData[[#This Row],[PT.ID]])*ROW($N$4:N66))</f>
        <v>0</v>
      </c>
      <c r="Q67" s="62" t="str">
        <f>IF(Main3WData[[#This Row],[PT.FirstID]],Main3WData[[#This Row],[Acronym]],INDEX($Q$4:Q66,Main3WData[[#This Row],[PT.LastID.Row]]-ROW($Q$4)+1) &amp; ", "&amp;Main3WData[[#This Row],[Acronym]])</f>
        <v>UNMEER</v>
      </c>
      <c r="R67" s="62" t="b">
        <f t="array" ref="R67">MAX(IF(Main3WData[PT.ID]=Main3WData[[#This Row],[PT.ID]],Main3WData[PT.LastID.Row]))=Main3WData[[#This Row],[PT.LastID.Row]]</f>
        <v>0</v>
      </c>
    </row>
    <row r="68" spans="2:18" s="1" customFormat="1" ht="16.5" customHeight="1" x14ac:dyDescent="0.2">
      <c r="B68" s="55" t="s">
        <v>75</v>
      </c>
      <c r="C68" s="27" t="str">
        <f>INDEX(Organizations[],MATCH(Main3WData[[#This Row],[Acronym]],AcronymList,0),1)</f>
        <v>United Nations Population Fund</v>
      </c>
      <c r="D68" s="27" t="str">
        <f>INDEX(Organizations[],MATCH(Main3WData[[#This Row],[Acronym]],AcronymList,0),3)</f>
        <v>UN Agency</v>
      </c>
      <c r="E68" s="54" t="s">
        <v>360</v>
      </c>
      <c r="F68" s="53" t="s">
        <v>82</v>
      </c>
      <c r="G68" s="54" t="s">
        <v>370</v>
      </c>
      <c r="H68" s="28" t="str">
        <f>VLOOKUP(Main3WData[[#This Row],[Admin Unit Name]],AdminUnits[],2,FALSE)</f>
        <v>GIN001002</v>
      </c>
      <c r="I68" s="57">
        <v>0</v>
      </c>
      <c r="J68" s="67" t="str">
        <f>Main3WData[[#This Row],[Acronym]]&amp;Main3WData[[#This Row],[Sector]]&amp;Main3WData[[#This Row],[Activity Type]]&amp;Main3WData[[#This Row],[Pcode]]</f>
        <v>UNFPACoordinationOngoingGIN001002</v>
      </c>
      <c r="K68" s="69">
        <f>COUNTIF(Main3WData[Concatenate],Main3WData[[#This Row],[Concatenate]])</f>
        <v>1</v>
      </c>
      <c r="L68" s="61" t="str">
        <f>Main3WData[[#This Row],[Sector]]&amp;Main3WData[[#This Row],[Pcode]]</f>
        <v>CoordinationGIN001002</v>
      </c>
      <c r="M68" s="71">
        <f>COUNTIF($L$5:L68,Main3WData[[#This Row],[PT.Concat]])</f>
        <v>2</v>
      </c>
      <c r="N68" s="70">
        <f>MATCH(Main3WData[[#This Row],[PT.Concat]],$L$5:L68,0)</f>
        <v>63</v>
      </c>
      <c r="O68" s="62" t="b">
        <f>Main3WData[[#This Row],[Count PT.Concat]]=1</f>
        <v>0</v>
      </c>
      <c r="P68" s="62">
        <f t="array" ref="P68">MAX(($N$4:N67=Main3WData[[#This Row],[PT.ID]])*ROW($N$4:N67))</f>
        <v>67</v>
      </c>
      <c r="Q68" s="62" t="str">
        <f>IF(Main3WData[[#This Row],[PT.FirstID]],Main3WData[[#This Row],[Acronym]],INDEX($Q$4:Q67,Main3WData[[#This Row],[PT.LastID.Row]]-ROW($Q$4)+1) &amp; ", "&amp;Main3WData[[#This Row],[Acronym]])</f>
        <v>UNMEER, UNFPA</v>
      </c>
      <c r="R68" s="62" t="b">
        <f t="array" ref="R68">MAX(IF(Main3WData[PT.ID]=Main3WData[[#This Row],[PT.ID]],Main3WData[PT.LastID.Row]))=Main3WData[[#This Row],[PT.LastID.Row]]</f>
        <v>0</v>
      </c>
    </row>
    <row r="69" spans="2:18" s="1" customFormat="1" ht="16.5" customHeight="1" x14ac:dyDescent="0.2">
      <c r="B69" s="55" t="s">
        <v>473</v>
      </c>
      <c r="C69" s="27" t="str">
        <f>INDEX(Organizations[],MATCH(Main3WData[[#This Row],[Acronym]],AcronymList,0),1)</f>
        <v>United Nations Development Programme</v>
      </c>
      <c r="D69" s="27" t="str">
        <f>INDEX(Organizations[],MATCH(Main3WData[[#This Row],[Acronym]],AcronymList,0),3)</f>
        <v>UN Agency</v>
      </c>
      <c r="E69" s="54" t="s">
        <v>360</v>
      </c>
      <c r="F69" s="53" t="s">
        <v>82</v>
      </c>
      <c r="G69" s="54" t="s">
        <v>370</v>
      </c>
      <c r="H69" s="28" t="str">
        <f>VLOOKUP(Main3WData[[#This Row],[Admin Unit Name]],AdminUnits[],2,FALSE)</f>
        <v>GIN001002</v>
      </c>
      <c r="I69" s="57">
        <v>0</v>
      </c>
      <c r="J69" s="67" t="str">
        <f>Main3WData[[#This Row],[Acronym]]&amp;Main3WData[[#This Row],[Sector]]&amp;Main3WData[[#This Row],[Activity Type]]&amp;Main3WData[[#This Row],[Pcode]]</f>
        <v>UNDPCoordinationOngoingGIN001002</v>
      </c>
      <c r="K69" s="69">
        <f>COUNTIF(Main3WData[Concatenate],Main3WData[[#This Row],[Concatenate]])</f>
        <v>1</v>
      </c>
      <c r="L69" s="61" t="str">
        <f>Main3WData[[#This Row],[Sector]]&amp;Main3WData[[#This Row],[Pcode]]</f>
        <v>CoordinationGIN001002</v>
      </c>
      <c r="M69" s="71">
        <f>COUNTIF($L$5:L69,Main3WData[[#This Row],[PT.Concat]])</f>
        <v>3</v>
      </c>
      <c r="N69" s="70">
        <f>MATCH(Main3WData[[#This Row],[PT.Concat]],$L$5:L69,0)</f>
        <v>63</v>
      </c>
      <c r="O69" s="62" t="b">
        <f>Main3WData[[#This Row],[Count PT.Concat]]=1</f>
        <v>0</v>
      </c>
      <c r="P69" s="62">
        <f t="array" ref="P69">MAX(($N$4:N68=Main3WData[[#This Row],[PT.ID]])*ROW($N$4:N68))</f>
        <v>68</v>
      </c>
      <c r="Q69" s="62" t="str">
        <f>IF(Main3WData[[#This Row],[PT.FirstID]],Main3WData[[#This Row],[Acronym]],INDEX($Q$4:Q68,Main3WData[[#This Row],[PT.LastID.Row]]-ROW($Q$4)+1) &amp; ", "&amp;Main3WData[[#This Row],[Acronym]])</f>
        <v>UNMEER, UNFPA, UNDP</v>
      </c>
      <c r="R69" s="62" t="b">
        <f t="array" ref="R69">MAX(IF(Main3WData[PT.ID]=Main3WData[[#This Row],[PT.ID]],Main3WData[PT.LastID.Row]))=Main3WData[[#This Row],[PT.LastID.Row]]</f>
        <v>0</v>
      </c>
    </row>
    <row r="70" spans="2:18" s="1" customFormat="1" ht="16.5" customHeight="1" x14ac:dyDescent="0.2">
      <c r="B70" s="55" t="s">
        <v>512</v>
      </c>
      <c r="C70" s="27" t="str">
        <f>INDEX(Organizations[],MATCH(Main3WData[[#This Row],[Acronym]],AcronymList,0),1)</f>
        <v>World Health Organization</v>
      </c>
      <c r="D70" s="27" t="str">
        <f>INDEX(Organizations[],MATCH(Main3WData[[#This Row],[Acronym]],AcronymList,0),3)</f>
        <v>UN Agency</v>
      </c>
      <c r="E70" s="54" t="s">
        <v>360</v>
      </c>
      <c r="F70" s="53" t="s">
        <v>82</v>
      </c>
      <c r="G70" s="54" t="s">
        <v>370</v>
      </c>
      <c r="H70" s="28" t="str">
        <f>VLOOKUP(Main3WData[[#This Row],[Admin Unit Name]],AdminUnits[],2,FALSE)</f>
        <v>GIN001002</v>
      </c>
      <c r="I70" s="57">
        <v>0</v>
      </c>
      <c r="J70" s="67" t="str">
        <f>Main3WData[[#This Row],[Acronym]]&amp;Main3WData[[#This Row],[Sector]]&amp;Main3WData[[#This Row],[Activity Type]]&amp;Main3WData[[#This Row],[Pcode]]</f>
        <v>OMSCoordinationOngoingGIN001002</v>
      </c>
      <c r="K70" s="69">
        <f>COUNTIF(Main3WData[Concatenate],Main3WData[[#This Row],[Concatenate]])</f>
        <v>1</v>
      </c>
      <c r="L70" s="61" t="str">
        <f>Main3WData[[#This Row],[Sector]]&amp;Main3WData[[#This Row],[Pcode]]</f>
        <v>CoordinationGIN001002</v>
      </c>
      <c r="M70" s="71">
        <f>COUNTIF($L$5:L70,Main3WData[[#This Row],[PT.Concat]])</f>
        <v>4</v>
      </c>
      <c r="N70" s="70">
        <f>MATCH(Main3WData[[#This Row],[PT.Concat]],$L$5:L70,0)</f>
        <v>63</v>
      </c>
      <c r="O70" s="62" t="b">
        <f>Main3WData[[#This Row],[Count PT.Concat]]=1</f>
        <v>0</v>
      </c>
      <c r="P70" s="62">
        <f t="array" ref="P70">MAX(($N$4:N69=Main3WData[[#This Row],[PT.ID]])*ROW($N$4:N69))</f>
        <v>69</v>
      </c>
      <c r="Q70" s="62" t="str">
        <f>IF(Main3WData[[#This Row],[PT.FirstID]],Main3WData[[#This Row],[Acronym]],INDEX($Q$4:Q69,Main3WData[[#This Row],[PT.LastID.Row]]-ROW($Q$4)+1) &amp; ", "&amp;Main3WData[[#This Row],[Acronym]])</f>
        <v>UNMEER, UNFPA, UNDP, OMS</v>
      </c>
      <c r="R70" s="62" t="b">
        <f t="array" ref="R70">MAX(IF(Main3WData[PT.ID]=Main3WData[[#This Row],[PT.ID]],Main3WData[PT.LastID.Row]))=Main3WData[[#This Row],[PT.LastID.Row]]</f>
        <v>0</v>
      </c>
    </row>
    <row r="71" spans="2:18" s="1" customFormat="1" ht="16.5" customHeight="1" x14ac:dyDescent="0.2">
      <c r="B71" s="55" t="s">
        <v>71</v>
      </c>
      <c r="C71" s="27" t="str">
        <f>INDEX(Organizations[],MATCH(Main3WData[[#This Row],[Acronym]],AcronymList,0),1)</f>
        <v>Medecins sans Frontieres</v>
      </c>
      <c r="D71" s="27" t="str">
        <f>INDEX(Organizations[],MATCH(Main3WData[[#This Row],[Acronym]],AcronymList,0),3)</f>
        <v>International NGO</v>
      </c>
      <c r="E71" s="54" t="s">
        <v>360</v>
      </c>
      <c r="F71" s="53" t="s">
        <v>82</v>
      </c>
      <c r="G71" s="54" t="s">
        <v>370</v>
      </c>
      <c r="H71" s="28" t="str">
        <f>VLOOKUP(Main3WData[[#This Row],[Admin Unit Name]],AdminUnits[],2,FALSE)</f>
        <v>GIN001002</v>
      </c>
      <c r="I71" s="57">
        <v>0</v>
      </c>
      <c r="J71" s="67" t="str">
        <f>Main3WData[[#This Row],[Acronym]]&amp;Main3WData[[#This Row],[Sector]]&amp;Main3WData[[#This Row],[Activity Type]]&amp;Main3WData[[#This Row],[Pcode]]</f>
        <v>MSFCoordinationOngoingGIN001002</v>
      </c>
      <c r="K71" s="69">
        <f>COUNTIF(Main3WData[Concatenate],Main3WData[[#This Row],[Concatenate]])</f>
        <v>1</v>
      </c>
      <c r="L71" s="61" t="str">
        <f>Main3WData[[#This Row],[Sector]]&amp;Main3WData[[#This Row],[Pcode]]</f>
        <v>CoordinationGIN001002</v>
      </c>
      <c r="M71" s="71">
        <f>COUNTIF($L$5:L71,Main3WData[[#This Row],[PT.Concat]])</f>
        <v>5</v>
      </c>
      <c r="N71" s="70">
        <f>MATCH(Main3WData[[#This Row],[PT.Concat]],$L$5:L71,0)</f>
        <v>63</v>
      </c>
      <c r="O71" s="62" t="b">
        <f>Main3WData[[#This Row],[Count PT.Concat]]=1</f>
        <v>0</v>
      </c>
      <c r="P71" s="62">
        <f t="array" ref="P71">MAX(($N$4:N70=Main3WData[[#This Row],[PT.ID]])*ROW($N$4:N70))</f>
        <v>70</v>
      </c>
      <c r="Q71" s="62" t="str">
        <f>IF(Main3WData[[#This Row],[PT.FirstID]],Main3WData[[#This Row],[Acronym]],INDEX($Q$4:Q70,Main3WData[[#This Row],[PT.LastID.Row]]-ROW($Q$4)+1) &amp; ", "&amp;Main3WData[[#This Row],[Acronym]])</f>
        <v>UNMEER, UNFPA, UNDP, OMS, MSF</v>
      </c>
      <c r="R71" s="62" t="b">
        <f t="array" ref="R71">MAX(IF(Main3WData[PT.ID]=Main3WData[[#This Row],[PT.ID]],Main3WData[PT.LastID.Row]))=Main3WData[[#This Row],[PT.LastID.Row]]</f>
        <v>0</v>
      </c>
    </row>
    <row r="72" spans="2:18" s="1" customFormat="1" ht="16.5" customHeight="1" x14ac:dyDescent="0.2">
      <c r="B72" s="55" t="s">
        <v>507</v>
      </c>
      <c r="C72" s="27" t="str">
        <f>INDEX(Organizations[],MATCH(Main3WData[[#This Row],[Acronym]],AcronymList,0),1)</f>
        <v>eHealth Africa</v>
      </c>
      <c r="D72" s="27" t="str">
        <f>INDEX(Organizations[],MATCH(Main3WData[[#This Row],[Acronym]],AcronymList,0),3)</f>
        <v>International Organization</v>
      </c>
      <c r="E72" s="54" t="s">
        <v>360</v>
      </c>
      <c r="F72" s="53" t="s">
        <v>82</v>
      </c>
      <c r="G72" s="54" t="s">
        <v>370</v>
      </c>
      <c r="H72" s="28" t="str">
        <f>VLOOKUP(Main3WData[[#This Row],[Admin Unit Name]],AdminUnits[],2,FALSE)</f>
        <v>GIN001002</v>
      </c>
      <c r="I72" s="57">
        <v>0</v>
      </c>
      <c r="J72" s="67" t="str">
        <f>Main3WData[[#This Row],[Acronym]]&amp;Main3WData[[#This Row],[Sector]]&amp;Main3WData[[#This Row],[Activity Type]]&amp;Main3WData[[#This Row],[Pcode]]</f>
        <v>eHealth AfricaCoordinationOngoingGIN001002</v>
      </c>
      <c r="K72" s="69">
        <f>COUNTIF(Main3WData[Concatenate],Main3WData[[#This Row],[Concatenate]])</f>
        <v>1</v>
      </c>
      <c r="L72" s="61" t="str">
        <f>Main3WData[[#This Row],[Sector]]&amp;Main3WData[[#This Row],[Pcode]]</f>
        <v>CoordinationGIN001002</v>
      </c>
      <c r="M72" s="71">
        <f>COUNTIF($L$5:L72,Main3WData[[#This Row],[PT.Concat]])</f>
        <v>6</v>
      </c>
      <c r="N72" s="70">
        <f>MATCH(Main3WData[[#This Row],[PT.Concat]],$L$5:L72,0)</f>
        <v>63</v>
      </c>
      <c r="O72" s="62" t="b">
        <f>Main3WData[[#This Row],[Count PT.Concat]]=1</f>
        <v>0</v>
      </c>
      <c r="P72" s="62">
        <f t="array" ref="P72">MAX(($N$4:N71=Main3WData[[#This Row],[PT.ID]])*ROW($N$4:N71))</f>
        <v>71</v>
      </c>
      <c r="Q72" s="62" t="str">
        <f>IF(Main3WData[[#This Row],[PT.FirstID]],Main3WData[[#This Row],[Acronym]],INDEX($Q$4:Q71,Main3WData[[#This Row],[PT.LastID.Row]]-ROW($Q$4)+1) &amp; ", "&amp;Main3WData[[#This Row],[Acronym]])</f>
        <v>UNMEER, UNFPA, UNDP, OMS, MSF, eHealth Africa</v>
      </c>
      <c r="R72" s="62" t="b">
        <f t="array" ref="R72">MAX(IF(Main3WData[PT.ID]=Main3WData[[#This Row],[PT.ID]],Main3WData[PT.LastID.Row]))=Main3WData[[#This Row],[PT.LastID.Row]]</f>
        <v>1</v>
      </c>
    </row>
    <row r="73" spans="2:18" s="1" customFormat="1" ht="16.5" customHeight="1" x14ac:dyDescent="0.2">
      <c r="B73" s="55" t="s">
        <v>473</v>
      </c>
      <c r="C73" s="27" t="str">
        <f>INDEX(Organizations[],MATCH(Main3WData[[#This Row],[Acronym]],AcronymList,0),1)</f>
        <v>United Nations Development Programme</v>
      </c>
      <c r="D73" s="27" t="str">
        <f>INDEX(Organizations[],MATCH(Main3WData[[#This Row],[Acronym]],AcronymList,0),3)</f>
        <v>UN Agency</v>
      </c>
      <c r="E73" s="54" t="s">
        <v>359</v>
      </c>
      <c r="F73" s="53" t="s">
        <v>82</v>
      </c>
      <c r="G73" s="54" t="s">
        <v>370</v>
      </c>
      <c r="H73" s="28" t="str">
        <f>VLOOKUP(Main3WData[[#This Row],[Admin Unit Name]],AdminUnits[],2,FALSE)</f>
        <v>GIN001002</v>
      </c>
      <c r="I73" s="57">
        <v>0</v>
      </c>
      <c r="J73" s="67" t="str">
        <f>Main3WData[[#This Row],[Acronym]]&amp;Main3WData[[#This Row],[Sector]]&amp;Main3WData[[#This Row],[Activity Type]]&amp;Main3WData[[#This Row],[Pcode]]</f>
        <v>UNDPFinanceOngoingGIN001002</v>
      </c>
      <c r="K73" s="69">
        <f>COUNTIF(Main3WData[Concatenate],Main3WData[[#This Row],[Concatenate]])</f>
        <v>1</v>
      </c>
      <c r="L73" s="61" t="str">
        <f>Main3WData[[#This Row],[Sector]]&amp;Main3WData[[#This Row],[Pcode]]</f>
        <v>FinanceGIN001002</v>
      </c>
      <c r="M73" s="71">
        <f>COUNTIF($L$5:L73,Main3WData[[#This Row],[PT.Concat]])</f>
        <v>1</v>
      </c>
      <c r="N73" s="70">
        <f>MATCH(Main3WData[[#This Row],[PT.Concat]],$L$5:L73,0)</f>
        <v>69</v>
      </c>
      <c r="O73" s="62" t="b">
        <f>Main3WData[[#This Row],[Count PT.Concat]]=1</f>
        <v>1</v>
      </c>
      <c r="P73" s="62">
        <f t="array" ref="P73">MAX(($N$4:N72=Main3WData[[#This Row],[PT.ID]])*ROW($N$4:N72))</f>
        <v>0</v>
      </c>
      <c r="Q73" s="62" t="str">
        <f>IF(Main3WData[[#This Row],[PT.FirstID]],Main3WData[[#This Row],[Acronym]],INDEX($Q$4:Q72,Main3WData[[#This Row],[PT.LastID.Row]]-ROW($Q$4)+1) &amp; ", "&amp;Main3WData[[#This Row],[Acronym]])</f>
        <v>UNDP</v>
      </c>
      <c r="R73" s="62" t="b">
        <f t="array" ref="R73">MAX(IF(Main3WData[PT.ID]=Main3WData[[#This Row],[PT.ID]],Main3WData[PT.LastID.Row]))=Main3WData[[#This Row],[PT.LastID.Row]]</f>
        <v>1</v>
      </c>
    </row>
    <row r="74" spans="2:18" s="1" customFormat="1" ht="16.5" customHeight="1" x14ac:dyDescent="0.2">
      <c r="B74" s="55" t="s">
        <v>451</v>
      </c>
      <c r="C74" s="27" t="str">
        <f>INDEX(Organizations[],MATCH(Main3WData[[#This Row],[Acronym]],AcronymList,0),1)</f>
        <v>Croix-Rouge Guinée</v>
      </c>
      <c r="D74" s="27" t="str">
        <f>INDEX(Organizations[],MATCH(Main3WData[[#This Row],[Acronym]],AcronymList,0),3)</f>
        <v>Red Cross Movement</v>
      </c>
      <c r="E74" s="54" t="s">
        <v>354</v>
      </c>
      <c r="F74" s="53" t="s">
        <v>82</v>
      </c>
      <c r="G74" s="54" t="s">
        <v>370</v>
      </c>
      <c r="H74" s="28" t="str">
        <f>VLOOKUP(Main3WData[[#This Row],[Admin Unit Name]],AdminUnits[],2,FALSE)</f>
        <v>GIN001002</v>
      </c>
      <c r="I74" s="57">
        <v>0</v>
      </c>
      <c r="J74" s="67" t="str">
        <f>Main3WData[[#This Row],[Acronym]]&amp;Main3WData[[#This Row],[Sector]]&amp;Main3WData[[#This Row],[Activity Type]]&amp;Main3WData[[#This Row],[Pcode]]</f>
        <v>CRGGestion des corps et desinfectionOngoingGIN001002</v>
      </c>
      <c r="K74" s="69">
        <f>COUNTIF(Main3WData[Concatenate],Main3WData[[#This Row],[Concatenate]])</f>
        <v>1</v>
      </c>
      <c r="L74" s="61" t="str">
        <f>Main3WData[[#This Row],[Sector]]&amp;Main3WData[[#This Row],[Pcode]]</f>
        <v>Gestion des corps et desinfectionGIN001002</v>
      </c>
      <c r="M74" s="71">
        <f>COUNTIF($L$5:L74,Main3WData[[#This Row],[PT.Concat]])</f>
        <v>1</v>
      </c>
      <c r="N74" s="70">
        <f>MATCH(Main3WData[[#This Row],[PT.Concat]],$L$5:L74,0)</f>
        <v>70</v>
      </c>
      <c r="O74" s="62" t="b">
        <f>Main3WData[[#This Row],[Count PT.Concat]]=1</f>
        <v>1</v>
      </c>
      <c r="P74" s="62">
        <f t="array" ref="P74">MAX(($N$4:N73=Main3WData[[#This Row],[PT.ID]])*ROW($N$4:N73))</f>
        <v>0</v>
      </c>
      <c r="Q74" s="62" t="str">
        <f>IF(Main3WData[[#This Row],[PT.FirstID]],Main3WData[[#This Row],[Acronym]],INDEX($Q$4:Q73,Main3WData[[#This Row],[PT.LastID.Row]]-ROW($Q$4)+1) &amp; ", "&amp;Main3WData[[#This Row],[Acronym]])</f>
        <v>CRG</v>
      </c>
      <c r="R74" s="62" t="b">
        <f t="array" ref="R74">MAX(IF(Main3WData[PT.ID]=Main3WData[[#This Row],[PT.ID]],Main3WData[PT.LastID.Row]))=Main3WData[[#This Row],[PT.LastID.Row]]</f>
        <v>1</v>
      </c>
    </row>
    <row r="75" spans="2:18" s="1" customFormat="1" ht="16.5" customHeight="1" x14ac:dyDescent="0.2">
      <c r="B75" s="55" t="s">
        <v>516</v>
      </c>
      <c r="C75" s="27" t="str">
        <f>INDEX(Organizations[],MATCH(Main3WData[[#This Row],[Acronym]],AcronymList,0),1)</f>
        <v>UNITED NATION MISSION FOR EBOLA  EMERGENCY RESPONSE</v>
      </c>
      <c r="D75" s="27" t="str">
        <f>INDEX(Organizations[],MATCH(Main3WData[[#This Row],[Acronym]],AcronymList,0),3)</f>
        <v>UN Agency</v>
      </c>
      <c r="E75" s="54" t="s">
        <v>356</v>
      </c>
      <c r="F75" s="53" t="s">
        <v>82</v>
      </c>
      <c r="G75" s="54" t="s">
        <v>370</v>
      </c>
      <c r="H75" s="28" t="str">
        <f>VLOOKUP(Main3WData[[#This Row],[Admin Unit Name]],AdminUnits[],2,FALSE)</f>
        <v>GIN001002</v>
      </c>
      <c r="I75" s="57">
        <v>0</v>
      </c>
      <c r="J75" s="67" t="str">
        <f>Main3WData[[#This Row],[Acronym]]&amp;Main3WData[[#This Row],[Sector]]&amp;Main3WData[[#This Row],[Activity Type]]&amp;Main3WData[[#This Row],[Pcode]]</f>
        <v>UNMEERGestion des donnéesOngoingGIN001002</v>
      </c>
      <c r="K75" s="69">
        <f>COUNTIF(Main3WData[Concatenate],Main3WData[[#This Row],[Concatenate]])</f>
        <v>1</v>
      </c>
      <c r="L75" s="61" t="str">
        <f>Main3WData[[#This Row],[Sector]]&amp;Main3WData[[#This Row],[Pcode]]</f>
        <v>Gestion des donnéesGIN001002</v>
      </c>
      <c r="M75" s="71">
        <f>COUNTIF($L$5:L75,Main3WData[[#This Row],[PT.Concat]])</f>
        <v>1</v>
      </c>
      <c r="N75" s="70">
        <f>MATCH(Main3WData[[#This Row],[PT.Concat]],$L$5:L75,0)</f>
        <v>71</v>
      </c>
      <c r="O75" s="62" t="b">
        <f>Main3WData[[#This Row],[Count PT.Concat]]=1</f>
        <v>1</v>
      </c>
      <c r="P75" s="62">
        <f t="array" ref="P75">MAX(($N$4:N74=Main3WData[[#This Row],[PT.ID]])*ROW($N$4:N74))</f>
        <v>0</v>
      </c>
      <c r="Q75" s="62" t="str">
        <f>IF(Main3WData[[#This Row],[PT.FirstID]],Main3WData[[#This Row],[Acronym]],INDEX($Q$4:Q74,Main3WData[[#This Row],[PT.LastID.Row]]-ROW($Q$4)+1) &amp; ", "&amp;Main3WData[[#This Row],[Acronym]])</f>
        <v>UNMEER</v>
      </c>
      <c r="R75" s="62" t="b">
        <f t="array" ref="R75">MAX(IF(Main3WData[PT.ID]=Main3WData[[#This Row],[PT.ID]],Main3WData[PT.LastID.Row]))=Main3WData[[#This Row],[PT.LastID.Row]]</f>
        <v>0</v>
      </c>
    </row>
    <row r="76" spans="2:18" s="1" customFormat="1" ht="16.5" customHeight="1" x14ac:dyDescent="0.2">
      <c r="B76" s="55" t="s">
        <v>512</v>
      </c>
      <c r="C76" s="27" t="str">
        <f>INDEX(Organizations[],MATCH(Main3WData[[#This Row],[Acronym]],AcronymList,0),1)</f>
        <v>World Health Organization</v>
      </c>
      <c r="D76" s="27" t="str">
        <f>INDEX(Organizations[],MATCH(Main3WData[[#This Row],[Acronym]],AcronymList,0),3)</f>
        <v>UN Agency</v>
      </c>
      <c r="E76" s="54" t="s">
        <v>356</v>
      </c>
      <c r="F76" s="53" t="s">
        <v>82</v>
      </c>
      <c r="G76" s="54" t="s">
        <v>370</v>
      </c>
      <c r="H76" s="28" t="str">
        <f>VLOOKUP(Main3WData[[#This Row],[Admin Unit Name]],AdminUnits[],2,FALSE)</f>
        <v>GIN001002</v>
      </c>
      <c r="I76" s="57">
        <v>0</v>
      </c>
      <c r="J76" s="67" t="str">
        <f>Main3WData[[#This Row],[Acronym]]&amp;Main3WData[[#This Row],[Sector]]&amp;Main3WData[[#This Row],[Activity Type]]&amp;Main3WData[[#This Row],[Pcode]]</f>
        <v>OMSGestion des donnéesOngoingGIN001002</v>
      </c>
      <c r="K76" s="69">
        <f>COUNTIF(Main3WData[Concatenate],Main3WData[[#This Row],[Concatenate]])</f>
        <v>1</v>
      </c>
      <c r="L76" s="61" t="str">
        <f>Main3WData[[#This Row],[Sector]]&amp;Main3WData[[#This Row],[Pcode]]</f>
        <v>Gestion des donnéesGIN001002</v>
      </c>
      <c r="M76" s="71">
        <f>COUNTIF($L$5:L76,Main3WData[[#This Row],[PT.Concat]])</f>
        <v>2</v>
      </c>
      <c r="N76" s="70">
        <f>MATCH(Main3WData[[#This Row],[PT.Concat]],$L$5:L76,0)</f>
        <v>71</v>
      </c>
      <c r="O76" s="62" t="b">
        <f>Main3WData[[#This Row],[Count PT.Concat]]=1</f>
        <v>0</v>
      </c>
      <c r="P76" s="62">
        <f t="array" ref="P76">MAX(($N$4:N75=Main3WData[[#This Row],[PT.ID]])*ROW($N$4:N75))</f>
        <v>75</v>
      </c>
      <c r="Q76" s="62" t="str">
        <f>IF(Main3WData[[#This Row],[PT.FirstID]],Main3WData[[#This Row],[Acronym]],INDEX($Q$4:Q75,Main3WData[[#This Row],[PT.LastID.Row]]-ROW($Q$4)+1) &amp; ", "&amp;Main3WData[[#This Row],[Acronym]])</f>
        <v>UNMEER, OMS</v>
      </c>
      <c r="R76" s="62" t="b">
        <f t="array" ref="R76">MAX(IF(Main3WData[PT.ID]=Main3WData[[#This Row],[PT.ID]],Main3WData[PT.LastID.Row]))=Main3WData[[#This Row],[PT.LastID.Row]]</f>
        <v>1</v>
      </c>
    </row>
    <row r="77" spans="2:18" s="1" customFormat="1" ht="16.5" customHeight="1" x14ac:dyDescent="0.2">
      <c r="B77" s="55" t="s">
        <v>75</v>
      </c>
      <c r="C77" s="27" t="str">
        <f>INDEX(Organizations[],MATCH(Main3WData[[#This Row],[Acronym]],AcronymList,0),1)</f>
        <v>United Nations Population Fund</v>
      </c>
      <c r="D77" s="27" t="str">
        <f>INDEX(Organizations[],MATCH(Main3WData[[#This Row],[Acronym]],AcronymList,0),3)</f>
        <v>UN Agency</v>
      </c>
      <c r="E77" s="54" t="s">
        <v>351</v>
      </c>
      <c r="F77" s="53" t="s">
        <v>82</v>
      </c>
      <c r="G77" s="54" t="s">
        <v>370</v>
      </c>
      <c r="H77" s="28" t="str">
        <f>VLOOKUP(Main3WData[[#This Row],[Admin Unit Name]],AdminUnits[],2,FALSE)</f>
        <v>GIN001002</v>
      </c>
      <c r="I77" s="57">
        <v>0</v>
      </c>
      <c r="J77" s="67" t="str">
        <f>Main3WData[[#This Row],[Acronym]]&amp;Main3WData[[#This Row],[Sector]]&amp;Main3WData[[#This Row],[Activity Type]]&amp;Main3WData[[#This Row],[Pcode]]</f>
        <v>UNFPASurveillance &amp; suiviOngoingGIN001002</v>
      </c>
      <c r="K77" s="69">
        <f>COUNTIF(Main3WData[Concatenate],Main3WData[[#This Row],[Concatenate]])</f>
        <v>1</v>
      </c>
      <c r="L77" s="61" t="str">
        <f>Main3WData[[#This Row],[Sector]]&amp;Main3WData[[#This Row],[Pcode]]</f>
        <v>Surveillance &amp; suiviGIN001002</v>
      </c>
      <c r="M77" s="71">
        <f>COUNTIF($L$5:L77,Main3WData[[#This Row],[PT.Concat]])</f>
        <v>1</v>
      </c>
      <c r="N77" s="70">
        <f>MATCH(Main3WData[[#This Row],[PT.Concat]],$L$5:L77,0)</f>
        <v>73</v>
      </c>
      <c r="O77" s="62" t="b">
        <f>Main3WData[[#This Row],[Count PT.Concat]]=1</f>
        <v>1</v>
      </c>
      <c r="P77" s="62">
        <f t="array" ref="P77">MAX(($N$4:N76=Main3WData[[#This Row],[PT.ID]])*ROW($N$4:N76))</f>
        <v>0</v>
      </c>
      <c r="Q77" s="62" t="str">
        <f>IF(Main3WData[[#This Row],[PT.FirstID]],Main3WData[[#This Row],[Acronym]],INDEX($Q$4:Q76,Main3WData[[#This Row],[PT.LastID.Row]]-ROW($Q$4)+1) &amp; ", "&amp;Main3WData[[#This Row],[Acronym]])</f>
        <v>UNFPA</v>
      </c>
      <c r="R77" s="62" t="b">
        <f t="array" ref="R77">MAX(IF(Main3WData[PT.ID]=Main3WData[[#This Row],[PT.ID]],Main3WData[PT.LastID.Row]))=Main3WData[[#This Row],[PT.LastID.Row]]</f>
        <v>0</v>
      </c>
    </row>
    <row r="78" spans="2:18" s="1" customFormat="1" ht="16.5" customHeight="1" x14ac:dyDescent="0.2">
      <c r="B78" s="55" t="s">
        <v>512</v>
      </c>
      <c r="C78" s="27" t="str">
        <f>INDEX(Organizations[],MATCH(Main3WData[[#This Row],[Acronym]],AcronymList,0),1)</f>
        <v>World Health Organization</v>
      </c>
      <c r="D78" s="27" t="str">
        <f>INDEX(Organizations[],MATCH(Main3WData[[#This Row],[Acronym]],AcronymList,0),3)</f>
        <v>UN Agency</v>
      </c>
      <c r="E78" s="54" t="s">
        <v>351</v>
      </c>
      <c r="F78" s="53" t="s">
        <v>82</v>
      </c>
      <c r="G78" s="54" t="s">
        <v>370</v>
      </c>
      <c r="H78" s="28" t="str">
        <f>VLOOKUP(Main3WData[[#This Row],[Admin Unit Name]],AdminUnits[],2,FALSE)</f>
        <v>GIN001002</v>
      </c>
      <c r="I78" s="57">
        <v>0</v>
      </c>
      <c r="J78" s="67" t="str">
        <f>Main3WData[[#This Row],[Acronym]]&amp;Main3WData[[#This Row],[Sector]]&amp;Main3WData[[#This Row],[Activity Type]]&amp;Main3WData[[#This Row],[Pcode]]</f>
        <v>OMSSurveillance &amp; suiviOngoingGIN001002</v>
      </c>
      <c r="K78" s="69">
        <f>COUNTIF(Main3WData[Concatenate],Main3WData[[#This Row],[Concatenate]])</f>
        <v>1</v>
      </c>
      <c r="L78" s="61" t="str">
        <f>Main3WData[[#This Row],[Sector]]&amp;Main3WData[[#This Row],[Pcode]]</f>
        <v>Surveillance &amp; suiviGIN001002</v>
      </c>
      <c r="M78" s="71">
        <f>COUNTIF($L$5:L78,Main3WData[[#This Row],[PT.Concat]])</f>
        <v>2</v>
      </c>
      <c r="N78" s="70">
        <f>MATCH(Main3WData[[#This Row],[PT.Concat]],$L$5:L78,0)</f>
        <v>73</v>
      </c>
      <c r="O78" s="62" t="b">
        <f>Main3WData[[#This Row],[Count PT.Concat]]=1</f>
        <v>0</v>
      </c>
      <c r="P78" s="62">
        <f t="array" ref="P78">MAX(($N$4:N77=Main3WData[[#This Row],[PT.ID]])*ROW($N$4:N77))</f>
        <v>77</v>
      </c>
      <c r="Q78" s="62" t="str">
        <f>IF(Main3WData[[#This Row],[PT.FirstID]],Main3WData[[#This Row],[Acronym]],INDEX($Q$4:Q77,Main3WData[[#This Row],[PT.LastID.Row]]-ROW($Q$4)+1) &amp; ", "&amp;Main3WData[[#This Row],[Acronym]])</f>
        <v>UNFPA, OMS</v>
      </c>
      <c r="R78" s="62" t="b">
        <f t="array" ref="R78">MAX(IF(Main3WData[PT.ID]=Main3WData[[#This Row],[PT.ID]],Main3WData[PT.LastID.Row]))=Main3WData[[#This Row],[PT.LastID.Row]]</f>
        <v>0</v>
      </c>
    </row>
    <row r="79" spans="2:18" s="1" customFormat="1" ht="16.5" customHeight="1" x14ac:dyDescent="0.2">
      <c r="B79" s="55" t="s">
        <v>496</v>
      </c>
      <c r="C79" s="27" t="str">
        <f>INDEX(Organizations[],MATCH(Main3WData[[#This Row],[Acronym]],AcronymList,0),1)</f>
        <v>Columbia University</v>
      </c>
      <c r="D79" s="27" t="str">
        <f>INDEX(Organizations[],MATCH(Main3WData[[#This Row],[Acronym]],AcronymList,0),3)</f>
        <v>Education</v>
      </c>
      <c r="E79" s="54" t="s">
        <v>351</v>
      </c>
      <c r="F79" s="53" t="s">
        <v>82</v>
      </c>
      <c r="G79" s="54" t="s">
        <v>370</v>
      </c>
      <c r="H79" s="28" t="str">
        <f>VLOOKUP(Main3WData[[#This Row],[Admin Unit Name]],AdminUnits[],2,FALSE)</f>
        <v>GIN001002</v>
      </c>
      <c r="I79" s="57">
        <v>0</v>
      </c>
      <c r="J79" s="67" t="str">
        <f>Main3WData[[#This Row],[Acronym]]&amp;Main3WData[[#This Row],[Sector]]&amp;Main3WData[[#This Row],[Activity Type]]&amp;Main3WData[[#This Row],[Pcode]]</f>
        <v>Columbia UnivSurveillance &amp; suiviOngoingGIN001002</v>
      </c>
      <c r="K79" s="69">
        <f>COUNTIF(Main3WData[Concatenate],Main3WData[[#This Row],[Concatenate]])</f>
        <v>1</v>
      </c>
      <c r="L79" s="61" t="str">
        <f>Main3WData[[#This Row],[Sector]]&amp;Main3WData[[#This Row],[Pcode]]</f>
        <v>Surveillance &amp; suiviGIN001002</v>
      </c>
      <c r="M79" s="71">
        <f>COUNTIF($L$5:L79,Main3WData[[#This Row],[PT.Concat]])</f>
        <v>3</v>
      </c>
      <c r="N79" s="70">
        <f>MATCH(Main3WData[[#This Row],[PT.Concat]],$L$5:L79,0)</f>
        <v>73</v>
      </c>
      <c r="O79" s="62" t="b">
        <f>Main3WData[[#This Row],[Count PT.Concat]]=1</f>
        <v>0</v>
      </c>
      <c r="P79" s="62">
        <f t="array" ref="P79">MAX(($N$4:N78=Main3WData[[#This Row],[PT.ID]])*ROW($N$4:N78))</f>
        <v>78</v>
      </c>
      <c r="Q79" s="62" t="str">
        <f>IF(Main3WData[[#This Row],[PT.FirstID]],Main3WData[[#This Row],[Acronym]],INDEX($Q$4:Q78,Main3WData[[#This Row],[PT.LastID.Row]]-ROW($Q$4)+1) &amp; ", "&amp;Main3WData[[#This Row],[Acronym]])</f>
        <v>UNFPA, OMS, Columbia Univ</v>
      </c>
      <c r="R79" s="62" t="b">
        <f t="array" ref="R79">MAX(IF(Main3WData[PT.ID]=Main3WData[[#This Row],[PT.ID]],Main3WData[PT.LastID.Row]))=Main3WData[[#This Row],[PT.LastID.Row]]</f>
        <v>0</v>
      </c>
    </row>
    <row r="80" spans="2:18" s="1" customFormat="1" ht="16.5" customHeight="1" x14ac:dyDescent="0.2">
      <c r="B80" s="55" t="s">
        <v>64</v>
      </c>
      <c r="C80" s="27" t="str">
        <f>INDEX(Organizations[],MATCH(Main3WData[[#This Row],[Acronym]],AcronymList,0),1)</f>
        <v>CDC</v>
      </c>
      <c r="D80" s="27" t="str">
        <f>INDEX(Organizations[],MATCH(Main3WData[[#This Row],[Acronym]],AcronymList,0),3)</f>
        <v>International NGO</v>
      </c>
      <c r="E80" s="54" t="s">
        <v>351</v>
      </c>
      <c r="F80" s="53" t="s">
        <v>82</v>
      </c>
      <c r="G80" s="54" t="s">
        <v>370</v>
      </c>
      <c r="H80" s="28" t="str">
        <f>VLOOKUP(Main3WData[[#This Row],[Admin Unit Name]],AdminUnits[],2,FALSE)</f>
        <v>GIN001002</v>
      </c>
      <c r="I80" s="57">
        <v>0</v>
      </c>
      <c r="J80" s="67" t="str">
        <f>Main3WData[[#This Row],[Acronym]]&amp;Main3WData[[#This Row],[Sector]]&amp;Main3WData[[#This Row],[Activity Type]]&amp;Main3WData[[#This Row],[Pcode]]</f>
        <v>CDCSurveillance &amp; suiviOngoingGIN001002</v>
      </c>
      <c r="K80" s="69">
        <f>COUNTIF(Main3WData[Concatenate],Main3WData[[#This Row],[Concatenate]])</f>
        <v>1</v>
      </c>
      <c r="L80" s="61" t="str">
        <f>Main3WData[[#This Row],[Sector]]&amp;Main3WData[[#This Row],[Pcode]]</f>
        <v>Surveillance &amp; suiviGIN001002</v>
      </c>
      <c r="M80" s="71">
        <f>COUNTIF($L$5:L80,Main3WData[[#This Row],[PT.Concat]])</f>
        <v>4</v>
      </c>
      <c r="N80" s="70">
        <f>MATCH(Main3WData[[#This Row],[PT.Concat]],$L$5:L80,0)</f>
        <v>73</v>
      </c>
      <c r="O80" s="62" t="b">
        <f>Main3WData[[#This Row],[Count PT.Concat]]=1</f>
        <v>0</v>
      </c>
      <c r="P80" s="62">
        <f t="array" ref="P80">MAX(($N$4:N79=Main3WData[[#This Row],[PT.ID]])*ROW($N$4:N79))</f>
        <v>79</v>
      </c>
      <c r="Q80" s="62" t="str">
        <f>IF(Main3WData[[#This Row],[PT.FirstID]],Main3WData[[#This Row],[Acronym]],INDEX($Q$4:Q79,Main3WData[[#This Row],[PT.LastID.Row]]-ROW($Q$4)+1) &amp; ", "&amp;Main3WData[[#This Row],[Acronym]])</f>
        <v>UNFPA, OMS, Columbia Univ, CDC</v>
      </c>
      <c r="R80" s="62" t="b">
        <f t="array" ref="R80">MAX(IF(Main3WData[PT.ID]=Main3WData[[#This Row],[PT.ID]],Main3WData[PT.LastID.Row]))=Main3WData[[#This Row],[PT.LastID.Row]]</f>
        <v>1</v>
      </c>
    </row>
    <row r="81" spans="2:18" s="1" customFormat="1" ht="16.5" customHeight="1" x14ac:dyDescent="0.2">
      <c r="B81" s="55" t="s">
        <v>77</v>
      </c>
      <c r="C81" s="27" t="str">
        <f>INDEX(Organizations[],MATCH(Main3WData[[#This Row],[Acronym]],AcronymList,0),1)</f>
        <v>United Nations Children's Fund</v>
      </c>
      <c r="D81" s="27" t="str">
        <f>INDEX(Organizations[],MATCH(Main3WData[[#This Row],[Acronym]],AcronymList,0),3)</f>
        <v>UN Agency</v>
      </c>
      <c r="E81" s="54" t="s">
        <v>350</v>
      </c>
      <c r="F81" s="53" t="s">
        <v>82</v>
      </c>
      <c r="G81" s="54" t="s">
        <v>376</v>
      </c>
      <c r="H81" s="28" t="str">
        <f>VLOOKUP(Main3WData[[#This Row],[Admin Unit Name]],AdminUnits[],2,FALSE)</f>
        <v>GIN002001</v>
      </c>
      <c r="I81" s="57">
        <v>0</v>
      </c>
      <c r="J81" s="67" t="str">
        <f>Main3WData[[#This Row],[Acronym]]&amp;Main3WData[[#This Row],[Sector]]&amp;Main3WData[[#This Row],[Activity Type]]&amp;Main3WData[[#This Row],[Pcode]]</f>
        <v>UNICEFCommunication/Mobilisation socialeOngoingGIN002001</v>
      </c>
      <c r="K81" s="69">
        <f>COUNTIF(Main3WData[Concatenate],Main3WData[[#This Row],[Concatenate]])</f>
        <v>1</v>
      </c>
      <c r="L81" s="61" t="str">
        <f>Main3WData[[#This Row],[Sector]]&amp;Main3WData[[#This Row],[Pcode]]</f>
        <v>Communication/Mobilisation socialeGIN002001</v>
      </c>
      <c r="M81" s="71">
        <f>COUNTIF($L$5:L81,Main3WData[[#This Row],[PT.Concat]])</f>
        <v>1</v>
      </c>
      <c r="N81" s="70">
        <f>MATCH(Main3WData[[#This Row],[PT.Concat]],$L$5:L81,0)</f>
        <v>77</v>
      </c>
      <c r="O81" s="62" t="b">
        <f>Main3WData[[#This Row],[Count PT.Concat]]=1</f>
        <v>1</v>
      </c>
      <c r="P81" s="62">
        <f t="array" ref="P81">MAX(($N$4:N80=Main3WData[[#This Row],[PT.ID]])*ROW($N$4:N80))</f>
        <v>0</v>
      </c>
      <c r="Q81" s="62" t="str">
        <f>IF(Main3WData[[#This Row],[PT.FirstID]],Main3WData[[#This Row],[Acronym]],INDEX($Q$4:Q80,Main3WData[[#This Row],[PT.LastID.Row]]-ROW($Q$4)+1) &amp; ", "&amp;Main3WData[[#This Row],[Acronym]])</f>
        <v>UNICEF</v>
      </c>
      <c r="R81" s="62" t="b">
        <f t="array" ref="R81">MAX(IF(Main3WData[PT.ID]=Main3WData[[#This Row],[PT.ID]],Main3WData[PT.LastID.Row]))=Main3WData[[#This Row],[PT.LastID.Row]]</f>
        <v>0</v>
      </c>
    </row>
    <row r="82" spans="2:18" s="1" customFormat="1" ht="16.5" customHeight="1" x14ac:dyDescent="0.2">
      <c r="B82" s="55" t="s">
        <v>75</v>
      </c>
      <c r="C82" s="27" t="str">
        <f>INDEX(Organizations[],MATCH(Main3WData[[#This Row],[Acronym]],AcronymList,0),1)</f>
        <v>United Nations Population Fund</v>
      </c>
      <c r="D82" s="27" t="str">
        <f>INDEX(Organizations[],MATCH(Main3WData[[#This Row],[Acronym]],AcronymList,0),3)</f>
        <v>UN Agency</v>
      </c>
      <c r="E82" s="54" t="s">
        <v>350</v>
      </c>
      <c r="F82" s="53" t="s">
        <v>82</v>
      </c>
      <c r="G82" s="54" t="s">
        <v>376</v>
      </c>
      <c r="H82" s="28" t="str">
        <f>VLOOKUP(Main3WData[[#This Row],[Admin Unit Name]],AdminUnits[],2,FALSE)</f>
        <v>GIN002001</v>
      </c>
      <c r="I82" s="57">
        <v>0</v>
      </c>
      <c r="J82" s="67" t="str">
        <f>Main3WData[[#This Row],[Acronym]]&amp;Main3WData[[#This Row],[Sector]]&amp;Main3WData[[#This Row],[Activity Type]]&amp;Main3WData[[#This Row],[Pcode]]</f>
        <v>UNFPACommunication/Mobilisation socialeOngoingGIN002001</v>
      </c>
      <c r="K82" s="69">
        <f>COUNTIF(Main3WData[Concatenate],Main3WData[[#This Row],[Concatenate]])</f>
        <v>1</v>
      </c>
      <c r="L82" s="61" t="str">
        <f>Main3WData[[#This Row],[Sector]]&amp;Main3WData[[#This Row],[Pcode]]</f>
        <v>Communication/Mobilisation socialeGIN002001</v>
      </c>
      <c r="M82" s="71">
        <f>COUNTIF($L$5:L82,Main3WData[[#This Row],[PT.Concat]])</f>
        <v>2</v>
      </c>
      <c r="N82" s="70">
        <f>MATCH(Main3WData[[#This Row],[PT.Concat]],$L$5:L82,0)</f>
        <v>77</v>
      </c>
      <c r="O82" s="62" t="b">
        <f>Main3WData[[#This Row],[Count PT.Concat]]=1</f>
        <v>0</v>
      </c>
      <c r="P82" s="62">
        <f t="array" ref="P82">MAX(($N$4:N81=Main3WData[[#This Row],[PT.ID]])*ROW($N$4:N81))</f>
        <v>81</v>
      </c>
      <c r="Q82" s="62" t="str">
        <f>IF(Main3WData[[#This Row],[PT.FirstID]],Main3WData[[#This Row],[Acronym]],INDEX($Q$4:Q81,Main3WData[[#This Row],[PT.LastID.Row]]-ROW($Q$4)+1) &amp; ", "&amp;Main3WData[[#This Row],[Acronym]])</f>
        <v>UNICEF, UNFPA</v>
      </c>
      <c r="R82" s="62" t="b">
        <f t="array" ref="R82">MAX(IF(Main3WData[PT.ID]=Main3WData[[#This Row],[PT.ID]],Main3WData[PT.LastID.Row]))=Main3WData[[#This Row],[PT.LastID.Row]]</f>
        <v>0</v>
      </c>
    </row>
    <row r="83" spans="2:18" s="1" customFormat="1" ht="16.5" customHeight="1" x14ac:dyDescent="0.2">
      <c r="B83" s="55" t="s">
        <v>473</v>
      </c>
      <c r="C83" s="27" t="str">
        <f>INDEX(Organizations[],MATCH(Main3WData[[#This Row],[Acronym]],AcronymList,0),1)</f>
        <v>United Nations Development Programme</v>
      </c>
      <c r="D83" s="27" t="str">
        <f>INDEX(Organizations[],MATCH(Main3WData[[#This Row],[Acronym]],AcronymList,0),3)</f>
        <v>UN Agency</v>
      </c>
      <c r="E83" s="54" t="s">
        <v>350</v>
      </c>
      <c r="F83" s="53" t="s">
        <v>82</v>
      </c>
      <c r="G83" s="54" t="s">
        <v>376</v>
      </c>
      <c r="H83" s="28" t="str">
        <f>VLOOKUP(Main3WData[[#This Row],[Admin Unit Name]],AdminUnits[],2,FALSE)</f>
        <v>GIN002001</v>
      </c>
      <c r="I83" s="57">
        <v>0</v>
      </c>
      <c r="J83" s="67" t="str">
        <f>Main3WData[[#This Row],[Acronym]]&amp;Main3WData[[#This Row],[Sector]]&amp;Main3WData[[#This Row],[Activity Type]]&amp;Main3WData[[#This Row],[Pcode]]</f>
        <v>UNDPCommunication/Mobilisation socialeOngoingGIN002001</v>
      </c>
      <c r="K83" s="69">
        <f>COUNTIF(Main3WData[Concatenate],Main3WData[[#This Row],[Concatenate]])</f>
        <v>1</v>
      </c>
      <c r="L83" s="61" t="str">
        <f>Main3WData[[#This Row],[Sector]]&amp;Main3WData[[#This Row],[Pcode]]</f>
        <v>Communication/Mobilisation socialeGIN002001</v>
      </c>
      <c r="M83" s="71">
        <f>COUNTIF($L$5:L83,Main3WData[[#This Row],[PT.Concat]])</f>
        <v>3</v>
      </c>
      <c r="N83" s="70">
        <f>MATCH(Main3WData[[#This Row],[PT.Concat]],$L$5:L83,0)</f>
        <v>77</v>
      </c>
      <c r="O83" s="62" t="b">
        <f>Main3WData[[#This Row],[Count PT.Concat]]=1</f>
        <v>0</v>
      </c>
      <c r="P83" s="62">
        <f t="array" ref="P83">MAX(($N$4:N82=Main3WData[[#This Row],[PT.ID]])*ROW($N$4:N82))</f>
        <v>82</v>
      </c>
      <c r="Q83" s="62" t="str">
        <f>IF(Main3WData[[#This Row],[PT.FirstID]],Main3WData[[#This Row],[Acronym]],INDEX($Q$4:Q82,Main3WData[[#This Row],[PT.LastID.Row]]-ROW($Q$4)+1) &amp; ", "&amp;Main3WData[[#This Row],[Acronym]])</f>
        <v>UNICEF, UNFPA, UNDP</v>
      </c>
      <c r="R83" s="62" t="b">
        <f t="array" ref="R83">MAX(IF(Main3WData[PT.ID]=Main3WData[[#This Row],[PT.ID]],Main3WData[PT.LastID.Row]))=Main3WData[[#This Row],[PT.LastID.Row]]</f>
        <v>0</v>
      </c>
    </row>
    <row r="84" spans="2:18" s="1" customFormat="1" ht="16.5" customHeight="1" x14ac:dyDescent="0.2">
      <c r="B84" s="55" t="s">
        <v>72</v>
      </c>
      <c r="C84" s="27" t="str">
        <f>INDEX(Organizations[],MATCH(Main3WData[[#This Row],[Acronym]],AcronymList,0),1)</f>
        <v>PLAN</v>
      </c>
      <c r="D84" s="27" t="str">
        <f>INDEX(Organizations[],MATCH(Main3WData[[#This Row],[Acronym]],AcronymList,0),3)</f>
        <v>International Organization</v>
      </c>
      <c r="E84" s="54" t="s">
        <v>350</v>
      </c>
      <c r="F84" s="53" t="s">
        <v>82</v>
      </c>
      <c r="G84" s="54" t="s">
        <v>376</v>
      </c>
      <c r="H84" s="28" t="str">
        <f>VLOOKUP(Main3WData[[#This Row],[Admin Unit Name]],AdminUnits[],2,FALSE)</f>
        <v>GIN002001</v>
      </c>
      <c r="I84" s="57">
        <v>0</v>
      </c>
      <c r="J84" s="67" t="str">
        <f>Main3WData[[#This Row],[Acronym]]&amp;Main3WData[[#This Row],[Sector]]&amp;Main3WData[[#This Row],[Activity Type]]&amp;Main3WData[[#This Row],[Pcode]]</f>
        <v>PLANCommunication/Mobilisation socialeOngoingGIN002001</v>
      </c>
      <c r="K84" s="69">
        <f>COUNTIF(Main3WData[Concatenate],Main3WData[[#This Row],[Concatenate]])</f>
        <v>1</v>
      </c>
      <c r="L84" s="61" t="str">
        <f>Main3WData[[#This Row],[Sector]]&amp;Main3WData[[#This Row],[Pcode]]</f>
        <v>Communication/Mobilisation socialeGIN002001</v>
      </c>
      <c r="M84" s="71">
        <f>COUNTIF($L$5:L84,Main3WData[[#This Row],[PT.Concat]])</f>
        <v>4</v>
      </c>
      <c r="N84" s="70">
        <f>MATCH(Main3WData[[#This Row],[PT.Concat]],$L$5:L84,0)</f>
        <v>77</v>
      </c>
      <c r="O84" s="62" t="b">
        <f>Main3WData[[#This Row],[Count PT.Concat]]=1</f>
        <v>0</v>
      </c>
      <c r="P84" s="62">
        <f t="array" ref="P84">MAX(($N$4:N83=Main3WData[[#This Row],[PT.ID]])*ROW($N$4:N83))</f>
        <v>83</v>
      </c>
      <c r="Q84" s="62" t="str">
        <f>IF(Main3WData[[#This Row],[PT.FirstID]],Main3WData[[#This Row],[Acronym]],INDEX($Q$4:Q83,Main3WData[[#This Row],[PT.LastID.Row]]-ROW($Q$4)+1) &amp; ", "&amp;Main3WData[[#This Row],[Acronym]])</f>
        <v>UNICEF, UNFPA, UNDP, PLAN</v>
      </c>
      <c r="R84" s="62" t="b">
        <f t="array" ref="R84">MAX(IF(Main3WData[PT.ID]=Main3WData[[#This Row],[PT.ID]],Main3WData[PT.LastID.Row]))=Main3WData[[#This Row],[PT.LastID.Row]]</f>
        <v>0</v>
      </c>
    </row>
    <row r="85" spans="2:18" s="1" customFormat="1" ht="16.5" customHeight="1" x14ac:dyDescent="0.2">
      <c r="B85" s="55" t="s">
        <v>512</v>
      </c>
      <c r="C85" s="27" t="str">
        <f>INDEX(Organizations[],MATCH(Main3WData[[#This Row],[Acronym]],AcronymList,0),1)</f>
        <v>World Health Organization</v>
      </c>
      <c r="D85" s="27" t="str">
        <f>INDEX(Organizations[],MATCH(Main3WData[[#This Row],[Acronym]],AcronymList,0),3)</f>
        <v>UN Agency</v>
      </c>
      <c r="E85" s="54" t="s">
        <v>350</v>
      </c>
      <c r="F85" s="53" t="s">
        <v>82</v>
      </c>
      <c r="G85" s="54" t="s">
        <v>376</v>
      </c>
      <c r="H85" s="28" t="str">
        <f>VLOOKUP(Main3WData[[#This Row],[Admin Unit Name]],AdminUnits[],2,FALSE)</f>
        <v>GIN002001</v>
      </c>
      <c r="I85" s="57">
        <v>0</v>
      </c>
      <c r="J85" s="67" t="str">
        <f>Main3WData[[#This Row],[Acronym]]&amp;Main3WData[[#This Row],[Sector]]&amp;Main3WData[[#This Row],[Activity Type]]&amp;Main3WData[[#This Row],[Pcode]]</f>
        <v>OMSCommunication/Mobilisation socialeOngoingGIN002001</v>
      </c>
      <c r="K85" s="69">
        <f>COUNTIF(Main3WData[Concatenate],Main3WData[[#This Row],[Concatenate]])</f>
        <v>1</v>
      </c>
      <c r="L85" s="61" t="str">
        <f>Main3WData[[#This Row],[Sector]]&amp;Main3WData[[#This Row],[Pcode]]</f>
        <v>Communication/Mobilisation socialeGIN002001</v>
      </c>
      <c r="M85" s="71">
        <f>COUNTIF($L$5:L85,Main3WData[[#This Row],[PT.Concat]])</f>
        <v>5</v>
      </c>
      <c r="N85" s="70">
        <f>MATCH(Main3WData[[#This Row],[PT.Concat]],$L$5:L85,0)</f>
        <v>77</v>
      </c>
      <c r="O85" s="62" t="b">
        <f>Main3WData[[#This Row],[Count PT.Concat]]=1</f>
        <v>0</v>
      </c>
      <c r="P85" s="62">
        <f t="array" ref="P85">MAX(($N$4:N84=Main3WData[[#This Row],[PT.ID]])*ROW($N$4:N84))</f>
        <v>84</v>
      </c>
      <c r="Q85" s="62" t="str">
        <f>IF(Main3WData[[#This Row],[PT.FirstID]],Main3WData[[#This Row],[Acronym]],INDEX($Q$4:Q84,Main3WData[[#This Row],[PT.LastID.Row]]-ROW($Q$4)+1) &amp; ", "&amp;Main3WData[[#This Row],[Acronym]])</f>
        <v>UNICEF, UNFPA, UNDP, PLAN, OMS</v>
      </c>
      <c r="R85" s="62" t="b">
        <f t="array" ref="R85">MAX(IF(Main3WData[PT.ID]=Main3WData[[#This Row],[PT.ID]],Main3WData[PT.LastID.Row]))=Main3WData[[#This Row],[PT.LastID.Row]]</f>
        <v>0</v>
      </c>
    </row>
    <row r="86" spans="2:18" s="1" customFormat="1" ht="16.5" customHeight="1" x14ac:dyDescent="0.2">
      <c r="B86" s="55" t="s">
        <v>509</v>
      </c>
      <c r="C86" s="27" t="str">
        <f>INDEX(Organizations[],MATCH(Main3WData[[#This Row],[Acronym]],AcronymList,0),1)</f>
        <v>Internews</v>
      </c>
      <c r="D86" s="27" t="str">
        <f>INDEX(Organizations[],MATCH(Main3WData[[#This Row],[Acronym]],AcronymList,0),3)</f>
        <v>Media</v>
      </c>
      <c r="E86" s="54" t="s">
        <v>350</v>
      </c>
      <c r="F86" s="53" t="s">
        <v>82</v>
      </c>
      <c r="G86" s="54" t="s">
        <v>376</v>
      </c>
      <c r="H86" s="28" t="str">
        <f>VLOOKUP(Main3WData[[#This Row],[Admin Unit Name]],AdminUnits[],2,FALSE)</f>
        <v>GIN002001</v>
      </c>
      <c r="I86" s="57">
        <v>0</v>
      </c>
      <c r="J86" s="67" t="str">
        <f>Main3WData[[#This Row],[Acronym]]&amp;Main3WData[[#This Row],[Sector]]&amp;Main3WData[[#This Row],[Activity Type]]&amp;Main3WData[[#This Row],[Pcode]]</f>
        <v>InternewsCommunication/Mobilisation socialeOngoingGIN002001</v>
      </c>
      <c r="K86" s="69">
        <f>COUNTIF(Main3WData[Concatenate],Main3WData[[#This Row],[Concatenate]])</f>
        <v>1</v>
      </c>
      <c r="L86" s="61" t="str">
        <f>Main3WData[[#This Row],[Sector]]&amp;Main3WData[[#This Row],[Pcode]]</f>
        <v>Communication/Mobilisation socialeGIN002001</v>
      </c>
      <c r="M86" s="71">
        <f>COUNTIF($L$5:L86,Main3WData[[#This Row],[PT.Concat]])</f>
        <v>6</v>
      </c>
      <c r="N86" s="70">
        <f>MATCH(Main3WData[[#This Row],[PT.Concat]],$L$5:L86,0)</f>
        <v>77</v>
      </c>
      <c r="O86" s="62" t="b">
        <f>Main3WData[[#This Row],[Count PT.Concat]]=1</f>
        <v>0</v>
      </c>
      <c r="P86" s="62">
        <f t="array" ref="P86">MAX(($N$4:N85=Main3WData[[#This Row],[PT.ID]])*ROW($N$4:N85))</f>
        <v>85</v>
      </c>
      <c r="Q86" s="62" t="str">
        <f>IF(Main3WData[[#This Row],[PT.FirstID]],Main3WData[[#This Row],[Acronym]],INDEX($Q$4:Q85,Main3WData[[#This Row],[PT.LastID.Row]]-ROW($Q$4)+1) &amp; ", "&amp;Main3WData[[#This Row],[Acronym]])</f>
        <v>UNICEF, UNFPA, UNDP, PLAN, OMS, Internews</v>
      </c>
      <c r="R86" s="62" t="b">
        <f t="array" ref="R86">MAX(IF(Main3WData[PT.ID]=Main3WData[[#This Row],[PT.ID]],Main3WData[PT.LastID.Row]))=Main3WData[[#This Row],[PT.LastID.Row]]</f>
        <v>0</v>
      </c>
    </row>
    <row r="87" spans="2:18" s="1" customFormat="1" ht="16.5" customHeight="1" x14ac:dyDescent="0.2">
      <c r="B87" s="55" t="s">
        <v>499</v>
      </c>
      <c r="C87" s="27" t="str">
        <f>INDEX(Organizations[],MATCH(Main3WData[[#This Row],[Acronym]],AcronymList,0),1)</f>
        <v>Croix-Rouge Guinée/Fédération internationale de la Croix-Rouge</v>
      </c>
      <c r="D87" s="27" t="str">
        <f>INDEX(Organizations[],MATCH(Main3WData[[#This Row],[Acronym]],AcronymList,0),3)</f>
        <v>International Organization</v>
      </c>
      <c r="E87" s="54" t="s">
        <v>350</v>
      </c>
      <c r="F87" s="53" t="s">
        <v>82</v>
      </c>
      <c r="G87" s="54" t="s">
        <v>376</v>
      </c>
      <c r="H87" s="28" t="str">
        <f>VLOOKUP(Main3WData[[#This Row],[Admin Unit Name]],AdminUnits[],2,FALSE)</f>
        <v>GIN002001</v>
      </c>
      <c r="I87" s="57">
        <v>0</v>
      </c>
      <c r="J87" s="67" t="str">
        <f>Main3WData[[#This Row],[Acronym]]&amp;Main3WData[[#This Row],[Sector]]&amp;Main3WData[[#This Row],[Activity Type]]&amp;Main3WData[[#This Row],[Pcode]]</f>
        <v>CRG/FICRCommunication/Mobilisation socialeOngoingGIN002001</v>
      </c>
      <c r="K87" s="69">
        <f>COUNTIF(Main3WData[Concatenate],Main3WData[[#This Row],[Concatenate]])</f>
        <v>1</v>
      </c>
      <c r="L87" s="61" t="str">
        <f>Main3WData[[#This Row],[Sector]]&amp;Main3WData[[#This Row],[Pcode]]</f>
        <v>Communication/Mobilisation socialeGIN002001</v>
      </c>
      <c r="M87" s="71">
        <f>COUNTIF($L$5:L87,Main3WData[[#This Row],[PT.Concat]])</f>
        <v>7</v>
      </c>
      <c r="N87" s="70">
        <f>MATCH(Main3WData[[#This Row],[PT.Concat]],$L$5:L87,0)</f>
        <v>77</v>
      </c>
      <c r="O87" s="62" t="b">
        <f>Main3WData[[#This Row],[Count PT.Concat]]=1</f>
        <v>0</v>
      </c>
      <c r="P87" s="62">
        <f t="array" ref="P87">MAX(($N$4:N86=Main3WData[[#This Row],[PT.ID]])*ROW($N$4:N86))</f>
        <v>86</v>
      </c>
      <c r="Q87" s="62" t="str">
        <f>IF(Main3WData[[#This Row],[PT.FirstID]],Main3WData[[#This Row],[Acronym]],INDEX($Q$4:Q86,Main3WData[[#This Row],[PT.LastID.Row]]-ROW($Q$4)+1) &amp; ", "&amp;Main3WData[[#This Row],[Acronym]])</f>
        <v>UNICEF, UNFPA, UNDP, PLAN, OMS, Internews, CRG/FICR</v>
      </c>
      <c r="R87" s="62" t="b">
        <f t="array" ref="R87">MAX(IF(Main3WData[PT.ID]=Main3WData[[#This Row],[PT.ID]],Main3WData[PT.LastID.Row]))=Main3WData[[#This Row],[PT.LastID.Row]]</f>
        <v>1</v>
      </c>
    </row>
    <row r="88" spans="2:18" s="1" customFormat="1" ht="16.5" customHeight="1" x14ac:dyDescent="0.2">
      <c r="B88" s="55" t="s">
        <v>516</v>
      </c>
      <c r="C88" s="27" t="str">
        <f>INDEX(Organizations[],MATCH(Main3WData[[#This Row],[Acronym]],AcronymList,0),1)</f>
        <v>UNITED NATION MISSION FOR EBOLA  EMERGENCY RESPONSE</v>
      </c>
      <c r="D88" s="27" t="str">
        <f>INDEX(Organizations[],MATCH(Main3WData[[#This Row],[Acronym]],AcronymList,0),3)</f>
        <v>UN Agency</v>
      </c>
      <c r="E88" s="54" t="s">
        <v>360</v>
      </c>
      <c r="F88" s="53" t="s">
        <v>82</v>
      </c>
      <c r="G88" s="54" t="s">
        <v>376</v>
      </c>
      <c r="H88" s="28" t="str">
        <f>VLOOKUP(Main3WData[[#This Row],[Admin Unit Name]],AdminUnits[],2,FALSE)</f>
        <v>GIN002001</v>
      </c>
      <c r="I88" s="57">
        <v>0</v>
      </c>
      <c r="J88" s="67" t="str">
        <f>Main3WData[[#This Row],[Acronym]]&amp;Main3WData[[#This Row],[Sector]]&amp;Main3WData[[#This Row],[Activity Type]]&amp;Main3WData[[#This Row],[Pcode]]</f>
        <v>UNMEERCoordinationOngoingGIN002001</v>
      </c>
      <c r="K88" s="69">
        <f>COUNTIF(Main3WData[Concatenate],Main3WData[[#This Row],[Concatenate]])</f>
        <v>1</v>
      </c>
      <c r="L88" s="61" t="str">
        <f>Main3WData[[#This Row],[Sector]]&amp;Main3WData[[#This Row],[Pcode]]</f>
        <v>CoordinationGIN002001</v>
      </c>
      <c r="M88" s="71">
        <f>COUNTIF($L$5:L88,Main3WData[[#This Row],[PT.Concat]])</f>
        <v>1</v>
      </c>
      <c r="N88" s="70">
        <f>MATCH(Main3WData[[#This Row],[PT.Concat]],$L$5:L88,0)</f>
        <v>84</v>
      </c>
      <c r="O88" s="62" t="b">
        <f>Main3WData[[#This Row],[Count PT.Concat]]=1</f>
        <v>1</v>
      </c>
      <c r="P88" s="62">
        <f t="array" ref="P88">MAX(($N$4:N87=Main3WData[[#This Row],[PT.ID]])*ROW($N$4:N87))</f>
        <v>0</v>
      </c>
      <c r="Q88" s="62" t="str">
        <f>IF(Main3WData[[#This Row],[PT.FirstID]],Main3WData[[#This Row],[Acronym]],INDEX($Q$4:Q87,Main3WData[[#This Row],[PT.LastID.Row]]-ROW($Q$4)+1) &amp; ", "&amp;Main3WData[[#This Row],[Acronym]])</f>
        <v>UNMEER</v>
      </c>
      <c r="R88" s="62" t="b">
        <f t="array" ref="R88">MAX(IF(Main3WData[PT.ID]=Main3WData[[#This Row],[PT.ID]],Main3WData[PT.LastID.Row]))=Main3WData[[#This Row],[PT.LastID.Row]]</f>
        <v>0</v>
      </c>
    </row>
    <row r="89" spans="2:18" s="1" customFormat="1" ht="16.5" customHeight="1" x14ac:dyDescent="0.2">
      <c r="B89" s="55" t="s">
        <v>75</v>
      </c>
      <c r="C89" s="27" t="str">
        <f>INDEX(Organizations[],MATCH(Main3WData[[#This Row],[Acronym]],AcronymList,0),1)</f>
        <v>United Nations Population Fund</v>
      </c>
      <c r="D89" s="27" t="str">
        <f>INDEX(Organizations[],MATCH(Main3WData[[#This Row],[Acronym]],AcronymList,0),3)</f>
        <v>UN Agency</v>
      </c>
      <c r="E89" s="54" t="s">
        <v>360</v>
      </c>
      <c r="F89" s="53" t="s">
        <v>82</v>
      </c>
      <c r="G89" s="54" t="s">
        <v>376</v>
      </c>
      <c r="H89" s="28" t="str">
        <f>VLOOKUP(Main3WData[[#This Row],[Admin Unit Name]],AdminUnits[],2,FALSE)</f>
        <v>GIN002001</v>
      </c>
      <c r="I89" s="57">
        <v>0</v>
      </c>
      <c r="J89" s="67" t="str">
        <f>Main3WData[[#This Row],[Acronym]]&amp;Main3WData[[#This Row],[Sector]]&amp;Main3WData[[#This Row],[Activity Type]]&amp;Main3WData[[#This Row],[Pcode]]</f>
        <v>UNFPACoordinationOngoingGIN002001</v>
      </c>
      <c r="K89" s="69">
        <f>COUNTIF(Main3WData[Concatenate],Main3WData[[#This Row],[Concatenate]])</f>
        <v>1</v>
      </c>
      <c r="L89" s="61" t="str">
        <f>Main3WData[[#This Row],[Sector]]&amp;Main3WData[[#This Row],[Pcode]]</f>
        <v>CoordinationGIN002001</v>
      </c>
      <c r="M89" s="71">
        <f>COUNTIF($L$5:L89,Main3WData[[#This Row],[PT.Concat]])</f>
        <v>2</v>
      </c>
      <c r="N89" s="70">
        <f>MATCH(Main3WData[[#This Row],[PT.Concat]],$L$5:L89,0)</f>
        <v>84</v>
      </c>
      <c r="O89" s="62" t="b">
        <f>Main3WData[[#This Row],[Count PT.Concat]]=1</f>
        <v>0</v>
      </c>
      <c r="P89" s="62">
        <f t="array" ref="P89">MAX(($N$4:N88=Main3WData[[#This Row],[PT.ID]])*ROW($N$4:N88))</f>
        <v>88</v>
      </c>
      <c r="Q89" s="62" t="str">
        <f>IF(Main3WData[[#This Row],[PT.FirstID]],Main3WData[[#This Row],[Acronym]],INDEX($Q$4:Q88,Main3WData[[#This Row],[PT.LastID.Row]]-ROW($Q$4)+1) &amp; ", "&amp;Main3WData[[#This Row],[Acronym]])</f>
        <v>UNMEER, UNFPA</v>
      </c>
      <c r="R89" s="62" t="b">
        <f t="array" ref="R89">MAX(IF(Main3WData[PT.ID]=Main3WData[[#This Row],[PT.ID]],Main3WData[PT.LastID.Row]))=Main3WData[[#This Row],[PT.LastID.Row]]</f>
        <v>0</v>
      </c>
    </row>
    <row r="90" spans="2:18" s="1" customFormat="1" ht="16.5" customHeight="1" x14ac:dyDescent="0.2">
      <c r="B90" s="55" t="s">
        <v>473</v>
      </c>
      <c r="C90" s="27" t="str">
        <f>INDEX(Organizations[],MATCH(Main3WData[[#This Row],[Acronym]],AcronymList,0),1)</f>
        <v>United Nations Development Programme</v>
      </c>
      <c r="D90" s="27" t="str">
        <f>INDEX(Organizations[],MATCH(Main3WData[[#This Row],[Acronym]],AcronymList,0),3)</f>
        <v>UN Agency</v>
      </c>
      <c r="E90" s="54" t="s">
        <v>360</v>
      </c>
      <c r="F90" s="53" t="s">
        <v>82</v>
      </c>
      <c r="G90" s="54" t="s">
        <v>376</v>
      </c>
      <c r="H90" s="28" t="str">
        <f>VLOOKUP(Main3WData[[#This Row],[Admin Unit Name]],AdminUnits[],2,FALSE)</f>
        <v>GIN002001</v>
      </c>
      <c r="I90" s="57">
        <v>0</v>
      </c>
      <c r="J90" s="67" t="str">
        <f>Main3WData[[#This Row],[Acronym]]&amp;Main3WData[[#This Row],[Sector]]&amp;Main3WData[[#This Row],[Activity Type]]&amp;Main3WData[[#This Row],[Pcode]]</f>
        <v>UNDPCoordinationOngoingGIN002001</v>
      </c>
      <c r="K90" s="69">
        <f>COUNTIF(Main3WData[Concatenate],Main3WData[[#This Row],[Concatenate]])</f>
        <v>1</v>
      </c>
      <c r="L90" s="61" t="str">
        <f>Main3WData[[#This Row],[Sector]]&amp;Main3WData[[#This Row],[Pcode]]</f>
        <v>CoordinationGIN002001</v>
      </c>
      <c r="M90" s="71">
        <f>COUNTIF($L$5:L90,Main3WData[[#This Row],[PT.Concat]])</f>
        <v>3</v>
      </c>
      <c r="N90" s="70">
        <f>MATCH(Main3WData[[#This Row],[PT.Concat]],$L$5:L90,0)</f>
        <v>84</v>
      </c>
      <c r="O90" s="62" t="b">
        <f>Main3WData[[#This Row],[Count PT.Concat]]=1</f>
        <v>0</v>
      </c>
      <c r="P90" s="62">
        <f t="array" ref="P90">MAX(($N$4:N89=Main3WData[[#This Row],[PT.ID]])*ROW($N$4:N89))</f>
        <v>89</v>
      </c>
      <c r="Q90" s="62" t="str">
        <f>IF(Main3WData[[#This Row],[PT.FirstID]],Main3WData[[#This Row],[Acronym]],INDEX($Q$4:Q89,Main3WData[[#This Row],[PT.LastID.Row]]-ROW($Q$4)+1) &amp; ", "&amp;Main3WData[[#This Row],[Acronym]])</f>
        <v>UNMEER, UNFPA, UNDP</v>
      </c>
      <c r="R90" s="62" t="b">
        <f t="array" ref="R90">MAX(IF(Main3WData[PT.ID]=Main3WData[[#This Row],[PT.ID]],Main3WData[PT.LastID.Row]))=Main3WData[[#This Row],[PT.LastID.Row]]</f>
        <v>0</v>
      </c>
    </row>
    <row r="91" spans="2:18" s="1" customFormat="1" ht="16.5" customHeight="1" x14ac:dyDescent="0.2">
      <c r="B91" s="55" t="s">
        <v>512</v>
      </c>
      <c r="C91" s="27" t="str">
        <f>INDEX(Organizations[],MATCH(Main3WData[[#This Row],[Acronym]],AcronymList,0),1)</f>
        <v>World Health Organization</v>
      </c>
      <c r="D91" s="27" t="str">
        <f>INDEX(Organizations[],MATCH(Main3WData[[#This Row],[Acronym]],AcronymList,0),3)</f>
        <v>UN Agency</v>
      </c>
      <c r="E91" s="54" t="s">
        <v>360</v>
      </c>
      <c r="F91" s="53" t="s">
        <v>82</v>
      </c>
      <c r="G91" s="54" t="s">
        <v>376</v>
      </c>
      <c r="H91" s="28" t="str">
        <f>VLOOKUP(Main3WData[[#This Row],[Admin Unit Name]],AdminUnits[],2,FALSE)</f>
        <v>GIN002001</v>
      </c>
      <c r="I91" s="57">
        <v>0</v>
      </c>
      <c r="J91" s="67" t="str">
        <f>Main3WData[[#This Row],[Acronym]]&amp;Main3WData[[#This Row],[Sector]]&amp;Main3WData[[#This Row],[Activity Type]]&amp;Main3WData[[#This Row],[Pcode]]</f>
        <v>OMSCoordinationOngoingGIN002001</v>
      </c>
      <c r="K91" s="69">
        <f>COUNTIF(Main3WData[Concatenate],Main3WData[[#This Row],[Concatenate]])</f>
        <v>1</v>
      </c>
      <c r="L91" s="61" t="str">
        <f>Main3WData[[#This Row],[Sector]]&amp;Main3WData[[#This Row],[Pcode]]</f>
        <v>CoordinationGIN002001</v>
      </c>
      <c r="M91" s="71">
        <f>COUNTIF($L$5:L91,Main3WData[[#This Row],[PT.Concat]])</f>
        <v>4</v>
      </c>
      <c r="N91" s="70">
        <f>MATCH(Main3WData[[#This Row],[PT.Concat]],$L$5:L91,0)</f>
        <v>84</v>
      </c>
      <c r="O91" s="62" t="b">
        <f>Main3WData[[#This Row],[Count PT.Concat]]=1</f>
        <v>0</v>
      </c>
      <c r="P91" s="62">
        <f t="array" ref="P91">MAX(($N$4:N90=Main3WData[[#This Row],[PT.ID]])*ROW($N$4:N90))</f>
        <v>90</v>
      </c>
      <c r="Q91" s="62" t="str">
        <f>IF(Main3WData[[#This Row],[PT.FirstID]],Main3WData[[#This Row],[Acronym]],INDEX($Q$4:Q90,Main3WData[[#This Row],[PT.LastID.Row]]-ROW($Q$4)+1) &amp; ", "&amp;Main3WData[[#This Row],[Acronym]])</f>
        <v>UNMEER, UNFPA, UNDP, OMS</v>
      </c>
      <c r="R91" s="62" t="b">
        <f t="array" ref="R91">MAX(IF(Main3WData[PT.ID]=Main3WData[[#This Row],[PT.ID]],Main3WData[PT.LastID.Row]))=Main3WData[[#This Row],[PT.LastID.Row]]</f>
        <v>0</v>
      </c>
    </row>
    <row r="92" spans="2:18" s="1" customFormat="1" ht="16.5" customHeight="1" x14ac:dyDescent="0.2">
      <c r="B92" s="55" t="s">
        <v>71</v>
      </c>
      <c r="C92" s="27" t="str">
        <f>INDEX(Organizations[],MATCH(Main3WData[[#This Row],[Acronym]],AcronymList,0),1)</f>
        <v>Medecins sans Frontieres</v>
      </c>
      <c r="D92" s="27" t="str">
        <f>INDEX(Organizations[],MATCH(Main3WData[[#This Row],[Acronym]],AcronymList,0),3)</f>
        <v>International NGO</v>
      </c>
      <c r="E92" s="54" t="s">
        <v>360</v>
      </c>
      <c r="F92" s="53" t="s">
        <v>82</v>
      </c>
      <c r="G92" s="54" t="s">
        <v>376</v>
      </c>
      <c r="H92" s="28" t="str">
        <f>VLOOKUP(Main3WData[[#This Row],[Admin Unit Name]],AdminUnits[],2,FALSE)</f>
        <v>GIN002001</v>
      </c>
      <c r="I92" s="57">
        <v>0</v>
      </c>
      <c r="J92" s="67" t="str">
        <f>Main3WData[[#This Row],[Acronym]]&amp;Main3WData[[#This Row],[Sector]]&amp;Main3WData[[#This Row],[Activity Type]]&amp;Main3WData[[#This Row],[Pcode]]</f>
        <v>MSFCoordinationOngoingGIN002001</v>
      </c>
      <c r="K92" s="69">
        <f>COUNTIF(Main3WData[Concatenate],Main3WData[[#This Row],[Concatenate]])</f>
        <v>1</v>
      </c>
      <c r="L92" s="61" t="str">
        <f>Main3WData[[#This Row],[Sector]]&amp;Main3WData[[#This Row],[Pcode]]</f>
        <v>CoordinationGIN002001</v>
      </c>
      <c r="M92" s="71">
        <f>COUNTIF($L$5:L92,Main3WData[[#This Row],[PT.Concat]])</f>
        <v>5</v>
      </c>
      <c r="N92" s="70">
        <f>MATCH(Main3WData[[#This Row],[PT.Concat]],$L$5:L92,0)</f>
        <v>84</v>
      </c>
      <c r="O92" s="62" t="b">
        <f>Main3WData[[#This Row],[Count PT.Concat]]=1</f>
        <v>0</v>
      </c>
      <c r="P92" s="62">
        <f t="array" ref="P92">MAX(($N$4:N91=Main3WData[[#This Row],[PT.ID]])*ROW($N$4:N91))</f>
        <v>91</v>
      </c>
      <c r="Q92" s="62" t="str">
        <f>IF(Main3WData[[#This Row],[PT.FirstID]],Main3WData[[#This Row],[Acronym]],INDEX($Q$4:Q91,Main3WData[[#This Row],[PT.LastID.Row]]-ROW($Q$4)+1) &amp; ", "&amp;Main3WData[[#This Row],[Acronym]])</f>
        <v>UNMEER, UNFPA, UNDP, OMS, MSF</v>
      </c>
      <c r="R92" s="62" t="b">
        <f t="array" ref="R92">MAX(IF(Main3WData[PT.ID]=Main3WData[[#This Row],[PT.ID]],Main3WData[PT.LastID.Row]))=Main3WData[[#This Row],[PT.LastID.Row]]</f>
        <v>0</v>
      </c>
    </row>
    <row r="93" spans="2:18" s="1" customFormat="1" ht="16.5" customHeight="1" x14ac:dyDescent="0.2">
      <c r="B93" s="55" t="s">
        <v>507</v>
      </c>
      <c r="C93" s="27" t="str">
        <f>INDEX(Organizations[],MATCH(Main3WData[[#This Row],[Acronym]],AcronymList,0),1)</f>
        <v>eHealth Africa</v>
      </c>
      <c r="D93" s="27" t="str">
        <f>INDEX(Organizations[],MATCH(Main3WData[[#This Row],[Acronym]],AcronymList,0),3)</f>
        <v>International Organization</v>
      </c>
      <c r="E93" s="54" t="s">
        <v>360</v>
      </c>
      <c r="F93" s="53" t="s">
        <v>82</v>
      </c>
      <c r="G93" s="54" t="s">
        <v>376</v>
      </c>
      <c r="H93" s="28" t="str">
        <f>VLOOKUP(Main3WData[[#This Row],[Admin Unit Name]],AdminUnits[],2,FALSE)</f>
        <v>GIN002001</v>
      </c>
      <c r="I93" s="57">
        <v>0</v>
      </c>
      <c r="J93" s="67" t="str">
        <f>Main3WData[[#This Row],[Acronym]]&amp;Main3WData[[#This Row],[Sector]]&amp;Main3WData[[#This Row],[Activity Type]]&amp;Main3WData[[#This Row],[Pcode]]</f>
        <v>eHealth AfricaCoordinationOngoingGIN002001</v>
      </c>
      <c r="K93" s="69">
        <f>COUNTIF(Main3WData[Concatenate],Main3WData[[#This Row],[Concatenate]])</f>
        <v>1</v>
      </c>
      <c r="L93" s="61" t="str">
        <f>Main3WData[[#This Row],[Sector]]&amp;Main3WData[[#This Row],[Pcode]]</f>
        <v>CoordinationGIN002001</v>
      </c>
      <c r="M93" s="71">
        <f>COUNTIF($L$5:L93,Main3WData[[#This Row],[PT.Concat]])</f>
        <v>6</v>
      </c>
      <c r="N93" s="70">
        <f>MATCH(Main3WData[[#This Row],[PT.Concat]],$L$5:L93,0)</f>
        <v>84</v>
      </c>
      <c r="O93" s="62" t="b">
        <f>Main3WData[[#This Row],[Count PT.Concat]]=1</f>
        <v>0</v>
      </c>
      <c r="P93" s="62">
        <f t="array" ref="P93">MAX(($N$4:N92=Main3WData[[#This Row],[PT.ID]])*ROW($N$4:N92))</f>
        <v>92</v>
      </c>
      <c r="Q93" s="62" t="str">
        <f>IF(Main3WData[[#This Row],[PT.FirstID]],Main3WData[[#This Row],[Acronym]],INDEX($Q$4:Q92,Main3WData[[#This Row],[PT.LastID.Row]]-ROW($Q$4)+1) &amp; ", "&amp;Main3WData[[#This Row],[Acronym]])</f>
        <v>UNMEER, UNFPA, UNDP, OMS, MSF, eHealth Africa</v>
      </c>
      <c r="R93" s="62" t="b">
        <f t="array" ref="R93">MAX(IF(Main3WData[PT.ID]=Main3WData[[#This Row],[PT.ID]],Main3WData[PT.LastID.Row]))=Main3WData[[#This Row],[PT.LastID.Row]]</f>
        <v>1</v>
      </c>
    </row>
    <row r="94" spans="2:18" s="1" customFormat="1" ht="16.5" customHeight="1" x14ac:dyDescent="0.2">
      <c r="B94" s="55" t="s">
        <v>473</v>
      </c>
      <c r="C94" s="27" t="str">
        <f>INDEX(Organizations[],MATCH(Main3WData[[#This Row],[Acronym]],AcronymList,0),1)</f>
        <v>United Nations Development Programme</v>
      </c>
      <c r="D94" s="27" t="str">
        <f>INDEX(Organizations[],MATCH(Main3WData[[#This Row],[Acronym]],AcronymList,0),3)</f>
        <v>UN Agency</v>
      </c>
      <c r="E94" s="54" t="s">
        <v>359</v>
      </c>
      <c r="F94" s="53" t="s">
        <v>82</v>
      </c>
      <c r="G94" s="54" t="s">
        <v>376</v>
      </c>
      <c r="H94" s="28" t="str">
        <f>VLOOKUP(Main3WData[[#This Row],[Admin Unit Name]],AdminUnits[],2,FALSE)</f>
        <v>GIN002001</v>
      </c>
      <c r="I94" s="57">
        <v>0</v>
      </c>
      <c r="J94" s="67" t="str">
        <f>Main3WData[[#This Row],[Acronym]]&amp;Main3WData[[#This Row],[Sector]]&amp;Main3WData[[#This Row],[Activity Type]]&amp;Main3WData[[#This Row],[Pcode]]</f>
        <v>UNDPFinanceOngoingGIN002001</v>
      </c>
      <c r="K94" s="69">
        <f>COUNTIF(Main3WData[Concatenate],Main3WData[[#This Row],[Concatenate]])</f>
        <v>1</v>
      </c>
      <c r="L94" s="61" t="str">
        <f>Main3WData[[#This Row],[Sector]]&amp;Main3WData[[#This Row],[Pcode]]</f>
        <v>FinanceGIN002001</v>
      </c>
      <c r="M94" s="71">
        <f>COUNTIF($L$5:L94,Main3WData[[#This Row],[PT.Concat]])</f>
        <v>1</v>
      </c>
      <c r="N94" s="70">
        <f>MATCH(Main3WData[[#This Row],[PT.Concat]],$L$5:L94,0)</f>
        <v>90</v>
      </c>
      <c r="O94" s="62" t="b">
        <f>Main3WData[[#This Row],[Count PT.Concat]]=1</f>
        <v>1</v>
      </c>
      <c r="P94" s="62">
        <f t="array" ref="P94">MAX(($N$4:N93=Main3WData[[#This Row],[PT.ID]])*ROW($N$4:N93))</f>
        <v>0</v>
      </c>
      <c r="Q94" s="62" t="str">
        <f>IF(Main3WData[[#This Row],[PT.FirstID]],Main3WData[[#This Row],[Acronym]],INDEX($Q$4:Q93,Main3WData[[#This Row],[PT.LastID.Row]]-ROW($Q$4)+1) &amp; ", "&amp;Main3WData[[#This Row],[Acronym]])</f>
        <v>UNDP</v>
      </c>
      <c r="R94" s="62" t="b">
        <f t="array" ref="R94">MAX(IF(Main3WData[PT.ID]=Main3WData[[#This Row],[PT.ID]],Main3WData[PT.LastID.Row]))=Main3WData[[#This Row],[PT.LastID.Row]]</f>
        <v>1</v>
      </c>
    </row>
    <row r="95" spans="2:18" s="1" customFormat="1" ht="16.5" customHeight="1" x14ac:dyDescent="0.2">
      <c r="B95" s="55" t="s">
        <v>451</v>
      </c>
      <c r="C95" s="27" t="str">
        <f>INDEX(Organizations[],MATCH(Main3WData[[#This Row],[Acronym]],AcronymList,0),1)</f>
        <v>Croix-Rouge Guinée</v>
      </c>
      <c r="D95" s="27" t="str">
        <f>INDEX(Organizations[],MATCH(Main3WData[[#This Row],[Acronym]],AcronymList,0),3)</f>
        <v>Red Cross Movement</v>
      </c>
      <c r="E95" s="54" t="s">
        <v>354</v>
      </c>
      <c r="F95" s="53" t="s">
        <v>82</v>
      </c>
      <c r="G95" s="54" t="s">
        <v>376</v>
      </c>
      <c r="H95" s="28" t="str">
        <f>VLOOKUP(Main3WData[[#This Row],[Admin Unit Name]],AdminUnits[],2,FALSE)</f>
        <v>GIN002001</v>
      </c>
      <c r="I95" s="57">
        <v>0</v>
      </c>
      <c r="J95" s="67" t="str">
        <f>Main3WData[[#This Row],[Acronym]]&amp;Main3WData[[#This Row],[Sector]]&amp;Main3WData[[#This Row],[Activity Type]]&amp;Main3WData[[#This Row],[Pcode]]</f>
        <v>CRGGestion des corps et desinfectionOngoingGIN002001</v>
      </c>
      <c r="K95" s="69">
        <f>COUNTIF(Main3WData[Concatenate],Main3WData[[#This Row],[Concatenate]])</f>
        <v>1</v>
      </c>
      <c r="L95" s="61" t="str">
        <f>Main3WData[[#This Row],[Sector]]&amp;Main3WData[[#This Row],[Pcode]]</f>
        <v>Gestion des corps et desinfectionGIN002001</v>
      </c>
      <c r="M95" s="71">
        <f>COUNTIF($L$5:L95,Main3WData[[#This Row],[PT.Concat]])</f>
        <v>1</v>
      </c>
      <c r="N95" s="70">
        <f>MATCH(Main3WData[[#This Row],[PT.Concat]],$L$5:L95,0)</f>
        <v>91</v>
      </c>
      <c r="O95" s="62" t="b">
        <f>Main3WData[[#This Row],[Count PT.Concat]]=1</f>
        <v>1</v>
      </c>
      <c r="P95" s="62">
        <f t="array" ref="P95">MAX(($N$4:N94=Main3WData[[#This Row],[PT.ID]])*ROW($N$4:N94))</f>
        <v>0</v>
      </c>
      <c r="Q95" s="62" t="str">
        <f>IF(Main3WData[[#This Row],[PT.FirstID]],Main3WData[[#This Row],[Acronym]],INDEX($Q$4:Q94,Main3WData[[#This Row],[PT.LastID.Row]]-ROW($Q$4)+1) &amp; ", "&amp;Main3WData[[#This Row],[Acronym]])</f>
        <v>CRG</v>
      </c>
      <c r="R95" s="62" t="b">
        <f t="array" ref="R95">MAX(IF(Main3WData[PT.ID]=Main3WData[[#This Row],[PT.ID]],Main3WData[PT.LastID.Row]))=Main3WData[[#This Row],[PT.LastID.Row]]</f>
        <v>1</v>
      </c>
    </row>
    <row r="96" spans="2:18" s="1" customFormat="1" ht="16.5" customHeight="1" x14ac:dyDescent="0.2">
      <c r="B96" s="55" t="s">
        <v>516</v>
      </c>
      <c r="C96" s="27" t="str">
        <f>INDEX(Organizations[],MATCH(Main3WData[[#This Row],[Acronym]],AcronymList,0),1)</f>
        <v>UNITED NATION MISSION FOR EBOLA  EMERGENCY RESPONSE</v>
      </c>
      <c r="D96" s="27" t="str">
        <f>INDEX(Organizations[],MATCH(Main3WData[[#This Row],[Acronym]],AcronymList,0),3)</f>
        <v>UN Agency</v>
      </c>
      <c r="E96" s="54" t="s">
        <v>356</v>
      </c>
      <c r="F96" s="53" t="s">
        <v>82</v>
      </c>
      <c r="G96" s="54" t="s">
        <v>376</v>
      </c>
      <c r="H96" s="28" t="str">
        <f>VLOOKUP(Main3WData[[#This Row],[Admin Unit Name]],AdminUnits[],2,FALSE)</f>
        <v>GIN002001</v>
      </c>
      <c r="I96" s="57">
        <v>0</v>
      </c>
      <c r="J96" s="67" t="str">
        <f>Main3WData[[#This Row],[Acronym]]&amp;Main3WData[[#This Row],[Sector]]&amp;Main3WData[[#This Row],[Activity Type]]&amp;Main3WData[[#This Row],[Pcode]]</f>
        <v>UNMEERGestion des donnéesOngoingGIN002001</v>
      </c>
      <c r="K96" s="69">
        <f>COUNTIF(Main3WData[Concatenate],Main3WData[[#This Row],[Concatenate]])</f>
        <v>1</v>
      </c>
      <c r="L96" s="61" t="str">
        <f>Main3WData[[#This Row],[Sector]]&amp;Main3WData[[#This Row],[Pcode]]</f>
        <v>Gestion des donnéesGIN002001</v>
      </c>
      <c r="M96" s="71">
        <f>COUNTIF($L$5:L96,Main3WData[[#This Row],[PT.Concat]])</f>
        <v>1</v>
      </c>
      <c r="N96" s="70">
        <f>MATCH(Main3WData[[#This Row],[PT.Concat]],$L$5:L96,0)</f>
        <v>92</v>
      </c>
      <c r="O96" s="62" t="b">
        <f>Main3WData[[#This Row],[Count PT.Concat]]=1</f>
        <v>1</v>
      </c>
      <c r="P96" s="62">
        <f t="array" ref="P96">MAX(($N$4:N95=Main3WData[[#This Row],[PT.ID]])*ROW($N$4:N95))</f>
        <v>0</v>
      </c>
      <c r="Q96" s="62" t="str">
        <f>IF(Main3WData[[#This Row],[PT.FirstID]],Main3WData[[#This Row],[Acronym]],INDEX($Q$4:Q95,Main3WData[[#This Row],[PT.LastID.Row]]-ROW($Q$4)+1) &amp; ", "&amp;Main3WData[[#This Row],[Acronym]])</f>
        <v>UNMEER</v>
      </c>
      <c r="R96" s="62" t="b">
        <f t="array" ref="R96">MAX(IF(Main3WData[PT.ID]=Main3WData[[#This Row],[PT.ID]],Main3WData[PT.LastID.Row]))=Main3WData[[#This Row],[PT.LastID.Row]]</f>
        <v>0</v>
      </c>
    </row>
    <row r="97" spans="2:18" s="1" customFormat="1" ht="16.5" customHeight="1" x14ac:dyDescent="0.2">
      <c r="B97" s="55" t="s">
        <v>512</v>
      </c>
      <c r="C97" s="27" t="str">
        <f>INDEX(Organizations[],MATCH(Main3WData[[#This Row],[Acronym]],AcronymList,0),1)</f>
        <v>World Health Organization</v>
      </c>
      <c r="D97" s="27" t="str">
        <f>INDEX(Organizations[],MATCH(Main3WData[[#This Row],[Acronym]],AcronymList,0),3)</f>
        <v>UN Agency</v>
      </c>
      <c r="E97" s="54" t="s">
        <v>356</v>
      </c>
      <c r="F97" s="53" t="s">
        <v>82</v>
      </c>
      <c r="G97" s="54" t="s">
        <v>376</v>
      </c>
      <c r="H97" s="28" t="str">
        <f>VLOOKUP(Main3WData[[#This Row],[Admin Unit Name]],AdminUnits[],2,FALSE)</f>
        <v>GIN002001</v>
      </c>
      <c r="I97" s="57">
        <v>0</v>
      </c>
      <c r="J97" s="67" t="str">
        <f>Main3WData[[#This Row],[Acronym]]&amp;Main3WData[[#This Row],[Sector]]&amp;Main3WData[[#This Row],[Activity Type]]&amp;Main3WData[[#This Row],[Pcode]]</f>
        <v>OMSGestion des donnéesOngoingGIN002001</v>
      </c>
      <c r="K97" s="69">
        <f>COUNTIF(Main3WData[Concatenate],Main3WData[[#This Row],[Concatenate]])</f>
        <v>1</v>
      </c>
      <c r="L97" s="61" t="str">
        <f>Main3WData[[#This Row],[Sector]]&amp;Main3WData[[#This Row],[Pcode]]</f>
        <v>Gestion des donnéesGIN002001</v>
      </c>
      <c r="M97" s="71">
        <f>COUNTIF($L$5:L97,Main3WData[[#This Row],[PT.Concat]])</f>
        <v>2</v>
      </c>
      <c r="N97" s="70">
        <f>MATCH(Main3WData[[#This Row],[PT.Concat]],$L$5:L97,0)</f>
        <v>92</v>
      </c>
      <c r="O97" s="62" t="b">
        <f>Main3WData[[#This Row],[Count PT.Concat]]=1</f>
        <v>0</v>
      </c>
      <c r="P97" s="62">
        <f t="array" ref="P97">MAX(($N$4:N96=Main3WData[[#This Row],[PT.ID]])*ROW($N$4:N96))</f>
        <v>96</v>
      </c>
      <c r="Q97" s="62" t="str">
        <f>IF(Main3WData[[#This Row],[PT.FirstID]],Main3WData[[#This Row],[Acronym]],INDEX($Q$4:Q96,Main3WData[[#This Row],[PT.LastID.Row]]-ROW($Q$4)+1) &amp; ", "&amp;Main3WData[[#This Row],[Acronym]])</f>
        <v>UNMEER, OMS</v>
      </c>
      <c r="R97" s="62" t="b">
        <f t="array" ref="R97">MAX(IF(Main3WData[PT.ID]=Main3WData[[#This Row],[PT.ID]],Main3WData[PT.LastID.Row]))=Main3WData[[#This Row],[PT.LastID.Row]]</f>
        <v>1</v>
      </c>
    </row>
    <row r="98" spans="2:18" s="1" customFormat="1" ht="16.5" customHeight="1" x14ac:dyDescent="0.2">
      <c r="B98" s="55" t="s">
        <v>516</v>
      </c>
      <c r="C98" s="27" t="str">
        <f>INDEX(Organizations[],MATCH(Main3WData[[#This Row],[Acronym]],AcronymList,0),1)</f>
        <v>UNITED NATION MISSION FOR EBOLA  EMERGENCY RESPONSE</v>
      </c>
      <c r="D98" s="27" t="str">
        <f>INDEX(Organizations[],MATCH(Main3WData[[#This Row],[Acronym]],AcronymList,0),3)</f>
        <v>UN Agency</v>
      </c>
      <c r="E98" s="54" t="s">
        <v>358</v>
      </c>
      <c r="F98" s="53" t="s">
        <v>82</v>
      </c>
      <c r="G98" s="54" t="s">
        <v>376</v>
      </c>
      <c r="H98" s="28" t="str">
        <f>VLOOKUP(Main3WData[[#This Row],[Admin Unit Name]],AdminUnits[],2,FALSE)</f>
        <v>GIN002001</v>
      </c>
      <c r="I98" s="57">
        <v>0</v>
      </c>
      <c r="J98" s="67" t="str">
        <f>Main3WData[[#This Row],[Acronym]]&amp;Main3WData[[#This Row],[Sector]]&amp;Main3WData[[#This Row],[Activity Type]]&amp;Main3WData[[#This Row],[Pcode]]</f>
        <v>UNMEERLogistiquesOngoingGIN002001</v>
      </c>
      <c r="K98" s="69">
        <f>COUNTIF(Main3WData[Concatenate],Main3WData[[#This Row],[Concatenate]])</f>
        <v>1</v>
      </c>
      <c r="L98" s="61" t="str">
        <f>Main3WData[[#This Row],[Sector]]&amp;Main3WData[[#This Row],[Pcode]]</f>
        <v>LogistiquesGIN002001</v>
      </c>
      <c r="M98" s="71">
        <f>COUNTIF($L$5:L98,Main3WData[[#This Row],[PT.Concat]])</f>
        <v>1</v>
      </c>
      <c r="N98" s="70">
        <f>MATCH(Main3WData[[#This Row],[PT.Concat]],$L$5:L98,0)</f>
        <v>94</v>
      </c>
      <c r="O98" s="62" t="b">
        <f>Main3WData[[#This Row],[Count PT.Concat]]=1</f>
        <v>1</v>
      </c>
      <c r="P98" s="62">
        <f t="array" ref="P98">MAX(($N$4:N97=Main3WData[[#This Row],[PT.ID]])*ROW($N$4:N97))</f>
        <v>0</v>
      </c>
      <c r="Q98" s="62" t="str">
        <f>IF(Main3WData[[#This Row],[PT.FirstID]],Main3WData[[#This Row],[Acronym]],INDEX($Q$4:Q97,Main3WData[[#This Row],[PT.LastID.Row]]-ROW($Q$4)+1) &amp; ", "&amp;Main3WData[[#This Row],[Acronym]])</f>
        <v>UNMEER</v>
      </c>
      <c r="R98" s="62" t="b">
        <f t="array" ref="R98">MAX(IF(Main3WData[PT.ID]=Main3WData[[#This Row],[PT.ID]],Main3WData[PT.LastID.Row]))=Main3WData[[#This Row],[PT.LastID.Row]]</f>
        <v>0</v>
      </c>
    </row>
    <row r="99" spans="2:18" s="1" customFormat="1" ht="16.5" customHeight="1" x14ac:dyDescent="0.2">
      <c r="B99" s="55" t="s">
        <v>512</v>
      </c>
      <c r="C99" s="27" t="str">
        <f>INDEX(Organizations[],MATCH(Main3WData[[#This Row],[Acronym]],AcronymList,0),1)</f>
        <v>World Health Organization</v>
      </c>
      <c r="D99" s="27" t="str">
        <f>INDEX(Organizations[],MATCH(Main3WData[[#This Row],[Acronym]],AcronymList,0),3)</f>
        <v>UN Agency</v>
      </c>
      <c r="E99" s="54" t="s">
        <v>358</v>
      </c>
      <c r="F99" s="53" t="s">
        <v>82</v>
      </c>
      <c r="G99" s="54" t="s">
        <v>376</v>
      </c>
      <c r="H99" s="28" t="str">
        <f>VLOOKUP(Main3WData[[#This Row],[Admin Unit Name]],AdminUnits[],2,FALSE)</f>
        <v>GIN002001</v>
      </c>
      <c r="I99" s="57">
        <v>0</v>
      </c>
      <c r="J99" s="67" t="str">
        <f>Main3WData[[#This Row],[Acronym]]&amp;Main3WData[[#This Row],[Sector]]&amp;Main3WData[[#This Row],[Activity Type]]&amp;Main3WData[[#This Row],[Pcode]]</f>
        <v>OMSLogistiquesOngoingGIN002001</v>
      </c>
      <c r="K99" s="69">
        <f>COUNTIF(Main3WData[Concatenate],Main3WData[[#This Row],[Concatenate]])</f>
        <v>1</v>
      </c>
      <c r="L99" s="61" t="str">
        <f>Main3WData[[#This Row],[Sector]]&amp;Main3WData[[#This Row],[Pcode]]</f>
        <v>LogistiquesGIN002001</v>
      </c>
      <c r="M99" s="71">
        <f>COUNTIF($L$5:L99,Main3WData[[#This Row],[PT.Concat]])</f>
        <v>2</v>
      </c>
      <c r="N99" s="70">
        <f>MATCH(Main3WData[[#This Row],[PT.Concat]],$L$5:L99,0)</f>
        <v>94</v>
      </c>
      <c r="O99" s="62" t="b">
        <f>Main3WData[[#This Row],[Count PT.Concat]]=1</f>
        <v>0</v>
      </c>
      <c r="P99" s="62">
        <f t="array" ref="P99">MAX(($N$4:N98=Main3WData[[#This Row],[PT.ID]])*ROW($N$4:N98))</f>
        <v>98</v>
      </c>
      <c r="Q99" s="62" t="str">
        <f>IF(Main3WData[[#This Row],[PT.FirstID]],Main3WData[[#This Row],[Acronym]],INDEX($Q$4:Q98,Main3WData[[#This Row],[PT.LastID.Row]]-ROW($Q$4)+1) &amp; ", "&amp;Main3WData[[#This Row],[Acronym]])</f>
        <v>UNMEER, OMS</v>
      </c>
      <c r="R99" s="62" t="b">
        <f t="array" ref="R99">MAX(IF(Main3WData[PT.ID]=Main3WData[[#This Row],[PT.ID]],Main3WData[PT.LastID.Row]))=Main3WData[[#This Row],[PT.LastID.Row]]</f>
        <v>1</v>
      </c>
    </row>
    <row r="100" spans="2:18" s="1" customFormat="1" ht="16.5" customHeight="1" x14ac:dyDescent="0.2">
      <c r="B100" s="55" t="s">
        <v>78</v>
      </c>
      <c r="C100" s="27" t="str">
        <f>INDEX(Organizations[],MATCH(Main3WData[[#This Row],[Acronym]],AcronymList,0),1)</f>
        <v>World Food Programme</v>
      </c>
      <c r="D100" s="27" t="str">
        <f>INDEX(Organizations[],MATCH(Main3WData[[#This Row],[Acronym]],AcronymList,0),3)</f>
        <v>UN Agency</v>
      </c>
      <c r="E100" s="54" t="s">
        <v>353</v>
      </c>
      <c r="F100" s="53" t="s">
        <v>82</v>
      </c>
      <c r="G100" s="54" t="s">
        <v>376</v>
      </c>
      <c r="H100" s="28" t="str">
        <f>VLOOKUP(Main3WData[[#This Row],[Admin Unit Name]],AdminUnits[],2,FALSE)</f>
        <v>GIN002001</v>
      </c>
      <c r="I100" s="57">
        <v>0</v>
      </c>
      <c r="J100" s="67" t="str">
        <f>Main3WData[[#This Row],[Acronym]]&amp;Main3WData[[#This Row],[Sector]]&amp;Main3WData[[#This Row],[Activity Type]]&amp;Main3WData[[#This Row],[Pcode]]</f>
        <v>WFPPrise en chargeOngoingGIN002001</v>
      </c>
      <c r="K100" s="69">
        <f>COUNTIF(Main3WData[Concatenate],Main3WData[[#This Row],[Concatenate]])</f>
        <v>1</v>
      </c>
      <c r="L100" s="61" t="str">
        <f>Main3WData[[#This Row],[Sector]]&amp;Main3WData[[#This Row],[Pcode]]</f>
        <v>Prise en chargeGIN002001</v>
      </c>
      <c r="M100" s="71">
        <f>COUNTIF($L$5:L100,Main3WData[[#This Row],[PT.Concat]])</f>
        <v>1</v>
      </c>
      <c r="N100" s="70">
        <f>MATCH(Main3WData[[#This Row],[PT.Concat]],$L$5:L100,0)</f>
        <v>96</v>
      </c>
      <c r="O100" s="62" t="b">
        <f>Main3WData[[#This Row],[Count PT.Concat]]=1</f>
        <v>1</v>
      </c>
      <c r="P100" s="62">
        <f t="array" ref="P100">MAX(($N$4:N99=Main3WData[[#This Row],[PT.ID]])*ROW($N$4:N99))</f>
        <v>0</v>
      </c>
      <c r="Q100" s="62" t="str">
        <f>IF(Main3WData[[#This Row],[PT.FirstID]],Main3WData[[#This Row],[Acronym]],INDEX($Q$4:Q99,Main3WData[[#This Row],[PT.LastID.Row]]-ROW($Q$4)+1) &amp; ", "&amp;Main3WData[[#This Row],[Acronym]])</f>
        <v>WFP</v>
      </c>
      <c r="R100" s="62" t="b">
        <f t="array" ref="R100">MAX(IF(Main3WData[PT.ID]=Main3WData[[#This Row],[PT.ID]],Main3WData[PT.LastID.Row]))=Main3WData[[#This Row],[PT.LastID.Row]]</f>
        <v>0</v>
      </c>
    </row>
    <row r="101" spans="2:18" s="1" customFormat="1" ht="16.5" customHeight="1" x14ac:dyDescent="0.2">
      <c r="B101" s="55" t="s">
        <v>517</v>
      </c>
      <c r="C101" s="27" t="str">
        <f>INDEX(Organizations[],MATCH(Main3WData[[#This Row],[Acronym]],AcronymList,0),1)</f>
        <v>USAID/JHPIEGO</v>
      </c>
      <c r="D101" s="27" t="str">
        <f>INDEX(Organizations[],MATCH(Main3WData[[#This Row],[Acronym]],AcronymList,0),3)</f>
        <v>International Organization</v>
      </c>
      <c r="E101" s="54" t="s">
        <v>353</v>
      </c>
      <c r="F101" s="53" t="s">
        <v>82</v>
      </c>
      <c r="G101" s="54" t="s">
        <v>376</v>
      </c>
      <c r="H101" s="28" t="str">
        <f>VLOOKUP(Main3WData[[#This Row],[Admin Unit Name]],AdminUnits[],2,FALSE)</f>
        <v>GIN002001</v>
      </c>
      <c r="I101" s="57">
        <v>0</v>
      </c>
      <c r="J101" s="67" t="str">
        <f>Main3WData[[#This Row],[Acronym]]&amp;Main3WData[[#This Row],[Sector]]&amp;Main3WData[[#This Row],[Activity Type]]&amp;Main3WData[[#This Row],[Pcode]]</f>
        <v>USAID/JHPIEGOPrise en chargeOngoingGIN002001</v>
      </c>
      <c r="K101" s="69">
        <f>COUNTIF(Main3WData[Concatenate],Main3WData[[#This Row],[Concatenate]])</f>
        <v>1</v>
      </c>
      <c r="L101" s="61" t="str">
        <f>Main3WData[[#This Row],[Sector]]&amp;Main3WData[[#This Row],[Pcode]]</f>
        <v>Prise en chargeGIN002001</v>
      </c>
      <c r="M101" s="71">
        <f>COUNTIF($L$5:L101,Main3WData[[#This Row],[PT.Concat]])</f>
        <v>2</v>
      </c>
      <c r="N101" s="70">
        <f>MATCH(Main3WData[[#This Row],[PT.Concat]],$L$5:L101,0)</f>
        <v>96</v>
      </c>
      <c r="O101" s="62" t="b">
        <f>Main3WData[[#This Row],[Count PT.Concat]]=1</f>
        <v>0</v>
      </c>
      <c r="P101" s="62">
        <f t="array" ref="P101">MAX(($N$4:N100=Main3WData[[#This Row],[PT.ID]])*ROW($N$4:N100))</f>
        <v>100</v>
      </c>
      <c r="Q101" s="62" t="str">
        <f>IF(Main3WData[[#This Row],[PT.FirstID]],Main3WData[[#This Row],[Acronym]],INDEX($Q$4:Q100,Main3WData[[#This Row],[PT.LastID.Row]]-ROW($Q$4)+1) &amp; ", "&amp;Main3WData[[#This Row],[Acronym]])</f>
        <v>WFP, USAID/JHPIEGO</v>
      </c>
      <c r="R101" s="62" t="b">
        <f t="array" ref="R101">MAX(IF(Main3WData[PT.ID]=Main3WData[[#This Row],[PT.ID]],Main3WData[PT.LastID.Row]))=Main3WData[[#This Row],[PT.LastID.Row]]</f>
        <v>0</v>
      </c>
    </row>
    <row r="102" spans="2:18" s="1" customFormat="1" ht="16.5" customHeight="1" x14ac:dyDescent="0.2">
      <c r="B102" s="55" t="s">
        <v>71</v>
      </c>
      <c r="C102" s="27" t="str">
        <f>INDEX(Organizations[],MATCH(Main3WData[[#This Row],[Acronym]],AcronymList,0),1)</f>
        <v>Medecins sans Frontieres</v>
      </c>
      <c r="D102" s="27" t="str">
        <f>INDEX(Organizations[],MATCH(Main3WData[[#This Row],[Acronym]],AcronymList,0),3)</f>
        <v>International NGO</v>
      </c>
      <c r="E102" s="54" t="s">
        <v>353</v>
      </c>
      <c r="F102" s="53" t="s">
        <v>82</v>
      </c>
      <c r="G102" s="54" t="s">
        <v>376</v>
      </c>
      <c r="H102" s="28" t="str">
        <f>VLOOKUP(Main3WData[[#This Row],[Admin Unit Name]],AdminUnits[],2,FALSE)</f>
        <v>GIN002001</v>
      </c>
      <c r="I102" s="57">
        <v>0</v>
      </c>
      <c r="J102" s="67" t="str">
        <f>Main3WData[[#This Row],[Acronym]]&amp;Main3WData[[#This Row],[Sector]]&amp;Main3WData[[#This Row],[Activity Type]]&amp;Main3WData[[#This Row],[Pcode]]</f>
        <v>MSFPrise en chargeOngoingGIN002001</v>
      </c>
      <c r="K102" s="69">
        <f>COUNTIF(Main3WData[Concatenate],Main3WData[[#This Row],[Concatenate]])</f>
        <v>1</v>
      </c>
      <c r="L102" s="61" t="str">
        <f>Main3WData[[#This Row],[Sector]]&amp;Main3WData[[#This Row],[Pcode]]</f>
        <v>Prise en chargeGIN002001</v>
      </c>
      <c r="M102" s="71">
        <f>COUNTIF($L$5:L102,Main3WData[[#This Row],[PT.Concat]])</f>
        <v>3</v>
      </c>
      <c r="N102" s="70">
        <f>MATCH(Main3WData[[#This Row],[PT.Concat]],$L$5:L102,0)</f>
        <v>96</v>
      </c>
      <c r="O102" s="62" t="b">
        <f>Main3WData[[#This Row],[Count PT.Concat]]=1</f>
        <v>0</v>
      </c>
      <c r="P102" s="62">
        <f t="array" ref="P102">MAX(($N$4:N101=Main3WData[[#This Row],[PT.ID]])*ROW($N$4:N101))</f>
        <v>101</v>
      </c>
      <c r="Q102" s="62" t="str">
        <f>IF(Main3WData[[#This Row],[PT.FirstID]],Main3WData[[#This Row],[Acronym]],INDEX($Q$4:Q101,Main3WData[[#This Row],[PT.LastID.Row]]-ROW($Q$4)+1) &amp; ", "&amp;Main3WData[[#This Row],[Acronym]])</f>
        <v>WFP, USAID/JHPIEGO, MSF</v>
      </c>
      <c r="R102" s="62" t="b">
        <f t="array" ref="R102">MAX(IF(Main3WData[PT.ID]=Main3WData[[#This Row],[PT.ID]],Main3WData[PT.LastID.Row]))=Main3WData[[#This Row],[PT.LastID.Row]]</f>
        <v>0</v>
      </c>
    </row>
    <row r="103" spans="2:18" s="1" customFormat="1" ht="16.5" customHeight="1" x14ac:dyDescent="0.2">
      <c r="B103" s="55" t="s">
        <v>454</v>
      </c>
      <c r="C103" s="27" t="str">
        <f>INDEX(Organizations[],MATCH(Main3WData[[#This Row],[Acronym]],AcronymList,0),1)</f>
        <v>France</v>
      </c>
      <c r="D103" s="27" t="str">
        <f>INDEX(Organizations[],MATCH(Main3WData[[#This Row],[Acronym]],AcronymList,0),3)</f>
        <v>Donors</v>
      </c>
      <c r="E103" s="54" t="s">
        <v>353</v>
      </c>
      <c r="F103" s="53" t="s">
        <v>82</v>
      </c>
      <c r="G103" s="54" t="s">
        <v>376</v>
      </c>
      <c r="H103" s="28" t="str">
        <f>VLOOKUP(Main3WData[[#This Row],[Admin Unit Name]],AdminUnits[],2,FALSE)</f>
        <v>GIN002001</v>
      </c>
      <c r="I103" s="57">
        <v>0</v>
      </c>
      <c r="J103" s="67" t="str">
        <f>Main3WData[[#This Row],[Acronym]]&amp;Main3WData[[#This Row],[Sector]]&amp;Main3WData[[#This Row],[Activity Type]]&amp;Main3WData[[#This Row],[Pcode]]</f>
        <v>FrancePrise en chargeOngoingGIN002001</v>
      </c>
      <c r="K103" s="69">
        <f>COUNTIF(Main3WData[Concatenate],Main3WData[[#This Row],[Concatenate]])</f>
        <v>1</v>
      </c>
      <c r="L103" s="61" t="str">
        <f>Main3WData[[#This Row],[Sector]]&amp;Main3WData[[#This Row],[Pcode]]</f>
        <v>Prise en chargeGIN002001</v>
      </c>
      <c r="M103" s="71">
        <f>COUNTIF($L$5:L103,Main3WData[[#This Row],[PT.Concat]])</f>
        <v>4</v>
      </c>
      <c r="N103" s="70">
        <f>MATCH(Main3WData[[#This Row],[PT.Concat]],$L$5:L103,0)</f>
        <v>96</v>
      </c>
      <c r="O103" s="62" t="b">
        <f>Main3WData[[#This Row],[Count PT.Concat]]=1</f>
        <v>0</v>
      </c>
      <c r="P103" s="62">
        <f t="array" ref="P103">MAX(($N$4:N102=Main3WData[[#This Row],[PT.ID]])*ROW($N$4:N102))</f>
        <v>102</v>
      </c>
      <c r="Q103" s="62" t="str">
        <f>IF(Main3WData[[#This Row],[PT.FirstID]],Main3WData[[#This Row],[Acronym]],INDEX($Q$4:Q102,Main3WData[[#This Row],[PT.LastID.Row]]-ROW($Q$4)+1) &amp; ", "&amp;Main3WData[[#This Row],[Acronym]])</f>
        <v>WFP, USAID/JHPIEGO, MSF, France</v>
      </c>
      <c r="R103" s="62" t="b">
        <f t="array" ref="R103">MAX(IF(Main3WData[PT.ID]=Main3WData[[#This Row],[PT.ID]],Main3WData[PT.LastID.Row]))=Main3WData[[#This Row],[PT.LastID.Row]]</f>
        <v>0</v>
      </c>
    </row>
    <row r="104" spans="2:18" s="1" customFormat="1" ht="16.5" customHeight="1" x14ac:dyDescent="0.2">
      <c r="B104" s="55" t="s">
        <v>66</v>
      </c>
      <c r="C104" s="27" t="str">
        <f>INDEX(Organizations[],MATCH(Main3WData[[#This Row],[Acronym]],AcronymList,0),1)</f>
        <v>Catholic Relief Services</v>
      </c>
      <c r="D104" s="27" t="str">
        <f>INDEX(Organizations[],MATCH(Main3WData[[#This Row],[Acronym]],AcronymList,0),3)</f>
        <v>International NGO</v>
      </c>
      <c r="E104" s="54" t="s">
        <v>353</v>
      </c>
      <c r="F104" s="53" t="s">
        <v>82</v>
      </c>
      <c r="G104" s="54" t="s">
        <v>376</v>
      </c>
      <c r="H104" s="28" t="str">
        <f>VLOOKUP(Main3WData[[#This Row],[Admin Unit Name]],AdminUnits[],2,FALSE)</f>
        <v>GIN002001</v>
      </c>
      <c r="I104" s="57">
        <v>0</v>
      </c>
      <c r="J104" s="67" t="str">
        <f>Main3WData[[#This Row],[Acronym]]&amp;Main3WData[[#This Row],[Sector]]&amp;Main3WData[[#This Row],[Activity Type]]&amp;Main3WData[[#This Row],[Pcode]]</f>
        <v>CRSPrise en chargeOngoingGIN002001</v>
      </c>
      <c r="K104" s="69">
        <f>COUNTIF(Main3WData[Concatenate],Main3WData[[#This Row],[Concatenate]])</f>
        <v>1</v>
      </c>
      <c r="L104" s="61" t="str">
        <f>Main3WData[[#This Row],[Sector]]&amp;Main3WData[[#This Row],[Pcode]]</f>
        <v>Prise en chargeGIN002001</v>
      </c>
      <c r="M104" s="71">
        <f>COUNTIF($L$5:L104,Main3WData[[#This Row],[PT.Concat]])</f>
        <v>5</v>
      </c>
      <c r="N104" s="70">
        <f>MATCH(Main3WData[[#This Row],[PT.Concat]],$L$5:L104,0)</f>
        <v>96</v>
      </c>
      <c r="O104" s="62" t="b">
        <f>Main3WData[[#This Row],[Count PT.Concat]]=1</f>
        <v>0</v>
      </c>
      <c r="P104" s="62">
        <f t="array" ref="P104">MAX(($N$4:N103=Main3WData[[#This Row],[PT.ID]])*ROW($N$4:N103))</f>
        <v>103</v>
      </c>
      <c r="Q104" s="62" t="str">
        <f>IF(Main3WData[[#This Row],[PT.FirstID]],Main3WData[[#This Row],[Acronym]],INDEX($Q$4:Q103,Main3WData[[#This Row],[PT.LastID.Row]]-ROW($Q$4)+1) &amp; ", "&amp;Main3WData[[#This Row],[Acronym]])</f>
        <v>WFP, USAID/JHPIEGO, MSF, France, CRS</v>
      </c>
      <c r="R104" s="62" t="b">
        <f t="array" ref="R104">MAX(IF(Main3WData[PT.ID]=Main3WData[[#This Row],[PT.ID]],Main3WData[PT.LastID.Row]))=Main3WData[[#This Row],[PT.LastID.Row]]</f>
        <v>1</v>
      </c>
    </row>
    <row r="105" spans="2:18" s="1" customFormat="1" ht="16.5" customHeight="1" x14ac:dyDescent="0.2">
      <c r="B105" s="55" t="s">
        <v>78</v>
      </c>
      <c r="C105" s="27" t="str">
        <f>INDEX(Organizations[],MATCH(Main3WData[[#This Row],[Acronym]],AcronymList,0),1)</f>
        <v>World Food Programme</v>
      </c>
      <c r="D105" s="27" t="str">
        <f>INDEX(Organizations[],MATCH(Main3WData[[#This Row],[Acronym]],AcronymList,0),3)</f>
        <v>UN Agency</v>
      </c>
      <c r="E105" s="54" t="s">
        <v>355</v>
      </c>
      <c r="F105" s="53" t="s">
        <v>82</v>
      </c>
      <c r="G105" s="54" t="s">
        <v>376</v>
      </c>
      <c r="H105" s="28" t="str">
        <f>VLOOKUP(Main3WData[[#This Row],[Admin Unit Name]],AdminUnits[],2,FALSE)</f>
        <v>GIN002001</v>
      </c>
      <c r="I105" s="57">
        <v>0</v>
      </c>
      <c r="J105" s="67" t="str">
        <f>Main3WData[[#This Row],[Acronym]]&amp;Main3WData[[#This Row],[Sector]]&amp;Main3WData[[#This Row],[Activity Type]]&amp;Main3WData[[#This Row],[Pcode]]</f>
        <v>WFPSoutien nutritionnel et socialOngoingGIN002001</v>
      </c>
      <c r="K105" s="69">
        <f>COUNTIF(Main3WData[Concatenate],Main3WData[[#This Row],[Concatenate]])</f>
        <v>1</v>
      </c>
      <c r="L105" s="61" t="str">
        <f>Main3WData[[#This Row],[Sector]]&amp;Main3WData[[#This Row],[Pcode]]</f>
        <v>Soutien nutritionnel et socialGIN002001</v>
      </c>
      <c r="M105" s="71">
        <f>COUNTIF($L$5:L105,Main3WData[[#This Row],[PT.Concat]])</f>
        <v>1</v>
      </c>
      <c r="N105" s="70">
        <f>MATCH(Main3WData[[#This Row],[PT.Concat]],$L$5:L105,0)</f>
        <v>101</v>
      </c>
      <c r="O105" s="62" t="b">
        <f>Main3WData[[#This Row],[Count PT.Concat]]=1</f>
        <v>1</v>
      </c>
      <c r="P105" s="62">
        <f t="array" ref="P105">MAX(($N$4:N104=Main3WData[[#This Row],[PT.ID]])*ROW($N$4:N104))</f>
        <v>0</v>
      </c>
      <c r="Q105" s="62" t="str">
        <f>IF(Main3WData[[#This Row],[PT.FirstID]],Main3WData[[#This Row],[Acronym]],INDEX($Q$4:Q104,Main3WData[[#This Row],[PT.LastID.Row]]-ROW($Q$4)+1) &amp; ", "&amp;Main3WData[[#This Row],[Acronym]])</f>
        <v>WFP</v>
      </c>
      <c r="R105" s="62" t="b">
        <f t="array" ref="R105">MAX(IF(Main3WData[PT.ID]=Main3WData[[#This Row],[PT.ID]],Main3WData[PT.LastID.Row]))=Main3WData[[#This Row],[PT.LastID.Row]]</f>
        <v>0</v>
      </c>
    </row>
    <row r="106" spans="2:18" s="1" customFormat="1" ht="16.5" customHeight="1" x14ac:dyDescent="0.2">
      <c r="B106" s="55" t="s">
        <v>504</v>
      </c>
      <c r="C106" s="27" t="str">
        <f>INDEX(Organizations[],MATCH(Main3WData[[#This Row],[Acronym]],AcronymList,0),1)</f>
        <v>DSVC</v>
      </c>
      <c r="D106" s="27" t="str">
        <f>INDEX(Organizations[],MATCH(Main3WData[[#This Row],[Acronym]],AcronymList,0),3)</f>
        <v>International NGO</v>
      </c>
      <c r="E106" s="54" t="s">
        <v>355</v>
      </c>
      <c r="F106" s="53" t="s">
        <v>82</v>
      </c>
      <c r="G106" s="54" t="s">
        <v>376</v>
      </c>
      <c r="H106" s="28" t="str">
        <f>VLOOKUP(Main3WData[[#This Row],[Admin Unit Name]],AdminUnits[],2,FALSE)</f>
        <v>GIN002001</v>
      </c>
      <c r="I106" s="57">
        <v>0</v>
      </c>
      <c r="J106" s="67" t="str">
        <f>Main3WData[[#This Row],[Acronym]]&amp;Main3WData[[#This Row],[Sector]]&amp;Main3WData[[#This Row],[Activity Type]]&amp;Main3WData[[#This Row],[Pcode]]</f>
        <v>DSVCSoutien nutritionnel et socialOngoingGIN002001</v>
      </c>
      <c r="K106" s="69">
        <f>COUNTIF(Main3WData[Concatenate],Main3WData[[#This Row],[Concatenate]])</f>
        <v>1</v>
      </c>
      <c r="L106" s="61" t="str">
        <f>Main3WData[[#This Row],[Sector]]&amp;Main3WData[[#This Row],[Pcode]]</f>
        <v>Soutien nutritionnel et socialGIN002001</v>
      </c>
      <c r="M106" s="71">
        <f>COUNTIF($L$5:L106,Main3WData[[#This Row],[PT.Concat]])</f>
        <v>2</v>
      </c>
      <c r="N106" s="70">
        <f>MATCH(Main3WData[[#This Row],[PT.Concat]],$L$5:L106,0)</f>
        <v>101</v>
      </c>
      <c r="O106" s="62" t="b">
        <f>Main3WData[[#This Row],[Count PT.Concat]]=1</f>
        <v>0</v>
      </c>
      <c r="P106" s="62">
        <f t="array" ref="P106">MAX(($N$4:N105=Main3WData[[#This Row],[PT.ID]])*ROW($N$4:N105))</f>
        <v>105</v>
      </c>
      <c r="Q106" s="62" t="str">
        <f>IF(Main3WData[[#This Row],[PT.FirstID]],Main3WData[[#This Row],[Acronym]],INDEX($Q$4:Q105,Main3WData[[#This Row],[PT.LastID.Row]]-ROW($Q$4)+1) &amp; ", "&amp;Main3WData[[#This Row],[Acronym]])</f>
        <v>WFP, DSVC</v>
      </c>
      <c r="R106" s="62" t="b">
        <f t="array" ref="R106">MAX(IF(Main3WData[PT.ID]=Main3WData[[#This Row],[PT.ID]],Main3WData[PT.LastID.Row]))=Main3WData[[#This Row],[PT.LastID.Row]]</f>
        <v>1</v>
      </c>
    </row>
    <row r="107" spans="2:18" s="1" customFormat="1" ht="16.5" customHeight="1" x14ac:dyDescent="0.2">
      <c r="B107" s="55" t="s">
        <v>517</v>
      </c>
      <c r="C107" s="27" t="str">
        <f>INDEX(Organizations[],MATCH(Main3WData[[#This Row],[Acronym]],AcronymList,0),1)</f>
        <v>USAID/JHPIEGO</v>
      </c>
      <c r="D107" s="27" t="str">
        <f>INDEX(Organizations[],MATCH(Main3WData[[#This Row],[Acronym]],AcronymList,0),3)</f>
        <v>International Organization</v>
      </c>
      <c r="E107" s="54" t="s">
        <v>351</v>
      </c>
      <c r="F107" s="53" t="s">
        <v>82</v>
      </c>
      <c r="G107" s="54" t="s">
        <v>376</v>
      </c>
      <c r="H107" s="28" t="str">
        <f>VLOOKUP(Main3WData[[#This Row],[Admin Unit Name]],AdminUnits[],2,FALSE)</f>
        <v>GIN002001</v>
      </c>
      <c r="I107" s="57">
        <v>0</v>
      </c>
      <c r="J107" s="67" t="str">
        <f>Main3WData[[#This Row],[Acronym]]&amp;Main3WData[[#This Row],[Sector]]&amp;Main3WData[[#This Row],[Activity Type]]&amp;Main3WData[[#This Row],[Pcode]]</f>
        <v>USAID/JHPIEGOSurveillance &amp; suiviOngoingGIN002001</v>
      </c>
      <c r="K107" s="69">
        <f>COUNTIF(Main3WData[Concatenate],Main3WData[[#This Row],[Concatenate]])</f>
        <v>1</v>
      </c>
      <c r="L107" s="61" t="str">
        <f>Main3WData[[#This Row],[Sector]]&amp;Main3WData[[#This Row],[Pcode]]</f>
        <v>Surveillance &amp; suiviGIN002001</v>
      </c>
      <c r="M107" s="71">
        <f>COUNTIF($L$5:L107,Main3WData[[#This Row],[PT.Concat]])</f>
        <v>1</v>
      </c>
      <c r="N107" s="70">
        <f>MATCH(Main3WData[[#This Row],[PT.Concat]],$L$5:L107,0)</f>
        <v>103</v>
      </c>
      <c r="O107" s="62" t="b">
        <f>Main3WData[[#This Row],[Count PT.Concat]]=1</f>
        <v>1</v>
      </c>
      <c r="P107" s="62">
        <f t="array" ref="P107">MAX(($N$4:N106=Main3WData[[#This Row],[PT.ID]])*ROW($N$4:N106))</f>
        <v>0</v>
      </c>
      <c r="Q107" s="62" t="str">
        <f>IF(Main3WData[[#This Row],[PT.FirstID]],Main3WData[[#This Row],[Acronym]],INDEX($Q$4:Q106,Main3WData[[#This Row],[PT.LastID.Row]]-ROW($Q$4)+1) &amp; ", "&amp;Main3WData[[#This Row],[Acronym]])</f>
        <v>USAID/JHPIEGO</v>
      </c>
      <c r="R107" s="62" t="b">
        <f t="array" ref="R107">MAX(IF(Main3WData[PT.ID]=Main3WData[[#This Row],[PT.ID]],Main3WData[PT.LastID.Row]))=Main3WData[[#This Row],[PT.LastID.Row]]</f>
        <v>0</v>
      </c>
    </row>
    <row r="108" spans="2:18" s="1" customFormat="1" ht="16.5" customHeight="1" x14ac:dyDescent="0.2">
      <c r="B108" s="55" t="s">
        <v>75</v>
      </c>
      <c r="C108" s="27" t="str">
        <f>INDEX(Organizations[],MATCH(Main3WData[[#This Row],[Acronym]],AcronymList,0),1)</f>
        <v>United Nations Population Fund</v>
      </c>
      <c r="D108" s="27" t="str">
        <f>INDEX(Organizations[],MATCH(Main3WData[[#This Row],[Acronym]],AcronymList,0),3)</f>
        <v>UN Agency</v>
      </c>
      <c r="E108" s="54" t="s">
        <v>351</v>
      </c>
      <c r="F108" s="53" t="s">
        <v>82</v>
      </c>
      <c r="G108" s="54" t="s">
        <v>376</v>
      </c>
      <c r="H108" s="28" t="str">
        <f>VLOOKUP(Main3WData[[#This Row],[Admin Unit Name]],AdminUnits[],2,FALSE)</f>
        <v>GIN002001</v>
      </c>
      <c r="I108" s="57">
        <v>0</v>
      </c>
      <c r="J108" s="67" t="str">
        <f>Main3WData[[#This Row],[Acronym]]&amp;Main3WData[[#This Row],[Sector]]&amp;Main3WData[[#This Row],[Activity Type]]&amp;Main3WData[[#This Row],[Pcode]]</f>
        <v>UNFPASurveillance &amp; suiviOngoingGIN002001</v>
      </c>
      <c r="K108" s="69">
        <f>COUNTIF(Main3WData[Concatenate],Main3WData[[#This Row],[Concatenate]])</f>
        <v>1</v>
      </c>
      <c r="L108" s="61" t="str">
        <f>Main3WData[[#This Row],[Sector]]&amp;Main3WData[[#This Row],[Pcode]]</f>
        <v>Surveillance &amp; suiviGIN002001</v>
      </c>
      <c r="M108" s="71">
        <f>COUNTIF($L$5:L108,Main3WData[[#This Row],[PT.Concat]])</f>
        <v>2</v>
      </c>
      <c r="N108" s="70">
        <f>MATCH(Main3WData[[#This Row],[PT.Concat]],$L$5:L108,0)</f>
        <v>103</v>
      </c>
      <c r="O108" s="62" t="b">
        <f>Main3WData[[#This Row],[Count PT.Concat]]=1</f>
        <v>0</v>
      </c>
      <c r="P108" s="62">
        <f t="array" ref="P108">MAX(($N$4:N107=Main3WData[[#This Row],[PT.ID]])*ROW($N$4:N107))</f>
        <v>107</v>
      </c>
      <c r="Q108" s="62" t="str">
        <f>IF(Main3WData[[#This Row],[PT.FirstID]],Main3WData[[#This Row],[Acronym]],INDEX($Q$4:Q107,Main3WData[[#This Row],[PT.LastID.Row]]-ROW($Q$4)+1) &amp; ", "&amp;Main3WData[[#This Row],[Acronym]])</f>
        <v>USAID/JHPIEGO, UNFPA</v>
      </c>
      <c r="R108" s="62" t="b">
        <f t="array" ref="R108">MAX(IF(Main3WData[PT.ID]=Main3WData[[#This Row],[PT.ID]],Main3WData[PT.LastID.Row]))=Main3WData[[#This Row],[PT.LastID.Row]]</f>
        <v>0</v>
      </c>
    </row>
    <row r="109" spans="2:18" s="1" customFormat="1" ht="16.5" customHeight="1" x14ac:dyDescent="0.2">
      <c r="B109" s="55" t="s">
        <v>524</v>
      </c>
      <c r="C109" s="27" t="str">
        <f>INDEX(Organizations[],MATCH(Main3WData[[#This Row],[Acronym]],AcronymList,0),1)</f>
        <v>Save the Children</v>
      </c>
      <c r="D109" s="27" t="str">
        <f>INDEX(Organizations[],MATCH(Main3WData[[#This Row],[Acronym]],AcronymList,0),3)</f>
        <v>International NGO</v>
      </c>
      <c r="E109" s="54" t="s">
        <v>351</v>
      </c>
      <c r="F109" s="53" t="s">
        <v>82</v>
      </c>
      <c r="G109" s="54" t="s">
        <v>376</v>
      </c>
      <c r="H109" s="28" t="str">
        <f>VLOOKUP(Main3WData[[#This Row],[Admin Unit Name]],AdminUnits[],2,FALSE)</f>
        <v>GIN002001</v>
      </c>
      <c r="I109" s="57">
        <v>0</v>
      </c>
      <c r="J109" s="67" t="str">
        <f>Main3WData[[#This Row],[Acronym]]&amp;Main3WData[[#This Row],[Sector]]&amp;Main3WData[[#This Row],[Activity Type]]&amp;Main3WData[[#This Row],[Pcode]]</f>
        <v>save the ChildrenSurveillance &amp; suiviOngoingGIN002001</v>
      </c>
      <c r="K109" s="69">
        <f>COUNTIF(Main3WData[Concatenate],Main3WData[[#This Row],[Concatenate]])</f>
        <v>1</v>
      </c>
      <c r="L109" s="61" t="str">
        <f>Main3WData[[#This Row],[Sector]]&amp;Main3WData[[#This Row],[Pcode]]</f>
        <v>Surveillance &amp; suiviGIN002001</v>
      </c>
      <c r="M109" s="71">
        <f>COUNTIF($L$5:L109,Main3WData[[#This Row],[PT.Concat]])</f>
        <v>3</v>
      </c>
      <c r="N109" s="70">
        <f>MATCH(Main3WData[[#This Row],[PT.Concat]],$L$5:L109,0)</f>
        <v>103</v>
      </c>
      <c r="O109" s="62" t="b">
        <f>Main3WData[[#This Row],[Count PT.Concat]]=1</f>
        <v>0</v>
      </c>
      <c r="P109" s="62">
        <f t="array" ref="P109">MAX(($N$4:N108=Main3WData[[#This Row],[PT.ID]])*ROW($N$4:N108))</f>
        <v>108</v>
      </c>
      <c r="Q109" s="62" t="str">
        <f>IF(Main3WData[[#This Row],[PT.FirstID]],Main3WData[[#This Row],[Acronym]],INDEX($Q$4:Q108,Main3WData[[#This Row],[PT.LastID.Row]]-ROW($Q$4)+1) &amp; ", "&amp;Main3WData[[#This Row],[Acronym]])</f>
        <v>USAID/JHPIEGO, UNFPA, save the Children</v>
      </c>
      <c r="R109" s="62" t="b">
        <f t="array" ref="R109">MAX(IF(Main3WData[PT.ID]=Main3WData[[#This Row],[PT.ID]],Main3WData[PT.LastID.Row]))=Main3WData[[#This Row],[PT.LastID.Row]]</f>
        <v>0</v>
      </c>
    </row>
    <row r="110" spans="2:18" s="1" customFormat="1" ht="16.5" customHeight="1" x14ac:dyDescent="0.2">
      <c r="B110" s="55" t="s">
        <v>512</v>
      </c>
      <c r="C110" s="27" t="str">
        <f>INDEX(Organizations[],MATCH(Main3WData[[#This Row],[Acronym]],AcronymList,0),1)</f>
        <v>World Health Organization</v>
      </c>
      <c r="D110" s="27" t="str">
        <f>INDEX(Organizations[],MATCH(Main3WData[[#This Row],[Acronym]],AcronymList,0),3)</f>
        <v>UN Agency</v>
      </c>
      <c r="E110" s="54" t="s">
        <v>351</v>
      </c>
      <c r="F110" s="53" t="s">
        <v>82</v>
      </c>
      <c r="G110" s="54" t="s">
        <v>376</v>
      </c>
      <c r="H110" s="28" t="str">
        <f>VLOOKUP(Main3WData[[#This Row],[Admin Unit Name]],AdminUnits[],2,FALSE)</f>
        <v>GIN002001</v>
      </c>
      <c r="I110" s="57">
        <v>0</v>
      </c>
      <c r="J110" s="67" t="str">
        <f>Main3WData[[#This Row],[Acronym]]&amp;Main3WData[[#This Row],[Sector]]&amp;Main3WData[[#This Row],[Activity Type]]&amp;Main3WData[[#This Row],[Pcode]]</f>
        <v>OMSSurveillance &amp; suiviOngoingGIN002001</v>
      </c>
      <c r="K110" s="69">
        <f>COUNTIF(Main3WData[Concatenate],Main3WData[[#This Row],[Concatenate]])</f>
        <v>1</v>
      </c>
      <c r="L110" s="61" t="str">
        <f>Main3WData[[#This Row],[Sector]]&amp;Main3WData[[#This Row],[Pcode]]</f>
        <v>Surveillance &amp; suiviGIN002001</v>
      </c>
      <c r="M110" s="71">
        <f>COUNTIF($L$5:L110,Main3WData[[#This Row],[PT.Concat]])</f>
        <v>4</v>
      </c>
      <c r="N110" s="70">
        <f>MATCH(Main3WData[[#This Row],[PT.Concat]],$L$5:L110,0)</f>
        <v>103</v>
      </c>
      <c r="O110" s="62" t="b">
        <f>Main3WData[[#This Row],[Count PT.Concat]]=1</f>
        <v>0</v>
      </c>
      <c r="P110" s="62">
        <f t="array" ref="P110">MAX(($N$4:N109=Main3WData[[#This Row],[PT.ID]])*ROW($N$4:N109))</f>
        <v>109</v>
      </c>
      <c r="Q110" s="62" t="str">
        <f>IF(Main3WData[[#This Row],[PT.FirstID]],Main3WData[[#This Row],[Acronym]],INDEX($Q$4:Q109,Main3WData[[#This Row],[PT.LastID.Row]]-ROW($Q$4)+1) &amp; ", "&amp;Main3WData[[#This Row],[Acronym]])</f>
        <v>USAID/JHPIEGO, UNFPA, save the Children, OMS</v>
      </c>
      <c r="R110" s="62" t="b">
        <f t="array" ref="R110">MAX(IF(Main3WData[PT.ID]=Main3WData[[#This Row],[PT.ID]],Main3WData[PT.LastID.Row]))=Main3WData[[#This Row],[PT.LastID.Row]]</f>
        <v>0</v>
      </c>
    </row>
    <row r="111" spans="2:18" s="1" customFormat="1" ht="16.5" customHeight="1" x14ac:dyDescent="0.2">
      <c r="B111" s="55" t="s">
        <v>496</v>
      </c>
      <c r="C111" s="27" t="str">
        <f>INDEX(Organizations[],MATCH(Main3WData[[#This Row],[Acronym]],AcronymList,0),1)</f>
        <v>Columbia University</v>
      </c>
      <c r="D111" s="27" t="str">
        <f>INDEX(Organizations[],MATCH(Main3WData[[#This Row],[Acronym]],AcronymList,0),3)</f>
        <v>Education</v>
      </c>
      <c r="E111" s="54" t="s">
        <v>351</v>
      </c>
      <c r="F111" s="53" t="s">
        <v>82</v>
      </c>
      <c r="G111" s="54" t="s">
        <v>376</v>
      </c>
      <c r="H111" s="28" t="str">
        <f>VLOOKUP(Main3WData[[#This Row],[Admin Unit Name]],AdminUnits[],2,FALSE)</f>
        <v>GIN002001</v>
      </c>
      <c r="I111" s="57">
        <v>0</v>
      </c>
      <c r="J111" s="67" t="str">
        <f>Main3WData[[#This Row],[Acronym]]&amp;Main3WData[[#This Row],[Sector]]&amp;Main3WData[[#This Row],[Activity Type]]&amp;Main3WData[[#This Row],[Pcode]]</f>
        <v>Columbia UnivSurveillance &amp; suiviOngoingGIN002001</v>
      </c>
      <c r="K111" s="69">
        <f>COUNTIF(Main3WData[Concatenate],Main3WData[[#This Row],[Concatenate]])</f>
        <v>1</v>
      </c>
      <c r="L111" s="61" t="str">
        <f>Main3WData[[#This Row],[Sector]]&amp;Main3WData[[#This Row],[Pcode]]</f>
        <v>Surveillance &amp; suiviGIN002001</v>
      </c>
      <c r="M111" s="71">
        <f>COUNTIF($L$5:L111,Main3WData[[#This Row],[PT.Concat]])</f>
        <v>5</v>
      </c>
      <c r="N111" s="70">
        <f>MATCH(Main3WData[[#This Row],[PT.Concat]],$L$5:L111,0)</f>
        <v>103</v>
      </c>
      <c r="O111" s="62" t="b">
        <f>Main3WData[[#This Row],[Count PT.Concat]]=1</f>
        <v>0</v>
      </c>
      <c r="P111" s="62">
        <f t="array" ref="P111">MAX(($N$4:N110=Main3WData[[#This Row],[PT.ID]])*ROW($N$4:N110))</f>
        <v>110</v>
      </c>
      <c r="Q111" s="62" t="str">
        <f>IF(Main3WData[[#This Row],[PT.FirstID]],Main3WData[[#This Row],[Acronym]],INDEX($Q$4:Q110,Main3WData[[#This Row],[PT.LastID.Row]]-ROW($Q$4)+1) &amp; ", "&amp;Main3WData[[#This Row],[Acronym]])</f>
        <v>USAID/JHPIEGO, UNFPA, save the Children, OMS, Columbia Univ</v>
      </c>
      <c r="R111" s="62" t="b">
        <f t="array" ref="R111">MAX(IF(Main3WData[PT.ID]=Main3WData[[#This Row],[PT.ID]],Main3WData[PT.LastID.Row]))=Main3WData[[#This Row],[PT.LastID.Row]]</f>
        <v>0</v>
      </c>
    </row>
    <row r="112" spans="2:18" s="1" customFormat="1" ht="16.5" customHeight="1" x14ac:dyDescent="0.2">
      <c r="B112" s="55" t="s">
        <v>64</v>
      </c>
      <c r="C112" s="27" t="str">
        <f>INDEX(Organizations[],MATCH(Main3WData[[#This Row],[Acronym]],AcronymList,0),1)</f>
        <v>CDC</v>
      </c>
      <c r="D112" s="27" t="str">
        <f>INDEX(Organizations[],MATCH(Main3WData[[#This Row],[Acronym]],AcronymList,0),3)</f>
        <v>International NGO</v>
      </c>
      <c r="E112" s="54" t="s">
        <v>351</v>
      </c>
      <c r="F112" s="53" t="s">
        <v>82</v>
      </c>
      <c r="G112" s="54" t="s">
        <v>376</v>
      </c>
      <c r="H112" s="28" t="str">
        <f>VLOOKUP(Main3WData[[#This Row],[Admin Unit Name]],AdminUnits[],2,FALSE)</f>
        <v>GIN002001</v>
      </c>
      <c r="I112" s="57">
        <v>0</v>
      </c>
      <c r="J112" s="67" t="str">
        <f>Main3WData[[#This Row],[Acronym]]&amp;Main3WData[[#This Row],[Sector]]&amp;Main3WData[[#This Row],[Activity Type]]&amp;Main3WData[[#This Row],[Pcode]]</f>
        <v>CDCSurveillance &amp; suiviOngoingGIN002001</v>
      </c>
      <c r="K112" s="69">
        <f>COUNTIF(Main3WData[Concatenate],Main3WData[[#This Row],[Concatenate]])</f>
        <v>1</v>
      </c>
      <c r="L112" s="61" t="str">
        <f>Main3WData[[#This Row],[Sector]]&amp;Main3WData[[#This Row],[Pcode]]</f>
        <v>Surveillance &amp; suiviGIN002001</v>
      </c>
      <c r="M112" s="71">
        <f>COUNTIF($L$5:L112,Main3WData[[#This Row],[PT.Concat]])</f>
        <v>6</v>
      </c>
      <c r="N112" s="70">
        <f>MATCH(Main3WData[[#This Row],[PT.Concat]],$L$5:L112,0)</f>
        <v>103</v>
      </c>
      <c r="O112" s="62" t="b">
        <f>Main3WData[[#This Row],[Count PT.Concat]]=1</f>
        <v>0</v>
      </c>
      <c r="P112" s="62">
        <f t="array" ref="P112">MAX(($N$4:N111=Main3WData[[#This Row],[PT.ID]])*ROW($N$4:N111))</f>
        <v>111</v>
      </c>
      <c r="Q112" s="62" t="str">
        <f>IF(Main3WData[[#This Row],[PT.FirstID]],Main3WData[[#This Row],[Acronym]],INDEX($Q$4:Q111,Main3WData[[#This Row],[PT.LastID.Row]]-ROW($Q$4)+1) &amp; ", "&amp;Main3WData[[#This Row],[Acronym]])</f>
        <v>USAID/JHPIEGO, UNFPA, save the Children, OMS, Columbia Univ, CDC</v>
      </c>
      <c r="R112" s="62" t="b">
        <f t="array" ref="R112">MAX(IF(Main3WData[PT.ID]=Main3WData[[#This Row],[PT.ID]],Main3WData[PT.LastID.Row]))=Main3WData[[#This Row],[PT.LastID.Row]]</f>
        <v>0</v>
      </c>
    </row>
    <row r="113" spans="2:18" s="1" customFormat="1" ht="16.5" customHeight="1" x14ac:dyDescent="0.2">
      <c r="B113" s="55" t="s">
        <v>437</v>
      </c>
      <c r="C113" s="27" t="str">
        <f>INDEX(Organizations[],MATCH(Main3WData[[#This Row],[Acronym]],AcronymList,0),1)</f>
        <v>Action Contre la Faim Espagne</v>
      </c>
      <c r="D113" s="27" t="str">
        <f>INDEX(Organizations[],MATCH(Main3WData[[#This Row],[Acronym]],AcronymList,0),3)</f>
        <v>International NGO</v>
      </c>
      <c r="E113" s="54" t="s">
        <v>351</v>
      </c>
      <c r="F113" s="53" t="s">
        <v>82</v>
      </c>
      <c r="G113" s="54" t="s">
        <v>376</v>
      </c>
      <c r="H113" s="28" t="str">
        <f>VLOOKUP(Main3WData[[#This Row],[Admin Unit Name]],AdminUnits[],2,FALSE)</f>
        <v>GIN002001</v>
      </c>
      <c r="I113" s="57">
        <v>0</v>
      </c>
      <c r="J113" s="67" t="str">
        <f>Main3WData[[#This Row],[Acronym]]&amp;Main3WData[[#This Row],[Sector]]&amp;Main3WData[[#This Row],[Activity Type]]&amp;Main3WData[[#This Row],[Pcode]]</f>
        <v>ACF-ESurveillance &amp; suiviOngoingGIN002001</v>
      </c>
      <c r="K113" s="69">
        <f>COUNTIF(Main3WData[Concatenate],Main3WData[[#This Row],[Concatenate]])</f>
        <v>1</v>
      </c>
      <c r="L113" s="61" t="str">
        <f>Main3WData[[#This Row],[Sector]]&amp;Main3WData[[#This Row],[Pcode]]</f>
        <v>Surveillance &amp; suiviGIN002001</v>
      </c>
      <c r="M113" s="71">
        <f>COUNTIF($L$5:L113,Main3WData[[#This Row],[PT.Concat]])</f>
        <v>7</v>
      </c>
      <c r="N113" s="70">
        <f>MATCH(Main3WData[[#This Row],[PT.Concat]],$L$5:L113,0)</f>
        <v>103</v>
      </c>
      <c r="O113" s="62" t="b">
        <f>Main3WData[[#This Row],[Count PT.Concat]]=1</f>
        <v>0</v>
      </c>
      <c r="P113" s="62">
        <f t="array" ref="P113">MAX(($N$4:N112=Main3WData[[#This Row],[PT.ID]])*ROW($N$4:N112))</f>
        <v>112</v>
      </c>
      <c r="Q113" s="62" t="str">
        <f>IF(Main3WData[[#This Row],[PT.FirstID]],Main3WData[[#This Row],[Acronym]],INDEX($Q$4:Q112,Main3WData[[#This Row],[PT.LastID.Row]]-ROW($Q$4)+1) &amp; ", "&amp;Main3WData[[#This Row],[Acronym]])</f>
        <v>USAID/JHPIEGO, UNFPA, save the Children, OMS, Columbia Univ, CDC, ACF-E</v>
      </c>
      <c r="R113" s="62" t="b">
        <f t="array" ref="R113">MAX(IF(Main3WData[PT.ID]=Main3WData[[#This Row],[PT.ID]],Main3WData[PT.LastID.Row]))=Main3WData[[#This Row],[PT.LastID.Row]]</f>
        <v>1</v>
      </c>
    </row>
    <row r="114" spans="2:18" s="1" customFormat="1" ht="16.5" customHeight="1" x14ac:dyDescent="0.2">
      <c r="B114" s="55" t="s">
        <v>71</v>
      </c>
      <c r="C114" s="27" t="str">
        <f>INDEX(Organizations[],MATCH(Main3WData[[#This Row],[Acronym]],AcronymList,0),1)</f>
        <v>Medecins sans Frontieres</v>
      </c>
      <c r="D114" s="27" t="str">
        <f>INDEX(Organizations[],MATCH(Main3WData[[#This Row],[Acronym]],AcronymList,0),3)</f>
        <v>International NGO</v>
      </c>
      <c r="E114" s="54" t="s">
        <v>352</v>
      </c>
      <c r="F114" s="53" t="s">
        <v>82</v>
      </c>
      <c r="G114" s="54" t="s">
        <v>376</v>
      </c>
      <c r="H114" s="28" t="str">
        <f>VLOOKUP(Main3WData[[#This Row],[Admin Unit Name]],AdminUnits[],2,FALSE)</f>
        <v>GIN002001</v>
      </c>
      <c r="I114" s="57">
        <v>0</v>
      </c>
      <c r="J114" s="67" t="str">
        <f>Main3WData[[#This Row],[Acronym]]&amp;Main3WData[[#This Row],[Sector]]&amp;Main3WData[[#This Row],[Activity Type]]&amp;Main3WData[[#This Row],[Pcode]]</f>
        <v>MSFTransport &amp; diagnostiquesOngoingGIN002001</v>
      </c>
      <c r="K114" s="69">
        <f>COUNTIF(Main3WData[Concatenate],Main3WData[[#This Row],[Concatenate]])</f>
        <v>1</v>
      </c>
      <c r="L114" s="61" t="str">
        <f>Main3WData[[#This Row],[Sector]]&amp;Main3WData[[#This Row],[Pcode]]</f>
        <v>Transport &amp; diagnostiquesGIN002001</v>
      </c>
      <c r="M114" s="71">
        <f>COUNTIF($L$5:L114,Main3WData[[#This Row],[PT.Concat]])</f>
        <v>1</v>
      </c>
      <c r="N114" s="70">
        <f>MATCH(Main3WData[[#This Row],[PT.Concat]],$L$5:L114,0)</f>
        <v>110</v>
      </c>
      <c r="O114" s="62" t="b">
        <f>Main3WData[[#This Row],[Count PT.Concat]]=1</f>
        <v>1</v>
      </c>
      <c r="P114" s="62">
        <f t="array" ref="P114">MAX(($N$4:N113=Main3WData[[#This Row],[PT.ID]])*ROW($N$4:N113))</f>
        <v>0</v>
      </c>
      <c r="Q114" s="62" t="str">
        <f>IF(Main3WData[[#This Row],[PT.FirstID]],Main3WData[[#This Row],[Acronym]],INDEX($Q$4:Q113,Main3WData[[#This Row],[PT.LastID.Row]]-ROW($Q$4)+1) &amp; ", "&amp;Main3WData[[#This Row],[Acronym]])</f>
        <v>MSF</v>
      </c>
      <c r="R114" s="62" t="b">
        <f t="array" ref="R114">MAX(IF(Main3WData[PT.ID]=Main3WData[[#This Row],[PT.ID]],Main3WData[PT.LastID.Row]))=Main3WData[[#This Row],[PT.LastID.Row]]</f>
        <v>0</v>
      </c>
    </row>
    <row r="115" spans="2:18" s="1" customFormat="1" ht="16.5" customHeight="1" x14ac:dyDescent="0.2">
      <c r="B115" s="55" t="s">
        <v>459</v>
      </c>
      <c r="C115" s="27" t="str">
        <f>INDEX(Organizations[],MATCH(Main3WData[[#This Row],[Acronym]],AcronymList,0),1)</f>
        <v>Intitut Pasteur  de Dakar</v>
      </c>
      <c r="D115" s="27" t="str">
        <f>INDEX(Organizations[],MATCH(Main3WData[[#This Row],[Acronym]],AcronymList,0),3)</f>
        <v>Laboratory</v>
      </c>
      <c r="E115" s="54" t="s">
        <v>352</v>
      </c>
      <c r="F115" s="53" t="s">
        <v>82</v>
      </c>
      <c r="G115" s="54" t="s">
        <v>376</v>
      </c>
      <c r="H115" s="28" t="str">
        <f>VLOOKUP(Main3WData[[#This Row],[Admin Unit Name]],AdminUnits[],2,FALSE)</f>
        <v>GIN002001</v>
      </c>
      <c r="I115" s="57">
        <v>0</v>
      </c>
      <c r="J115" s="67" t="str">
        <f>Main3WData[[#This Row],[Acronym]]&amp;Main3WData[[#This Row],[Sector]]&amp;Main3WData[[#This Row],[Activity Type]]&amp;Main3WData[[#This Row],[Pcode]]</f>
        <v>IP-DTransport &amp; diagnostiquesOngoingGIN002001</v>
      </c>
      <c r="K115" s="69">
        <f>COUNTIF(Main3WData[Concatenate],Main3WData[[#This Row],[Concatenate]])</f>
        <v>1</v>
      </c>
      <c r="L115" s="61" t="str">
        <f>Main3WData[[#This Row],[Sector]]&amp;Main3WData[[#This Row],[Pcode]]</f>
        <v>Transport &amp; diagnostiquesGIN002001</v>
      </c>
      <c r="M115" s="71">
        <f>COUNTIF($L$5:L115,Main3WData[[#This Row],[PT.Concat]])</f>
        <v>2</v>
      </c>
      <c r="N115" s="70">
        <f>MATCH(Main3WData[[#This Row],[PT.Concat]],$L$5:L115,0)</f>
        <v>110</v>
      </c>
      <c r="O115" s="62" t="b">
        <f>Main3WData[[#This Row],[Count PT.Concat]]=1</f>
        <v>0</v>
      </c>
      <c r="P115" s="62">
        <f t="array" ref="P115">MAX(($N$4:N114=Main3WData[[#This Row],[PT.ID]])*ROW($N$4:N114))</f>
        <v>114</v>
      </c>
      <c r="Q115" s="62" t="str">
        <f>IF(Main3WData[[#This Row],[PT.FirstID]],Main3WData[[#This Row],[Acronym]],INDEX($Q$4:Q114,Main3WData[[#This Row],[PT.LastID.Row]]-ROW($Q$4)+1) &amp; ", "&amp;Main3WData[[#This Row],[Acronym]])</f>
        <v>MSF, IP-D</v>
      </c>
      <c r="R115" s="62" t="b">
        <f t="array" ref="R115">MAX(IF(Main3WData[PT.ID]=Main3WData[[#This Row],[PT.ID]],Main3WData[PT.LastID.Row]))=Main3WData[[#This Row],[PT.LastID.Row]]</f>
        <v>0</v>
      </c>
    </row>
    <row r="116" spans="2:18" s="1" customFormat="1" ht="16.5" customHeight="1" x14ac:dyDescent="0.2">
      <c r="B116" s="55" t="s">
        <v>506</v>
      </c>
      <c r="C116" s="27" t="str">
        <f>INDEX(Organizations[],MATCH(Main3WData[[#This Row],[Acronym]],AcronymList,0),1)</f>
        <v>European Commission Humanitarian Aid and Civil Protection</v>
      </c>
      <c r="D116" s="27" t="str">
        <f>INDEX(Organizations[],MATCH(Main3WData[[#This Row],[Acronym]],AcronymList,0),3)</f>
        <v>International Organization</v>
      </c>
      <c r="E116" s="54" t="s">
        <v>352</v>
      </c>
      <c r="F116" s="53" t="s">
        <v>82</v>
      </c>
      <c r="G116" s="54" t="s">
        <v>376</v>
      </c>
      <c r="H116" s="28" t="str">
        <f>VLOOKUP(Main3WData[[#This Row],[Admin Unit Name]],AdminUnits[],2,FALSE)</f>
        <v>GIN002001</v>
      </c>
      <c r="I116" s="57">
        <v>0</v>
      </c>
      <c r="J116" s="67" t="str">
        <f>Main3WData[[#This Row],[Acronym]]&amp;Main3WData[[#This Row],[Sector]]&amp;Main3WData[[#This Row],[Activity Type]]&amp;Main3WData[[#This Row],[Pcode]]</f>
        <v>ECHOTransport &amp; diagnostiquesOngoingGIN002001</v>
      </c>
      <c r="K116" s="69">
        <f>COUNTIF(Main3WData[Concatenate],Main3WData[[#This Row],[Concatenate]])</f>
        <v>1</v>
      </c>
      <c r="L116" s="61" t="str">
        <f>Main3WData[[#This Row],[Sector]]&amp;Main3WData[[#This Row],[Pcode]]</f>
        <v>Transport &amp; diagnostiquesGIN002001</v>
      </c>
      <c r="M116" s="71">
        <f>COUNTIF($L$5:L116,Main3WData[[#This Row],[PT.Concat]])</f>
        <v>3</v>
      </c>
      <c r="N116" s="70">
        <f>MATCH(Main3WData[[#This Row],[PT.Concat]],$L$5:L116,0)</f>
        <v>110</v>
      </c>
      <c r="O116" s="62" t="b">
        <f>Main3WData[[#This Row],[Count PT.Concat]]=1</f>
        <v>0</v>
      </c>
      <c r="P116" s="62">
        <f t="array" ref="P116">MAX(($N$4:N115=Main3WData[[#This Row],[PT.ID]])*ROW($N$4:N115))</f>
        <v>115</v>
      </c>
      <c r="Q116" s="62" t="str">
        <f>IF(Main3WData[[#This Row],[PT.FirstID]],Main3WData[[#This Row],[Acronym]],INDEX($Q$4:Q115,Main3WData[[#This Row],[PT.LastID.Row]]-ROW($Q$4)+1) &amp; ", "&amp;Main3WData[[#This Row],[Acronym]])</f>
        <v>MSF, IP-D, ECHO</v>
      </c>
      <c r="R116" s="62" t="b">
        <f t="array" ref="R116">MAX(IF(Main3WData[PT.ID]=Main3WData[[#This Row],[PT.ID]],Main3WData[PT.LastID.Row]))=Main3WData[[#This Row],[PT.LastID.Row]]</f>
        <v>1</v>
      </c>
    </row>
    <row r="117" spans="2:18" s="1" customFormat="1" ht="16.5" customHeight="1" x14ac:dyDescent="0.2">
      <c r="B117" s="55" t="s">
        <v>77</v>
      </c>
      <c r="C117" s="27" t="str">
        <f>INDEX(Organizations[],MATCH(Main3WData[[#This Row],[Acronym]],AcronymList,0),1)</f>
        <v>United Nations Children's Fund</v>
      </c>
      <c r="D117" s="27" t="str">
        <f>INDEX(Organizations[],MATCH(Main3WData[[#This Row],[Acronym]],AcronymList,0),3)</f>
        <v>UN Agency</v>
      </c>
      <c r="E117" s="54" t="s">
        <v>350</v>
      </c>
      <c r="F117" s="53" t="s">
        <v>82</v>
      </c>
      <c r="G117" s="54" t="s">
        <v>396</v>
      </c>
      <c r="H117" s="28" t="str">
        <f>VLOOKUP(Main3WData[[#This Row],[Admin Unit Name]],AdminUnits[],2,FALSE)</f>
        <v>GIN005001</v>
      </c>
      <c r="I117" s="57">
        <v>0</v>
      </c>
      <c r="J117" s="67" t="str">
        <f>Main3WData[[#This Row],[Acronym]]&amp;Main3WData[[#This Row],[Sector]]&amp;Main3WData[[#This Row],[Activity Type]]&amp;Main3WData[[#This Row],[Pcode]]</f>
        <v>UNICEFCommunication/Mobilisation socialeOngoingGIN005001</v>
      </c>
      <c r="K117" s="69">
        <f>COUNTIF(Main3WData[Concatenate],Main3WData[[#This Row],[Concatenate]])</f>
        <v>1</v>
      </c>
      <c r="L117" s="61" t="str">
        <f>Main3WData[[#This Row],[Sector]]&amp;Main3WData[[#This Row],[Pcode]]</f>
        <v>Communication/Mobilisation socialeGIN005001</v>
      </c>
      <c r="M117" s="71">
        <f>COUNTIF($L$5:L117,Main3WData[[#This Row],[PT.Concat]])</f>
        <v>1</v>
      </c>
      <c r="N117" s="70">
        <f>MATCH(Main3WData[[#This Row],[PT.Concat]],$L$5:L117,0)</f>
        <v>113</v>
      </c>
      <c r="O117" s="62" t="b">
        <f>Main3WData[[#This Row],[Count PT.Concat]]=1</f>
        <v>1</v>
      </c>
      <c r="P117" s="62">
        <f t="array" ref="P117">MAX(($N$4:N116=Main3WData[[#This Row],[PT.ID]])*ROW($N$4:N116))</f>
        <v>0</v>
      </c>
      <c r="Q117" s="62" t="str">
        <f>IF(Main3WData[[#This Row],[PT.FirstID]],Main3WData[[#This Row],[Acronym]],INDEX($Q$4:Q116,Main3WData[[#This Row],[PT.LastID.Row]]-ROW($Q$4)+1) &amp; ", "&amp;Main3WData[[#This Row],[Acronym]])</f>
        <v>UNICEF</v>
      </c>
      <c r="R117" s="62" t="b">
        <f t="array" ref="R117">MAX(IF(Main3WData[PT.ID]=Main3WData[[#This Row],[PT.ID]],Main3WData[PT.LastID.Row]))=Main3WData[[#This Row],[PT.LastID.Row]]</f>
        <v>0</v>
      </c>
    </row>
    <row r="118" spans="2:18" s="1" customFormat="1" ht="16.5" customHeight="1" x14ac:dyDescent="0.2">
      <c r="B118" s="55" t="s">
        <v>75</v>
      </c>
      <c r="C118" s="27" t="str">
        <f>INDEX(Organizations[],MATCH(Main3WData[[#This Row],[Acronym]],AcronymList,0),1)</f>
        <v>United Nations Population Fund</v>
      </c>
      <c r="D118" s="27" t="str">
        <f>INDEX(Organizations[],MATCH(Main3WData[[#This Row],[Acronym]],AcronymList,0),3)</f>
        <v>UN Agency</v>
      </c>
      <c r="E118" s="54" t="s">
        <v>350</v>
      </c>
      <c r="F118" s="53" t="s">
        <v>82</v>
      </c>
      <c r="G118" s="54" t="s">
        <v>396</v>
      </c>
      <c r="H118" s="28" t="str">
        <f>VLOOKUP(Main3WData[[#This Row],[Admin Unit Name]],AdminUnits[],2,FALSE)</f>
        <v>GIN005001</v>
      </c>
      <c r="I118" s="57">
        <v>0</v>
      </c>
      <c r="J118" s="67" t="str">
        <f>Main3WData[[#This Row],[Acronym]]&amp;Main3WData[[#This Row],[Sector]]&amp;Main3WData[[#This Row],[Activity Type]]&amp;Main3WData[[#This Row],[Pcode]]</f>
        <v>UNFPACommunication/Mobilisation socialeOngoingGIN005001</v>
      </c>
      <c r="K118" s="69">
        <f>COUNTIF(Main3WData[Concatenate],Main3WData[[#This Row],[Concatenate]])</f>
        <v>1</v>
      </c>
      <c r="L118" s="61" t="str">
        <f>Main3WData[[#This Row],[Sector]]&amp;Main3WData[[#This Row],[Pcode]]</f>
        <v>Communication/Mobilisation socialeGIN005001</v>
      </c>
      <c r="M118" s="71">
        <f>COUNTIF($L$5:L118,Main3WData[[#This Row],[PT.Concat]])</f>
        <v>2</v>
      </c>
      <c r="N118" s="70">
        <f>MATCH(Main3WData[[#This Row],[PT.Concat]],$L$5:L118,0)</f>
        <v>113</v>
      </c>
      <c r="O118" s="62" t="b">
        <f>Main3WData[[#This Row],[Count PT.Concat]]=1</f>
        <v>0</v>
      </c>
      <c r="P118" s="62">
        <f t="array" ref="P118">MAX(($N$4:N117=Main3WData[[#This Row],[PT.ID]])*ROW($N$4:N117))</f>
        <v>117</v>
      </c>
      <c r="Q118" s="62" t="str">
        <f>IF(Main3WData[[#This Row],[PT.FirstID]],Main3WData[[#This Row],[Acronym]],INDEX($Q$4:Q117,Main3WData[[#This Row],[PT.LastID.Row]]-ROW($Q$4)+1) &amp; ", "&amp;Main3WData[[#This Row],[Acronym]])</f>
        <v>UNICEF, UNFPA</v>
      </c>
      <c r="R118" s="62" t="b">
        <f t="array" ref="R118">MAX(IF(Main3WData[PT.ID]=Main3WData[[#This Row],[PT.ID]],Main3WData[PT.LastID.Row]))=Main3WData[[#This Row],[PT.LastID.Row]]</f>
        <v>0</v>
      </c>
    </row>
    <row r="119" spans="2:18" s="1" customFormat="1" ht="16.5" customHeight="1" x14ac:dyDescent="0.2">
      <c r="B119" s="55" t="s">
        <v>473</v>
      </c>
      <c r="C119" s="27" t="str">
        <f>INDEX(Organizations[],MATCH(Main3WData[[#This Row],[Acronym]],AcronymList,0),1)</f>
        <v>United Nations Development Programme</v>
      </c>
      <c r="D119" s="27" t="str">
        <f>INDEX(Organizations[],MATCH(Main3WData[[#This Row],[Acronym]],AcronymList,0),3)</f>
        <v>UN Agency</v>
      </c>
      <c r="E119" s="54" t="s">
        <v>350</v>
      </c>
      <c r="F119" s="53" t="s">
        <v>82</v>
      </c>
      <c r="G119" s="54" t="s">
        <v>396</v>
      </c>
      <c r="H119" s="28" t="str">
        <f>VLOOKUP(Main3WData[[#This Row],[Admin Unit Name]],AdminUnits[],2,FALSE)</f>
        <v>GIN005001</v>
      </c>
      <c r="I119" s="57">
        <v>0</v>
      </c>
      <c r="J119" s="67" t="str">
        <f>Main3WData[[#This Row],[Acronym]]&amp;Main3WData[[#This Row],[Sector]]&amp;Main3WData[[#This Row],[Activity Type]]&amp;Main3WData[[#This Row],[Pcode]]</f>
        <v>UNDPCommunication/Mobilisation socialeOngoingGIN005001</v>
      </c>
      <c r="K119" s="69">
        <f>COUNTIF(Main3WData[Concatenate],Main3WData[[#This Row],[Concatenate]])</f>
        <v>1</v>
      </c>
      <c r="L119" s="61" t="str">
        <f>Main3WData[[#This Row],[Sector]]&amp;Main3WData[[#This Row],[Pcode]]</f>
        <v>Communication/Mobilisation socialeGIN005001</v>
      </c>
      <c r="M119" s="71">
        <f>COUNTIF($L$5:L119,Main3WData[[#This Row],[PT.Concat]])</f>
        <v>3</v>
      </c>
      <c r="N119" s="70">
        <f>MATCH(Main3WData[[#This Row],[PT.Concat]],$L$5:L119,0)</f>
        <v>113</v>
      </c>
      <c r="O119" s="62" t="b">
        <f>Main3WData[[#This Row],[Count PT.Concat]]=1</f>
        <v>0</v>
      </c>
      <c r="P119" s="62">
        <f t="array" ref="P119">MAX(($N$4:N118=Main3WData[[#This Row],[PT.ID]])*ROW($N$4:N118))</f>
        <v>118</v>
      </c>
      <c r="Q119" s="62" t="str">
        <f>IF(Main3WData[[#This Row],[PT.FirstID]],Main3WData[[#This Row],[Acronym]],INDEX($Q$4:Q118,Main3WData[[#This Row],[PT.LastID.Row]]-ROW($Q$4)+1) &amp; ", "&amp;Main3WData[[#This Row],[Acronym]])</f>
        <v>UNICEF, UNFPA, UNDP</v>
      </c>
      <c r="R119" s="62" t="b">
        <f t="array" ref="R119">MAX(IF(Main3WData[PT.ID]=Main3WData[[#This Row],[PT.ID]],Main3WData[PT.LastID.Row]))=Main3WData[[#This Row],[PT.LastID.Row]]</f>
        <v>0</v>
      </c>
    </row>
    <row r="120" spans="2:18" s="1" customFormat="1" ht="16.5" customHeight="1" x14ac:dyDescent="0.2">
      <c r="B120" s="55" t="s">
        <v>513</v>
      </c>
      <c r="C120" s="27" t="str">
        <f>INDEX(Organizations[],MATCH(Main3WData[[#This Row],[Acronym]],AcronymList,0),1)</f>
        <v>PLAN GUINEE</v>
      </c>
      <c r="D120" s="27" t="str">
        <f>INDEX(Organizations[],MATCH(Main3WData[[#This Row],[Acronym]],AcronymList,0),3)</f>
        <v>International Organization</v>
      </c>
      <c r="E120" s="54" t="s">
        <v>350</v>
      </c>
      <c r="F120" s="53" t="s">
        <v>82</v>
      </c>
      <c r="G120" s="54" t="s">
        <v>396</v>
      </c>
      <c r="H120" s="28" t="str">
        <f>VLOOKUP(Main3WData[[#This Row],[Admin Unit Name]],AdminUnits[],2,FALSE)</f>
        <v>GIN005001</v>
      </c>
      <c r="I120" s="57">
        <v>0</v>
      </c>
      <c r="J120" s="67" t="str">
        <f>Main3WData[[#This Row],[Acronym]]&amp;Main3WData[[#This Row],[Sector]]&amp;Main3WData[[#This Row],[Activity Type]]&amp;Main3WData[[#This Row],[Pcode]]</f>
        <v>PLAN GUINEECommunication/Mobilisation socialeOngoingGIN005001</v>
      </c>
      <c r="K120" s="69">
        <f>COUNTIF(Main3WData[Concatenate],Main3WData[[#This Row],[Concatenate]])</f>
        <v>1</v>
      </c>
      <c r="L120" s="61" t="str">
        <f>Main3WData[[#This Row],[Sector]]&amp;Main3WData[[#This Row],[Pcode]]</f>
        <v>Communication/Mobilisation socialeGIN005001</v>
      </c>
      <c r="M120" s="71">
        <f>COUNTIF($L$5:L120,Main3WData[[#This Row],[PT.Concat]])</f>
        <v>4</v>
      </c>
      <c r="N120" s="70">
        <f>MATCH(Main3WData[[#This Row],[PT.Concat]],$L$5:L120,0)</f>
        <v>113</v>
      </c>
      <c r="O120" s="62" t="b">
        <f>Main3WData[[#This Row],[Count PT.Concat]]=1</f>
        <v>0</v>
      </c>
      <c r="P120" s="62">
        <f t="array" ref="P120">MAX(($N$4:N119=Main3WData[[#This Row],[PT.ID]])*ROW($N$4:N119))</f>
        <v>119</v>
      </c>
      <c r="Q120" s="62" t="str">
        <f>IF(Main3WData[[#This Row],[PT.FirstID]],Main3WData[[#This Row],[Acronym]],INDEX($Q$4:Q119,Main3WData[[#This Row],[PT.LastID.Row]]-ROW($Q$4)+1) &amp; ", "&amp;Main3WData[[#This Row],[Acronym]])</f>
        <v>UNICEF, UNFPA, UNDP, PLAN GUINEE</v>
      </c>
      <c r="R120" s="62" t="b">
        <f t="array" ref="R120">MAX(IF(Main3WData[PT.ID]=Main3WData[[#This Row],[PT.ID]],Main3WData[PT.LastID.Row]))=Main3WData[[#This Row],[PT.LastID.Row]]</f>
        <v>0</v>
      </c>
    </row>
    <row r="121" spans="2:18" s="1" customFormat="1" ht="16.5" customHeight="1" x14ac:dyDescent="0.2">
      <c r="B121" s="55" t="s">
        <v>72</v>
      </c>
      <c r="C121" s="27" t="str">
        <f>INDEX(Organizations[],MATCH(Main3WData[[#This Row],[Acronym]],AcronymList,0),1)</f>
        <v>PLAN</v>
      </c>
      <c r="D121" s="27" t="str">
        <f>INDEX(Organizations[],MATCH(Main3WData[[#This Row],[Acronym]],AcronymList,0),3)</f>
        <v>International Organization</v>
      </c>
      <c r="E121" s="54" t="s">
        <v>350</v>
      </c>
      <c r="F121" s="53" t="s">
        <v>82</v>
      </c>
      <c r="G121" s="54" t="s">
        <v>396</v>
      </c>
      <c r="H121" s="28" t="str">
        <f>VLOOKUP(Main3WData[[#This Row],[Admin Unit Name]],AdminUnits[],2,FALSE)</f>
        <v>GIN005001</v>
      </c>
      <c r="I121" s="57">
        <v>0</v>
      </c>
      <c r="J121" s="67" t="str">
        <f>Main3WData[[#This Row],[Acronym]]&amp;Main3WData[[#This Row],[Sector]]&amp;Main3WData[[#This Row],[Activity Type]]&amp;Main3WData[[#This Row],[Pcode]]</f>
        <v>PLANCommunication/Mobilisation socialeOngoingGIN005001</v>
      </c>
      <c r="K121" s="69">
        <f>COUNTIF(Main3WData[Concatenate],Main3WData[[#This Row],[Concatenate]])</f>
        <v>1</v>
      </c>
      <c r="L121" s="61" t="str">
        <f>Main3WData[[#This Row],[Sector]]&amp;Main3WData[[#This Row],[Pcode]]</f>
        <v>Communication/Mobilisation socialeGIN005001</v>
      </c>
      <c r="M121" s="71">
        <f>COUNTIF($L$5:L121,Main3WData[[#This Row],[PT.Concat]])</f>
        <v>5</v>
      </c>
      <c r="N121" s="70">
        <f>MATCH(Main3WData[[#This Row],[PT.Concat]],$L$5:L121,0)</f>
        <v>113</v>
      </c>
      <c r="O121" s="62" t="b">
        <f>Main3WData[[#This Row],[Count PT.Concat]]=1</f>
        <v>0</v>
      </c>
      <c r="P121" s="62">
        <f t="array" ref="P121">MAX(($N$4:N120=Main3WData[[#This Row],[PT.ID]])*ROW($N$4:N120))</f>
        <v>120</v>
      </c>
      <c r="Q121" s="62" t="str">
        <f>IF(Main3WData[[#This Row],[PT.FirstID]],Main3WData[[#This Row],[Acronym]],INDEX($Q$4:Q120,Main3WData[[#This Row],[PT.LastID.Row]]-ROW($Q$4)+1) &amp; ", "&amp;Main3WData[[#This Row],[Acronym]])</f>
        <v>UNICEF, UNFPA, UNDP, PLAN GUINEE, PLAN</v>
      </c>
      <c r="R121" s="62" t="b">
        <f t="array" ref="R121">MAX(IF(Main3WData[PT.ID]=Main3WData[[#This Row],[PT.ID]],Main3WData[PT.LastID.Row]))=Main3WData[[#This Row],[PT.LastID.Row]]</f>
        <v>0</v>
      </c>
    </row>
    <row r="122" spans="2:18" s="1" customFormat="1" ht="16.5" customHeight="1" x14ac:dyDescent="0.2">
      <c r="B122" s="55" t="s">
        <v>512</v>
      </c>
      <c r="C122" s="27" t="str">
        <f>INDEX(Organizations[],MATCH(Main3WData[[#This Row],[Acronym]],AcronymList,0),1)</f>
        <v>World Health Organization</v>
      </c>
      <c r="D122" s="27" t="str">
        <f>INDEX(Organizations[],MATCH(Main3WData[[#This Row],[Acronym]],AcronymList,0),3)</f>
        <v>UN Agency</v>
      </c>
      <c r="E122" s="54" t="s">
        <v>350</v>
      </c>
      <c r="F122" s="53" t="s">
        <v>82</v>
      </c>
      <c r="G122" s="54" t="s">
        <v>396</v>
      </c>
      <c r="H122" s="28" t="str">
        <f>VLOOKUP(Main3WData[[#This Row],[Admin Unit Name]],AdminUnits[],2,FALSE)</f>
        <v>GIN005001</v>
      </c>
      <c r="I122" s="57">
        <v>0</v>
      </c>
      <c r="J122" s="67" t="str">
        <f>Main3WData[[#This Row],[Acronym]]&amp;Main3WData[[#This Row],[Sector]]&amp;Main3WData[[#This Row],[Activity Type]]&amp;Main3WData[[#This Row],[Pcode]]</f>
        <v>OMSCommunication/Mobilisation socialeOngoingGIN005001</v>
      </c>
      <c r="K122" s="69">
        <f>COUNTIF(Main3WData[Concatenate],Main3WData[[#This Row],[Concatenate]])</f>
        <v>1</v>
      </c>
      <c r="L122" s="61" t="str">
        <f>Main3WData[[#This Row],[Sector]]&amp;Main3WData[[#This Row],[Pcode]]</f>
        <v>Communication/Mobilisation socialeGIN005001</v>
      </c>
      <c r="M122" s="71">
        <f>COUNTIF($L$5:L122,Main3WData[[#This Row],[PT.Concat]])</f>
        <v>6</v>
      </c>
      <c r="N122" s="70">
        <f>MATCH(Main3WData[[#This Row],[PT.Concat]],$L$5:L122,0)</f>
        <v>113</v>
      </c>
      <c r="O122" s="62" t="b">
        <f>Main3WData[[#This Row],[Count PT.Concat]]=1</f>
        <v>0</v>
      </c>
      <c r="P122" s="62">
        <f t="array" ref="P122">MAX(($N$4:N121=Main3WData[[#This Row],[PT.ID]])*ROW($N$4:N121))</f>
        <v>121</v>
      </c>
      <c r="Q122" s="62" t="str">
        <f>IF(Main3WData[[#This Row],[PT.FirstID]],Main3WData[[#This Row],[Acronym]],INDEX($Q$4:Q121,Main3WData[[#This Row],[PT.LastID.Row]]-ROW($Q$4)+1) &amp; ", "&amp;Main3WData[[#This Row],[Acronym]])</f>
        <v>UNICEF, UNFPA, UNDP, PLAN GUINEE, PLAN, OMS</v>
      </c>
      <c r="R122" s="62" t="b">
        <f t="array" ref="R122">MAX(IF(Main3WData[PT.ID]=Main3WData[[#This Row],[PT.ID]],Main3WData[PT.LastID.Row]))=Main3WData[[#This Row],[PT.LastID.Row]]</f>
        <v>0</v>
      </c>
    </row>
    <row r="123" spans="2:18" s="1" customFormat="1" ht="16.5" customHeight="1" x14ac:dyDescent="0.2">
      <c r="B123" s="55" t="s">
        <v>509</v>
      </c>
      <c r="C123" s="27" t="str">
        <f>INDEX(Organizations[],MATCH(Main3WData[[#This Row],[Acronym]],AcronymList,0),1)</f>
        <v>Internews</v>
      </c>
      <c r="D123" s="27" t="str">
        <f>INDEX(Organizations[],MATCH(Main3WData[[#This Row],[Acronym]],AcronymList,0),3)</f>
        <v>Media</v>
      </c>
      <c r="E123" s="54" t="s">
        <v>350</v>
      </c>
      <c r="F123" s="53" t="s">
        <v>82</v>
      </c>
      <c r="G123" s="54" t="s">
        <v>396</v>
      </c>
      <c r="H123" s="28" t="str">
        <f>VLOOKUP(Main3WData[[#This Row],[Admin Unit Name]],AdminUnits[],2,FALSE)</f>
        <v>GIN005001</v>
      </c>
      <c r="I123" s="57">
        <v>0</v>
      </c>
      <c r="J123" s="67" t="str">
        <f>Main3WData[[#This Row],[Acronym]]&amp;Main3WData[[#This Row],[Sector]]&amp;Main3WData[[#This Row],[Activity Type]]&amp;Main3WData[[#This Row],[Pcode]]</f>
        <v>InternewsCommunication/Mobilisation socialeOngoingGIN005001</v>
      </c>
      <c r="K123" s="69">
        <f>COUNTIF(Main3WData[Concatenate],Main3WData[[#This Row],[Concatenate]])</f>
        <v>1</v>
      </c>
      <c r="L123" s="61" t="str">
        <f>Main3WData[[#This Row],[Sector]]&amp;Main3WData[[#This Row],[Pcode]]</f>
        <v>Communication/Mobilisation socialeGIN005001</v>
      </c>
      <c r="M123" s="71">
        <f>COUNTIF($L$5:L123,Main3WData[[#This Row],[PT.Concat]])</f>
        <v>7</v>
      </c>
      <c r="N123" s="70">
        <f>MATCH(Main3WData[[#This Row],[PT.Concat]],$L$5:L123,0)</f>
        <v>113</v>
      </c>
      <c r="O123" s="62" t="b">
        <f>Main3WData[[#This Row],[Count PT.Concat]]=1</f>
        <v>0</v>
      </c>
      <c r="P123" s="62">
        <f t="array" ref="P123">MAX(($N$4:N122=Main3WData[[#This Row],[PT.ID]])*ROW($N$4:N122))</f>
        <v>122</v>
      </c>
      <c r="Q123" s="62" t="str">
        <f>IF(Main3WData[[#This Row],[PT.FirstID]],Main3WData[[#This Row],[Acronym]],INDEX($Q$4:Q122,Main3WData[[#This Row],[PT.LastID.Row]]-ROW($Q$4)+1) &amp; ", "&amp;Main3WData[[#This Row],[Acronym]])</f>
        <v>UNICEF, UNFPA, UNDP, PLAN GUINEE, PLAN, OMS, Internews</v>
      </c>
      <c r="R123" s="62" t="b">
        <f t="array" ref="R123">MAX(IF(Main3WData[PT.ID]=Main3WData[[#This Row],[PT.ID]],Main3WData[PT.LastID.Row]))=Main3WData[[#This Row],[PT.LastID.Row]]</f>
        <v>0</v>
      </c>
    </row>
    <row r="124" spans="2:18" s="1" customFormat="1" ht="16.5" customHeight="1" x14ac:dyDescent="0.2">
      <c r="B124" s="55" t="s">
        <v>499</v>
      </c>
      <c r="C124" s="27" t="str">
        <f>INDEX(Organizations[],MATCH(Main3WData[[#This Row],[Acronym]],AcronymList,0),1)</f>
        <v>Croix-Rouge Guinée/Fédération internationale de la Croix-Rouge</v>
      </c>
      <c r="D124" s="27" t="str">
        <f>INDEX(Organizations[],MATCH(Main3WData[[#This Row],[Acronym]],AcronymList,0),3)</f>
        <v>International Organization</v>
      </c>
      <c r="E124" s="54" t="s">
        <v>350</v>
      </c>
      <c r="F124" s="53" t="s">
        <v>82</v>
      </c>
      <c r="G124" s="54" t="s">
        <v>396</v>
      </c>
      <c r="H124" s="28" t="str">
        <f>VLOOKUP(Main3WData[[#This Row],[Admin Unit Name]],AdminUnits[],2,FALSE)</f>
        <v>GIN005001</v>
      </c>
      <c r="I124" s="57">
        <v>0</v>
      </c>
      <c r="J124" s="67" t="str">
        <f>Main3WData[[#This Row],[Acronym]]&amp;Main3WData[[#This Row],[Sector]]&amp;Main3WData[[#This Row],[Activity Type]]&amp;Main3WData[[#This Row],[Pcode]]</f>
        <v>CRG/FICRCommunication/Mobilisation socialeOngoingGIN005001</v>
      </c>
      <c r="K124" s="69">
        <f>COUNTIF(Main3WData[Concatenate],Main3WData[[#This Row],[Concatenate]])</f>
        <v>1</v>
      </c>
      <c r="L124" s="61" t="str">
        <f>Main3WData[[#This Row],[Sector]]&amp;Main3WData[[#This Row],[Pcode]]</f>
        <v>Communication/Mobilisation socialeGIN005001</v>
      </c>
      <c r="M124" s="71">
        <f>COUNTIF($L$5:L124,Main3WData[[#This Row],[PT.Concat]])</f>
        <v>8</v>
      </c>
      <c r="N124" s="70">
        <f>MATCH(Main3WData[[#This Row],[PT.Concat]],$L$5:L124,0)</f>
        <v>113</v>
      </c>
      <c r="O124" s="62" t="b">
        <f>Main3WData[[#This Row],[Count PT.Concat]]=1</f>
        <v>0</v>
      </c>
      <c r="P124" s="62">
        <f t="array" ref="P124">MAX(($N$4:N123=Main3WData[[#This Row],[PT.ID]])*ROW($N$4:N123))</f>
        <v>123</v>
      </c>
      <c r="Q124" s="62" t="str">
        <f>IF(Main3WData[[#This Row],[PT.FirstID]],Main3WData[[#This Row],[Acronym]],INDEX($Q$4:Q123,Main3WData[[#This Row],[PT.LastID.Row]]-ROW($Q$4)+1) &amp; ", "&amp;Main3WData[[#This Row],[Acronym]])</f>
        <v>UNICEF, UNFPA, UNDP, PLAN GUINEE, PLAN, OMS, Internews, CRG/FICR</v>
      </c>
      <c r="R124" s="62" t="b">
        <f t="array" ref="R124">MAX(IF(Main3WData[PT.ID]=Main3WData[[#This Row],[PT.ID]],Main3WData[PT.LastID.Row]))=Main3WData[[#This Row],[PT.LastID.Row]]</f>
        <v>1</v>
      </c>
    </row>
    <row r="125" spans="2:18" s="1" customFormat="1" ht="16.5" customHeight="1" x14ac:dyDescent="0.2">
      <c r="B125" s="55" t="s">
        <v>516</v>
      </c>
      <c r="C125" s="27" t="str">
        <f>INDEX(Organizations[],MATCH(Main3WData[[#This Row],[Acronym]],AcronymList,0),1)</f>
        <v>UNITED NATION MISSION FOR EBOLA  EMERGENCY RESPONSE</v>
      </c>
      <c r="D125" s="27" t="str">
        <f>INDEX(Organizations[],MATCH(Main3WData[[#This Row],[Acronym]],AcronymList,0),3)</f>
        <v>UN Agency</v>
      </c>
      <c r="E125" s="54" t="s">
        <v>360</v>
      </c>
      <c r="F125" s="53" t="s">
        <v>82</v>
      </c>
      <c r="G125" s="54" t="s">
        <v>396</v>
      </c>
      <c r="H125" s="28" t="str">
        <f>VLOOKUP(Main3WData[[#This Row],[Admin Unit Name]],AdminUnits[],2,FALSE)</f>
        <v>GIN005001</v>
      </c>
      <c r="I125" s="57">
        <v>0</v>
      </c>
      <c r="J125" s="67" t="str">
        <f>Main3WData[[#This Row],[Acronym]]&amp;Main3WData[[#This Row],[Sector]]&amp;Main3WData[[#This Row],[Activity Type]]&amp;Main3WData[[#This Row],[Pcode]]</f>
        <v>UNMEERCoordinationOngoingGIN005001</v>
      </c>
      <c r="K125" s="69">
        <f>COUNTIF(Main3WData[Concatenate],Main3WData[[#This Row],[Concatenate]])</f>
        <v>1</v>
      </c>
      <c r="L125" s="61" t="str">
        <f>Main3WData[[#This Row],[Sector]]&amp;Main3WData[[#This Row],[Pcode]]</f>
        <v>CoordinationGIN005001</v>
      </c>
      <c r="M125" s="71">
        <f>COUNTIF($L$5:L125,Main3WData[[#This Row],[PT.Concat]])</f>
        <v>1</v>
      </c>
      <c r="N125" s="70">
        <f>MATCH(Main3WData[[#This Row],[PT.Concat]],$L$5:L125,0)</f>
        <v>121</v>
      </c>
      <c r="O125" s="62" t="b">
        <f>Main3WData[[#This Row],[Count PT.Concat]]=1</f>
        <v>1</v>
      </c>
      <c r="P125" s="62">
        <f t="array" ref="P125">MAX(($N$4:N124=Main3WData[[#This Row],[PT.ID]])*ROW($N$4:N124))</f>
        <v>0</v>
      </c>
      <c r="Q125" s="62" t="str">
        <f>IF(Main3WData[[#This Row],[PT.FirstID]],Main3WData[[#This Row],[Acronym]],INDEX($Q$4:Q124,Main3WData[[#This Row],[PT.LastID.Row]]-ROW($Q$4)+1) &amp; ", "&amp;Main3WData[[#This Row],[Acronym]])</f>
        <v>UNMEER</v>
      </c>
      <c r="R125" s="62" t="b">
        <f t="array" ref="R125">MAX(IF(Main3WData[PT.ID]=Main3WData[[#This Row],[PT.ID]],Main3WData[PT.LastID.Row]))=Main3WData[[#This Row],[PT.LastID.Row]]</f>
        <v>0</v>
      </c>
    </row>
    <row r="126" spans="2:18" s="1" customFormat="1" ht="16.5" customHeight="1" x14ac:dyDescent="0.2">
      <c r="B126" s="55" t="s">
        <v>75</v>
      </c>
      <c r="C126" s="27" t="str">
        <f>INDEX(Organizations[],MATCH(Main3WData[[#This Row],[Acronym]],AcronymList,0),1)</f>
        <v>United Nations Population Fund</v>
      </c>
      <c r="D126" s="27" t="str">
        <f>INDEX(Organizations[],MATCH(Main3WData[[#This Row],[Acronym]],AcronymList,0),3)</f>
        <v>UN Agency</v>
      </c>
      <c r="E126" s="54" t="s">
        <v>360</v>
      </c>
      <c r="F126" s="53" t="s">
        <v>82</v>
      </c>
      <c r="G126" s="54" t="s">
        <v>396</v>
      </c>
      <c r="H126" s="28" t="str">
        <f>VLOOKUP(Main3WData[[#This Row],[Admin Unit Name]],AdminUnits[],2,FALSE)</f>
        <v>GIN005001</v>
      </c>
      <c r="I126" s="57">
        <v>0</v>
      </c>
      <c r="J126" s="67" t="str">
        <f>Main3WData[[#This Row],[Acronym]]&amp;Main3WData[[#This Row],[Sector]]&amp;Main3WData[[#This Row],[Activity Type]]&amp;Main3WData[[#This Row],[Pcode]]</f>
        <v>UNFPACoordinationOngoingGIN005001</v>
      </c>
      <c r="K126" s="69">
        <f>COUNTIF(Main3WData[Concatenate],Main3WData[[#This Row],[Concatenate]])</f>
        <v>1</v>
      </c>
      <c r="L126" s="61" t="str">
        <f>Main3WData[[#This Row],[Sector]]&amp;Main3WData[[#This Row],[Pcode]]</f>
        <v>CoordinationGIN005001</v>
      </c>
      <c r="M126" s="71">
        <f>COUNTIF($L$5:L126,Main3WData[[#This Row],[PT.Concat]])</f>
        <v>2</v>
      </c>
      <c r="N126" s="70">
        <f>MATCH(Main3WData[[#This Row],[PT.Concat]],$L$5:L126,0)</f>
        <v>121</v>
      </c>
      <c r="O126" s="62" t="b">
        <f>Main3WData[[#This Row],[Count PT.Concat]]=1</f>
        <v>0</v>
      </c>
      <c r="P126" s="62">
        <f t="array" ref="P126">MAX(($N$4:N125=Main3WData[[#This Row],[PT.ID]])*ROW($N$4:N125))</f>
        <v>125</v>
      </c>
      <c r="Q126" s="62" t="str">
        <f>IF(Main3WData[[#This Row],[PT.FirstID]],Main3WData[[#This Row],[Acronym]],INDEX($Q$4:Q125,Main3WData[[#This Row],[PT.LastID.Row]]-ROW($Q$4)+1) &amp; ", "&amp;Main3WData[[#This Row],[Acronym]])</f>
        <v>UNMEER, UNFPA</v>
      </c>
      <c r="R126" s="62" t="b">
        <f t="array" ref="R126">MAX(IF(Main3WData[PT.ID]=Main3WData[[#This Row],[PT.ID]],Main3WData[PT.LastID.Row]))=Main3WData[[#This Row],[PT.LastID.Row]]</f>
        <v>0</v>
      </c>
    </row>
    <row r="127" spans="2:18" s="1" customFormat="1" ht="16.5" customHeight="1" x14ac:dyDescent="0.2">
      <c r="B127" s="55" t="s">
        <v>473</v>
      </c>
      <c r="C127" s="27" t="str">
        <f>INDEX(Organizations[],MATCH(Main3WData[[#This Row],[Acronym]],AcronymList,0),1)</f>
        <v>United Nations Development Programme</v>
      </c>
      <c r="D127" s="27" t="str">
        <f>INDEX(Organizations[],MATCH(Main3WData[[#This Row],[Acronym]],AcronymList,0),3)</f>
        <v>UN Agency</v>
      </c>
      <c r="E127" s="54" t="s">
        <v>360</v>
      </c>
      <c r="F127" s="53" t="s">
        <v>82</v>
      </c>
      <c r="G127" s="54" t="s">
        <v>396</v>
      </c>
      <c r="H127" s="28" t="str">
        <f>VLOOKUP(Main3WData[[#This Row],[Admin Unit Name]],AdminUnits[],2,FALSE)</f>
        <v>GIN005001</v>
      </c>
      <c r="I127" s="57">
        <v>0</v>
      </c>
      <c r="J127" s="67" t="str">
        <f>Main3WData[[#This Row],[Acronym]]&amp;Main3WData[[#This Row],[Sector]]&amp;Main3WData[[#This Row],[Activity Type]]&amp;Main3WData[[#This Row],[Pcode]]</f>
        <v>UNDPCoordinationOngoingGIN005001</v>
      </c>
      <c r="K127" s="69">
        <f>COUNTIF(Main3WData[Concatenate],Main3WData[[#This Row],[Concatenate]])</f>
        <v>1</v>
      </c>
      <c r="L127" s="61" t="str">
        <f>Main3WData[[#This Row],[Sector]]&amp;Main3WData[[#This Row],[Pcode]]</f>
        <v>CoordinationGIN005001</v>
      </c>
      <c r="M127" s="71">
        <f>COUNTIF($L$5:L127,Main3WData[[#This Row],[PT.Concat]])</f>
        <v>3</v>
      </c>
      <c r="N127" s="70">
        <f>MATCH(Main3WData[[#This Row],[PT.Concat]],$L$5:L127,0)</f>
        <v>121</v>
      </c>
      <c r="O127" s="62" t="b">
        <f>Main3WData[[#This Row],[Count PT.Concat]]=1</f>
        <v>0</v>
      </c>
      <c r="P127" s="62">
        <f t="array" ref="P127">MAX(($N$4:N126=Main3WData[[#This Row],[PT.ID]])*ROW($N$4:N126))</f>
        <v>126</v>
      </c>
      <c r="Q127" s="62" t="str">
        <f>IF(Main3WData[[#This Row],[PT.FirstID]],Main3WData[[#This Row],[Acronym]],INDEX($Q$4:Q126,Main3WData[[#This Row],[PT.LastID.Row]]-ROW($Q$4)+1) &amp; ", "&amp;Main3WData[[#This Row],[Acronym]])</f>
        <v>UNMEER, UNFPA, UNDP</v>
      </c>
      <c r="R127" s="62" t="b">
        <f t="array" ref="R127">MAX(IF(Main3WData[PT.ID]=Main3WData[[#This Row],[PT.ID]],Main3WData[PT.LastID.Row]))=Main3WData[[#This Row],[PT.LastID.Row]]</f>
        <v>0</v>
      </c>
    </row>
    <row r="128" spans="2:18" s="1" customFormat="1" ht="16.5" customHeight="1" x14ac:dyDescent="0.2">
      <c r="B128" s="55" t="s">
        <v>512</v>
      </c>
      <c r="C128" s="27" t="str">
        <f>INDEX(Organizations[],MATCH(Main3WData[[#This Row],[Acronym]],AcronymList,0),1)</f>
        <v>World Health Organization</v>
      </c>
      <c r="D128" s="27" t="str">
        <f>INDEX(Organizations[],MATCH(Main3WData[[#This Row],[Acronym]],AcronymList,0),3)</f>
        <v>UN Agency</v>
      </c>
      <c r="E128" s="54" t="s">
        <v>360</v>
      </c>
      <c r="F128" s="53" t="s">
        <v>82</v>
      </c>
      <c r="G128" s="54" t="s">
        <v>396</v>
      </c>
      <c r="H128" s="28" t="str">
        <f>VLOOKUP(Main3WData[[#This Row],[Admin Unit Name]],AdminUnits[],2,FALSE)</f>
        <v>GIN005001</v>
      </c>
      <c r="I128" s="57">
        <v>0</v>
      </c>
      <c r="J128" s="67" t="str">
        <f>Main3WData[[#This Row],[Acronym]]&amp;Main3WData[[#This Row],[Sector]]&amp;Main3WData[[#This Row],[Activity Type]]&amp;Main3WData[[#This Row],[Pcode]]</f>
        <v>OMSCoordinationOngoingGIN005001</v>
      </c>
      <c r="K128" s="69">
        <f>COUNTIF(Main3WData[Concatenate],Main3WData[[#This Row],[Concatenate]])</f>
        <v>1</v>
      </c>
      <c r="L128" s="61" t="str">
        <f>Main3WData[[#This Row],[Sector]]&amp;Main3WData[[#This Row],[Pcode]]</f>
        <v>CoordinationGIN005001</v>
      </c>
      <c r="M128" s="71">
        <f>COUNTIF($L$5:L128,Main3WData[[#This Row],[PT.Concat]])</f>
        <v>4</v>
      </c>
      <c r="N128" s="70">
        <f>MATCH(Main3WData[[#This Row],[PT.Concat]],$L$5:L128,0)</f>
        <v>121</v>
      </c>
      <c r="O128" s="62" t="b">
        <f>Main3WData[[#This Row],[Count PT.Concat]]=1</f>
        <v>0</v>
      </c>
      <c r="P128" s="62">
        <f t="array" ref="P128">MAX(($N$4:N127=Main3WData[[#This Row],[PT.ID]])*ROW($N$4:N127))</f>
        <v>127</v>
      </c>
      <c r="Q128" s="62" t="str">
        <f>IF(Main3WData[[#This Row],[PT.FirstID]],Main3WData[[#This Row],[Acronym]],INDEX($Q$4:Q127,Main3WData[[#This Row],[PT.LastID.Row]]-ROW($Q$4)+1) &amp; ", "&amp;Main3WData[[#This Row],[Acronym]])</f>
        <v>UNMEER, UNFPA, UNDP, OMS</v>
      </c>
      <c r="R128" s="62" t="b">
        <f t="array" ref="R128">MAX(IF(Main3WData[PT.ID]=Main3WData[[#This Row],[PT.ID]],Main3WData[PT.LastID.Row]))=Main3WData[[#This Row],[PT.LastID.Row]]</f>
        <v>0</v>
      </c>
    </row>
    <row r="129" spans="2:18" ht="16.5" customHeight="1" x14ac:dyDescent="0.2">
      <c r="B129" s="55" t="s">
        <v>71</v>
      </c>
      <c r="C129" s="27" t="str">
        <f>INDEX(Organizations[],MATCH(Main3WData[[#This Row],[Acronym]],AcronymList,0),1)</f>
        <v>Medecins sans Frontieres</v>
      </c>
      <c r="D129" s="27" t="str">
        <f>INDEX(Organizations[],MATCH(Main3WData[[#This Row],[Acronym]],AcronymList,0),3)</f>
        <v>International NGO</v>
      </c>
      <c r="E129" s="54" t="s">
        <v>360</v>
      </c>
      <c r="F129" s="53" t="s">
        <v>82</v>
      </c>
      <c r="G129" s="54" t="s">
        <v>396</v>
      </c>
      <c r="H129" s="28" t="str">
        <f>VLOOKUP(Main3WData[[#This Row],[Admin Unit Name]],AdminUnits[],2,FALSE)</f>
        <v>GIN005001</v>
      </c>
      <c r="I129" s="57">
        <v>0</v>
      </c>
      <c r="J129" s="67" t="str">
        <f>Main3WData[[#This Row],[Acronym]]&amp;Main3WData[[#This Row],[Sector]]&amp;Main3WData[[#This Row],[Activity Type]]&amp;Main3WData[[#This Row],[Pcode]]</f>
        <v>MSFCoordinationOngoingGIN005001</v>
      </c>
      <c r="K129" s="69">
        <f>COUNTIF(Main3WData[Concatenate],Main3WData[[#This Row],[Concatenate]])</f>
        <v>1</v>
      </c>
      <c r="L129" s="61" t="str">
        <f>Main3WData[[#This Row],[Sector]]&amp;Main3WData[[#This Row],[Pcode]]</f>
        <v>CoordinationGIN005001</v>
      </c>
      <c r="M129" s="71">
        <f>COUNTIF($L$5:L129,Main3WData[[#This Row],[PT.Concat]])</f>
        <v>5</v>
      </c>
      <c r="N129" s="70">
        <f>MATCH(Main3WData[[#This Row],[PT.Concat]],$L$5:L129,0)</f>
        <v>121</v>
      </c>
      <c r="O129" s="62" t="b">
        <f>Main3WData[[#This Row],[Count PT.Concat]]=1</f>
        <v>0</v>
      </c>
      <c r="P129" s="62">
        <f t="array" ref="P129">MAX(($N$4:N128=Main3WData[[#This Row],[PT.ID]])*ROW($N$4:N128))</f>
        <v>128</v>
      </c>
      <c r="Q129" s="62" t="str">
        <f>IF(Main3WData[[#This Row],[PT.FirstID]],Main3WData[[#This Row],[Acronym]],INDEX($Q$4:Q128,Main3WData[[#This Row],[PT.LastID.Row]]-ROW($Q$4)+1) &amp; ", "&amp;Main3WData[[#This Row],[Acronym]])</f>
        <v>UNMEER, UNFPA, UNDP, OMS, MSF</v>
      </c>
      <c r="R129" s="62" t="b">
        <f t="array" ref="R129">MAX(IF(Main3WData[PT.ID]=Main3WData[[#This Row],[PT.ID]],Main3WData[PT.LastID.Row]))=Main3WData[[#This Row],[PT.LastID.Row]]</f>
        <v>0</v>
      </c>
    </row>
    <row r="130" spans="2:18" ht="16.5" customHeight="1" x14ac:dyDescent="0.2">
      <c r="B130" s="55" t="s">
        <v>507</v>
      </c>
      <c r="C130" s="27" t="str">
        <f>INDEX(Organizations[],MATCH(Main3WData[[#This Row],[Acronym]],AcronymList,0),1)</f>
        <v>eHealth Africa</v>
      </c>
      <c r="D130" s="27" t="str">
        <f>INDEX(Organizations[],MATCH(Main3WData[[#This Row],[Acronym]],AcronymList,0),3)</f>
        <v>International Organization</v>
      </c>
      <c r="E130" s="54" t="s">
        <v>360</v>
      </c>
      <c r="F130" s="53" t="s">
        <v>82</v>
      </c>
      <c r="G130" s="54" t="s">
        <v>396</v>
      </c>
      <c r="H130" s="28" t="str">
        <f>VLOOKUP(Main3WData[[#This Row],[Admin Unit Name]],AdminUnits[],2,FALSE)</f>
        <v>GIN005001</v>
      </c>
      <c r="I130" s="57">
        <v>0</v>
      </c>
      <c r="J130" s="67" t="str">
        <f>Main3WData[[#This Row],[Acronym]]&amp;Main3WData[[#This Row],[Sector]]&amp;Main3WData[[#This Row],[Activity Type]]&amp;Main3WData[[#This Row],[Pcode]]</f>
        <v>eHealth AfricaCoordinationOngoingGIN005001</v>
      </c>
      <c r="K130" s="69">
        <f>COUNTIF(Main3WData[Concatenate],Main3WData[[#This Row],[Concatenate]])</f>
        <v>1</v>
      </c>
      <c r="L130" s="61" t="str">
        <f>Main3WData[[#This Row],[Sector]]&amp;Main3WData[[#This Row],[Pcode]]</f>
        <v>CoordinationGIN005001</v>
      </c>
      <c r="M130" s="71">
        <f>COUNTIF($L$5:L130,Main3WData[[#This Row],[PT.Concat]])</f>
        <v>6</v>
      </c>
      <c r="N130" s="70">
        <f>MATCH(Main3WData[[#This Row],[PT.Concat]],$L$5:L130,0)</f>
        <v>121</v>
      </c>
      <c r="O130" s="62" t="b">
        <f>Main3WData[[#This Row],[Count PT.Concat]]=1</f>
        <v>0</v>
      </c>
      <c r="P130" s="62">
        <f t="array" ref="P130">MAX(($N$4:N129=Main3WData[[#This Row],[PT.ID]])*ROW($N$4:N129))</f>
        <v>129</v>
      </c>
      <c r="Q130" s="62" t="str">
        <f>IF(Main3WData[[#This Row],[PT.FirstID]],Main3WData[[#This Row],[Acronym]],INDEX($Q$4:Q129,Main3WData[[#This Row],[PT.LastID.Row]]-ROW($Q$4)+1) &amp; ", "&amp;Main3WData[[#This Row],[Acronym]])</f>
        <v>UNMEER, UNFPA, UNDP, OMS, MSF, eHealth Africa</v>
      </c>
      <c r="R130" s="62" t="b">
        <f t="array" ref="R130">MAX(IF(Main3WData[PT.ID]=Main3WData[[#This Row],[PT.ID]],Main3WData[PT.LastID.Row]))=Main3WData[[#This Row],[PT.LastID.Row]]</f>
        <v>1</v>
      </c>
    </row>
    <row r="131" spans="2:18" ht="16.5" customHeight="1" x14ac:dyDescent="0.2">
      <c r="B131" s="55" t="s">
        <v>473</v>
      </c>
      <c r="C131" s="27" t="str">
        <f>INDEX(Organizations[],MATCH(Main3WData[[#This Row],[Acronym]],AcronymList,0),1)</f>
        <v>United Nations Development Programme</v>
      </c>
      <c r="D131" s="27" t="str">
        <f>INDEX(Organizations[],MATCH(Main3WData[[#This Row],[Acronym]],AcronymList,0),3)</f>
        <v>UN Agency</v>
      </c>
      <c r="E131" s="54" t="s">
        <v>359</v>
      </c>
      <c r="F131" s="53" t="s">
        <v>82</v>
      </c>
      <c r="G131" s="54" t="s">
        <v>396</v>
      </c>
      <c r="H131" s="28" t="str">
        <f>VLOOKUP(Main3WData[[#This Row],[Admin Unit Name]],AdminUnits[],2,FALSE)</f>
        <v>GIN005001</v>
      </c>
      <c r="I131" s="57">
        <v>0</v>
      </c>
      <c r="J131" s="67" t="str">
        <f>Main3WData[[#This Row],[Acronym]]&amp;Main3WData[[#This Row],[Sector]]&amp;Main3WData[[#This Row],[Activity Type]]&amp;Main3WData[[#This Row],[Pcode]]</f>
        <v>UNDPFinanceOngoingGIN005001</v>
      </c>
      <c r="K131" s="69">
        <f>COUNTIF(Main3WData[Concatenate],Main3WData[[#This Row],[Concatenate]])</f>
        <v>1</v>
      </c>
      <c r="L131" s="61" t="str">
        <f>Main3WData[[#This Row],[Sector]]&amp;Main3WData[[#This Row],[Pcode]]</f>
        <v>FinanceGIN005001</v>
      </c>
      <c r="M131" s="71">
        <f>COUNTIF($L$5:L131,Main3WData[[#This Row],[PT.Concat]])</f>
        <v>1</v>
      </c>
      <c r="N131" s="70">
        <f>MATCH(Main3WData[[#This Row],[PT.Concat]],$L$5:L131,0)</f>
        <v>127</v>
      </c>
      <c r="O131" s="62" t="b">
        <f>Main3WData[[#This Row],[Count PT.Concat]]=1</f>
        <v>1</v>
      </c>
      <c r="P131" s="62">
        <f t="array" ref="P131">MAX(($N$4:N130=Main3WData[[#This Row],[PT.ID]])*ROW($N$4:N130))</f>
        <v>0</v>
      </c>
      <c r="Q131" s="62" t="str">
        <f>IF(Main3WData[[#This Row],[PT.FirstID]],Main3WData[[#This Row],[Acronym]],INDEX($Q$4:Q130,Main3WData[[#This Row],[PT.LastID.Row]]-ROW($Q$4)+1) &amp; ", "&amp;Main3WData[[#This Row],[Acronym]])</f>
        <v>UNDP</v>
      </c>
      <c r="R131" s="62" t="b">
        <f t="array" ref="R131">MAX(IF(Main3WData[PT.ID]=Main3WData[[#This Row],[PT.ID]],Main3WData[PT.LastID.Row]))=Main3WData[[#This Row],[PT.LastID.Row]]</f>
        <v>1</v>
      </c>
    </row>
    <row r="132" spans="2:18" ht="16.5" customHeight="1" x14ac:dyDescent="0.2">
      <c r="B132" s="55" t="s">
        <v>451</v>
      </c>
      <c r="C132" s="27" t="str">
        <f>INDEX(Organizations[],MATCH(Main3WData[[#This Row],[Acronym]],AcronymList,0),1)</f>
        <v>Croix-Rouge Guinée</v>
      </c>
      <c r="D132" s="27" t="str">
        <f>INDEX(Organizations[],MATCH(Main3WData[[#This Row],[Acronym]],AcronymList,0),3)</f>
        <v>Red Cross Movement</v>
      </c>
      <c r="E132" s="54" t="s">
        <v>354</v>
      </c>
      <c r="F132" s="53" t="s">
        <v>82</v>
      </c>
      <c r="G132" s="54" t="s">
        <v>396</v>
      </c>
      <c r="H132" s="28" t="str">
        <f>VLOOKUP(Main3WData[[#This Row],[Admin Unit Name]],AdminUnits[],2,FALSE)</f>
        <v>GIN005001</v>
      </c>
      <c r="I132" s="57">
        <v>0</v>
      </c>
      <c r="J132" s="67" t="str">
        <f>Main3WData[[#This Row],[Acronym]]&amp;Main3WData[[#This Row],[Sector]]&amp;Main3WData[[#This Row],[Activity Type]]&amp;Main3WData[[#This Row],[Pcode]]</f>
        <v>CRGGestion des corps et desinfectionOngoingGIN005001</v>
      </c>
      <c r="K132" s="69">
        <f>COUNTIF(Main3WData[Concatenate],Main3WData[[#This Row],[Concatenate]])</f>
        <v>1</v>
      </c>
      <c r="L132" s="61" t="str">
        <f>Main3WData[[#This Row],[Sector]]&amp;Main3WData[[#This Row],[Pcode]]</f>
        <v>Gestion des corps et desinfectionGIN005001</v>
      </c>
      <c r="M132" s="71">
        <f>COUNTIF($L$5:L132,Main3WData[[#This Row],[PT.Concat]])</f>
        <v>1</v>
      </c>
      <c r="N132" s="70">
        <f>MATCH(Main3WData[[#This Row],[PT.Concat]],$L$5:L132,0)</f>
        <v>128</v>
      </c>
      <c r="O132" s="62" t="b">
        <f>Main3WData[[#This Row],[Count PT.Concat]]=1</f>
        <v>1</v>
      </c>
      <c r="P132" s="62">
        <f t="array" ref="P132">MAX(($N$4:N131=Main3WData[[#This Row],[PT.ID]])*ROW($N$4:N131))</f>
        <v>0</v>
      </c>
      <c r="Q132" s="62" t="str">
        <f>IF(Main3WData[[#This Row],[PT.FirstID]],Main3WData[[#This Row],[Acronym]],INDEX($Q$4:Q131,Main3WData[[#This Row],[PT.LastID.Row]]-ROW($Q$4)+1) &amp; ", "&amp;Main3WData[[#This Row],[Acronym]])</f>
        <v>CRG</v>
      </c>
      <c r="R132" s="62" t="b">
        <f t="array" ref="R132">MAX(IF(Main3WData[PT.ID]=Main3WData[[#This Row],[PT.ID]],Main3WData[PT.LastID.Row]))=Main3WData[[#This Row],[PT.LastID.Row]]</f>
        <v>1</v>
      </c>
    </row>
    <row r="133" spans="2:18" ht="16.5" customHeight="1" x14ac:dyDescent="0.2">
      <c r="B133" s="55" t="s">
        <v>516</v>
      </c>
      <c r="C133" s="27" t="str">
        <f>INDEX(Organizations[],MATCH(Main3WData[[#This Row],[Acronym]],AcronymList,0),1)</f>
        <v>UNITED NATION MISSION FOR EBOLA  EMERGENCY RESPONSE</v>
      </c>
      <c r="D133" s="27" t="str">
        <f>INDEX(Organizations[],MATCH(Main3WData[[#This Row],[Acronym]],AcronymList,0),3)</f>
        <v>UN Agency</v>
      </c>
      <c r="E133" s="54" t="s">
        <v>356</v>
      </c>
      <c r="F133" s="53" t="s">
        <v>82</v>
      </c>
      <c r="G133" s="54" t="s">
        <v>396</v>
      </c>
      <c r="H133" s="28" t="str">
        <f>VLOOKUP(Main3WData[[#This Row],[Admin Unit Name]],AdminUnits[],2,FALSE)</f>
        <v>GIN005001</v>
      </c>
      <c r="I133" s="57">
        <v>0</v>
      </c>
      <c r="J133" s="67" t="str">
        <f>Main3WData[[#This Row],[Acronym]]&amp;Main3WData[[#This Row],[Sector]]&amp;Main3WData[[#This Row],[Activity Type]]&amp;Main3WData[[#This Row],[Pcode]]</f>
        <v>UNMEERGestion des donnéesOngoingGIN005001</v>
      </c>
      <c r="K133" s="69">
        <f>COUNTIF(Main3WData[Concatenate],Main3WData[[#This Row],[Concatenate]])</f>
        <v>1</v>
      </c>
      <c r="L133" s="61" t="str">
        <f>Main3WData[[#This Row],[Sector]]&amp;Main3WData[[#This Row],[Pcode]]</f>
        <v>Gestion des donnéesGIN005001</v>
      </c>
      <c r="M133" s="71">
        <f>COUNTIF($L$5:L133,Main3WData[[#This Row],[PT.Concat]])</f>
        <v>1</v>
      </c>
      <c r="N133" s="70">
        <f>MATCH(Main3WData[[#This Row],[PT.Concat]],$L$5:L133,0)</f>
        <v>129</v>
      </c>
      <c r="O133" s="62" t="b">
        <f>Main3WData[[#This Row],[Count PT.Concat]]=1</f>
        <v>1</v>
      </c>
      <c r="P133" s="62">
        <f t="array" ref="P133">MAX(($N$4:N132=Main3WData[[#This Row],[PT.ID]])*ROW($N$4:N132))</f>
        <v>0</v>
      </c>
      <c r="Q133" s="62" t="str">
        <f>IF(Main3WData[[#This Row],[PT.FirstID]],Main3WData[[#This Row],[Acronym]],INDEX($Q$4:Q132,Main3WData[[#This Row],[PT.LastID.Row]]-ROW($Q$4)+1) &amp; ", "&amp;Main3WData[[#This Row],[Acronym]])</f>
        <v>UNMEER</v>
      </c>
      <c r="R133" s="62" t="b">
        <f t="array" ref="R133">MAX(IF(Main3WData[PT.ID]=Main3WData[[#This Row],[PT.ID]],Main3WData[PT.LastID.Row]))=Main3WData[[#This Row],[PT.LastID.Row]]</f>
        <v>0</v>
      </c>
    </row>
    <row r="134" spans="2:18" ht="16.5" customHeight="1" x14ac:dyDescent="0.2">
      <c r="B134" s="55" t="s">
        <v>72</v>
      </c>
      <c r="C134" s="27" t="str">
        <f>INDEX(Organizations[],MATCH(Main3WData[[#This Row],[Acronym]],AcronymList,0),1)</f>
        <v>PLAN</v>
      </c>
      <c r="D134" s="27" t="str">
        <f>INDEX(Organizations[],MATCH(Main3WData[[#This Row],[Acronym]],AcronymList,0),3)</f>
        <v>International Organization</v>
      </c>
      <c r="E134" s="54" t="s">
        <v>356</v>
      </c>
      <c r="F134" s="53" t="s">
        <v>82</v>
      </c>
      <c r="G134" s="54" t="s">
        <v>396</v>
      </c>
      <c r="H134" s="28" t="str">
        <f>VLOOKUP(Main3WData[[#This Row],[Admin Unit Name]],AdminUnits[],2,FALSE)</f>
        <v>GIN005001</v>
      </c>
      <c r="I134" s="57">
        <v>0</v>
      </c>
      <c r="J134" s="67" t="str">
        <f>Main3WData[[#This Row],[Acronym]]&amp;Main3WData[[#This Row],[Sector]]&amp;Main3WData[[#This Row],[Activity Type]]&amp;Main3WData[[#This Row],[Pcode]]</f>
        <v>PLANGestion des donnéesOngoingGIN005001</v>
      </c>
      <c r="K134" s="69">
        <f>COUNTIF(Main3WData[Concatenate],Main3WData[[#This Row],[Concatenate]])</f>
        <v>1</v>
      </c>
      <c r="L134" s="61" t="str">
        <f>Main3WData[[#This Row],[Sector]]&amp;Main3WData[[#This Row],[Pcode]]</f>
        <v>Gestion des donnéesGIN005001</v>
      </c>
      <c r="M134" s="71">
        <f>COUNTIF($L$5:L134,Main3WData[[#This Row],[PT.Concat]])</f>
        <v>2</v>
      </c>
      <c r="N134" s="70">
        <f>MATCH(Main3WData[[#This Row],[PT.Concat]],$L$5:L134,0)</f>
        <v>129</v>
      </c>
      <c r="O134" s="62" t="b">
        <f>Main3WData[[#This Row],[Count PT.Concat]]=1</f>
        <v>0</v>
      </c>
      <c r="P134" s="62">
        <f t="array" ref="P134">MAX(($N$4:N133=Main3WData[[#This Row],[PT.ID]])*ROW($N$4:N133))</f>
        <v>133</v>
      </c>
      <c r="Q134" s="62" t="str">
        <f>IF(Main3WData[[#This Row],[PT.FirstID]],Main3WData[[#This Row],[Acronym]],INDEX($Q$4:Q133,Main3WData[[#This Row],[PT.LastID.Row]]-ROW($Q$4)+1) &amp; ", "&amp;Main3WData[[#This Row],[Acronym]])</f>
        <v>UNMEER, PLAN</v>
      </c>
      <c r="R134" s="62" t="b">
        <f t="array" ref="R134">MAX(IF(Main3WData[PT.ID]=Main3WData[[#This Row],[PT.ID]],Main3WData[PT.LastID.Row]))=Main3WData[[#This Row],[PT.LastID.Row]]</f>
        <v>0</v>
      </c>
    </row>
    <row r="135" spans="2:18" ht="16.5" customHeight="1" x14ac:dyDescent="0.2">
      <c r="B135" s="55" t="s">
        <v>512</v>
      </c>
      <c r="C135" s="27" t="str">
        <f>INDEX(Organizations[],MATCH(Main3WData[[#This Row],[Acronym]],AcronymList,0),1)</f>
        <v>World Health Organization</v>
      </c>
      <c r="D135" s="27" t="str">
        <f>INDEX(Organizations[],MATCH(Main3WData[[#This Row],[Acronym]],AcronymList,0),3)</f>
        <v>UN Agency</v>
      </c>
      <c r="E135" s="54" t="s">
        <v>356</v>
      </c>
      <c r="F135" s="53" t="s">
        <v>82</v>
      </c>
      <c r="G135" s="54" t="s">
        <v>396</v>
      </c>
      <c r="H135" s="28" t="str">
        <f>VLOOKUP(Main3WData[[#This Row],[Admin Unit Name]],AdminUnits[],2,FALSE)</f>
        <v>GIN005001</v>
      </c>
      <c r="I135" s="57">
        <v>0</v>
      </c>
      <c r="J135" s="67" t="str">
        <f>Main3WData[[#This Row],[Acronym]]&amp;Main3WData[[#This Row],[Sector]]&amp;Main3WData[[#This Row],[Activity Type]]&amp;Main3WData[[#This Row],[Pcode]]</f>
        <v>OMSGestion des donnéesOngoingGIN005001</v>
      </c>
      <c r="K135" s="69">
        <f>COUNTIF(Main3WData[Concatenate],Main3WData[[#This Row],[Concatenate]])</f>
        <v>1</v>
      </c>
      <c r="L135" s="61" t="str">
        <f>Main3WData[[#This Row],[Sector]]&amp;Main3WData[[#This Row],[Pcode]]</f>
        <v>Gestion des donnéesGIN005001</v>
      </c>
      <c r="M135" s="71">
        <f>COUNTIF($L$5:L135,Main3WData[[#This Row],[PT.Concat]])</f>
        <v>3</v>
      </c>
      <c r="N135" s="70">
        <f>MATCH(Main3WData[[#This Row],[PT.Concat]],$L$5:L135,0)</f>
        <v>129</v>
      </c>
      <c r="O135" s="62" t="b">
        <f>Main3WData[[#This Row],[Count PT.Concat]]=1</f>
        <v>0</v>
      </c>
      <c r="P135" s="62">
        <f t="array" ref="P135">MAX(($N$4:N134=Main3WData[[#This Row],[PT.ID]])*ROW($N$4:N134))</f>
        <v>134</v>
      </c>
      <c r="Q135" s="62" t="str">
        <f>IF(Main3WData[[#This Row],[PT.FirstID]],Main3WData[[#This Row],[Acronym]],INDEX($Q$4:Q134,Main3WData[[#This Row],[PT.LastID.Row]]-ROW($Q$4)+1) &amp; ", "&amp;Main3WData[[#This Row],[Acronym]])</f>
        <v>UNMEER, PLAN, OMS</v>
      </c>
      <c r="R135" s="62" t="b">
        <f t="array" ref="R135">MAX(IF(Main3WData[PT.ID]=Main3WData[[#This Row],[PT.ID]],Main3WData[PT.LastID.Row]))=Main3WData[[#This Row],[PT.LastID.Row]]</f>
        <v>1</v>
      </c>
    </row>
    <row r="136" spans="2:18" ht="16.5" customHeight="1" x14ac:dyDescent="0.2">
      <c r="B136" s="55" t="s">
        <v>512</v>
      </c>
      <c r="C136" s="27" t="str">
        <f>INDEX(Organizations[],MATCH(Main3WData[[#This Row],[Acronym]],AcronymList,0),1)</f>
        <v>World Health Organization</v>
      </c>
      <c r="D136" s="27" t="str">
        <f>INDEX(Organizations[],MATCH(Main3WData[[#This Row],[Acronym]],AcronymList,0),3)</f>
        <v>UN Agency</v>
      </c>
      <c r="E136" s="54" t="s">
        <v>358</v>
      </c>
      <c r="F136" s="53" t="s">
        <v>82</v>
      </c>
      <c r="G136" s="54" t="s">
        <v>396</v>
      </c>
      <c r="H136" s="28" t="str">
        <f>VLOOKUP(Main3WData[[#This Row],[Admin Unit Name]],AdminUnits[],2,FALSE)</f>
        <v>GIN005001</v>
      </c>
      <c r="I136" s="57">
        <v>0</v>
      </c>
      <c r="J136" s="67" t="str">
        <f>Main3WData[[#This Row],[Acronym]]&amp;Main3WData[[#This Row],[Sector]]&amp;Main3WData[[#This Row],[Activity Type]]&amp;Main3WData[[#This Row],[Pcode]]</f>
        <v>OMSLogistiquesOngoingGIN005001</v>
      </c>
      <c r="K136" s="69">
        <f>COUNTIF(Main3WData[Concatenate],Main3WData[[#This Row],[Concatenate]])</f>
        <v>1</v>
      </c>
      <c r="L136" s="61" t="str">
        <f>Main3WData[[#This Row],[Sector]]&amp;Main3WData[[#This Row],[Pcode]]</f>
        <v>LogistiquesGIN005001</v>
      </c>
      <c r="M136" s="71">
        <f>COUNTIF($L$5:L136,Main3WData[[#This Row],[PT.Concat]])</f>
        <v>1</v>
      </c>
      <c r="N136" s="70">
        <f>MATCH(Main3WData[[#This Row],[PT.Concat]],$L$5:L136,0)</f>
        <v>132</v>
      </c>
      <c r="O136" s="62" t="b">
        <f>Main3WData[[#This Row],[Count PT.Concat]]=1</f>
        <v>1</v>
      </c>
      <c r="P136" s="62">
        <f t="array" ref="P136">MAX(($N$4:N135=Main3WData[[#This Row],[PT.ID]])*ROW($N$4:N135))</f>
        <v>0</v>
      </c>
      <c r="Q136" s="62" t="str">
        <f>IF(Main3WData[[#This Row],[PT.FirstID]],Main3WData[[#This Row],[Acronym]],INDEX($Q$4:Q135,Main3WData[[#This Row],[PT.LastID.Row]]-ROW($Q$4)+1) &amp; ", "&amp;Main3WData[[#This Row],[Acronym]])</f>
        <v>OMS</v>
      </c>
      <c r="R136" s="62" t="b">
        <f t="array" ref="R136">MAX(IF(Main3WData[PT.ID]=Main3WData[[#This Row],[PT.ID]],Main3WData[PT.LastID.Row]))=Main3WData[[#This Row],[PT.LastID.Row]]</f>
        <v>1</v>
      </c>
    </row>
    <row r="137" spans="2:18" ht="16.5" customHeight="1" x14ac:dyDescent="0.2">
      <c r="B137" s="55" t="s">
        <v>78</v>
      </c>
      <c r="C137" s="27" t="str">
        <f>INDEX(Organizations[],MATCH(Main3WData[[#This Row],[Acronym]],AcronymList,0),1)</f>
        <v>World Food Programme</v>
      </c>
      <c r="D137" s="27" t="str">
        <f>INDEX(Organizations[],MATCH(Main3WData[[#This Row],[Acronym]],AcronymList,0),3)</f>
        <v>UN Agency</v>
      </c>
      <c r="E137" s="54" t="s">
        <v>353</v>
      </c>
      <c r="F137" s="53" t="s">
        <v>82</v>
      </c>
      <c r="G137" s="54" t="s">
        <v>396</v>
      </c>
      <c r="H137" s="28" t="str">
        <f>VLOOKUP(Main3WData[[#This Row],[Admin Unit Name]],AdminUnits[],2,FALSE)</f>
        <v>GIN005001</v>
      </c>
      <c r="I137" s="57">
        <v>0</v>
      </c>
      <c r="J137" s="67" t="str">
        <f>Main3WData[[#This Row],[Acronym]]&amp;Main3WData[[#This Row],[Sector]]&amp;Main3WData[[#This Row],[Activity Type]]&amp;Main3WData[[#This Row],[Pcode]]</f>
        <v>WFPPrise en chargeOngoingGIN005001</v>
      </c>
      <c r="K137" s="69">
        <f>COUNTIF(Main3WData[Concatenate],Main3WData[[#This Row],[Concatenate]])</f>
        <v>1</v>
      </c>
      <c r="L137" s="61" t="str">
        <f>Main3WData[[#This Row],[Sector]]&amp;Main3WData[[#This Row],[Pcode]]</f>
        <v>Prise en chargeGIN005001</v>
      </c>
      <c r="M137" s="71">
        <f>COUNTIF($L$5:L137,Main3WData[[#This Row],[PT.Concat]])</f>
        <v>1</v>
      </c>
      <c r="N137" s="70">
        <f>MATCH(Main3WData[[#This Row],[PT.Concat]],$L$5:L137,0)</f>
        <v>133</v>
      </c>
      <c r="O137" s="62" t="b">
        <f>Main3WData[[#This Row],[Count PT.Concat]]=1</f>
        <v>1</v>
      </c>
      <c r="P137" s="62">
        <f t="array" ref="P137">MAX(($N$4:N136=Main3WData[[#This Row],[PT.ID]])*ROW($N$4:N136))</f>
        <v>0</v>
      </c>
      <c r="Q137" s="62" t="str">
        <f>IF(Main3WData[[#This Row],[PT.FirstID]],Main3WData[[#This Row],[Acronym]],INDEX($Q$4:Q136,Main3WData[[#This Row],[PT.LastID.Row]]-ROW($Q$4)+1) &amp; ", "&amp;Main3WData[[#This Row],[Acronym]])</f>
        <v>WFP</v>
      </c>
      <c r="R137" s="62" t="b">
        <f t="array" ref="R137">MAX(IF(Main3WData[PT.ID]=Main3WData[[#This Row],[PT.ID]],Main3WData[PT.LastID.Row]))=Main3WData[[#This Row],[PT.LastID.Row]]</f>
        <v>0</v>
      </c>
    </row>
    <row r="138" spans="2:18" ht="16.5" customHeight="1" x14ac:dyDescent="0.2">
      <c r="B138" s="55" t="s">
        <v>512</v>
      </c>
      <c r="C138" s="27" t="str">
        <f>INDEX(Organizations[],MATCH(Main3WData[[#This Row],[Acronym]],AcronymList,0),1)</f>
        <v>World Health Organization</v>
      </c>
      <c r="D138" s="27" t="str">
        <f>INDEX(Organizations[],MATCH(Main3WData[[#This Row],[Acronym]],AcronymList,0),3)</f>
        <v>UN Agency</v>
      </c>
      <c r="E138" s="54" t="s">
        <v>353</v>
      </c>
      <c r="F138" s="53" t="s">
        <v>82</v>
      </c>
      <c r="G138" s="54" t="s">
        <v>396</v>
      </c>
      <c r="H138" s="28" t="str">
        <f>VLOOKUP(Main3WData[[#This Row],[Admin Unit Name]],AdminUnits[],2,FALSE)</f>
        <v>GIN005001</v>
      </c>
      <c r="I138" s="57">
        <v>0</v>
      </c>
      <c r="J138" s="67" t="str">
        <f>Main3WData[[#This Row],[Acronym]]&amp;Main3WData[[#This Row],[Sector]]&amp;Main3WData[[#This Row],[Activity Type]]&amp;Main3WData[[#This Row],[Pcode]]</f>
        <v>OMSPrise en chargeOngoingGIN005001</v>
      </c>
      <c r="K138" s="69">
        <f>COUNTIF(Main3WData[Concatenate],Main3WData[[#This Row],[Concatenate]])</f>
        <v>1</v>
      </c>
      <c r="L138" s="61" t="str">
        <f>Main3WData[[#This Row],[Sector]]&amp;Main3WData[[#This Row],[Pcode]]</f>
        <v>Prise en chargeGIN005001</v>
      </c>
      <c r="M138" s="71">
        <f>COUNTIF($L$5:L138,Main3WData[[#This Row],[PT.Concat]])</f>
        <v>2</v>
      </c>
      <c r="N138" s="70">
        <f>MATCH(Main3WData[[#This Row],[PT.Concat]],$L$5:L138,0)</f>
        <v>133</v>
      </c>
      <c r="O138" s="62" t="b">
        <f>Main3WData[[#This Row],[Count PT.Concat]]=1</f>
        <v>0</v>
      </c>
      <c r="P138" s="62">
        <f t="array" ref="P138">MAX(($N$4:N137=Main3WData[[#This Row],[PT.ID]])*ROW($N$4:N137))</f>
        <v>137</v>
      </c>
      <c r="Q138" s="62" t="str">
        <f>IF(Main3WData[[#This Row],[PT.FirstID]],Main3WData[[#This Row],[Acronym]],INDEX($Q$4:Q137,Main3WData[[#This Row],[PT.LastID.Row]]-ROW($Q$4)+1) &amp; ", "&amp;Main3WData[[#This Row],[Acronym]])</f>
        <v>WFP, OMS</v>
      </c>
      <c r="R138" s="62" t="b">
        <f t="array" ref="R138">MAX(IF(Main3WData[PT.ID]=Main3WData[[#This Row],[PT.ID]],Main3WData[PT.LastID.Row]))=Main3WData[[#This Row],[PT.LastID.Row]]</f>
        <v>0</v>
      </c>
    </row>
    <row r="139" spans="2:18" ht="16.5" customHeight="1" x14ac:dyDescent="0.2">
      <c r="B139" s="55" t="s">
        <v>500</v>
      </c>
      <c r="C139" s="27" t="str">
        <f>INDEX(Organizations[],MATCH(Main3WData[[#This Row],[Acronym]],AcronymList,0),1)</f>
        <v>CUBAINS</v>
      </c>
      <c r="D139" s="27" t="str">
        <f>INDEX(Organizations[],MATCH(Main3WData[[#This Row],[Acronym]],AcronymList,0),3)</f>
        <v>International NGO</v>
      </c>
      <c r="E139" s="54" t="s">
        <v>353</v>
      </c>
      <c r="F139" s="53" t="s">
        <v>82</v>
      </c>
      <c r="G139" s="54" t="s">
        <v>396</v>
      </c>
      <c r="H139" s="28" t="str">
        <f>VLOOKUP(Main3WData[[#This Row],[Admin Unit Name]],AdminUnits[],2,FALSE)</f>
        <v>GIN005001</v>
      </c>
      <c r="I139" s="57">
        <v>0</v>
      </c>
      <c r="J139" s="67" t="str">
        <f>Main3WData[[#This Row],[Acronym]]&amp;Main3WData[[#This Row],[Sector]]&amp;Main3WData[[#This Row],[Activity Type]]&amp;Main3WData[[#This Row],[Pcode]]</f>
        <v>CUBAINSPrise en chargeOngoingGIN005001</v>
      </c>
      <c r="K139" s="69">
        <f>COUNTIF(Main3WData[Concatenate],Main3WData[[#This Row],[Concatenate]])</f>
        <v>1</v>
      </c>
      <c r="L139" s="61" t="str">
        <f>Main3WData[[#This Row],[Sector]]&amp;Main3WData[[#This Row],[Pcode]]</f>
        <v>Prise en chargeGIN005001</v>
      </c>
      <c r="M139" s="71">
        <f>COUNTIF($L$5:L139,Main3WData[[#This Row],[PT.Concat]])</f>
        <v>3</v>
      </c>
      <c r="N139" s="70">
        <f>MATCH(Main3WData[[#This Row],[PT.Concat]],$L$5:L139,0)</f>
        <v>133</v>
      </c>
      <c r="O139" s="62" t="b">
        <f>Main3WData[[#This Row],[Count PT.Concat]]=1</f>
        <v>0</v>
      </c>
      <c r="P139" s="62">
        <f t="array" ref="P139">MAX(($N$4:N138=Main3WData[[#This Row],[PT.ID]])*ROW($N$4:N138))</f>
        <v>138</v>
      </c>
      <c r="Q139" s="62" t="str">
        <f>IF(Main3WData[[#This Row],[PT.FirstID]],Main3WData[[#This Row],[Acronym]],INDEX($Q$4:Q138,Main3WData[[#This Row],[PT.LastID.Row]]-ROW($Q$4)+1) &amp; ", "&amp;Main3WData[[#This Row],[Acronym]])</f>
        <v>WFP, OMS, CUBAINS</v>
      </c>
      <c r="R139" s="62" t="b">
        <f t="array" ref="R139">MAX(IF(Main3WData[PT.ID]=Main3WData[[#This Row],[PT.ID]],Main3WData[PT.LastID.Row]))=Main3WData[[#This Row],[PT.LastID.Row]]</f>
        <v>0</v>
      </c>
    </row>
    <row r="140" spans="2:18" ht="16.5" customHeight="1" x14ac:dyDescent="0.2">
      <c r="B140" s="55" t="s">
        <v>66</v>
      </c>
      <c r="C140" s="27" t="str">
        <f>INDEX(Organizations[],MATCH(Main3WData[[#This Row],[Acronym]],AcronymList,0),1)</f>
        <v>Catholic Relief Services</v>
      </c>
      <c r="D140" s="27" t="str">
        <f>INDEX(Organizations[],MATCH(Main3WData[[#This Row],[Acronym]],AcronymList,0),3)</f>
        <v>International NGO</v>
      </c>
      <c r="E140" s="54" t="s">
        <v>353</v>
      </c>
      <c r="F140" s="53" t="s">
        <v>82</v>
      </c>
      <c r="G140" s="54" t="s">
        <v>396</v>
      </c>
      <c r="H140" s="28" t="str">
        <f>VLOOKUP(Main3WData[[#This Row],[Admin Unit Name]],AdminUnits[],2,FALSE)</f>
        <v>GIN005001</v>
      </c>
      <c r="I140" s="57">
        <v>0</v>
      </c>
      <c r="J140" s="67" t="str">
        <f>Main3WData[[#This Row],[Acronym]]&amp;Main3WData[[#This Row],[Sector]]&amp;Main3WData[[#This Row],[Activity Type]]&amp;Main3WData[[#This Row],[Pcode]]</f>
        <v>CRSPrise en chargeOngoingGIN005001</v>
      </c>
      <c r="K140" s="69">
        <f>COUNTIF(Main3WData[Concatenate],Main3WData[[#This Row],[Concatenate]])</f>
        <v>1</v>
      </c>
      <c r="L140" s="61" t="str">
        <f>Main3WData[[#This Row],[Sector]]&amp;Main3WData[[#This Row],[Pcode]]</f>
        <v>Prise en chargeGIN005001</v>
      </c>
      <c r="M140" s="71">
        <f>COUNTIF($L$5:L140,Main3WData[[#This Row],[PT.Concat]])</f>
        <v>4</v>
      </c>
      <c r="N140" s="70">
        <f>MATCH(Main3WData[[#This Row],[PT.Concat]],$L$5:L140,0)</f>
        <v>133</v>
      </c>
      <c r="O140" s="62" t="b">
        <f>Main3WData[[#This Row],[Count PT.Concat]]=1</f>
        <v>0</v>
      </c>
      <c r="P140" s="62">
        <f t="array" ref="P140">MAX(($N$4:N139=Main3WData[[#This Row],[PT.ID]])*ROW($N$4:N139))</f>
        <v>139</v>
      </c>
      <c r="Q140" s="62" t="str">
        <f>IF(Main3WData[[#This Row],[PT.FirstID]],Main3WData[[#This Row],[Acronym]],INDEX($Q$4:Q139,Main3WData[[#This Row],[PT.LastID.Row]]-ROW($Q$4)+1) &amp; ", "&amp;Main3WData[[#This Row],[Acronym]])</f>
        <v>WFP, OMS, CUBAINS, CRS</v>
      </c>
      <c r="R140" s="62" t="b">
        <f t="array" ref="R140">MAX(IF(Main3WData[PT.ID]=Main3WData[[#This Row],[PT.ID]],Main3WData[PT.LastID.Row]))=Main3WData[[#This Row],[PT.LastID.Row]]</f>
        <v>1</v>
      </c>
    </row>
    <row r="141" spans="2:18" ht="16.5" customHeight="1" x14ac:dyDescent="0.2">
      <c r="B141" s="55" t="s">
        <v>78</v>
      </c>
      <c r="C141" s="27" t="str">
        <f>INDEX(Organizations[],MATCH(Main3WData[[#This Row],[Acronym]],AcronymList,0),1)</f>
        <v>World Food Programme</v>
      </c>
      <c r="D141" s="27" t="str">
        <f>INDEX(Organizations[],MATCH(Main3WData[[#This Row],[Acronym]],AcronymList,0),3)</f>
        <v>UN Agency</v>
      </c>
      <c r="E141" s="54" t="s">
        <v>355</v>
      </c>
      <c r="F141" s="53" t="s">
        <v>82</v>
      </c>
      <c r="G141" s="54" t="s">
        <v>396</v>
      </c>
      <c r="H141" s="28" t="str">
        <f>VLOOKUP(Main3WData[[#This Row],[Admin Unit Name]],AdminUnits[],2,FALSE)</f>
        <v>GIN005001</v>
      </c>
      <c r="I141" s="57">
        <v>0</v>
      </c>
      <c r="J141" s="67" t="str">
        <f>Main3WData[[#This Row],[Acronym]]&amp;Main3WData[[#This Row],[Sector]]&amp;Main3WData[[#This Row],[Activity Type]]&amp;Main3WData[[#This Row],[Pcode]]</f>
        <v>WFPSoutien nutritionnel et socialOngoingGIN005001</v>
      </c>
      <c r="K141" s="69">
        <f>COUNTIF(Main3WData[Concatenate],Main3WData[[#This Row],[Concatenate]])</f>
        <v>1</v>
      </c>
      <c r="L141" s="61" t="str">
        <f>Main3WData[[#This Row],[Sector]]&amp;Main3WData[[#This Row],[Pcode]]</f>
        <v>Soutien nutritionnel et socialGIN005001</v>
      </c>
      <c r="M141" s="71">
        <f>COUNTIF($L$5:L141,Main3WData[[#This Row],[PT.Concat]])</f>
        <v>1</v>
      </c>
      <c r="N141" s="70">
        <f>MATCH(Main3WData[[#This Row],[PT.Concat]],$L$5:L141,0)</f>
        <v>137</v>
      </c>
      <c r="O141" s="62" t="b">
        <f>Main3WData[[#This Row],[Count PT.Concat]]=1</f>
        <v>1</v>
      </c>
      <c r="P141" s="62">
        <f t="array" ref="P141">MAX(($N$4:N140=Main3WData[[#This Row],[PT.ID]])*ROW($N$4:N140))</f>
        <v>0</v>
      </c>
      <c r="Q141" s="62" t="str">
        <f>IF(Main3WData[[#This Row],[PT.FirstID]],Main3WData[[#This Row],[Acronym]],INDEX($Q$4:Q140,Main3WData[[#This Row],[PT.LastID.Row]]-ROW($Q$4)+1) &amp; ", "&amp;Main3WData[[#This Row],[Acronym]])</f>
        <v>WFP</v>
      </c>
      <c r="R141" s="62" t="b">
        <f t="array" ref="R141">MAX(IF(Main3WData[PT.ID]=Main3WData[[#This Row],[PT.ID]],Main3WData[PT.LastID.Row]))=Main3WData[[#This Row],[PT.LastID.Row]]</f>
        <v>0</v>
      </c>
    </row>
    <row r="142" spans="2:18" ht="16.5" customHeight="1" x14ac:dyDescent="0.2">
      <c r="B142" s="55" t="s">
        <v>66</v>
      </c>
      <c r="C142" s="27" t="str">
        <f>INDEX(Organizations[],MATCH(Main3WData[[#This Row],[Acronym]],AcronymList,0),1)</f>
        <v>Catholic Relief Services</v>
      </c>
      <c r="D142" s="27" t="str">
        <f>INDEX(Organizations[],MATCH(Main3WData[[#This Row],[Acronym]],AcronymList,0),3)</f>
        <v>International NGO</v>
      </c>
      <c r="E142" s="54" t="s">
        <v>355</v>
      </c>
      <c r="F142" s="53" t="s">
        <v>82</v>
      </c>
      <c r="G142" s="54" t="s">
        <v>396</v>
      </c>
      <c r="H142" s="28" t="str">
        <f>VLOOKUP(Main3WData[[#This Row],[Admin Unit Name]],AdminUnits[],2,FALSE)</f>
        <v>GIN005001</v>
      </c>
      <c r="I142" s="57">
        <v>0</v>
      </c>
      <c r="J142" s="67" t="str">
        <f>Main3WData[[#This Row],[Acronym]]&amp;Main3WData[[#This Row],[Sector]]&amp;Main3WData[[#This Row],[Activity Type]]&amp;Main3WData[[#This Row],[Pcode]]</f>
        <v>CRSSoutien nutritionnel et socialOngoingGIN005001</v>
      </c>
      <c r="K142" s="69">
        <f>COUNTIF(Main3WData[Concatenate],Main3WData[[#This Row],[Concatenate]])</f>
        <v>1</v>
      </c>
      <c r="L142" s="61" t="str">
        <f>Main3WData[[#This Row],[Sector]]&amp;Main3WData[[#This Row],[Pcode]]</f>
        <v>Soutien nutritionnel et socialGIN005001</v>
      </c>
      <c r="M142" s="71">
        <f>COUNTIF($L$5:L142,Main3WData[[#This Row],[PT.Concat]])</f>
        <v>2</v>
      </c>
      <c r="N142" s="70">
        <f>MATCH(Main3WData[[#This Row],[PT.Concat]],$L$5:L142,0)</f>
        <v>137</v>
      </c>
      <c r="O142" s="62" t="b">
        <f>Main3WData[[#This Row],[Count PT.Concat]]=1</f>
        <v>0</v>
      </c>
      <c r="P142" s="62">
        <f t="array" ref="P142">MAX(($N$4:N141=Main3WData[[#This Row],[PT.ID]])*ROW($N$4:N141))</f>
        <v>141</v>
      </c>
      <c r="Q142" s="62" t="str">
        <f>IF(Main3WData[[#This Row],[PT.FirstID]],Main3WData[[#This Row],[Acronym]],INDEX($Q$4:Q141,Main3WData[[#This Row],[PT.LastID.Row]]-ROW($Q$4)+1) &amp; ", "&amp;Main3WData[[#This Row],[Acronym]])</f>
        <v>WFP, CRS</v>
      </c>
      <c r="R142" s="62" t="b">
        <f t="array" ref="R142">MAX(IF(Main3WData[PT.ID]=Main3WData[[#This Row],[PT.ID]],Main3WData[PT.LastID.Row]))=Main3WData[[#This Row],[PT.LastID.Row]]</f>
        <v>1</v>
      </c>
    </row>
    <row r="143" spans="2:18" ht="16.5" customHeight="1" x14ac:dyDescent="0.2">
      <c r="B143" s="55" t="s">
        <v>75</v>
      </c>
      <c r="C143" s="27" t="str">
        <f>INDEX(Organizations[],MATCH(Main3WData[[#This Row],[Acronym]],AcronymList,0),1)</f>
        <v>United Nations Population Fund</v>
      </c>
      <c r="D143" s="27" t="str">
        <f>INDEX(Organizations[],MATCH(Main3WData[[#This Row],[Acronym]],AcronymList,0),3)</f>
        <v>UN Agency</v>
      </c>
      <c r="E143" s="54" t="s">
        <v>351</v>
      </c>
      <c r="F143" s="53" t="s">
        <v>82</v>
      </c>
      <c r="G143" s="54" t="s">
        <v>396</v>
      </c>
      <c r="H143" s="28" t="str">
        <f>VLOOKUP(Main3WData[[#This Row],[Admin Unit Name]],AdminUnits[],2,FALSE)</f>
        <v>GIN005001</v>
      </c>
      <c r="I143" s="57">
        <v>0</v>
      </c>
      <c r="J143" s="67" t="str">
        <f>Main3WData[[#This Row],[Acronym]]&amp;Main3WData[[#This Row],[Sector]]&amp;Main3WData[[#This Row],[Activity Type]]&amp;Main3WData[[#This Row],[Pcode]]</f>
        <v>UNFPASurveillance &amp; suiviOngoingGIN005001</v>
      </c>
      <c r="K143" s="69">
        <f>COUNTIF(Main3WData[Concatenate],Main3WData[[#This Row],[Concatenate]])</f>
        <v>1</v>
      </c>
      <c r="L143" s="61" t="str">
        <f>Main3WData[[#This Row],[Sector]]&amp;Main3WData[[#This Row],[Pcode]]</f>
        <v>Surveillance &amp; suiviGIN005001</v>
      </c>
      <c r="M143" s="71">
        <f>COUNTIF($L$5:L143,Main3WData[[#This Row],[PT.Concat]])</f>
        <v>1</v>
      </c>
      <c r="N143" s="70">
        <f>MATCH(Main3WData[[#This Row],[PT.Concat]],$L$5:L143,0)</f>
        <v>139</v>
      </c>
      <c r="O143" s="62" t="b">
        <f>Main3WData[[#This Row],[Count PT.Concat]]=1</f>
        <v>1</v>
      </c>
      <c r="P143" s="62">
        <f t="array" ref="P143">MAX(($N$4:N142=Main3WData[[#This Row],[PT.ID]])*ROW($N$4:N142))</f>
        <v>0</v>
      </c>
      <c r="Q143" s="62" t="str">
        <f>IF(Main3WData[[#This Row],[PT.FirstID]],Main3WData[[#This Row],[Acronym]],INDEX($Q$4:Q142,Main3WData[[#This Row],[PT.LastID.Row]]-ROW($Q$4)+1) &amp; ", "&amp;Main3WData[[#This Row],[Acronym]])</f>
        <v>UNFPA</v>
      </c>
      <c r="R143" s="62" t="b">
        <f t="array" ref="R143">MAX(IF(Main3WData[PT.ID]=Main3WData[[#This Row],[PT.ID]],Main3WData[PT.LastID.Row]))=Main3WData[[#This Row],[PT.LastID.Row]]</f>
        <v>0</v>
      </c>
    </row>
    <row r="144" spans="2:18" ht="16.5" customHeight="1" x14ac:dyDescent="0.2">
      <c r="B144" s="55" t="s">
        <v>72</v>
      </c>
      <c r="C144" s="27" t="str">
        <f>INDEX(Organizations[],MATCH(Main3WData[[#This Row],[Acronym]],AcronymList,0),1)</f>
        <v>PLAN</v>
      </c>
      <c r="D144" s="27" t="str">
        <f>INDEX(Organizations[],MATCH(Main3WData[[#This Row],[Acronym]],AcronymList,0),3)</f>
        <v>International Organization</v>
      </c>
      <c r="E144" s="54" t="s">
        <v>351</v>
      </c>
      <c r="F144" s="53" t="s">
        <v>82</v>
      </c>
      <c r="G144" s="54" t="s">
        <v>396</v>
      </c>
      <c r="H144" s="28" t="str">
        <f>VLOOKUP(Main3WData[[#This Row],[Admin Unit Name]],AdminUnits[],2,FALSE)</f>
        <v>GIN005001</v>
      </c>
      <c r="I144" s="57">
        <v>0</v>
      </c>
      <c r="J144" s="67" t="str">
        <f>Main3WData[[#This Row],[Acronym]]&amp;Main3WData[[#This Row],[Sector]]&amp;Main3WData[[#This Row],[Activity Type]]&amp;Main3WData[[#This Row],[Pcode]]</f>
        <v>PLANSurveillance &amp; suiviOngoingGIN005001</v>
      </c>
      <c r="K144" s="69">
        <f>COUNTIF(Main3WData[Concatenate],Main3WData[[#This Row],[Concatenate]])</f>
        <v>1</v>
      </c>
      <c r="L144" s="61" t="str">
        <f>Main3WData[[#This Row],[Sector]]&amp;Main3WData[[#This Row],[Pcode]]</f>
        <v>Surveillance &amp; suiviGIN005001</v>
      </c>
      <c r="M144" s="71">
        <f>COUNTIF($L$5:L144,Main3WData[[#This Row],[PT.Concat]])</f>
        <v>2</v>
      </c>
      <c r="N144" s="70">
        <f>MATCH(Main3WData[[#This Row],[PT.Concat]],$L$5:L144,0)</f>
        <v>139</v>
      </c>
      <c r="O144" s="62" t="b">
        <f>Main3WData[[#This Row],[Count PT.Concat]]=1</f>
        <v>0</v>
      </c>
      <c r="P144" s="62">
        <f t="array" ref="P144">MAX(($N$4:N143=Main3WData[[#This Row],[PT.ID]])*ROW($N$4:N143))</f>
        <v>143</v>
      </c>
      <c r="Q144" s="62" t="str">
        <f>IF(Main3WData[[#This Row],[PT.FirstID]],Main3WData[[#This Row],[Acronym]],INDEX($Q$4:Q143,Main3WData[[#This Row],[PT.LastID.Row]]-ROW($Q$4)+1) &amp; ", "&amp;Main3WData[[#This Row],[Acronym]])</f>
        <v>UNFPA, PLAN</v>
      </c>
      <c r="R144" s="62" t="b">
        <f t="array" ref="R144">MAX(IF(Main3WData[PT.ID]=Main3WData[[#This Row],[PT.ID]],Main3WData[PT.LastID.Row]))=Main3WData[[#This Row],[PT.LastID.Row]]</f>
        <v>0</v>
      </c>
    </row>
    <row r="145" spans="2:18" ht="16.5" customHeight="1" x14ac:dyDescent="0.2">
      <c r="B145" s="55" t="s">
        <v>512</v>
      </c>
      <c r="C145" s="27" t="str">
        <f>INDEX(Organizations[],MATCH(Main3WData[[#This Row],[Acronym]],AcronymList,0),1)</f>
        <v>World Health Organization</v>
      </c>
      <c r="D145" s="27" t="str">
        <f>INDEX(Organizations[],MATCH(Main3WData[[#This Row],[Acronym]],AcronymList,0),3)</f>
        <v>UN Agency</v>
      </c>
      <c r="E145" s="54" t="s">
        <v>351</v>
      </c>
      <c r="F145" s="53" t="s">
        <v>82</v>
      </c>
      <c r="G145" s="54" t="s">
        <v>396</v>
      </c>
      <c r="H145" s="28" t="str">
        <f>VLOOKUP(Main3WData[[#This Row],[Admin Unit Name]],AdminUnits[],2,FALSE)</f>
        <v>GIN005001</v>
      </c>
      <c r="I145" s="57">
        <v>0</v>
      </c>
      <c r="J145" s="67" t="str">
        <f>Main3WData[[#This Row],[Acronym]]&amp;Main3WData[[#This Row],[Sector]]&amp;Main3WData[[#This Row],[Activity Type]]&amp;Main3WData[[#This Row],[Pcode]]</f>
        <v>OMSSurveillance &amp; suiviOngoingGIN005001</v>
      </c>
      <c r="K145" s="69">
        <f>COUNTIF(Main3WData[Concatenate],Main3WData[[#This Row],[Concatenate]])</f>
        <v>1</v>
      </c>
      <c r="L145" s="61" t="str">
        <f>Main3WData[[#This Row],[Sector]]&amp;Main3WData[[#This Row],[Pcode]]</f>
        <v>Surveillance &amp; suiviGIN005001</v>
      </c>
      <c r="M145" s="71">
        <f>COUNTIF($L$5:L145,Main3WData[[#This Row],[PT.Concat]])</f>
        <v>3</v>
      </c>
      <c r="N145" s="70">
        <f>MATCH(Main3WData[[#This Row],[PT.Concat]],$L$5:L145,0)</f>
        <v>139</v>
      </c>
      <c r="O145" s="62" t="b">
        <f>Main3WData[[#This Row],[Count PT.Concat]]=1</f>
        <v>0</v>
      </c>
      <c r="P145" s="62">
        <f t="array" ref="P145">MAX(($N$4:N144=Main3WData[[#This Row],[PT.ID]])*ROW($N$4:N144))</f>
        <v>144</v>
      </c>
      <c r="Q145" s="62" t="str">
        <f>IF(Main3WData[[#This Row],[PT.FirstID]],Main3WData[[#This Row],[Acronym]],INDEX($Q$4:Q144,Main3WData[[#This Row],[PT.LastID.Row]]-ROW($Q$4)+1) &amp; ", "&amp;Main3WData[[#This Row],[Acronym]])</f>
        <v>UNFPA, PLAN, OMS</v>
      </c>
      <c r="R145" s="62" t="b">
        <f t="array" ref="R145">MAX(IF(Main3WData[PT.ID]=Main3WData[[#This Row],[PT.ID]],Main3WData[PT.LastID.Row]))=Main3WData[[#This Row],[PT.LastID.Row]]</f>
        <v>0</v>
      </c>
    </row>
    <row r="146" spans="2:18" ht="16.5" customHeight="1" x14ac:dyDescent="0.2">
      <c r="B146" s="55" t="s">
        <v>496</v>
      </c>
      <c r="C146" s="27" t="str">
        <f>INDEX(Organizations[],MATCH(Main3WData[[#This Row],[Acronym]],AcronymList,0),1)</f>
        <v>Columbia University</v>
      </c>
      <c r="D146" s="27" t="str">
        <f>INDEX(Organizations[],MATCH(Main3WData[[#This Row],[Acronym]],AcronymList,0),3)</f>
        <v>Education</v>
      </c>
      <c r="E146" s="54" t="s">
        <v>351</v>
      </c>
      <c r="F146" s="53" t="s">
        <v>82</v>
      </c>
      <c r="G146" s="54" t="s">
        <v>396</v>
      </c>
      <c r="H146" s="28" t="str">
        <f>VLOOKUP(Main3WData[[#This Row],[Admin Unit Name]],AdminUnits[],2,FALSE)</f>
        <v>GIN005001</v>
      </c>
      <c r="I146" s="57">
        <v>0</v>
      </c>
      <c r="J146" s="67" t="str">
        <f>Main3WData[[#This Row],[Acronym]]&amp;Main3WData[[#This Row],[Sector]]&amp;Main3WData[[#This Row],[Activity Type]]&amp;Main3WData[[#This Row],[Pcode]]</f>
        <v>Columbia UnivSurveillance &amp; suiviOngoingGIN005001</v>
      </c>
      <c r="K146" s="69">
        <f>COUNTIF(Main3WData[Concatenate],Main3WData[[#This Row],[Concatenate]])</f>
        <v>1</v>
      </c>
      <c r="L146" s="61" t="str">
        <f>Main3WData[[#This Row],[Sector]]&amp;Main3WData[[#This Row],[Pcode]]</f>
        <v>Surveillance &amp; suiviGIN005001</v>
      </c>
      <c r="M146" s="71">
        <f>COUNTIF($L$5:L146,Main3WData[[#This Row],[PT.Concat]])</f>
        <v>4</v>
      </c>
      <c r="N146" s="70">
        <f>MATCH(Main3WData[[#This Row],[PT.Concat]],$L$5:L146,0)</f>
        <v>139</v>
      </c>
      <c r="O146" s="62" t="b">
        <f>Main3WData[[#This Row],[Count PT.Concat]]=1</f>
        <v>0</v>
      </c>
      <c r="P146" s="62">
        <f t="array" ref="P146">MAX(($N$4:N145=Main3WData[[#This Row],[PT.ID]])*ROW($N$4:N145))</f>
        <v>145</v>
      </c>
      <c r="Q146" s="62" t="str">
        <f>IF(Main3WData[[#This Row],[PT.FirstID]],Main3WData[[#This Row],[Acronym]],INDEX($Q$4:Q145,Main3WData[[#This Row],[PT.LastID.Row]]-ROW($Q$4)+1) &amp; ", "&amp;Main3WData[[#This Row],[Acronym]])</f>
        <v>UNFPA, PLAN, OMS, Columbia Univ</v>
      </c>
      <c r="R146" s="62" t="b">
        <f t="array" ref="R146">MAX(IF(Main3WData[PT.ID]=Main3WData[[#This Row],[PT.ID]],Main3WData[PT.LastID.Row]))=Main3WData[[#This Row],[PT.LastID.Row]]</f>
        <v>0</v>
      </c>
    </row>
    <row r="147" spans="2:18" ht="16.5" customHeight="1" x14ac:dyDescent="0.2">
      <c r="B147" s="55" t="s">
        <v>64</v>
      </c>
      <c r="C147" s="27" t="str">
        <f>INDEX(Organizations[],MATCH(Main3WData[[#This Row],[Acronym]],AcronymList,0),1)</f>
        <v>CDC</v>
      </c>
      <c r="D147" s="27" t="str">
        <f>INDEX(Organizations[],MATCH(Main3WData[[#This Row],[Acronym]],AcronymList,0),3)</f>
        <v>International NGO</v>
      </c>
      <c r="E147" s="54" t="s">
        <v>351</v>
      </c>
      <c r="F147" s="53" t="s">
        <v>82</v>
      </c>
      <c r="G147" s="54" t="s">
        <v>396</v>
      </c>
      <c r="H147" s="28" t="str">
        <f>VLOOKUP(Main3WData[[#This Row],[Admin Unit Name]],AdminUnits[],2,FALSE)</f>
        <v>GIN005001</v>
      </c>
      <c r="I147" s="57">
        <v>0</v>
      </c>
      <c r="J147" s="67" t="str">
        <f>Main3WData[[#This Row],[Acronym]]&amp;Main3WData[[#This Row],[Sector]]&amp;Main3WData[[#This Row],[Activity Type]]&amp;Main3WData[[#This Row],[Pcode]]</f>
        <v>CDCSurveillance &amp; suiviOngoingGIN005001</v>
      </c>
      <c r="K147" s="69">
        <f>COUNTIF(Main3WData[Concatenate],Main3WData[[#This Row],[Concatenate]])</f>
        <v>1</v>
      </c>
      <c r="L147" s="61" t="str">
        <f>Main3WData[[#This Row],[Sector]]&amp;Main3WData[[#This Row],[Pcode]]</f>
        <v>Surveillance &amp; suiviGIN005001</v>
      </c>
      <c r="M147" s="71">
        <f>COUNTIF($L$5:L147,Main3WData[[#This Row],[PT.Concat]])</f>
        <v>5</v>
      </c>
      <c r="N147" s="70">
        <f>MATCH(Main3WData[[#This Row],[PT.Concat]],$L$5:L147,0)</f>
        <v>139</v>
      </c>
      <c r="O147" s="62" t="b">
        <f>Main3WData[[#This Row],[Count PT.Concat]]=1</f>
        <v>0</v>
      </c>
      <c r="P147" s="62">
        <f t="array" ref="P147">MAX(($N$4:N146=Main3WData[[#This Row],[PT.ID]])*ROW($N$4:N146))</f>
        <v>146</v>
      </c>
      <c r="Q147" s="62" t="str">
        <f>IF(Main3WData[[#This Row],[PT.FirstID]],Main3WData[[#This Row],[Acronym]],INDEX($Q$4:Q146,Main3WData[[#This Row],[PT.LastID.Row]]-ROW($Q$4)+1) &amp; ", "&amp;Main3WData[[#This Row],[Acronym]])</f>
        <v>UNFPA, PLAN, OMS, Columbia Univ, CDC</v>
      </c>
      <c r="R147" s="62" t="b">
        <f t="array" ref="R147">MAX(IF(Main3WData[PT.ID]=Main3WData[[#This Row],[PT.ID]],Main3WData[PT.LastID.Row]))=Main3WData[[#This Row],[PT.LastID.Row]]</f>
        <v>0</v>
      </c>
    </row>
    <row r="148" spans="2:18" ht="16.5" customHeight="1" x14ac:dyDescent="0.2">
      <c r="B148" s="55" t="s">
        <v>437</v>
      </c>
      <c r="C148" s="27" t="str">
        <f>INDEX(Organizations[],MATCH(Main3WData[[#This Row],[Acronym]],AcronymList,0),1)</f>
        <v>Action Contre la Faim Espagne</v>
      </c>
      <c r="D148" s="27" t="str">
        <f>INDEX(Organizations[],MATCH(Main3WData[[#This Row],[Acronym]],AcronymList,0),3)</f>
        <v>International NGO</v>
      </c>
      <c r="E148" s="54" t="s">
        <v>351</v>
      </c>
      <c r="F148" s="53" t="s">
        <v>82</v>
      </c>
      <c r="G148" s="54" t="s">
        <v>396</v>
      </c>
      <c r="H148" s="28" t="str">
        <f>VLOOKUP(Main3WData[[#This Row],[Admin Unit Name]],AdminUnits[],2,FALSE)</f>
        <v>GIN005001</v>
      </c>
      <c r="I148" s="57">
        <v>0</v>
      </c>
      <c r="J148" s="67" t="str">
        <f>Main3WData[[#This Row],[Acronym]]&amp;Main3WData[[#This Row],[Sector]]&amp;Main3WData[[#This Row],[Activity Type]]&amp;Main3WData[[#This Row],[Pcode]]</f>
        <v>ACF-ESurveillance &amp; suiviOngoingGIN005001</v>
      </c>
      <c r="K148" s="69">
        <f>COUNTIF(Main3WData[Concatenate],Main3WData[[#This Row],[Concatenate]])</f>
        <v>1</v>
      </c>
      <c r="L148" s="61" t="str">
        <f>Main3WData[[#This Row],[Sector]]&amp;Main3WData[[#This Row],[Pcode]]</f>
        <v>Surveillance &amp; suiviGIN005001</v>
      </c>
      <c r="M148" s="71">
        <f>COUNTIF($L$5:L148,Main3WData[[#This Row],[PT.Concat]])</f>
        <v>6</v>
      </c>
      <c r="N148" s="70">
        <f>MATCH(Main3WData[[#This Row],[PT.Concat]],$L$5:L148,0)</f>
        <v>139</v>
      </c>
      <c r="O148" s="62" t="b">
        <f>Main3WData[[#This Row],[Count PT.Concat]]=1</f>
        <v>0</v>
      </c>
      <c r="P148" s="62">
        <f t="array" ref="P148">MAX(($N$4:N147=Main3WData[[#This Row],[PT.ID]])*ROW($N$4:N147))</f>
        <v>147</v>
      </c>
      <c r="Q148" s="62" t="str">
        <f>IF(Main3WData[[#This Row],[PT.FirstID]],Main3WData[[#This Row],[Acronym]],INDEX($Q$4:Q147,Main3WData[[#This Row],[PT.LastID.Row]]-ROW($Q$4)+1) &amp; ", "&amp;Main3WData[[#This Row],[Acronym]])</f>
        <v>UNFPA, PLAN, OMS, Columbia Univ, CDC, ACF-E</v>
      </c>
      <c r="R148" s="62" t="b">
        <f t="array" ref="R148">MAX(IF(Main3WData[PT.ID]=Main3WData[[#This Row],[PT.ID]],Main3WData[PT.LastID.Row]))=Main3WData[[#This Row],[PT.LastID.Row]]</f>
        <v>1</v>
      </c>
    </row>
    <row r="149" spans="2:18" ht="16.5" customHeight="1" x14ac:dyDescent="0.2">
      <c r="B149" s="55" t="s">
        <v>514</v>
      </c>
      <c r="C149" s="27" t="str">
        <f>INDEX(Organizations[],MATCH(Main3WData[[#This Row],[Acronym]],AcronymList,0),1)</f>
        <v>RUSSIE</v>
      </c>
      <c r="D149" s="27" t="str">
        <f>INDEX(Organizations[],MATCH(Main3WData[[#This Row],[Acronym]],AcronymList,0),3)</f>
        <v>Donors</v>
      </c>
      <c r="E149" s="54" t="s">
        <v>352</v>
      </c>
      <c r="F149" s="53" t="s">
        <v>82</v>
      </c>
      <c r="G149" s="54" t="s">
        <v>396</v>
      </c>
      <c r="H149" s="28" t="str">
        <f>VLOOKUP(Main3WData[[#This Row],[Admin Unit Name]],AdminUnits[],2,FALSE)</f>
        <v>GIN005001</v>
      </c>
      <c r="I149" s="57">
        <v>0</v>
      </c>
      <c r="J149" s="67" t="str">
        <f>Main3WData[[#This Row],[Acronym]]&amp;Main3WData[[#This Row],[Sector]]&amp;Main3WData[[#This Row],[Activity Type]]&amp;Main3WData[[#This Row],[Pcode]]</f>
        <v>RUSSIETransport &amp; diagnostiquesOngoingGIN005001</v>
      </c>
      <c r="K149" s="69">
        <f>COUNTIF(Main3WData[Concatenate],Main3WData[[#This Row],[Concatenate]])</f>
        <v>1</v>
      </c>
      <c r="L149" s="61" t="str">
        <f>Main3WData[[#This Row],[Sector]]&amp;Main3WData[[#This Row],[Pcode]]</f>
        <v>Transport &amp; diagnostiquesGIN005001</v>
      </c>
      <c r="M149" s="71">
        <f>COUNTIF($L$5:L149,Main3WData[[#This Row],[PT.Concat]])</f>
        <v>1</v>
      </c>
      <c r="N149" s="70">
        <f>MATCH(Main3WData[[#This Row],[PT.Concat]],$L$5:L149,0)</f>
        <v>145</v>
      </c>
      <c r="O149" s="62" t="b">
        <f>Main3WData[[#This Row],[Count PT.Concat]]=1</f>
        <v>1</v>
      </c>
      <c r="P149" s="62">
        <f t="array" ref="P149">MAX(($N$4:N148=Main3WData[[#This Row],[PT.ID]])*ROW($N$4:N148))</f>
        <v>0</v>
      </c>
      <c r="Q149" s="62" t="str">
        <f>IF(Main3WData[[#This Row],[PT.FirstID]],Main3WData[[#This Row],[Acronym]],INDEX($Q$4:Q148,Main3WData[[#This Row],[PT.LastID.Row]]-ROW($Q$4)+1) &amp; ", "&amp;Main3WData[[#This Row],[Acronym]])</f>
        <v>RUSSIE</v>
      </c>
      <c r="R149" s="62" t="b">
        <f t="array" ref="R149">MAX(IF(Main3WData[PT.ID]=Main3WData[[#This Row],[PT.ID]],Main3WData[PT.LastID.Row]))=Main3WData[[#This Row],[PT.LastID.Row]]</f>
        <v>1</v>
      </c>
    </row>
    <row r="150" spans="2:18" ht="16.5" customHeight="1" x14ac:dyDescent="0.2">
      <c r="B150" s="55" t="s">
        <v>77</v>
      </c>
      <c r="C150" s="27" t="str">
        <f>INDEX(Organizations[],MATCH(Main3WData[[#This Row],[Acronym]],AcronymList,0),1)</f>
        <v>United Nations Children's Fund</v>
      </c>
      <c r="D150" s="27" t="str">
        <f>INDEX(Organizations[],MATCH(Main3WData[[#This Row],[Acronym]],AcronymList,0),3)</f>
        <v>UN Agency</v>
      </c>
      <c r="E150" s="54" t="s">
        <v>350</v>
      </c>
      <c r="F150" s="53" t="s">
        <v>82</v>
      </c>
      <c r="G150" s="54" t="s">
        <v>378</v>
      </c>
      <c r="H150" s="28" t="str">
        <f>VLOOKUP(Main3WData[[#This Row],[Admin Unit Name]],AdminUnits[],2,FALSE)</f>
        <v>GIN003001</v>
      </c>
      <c r="I150" s="57">
        <v>0</v>
      </c>
      <c r="J150" s="67" t="str">
        <f>Main3WData[[#This Row],[Acronym]]&amp;Main3WData[[#This Row],[Sector]]&amp;Main3WData[[#This Row],[Activity Type]]&amp;Main3WData[[#This Row],[Pcode]]</f>
        <v>UNICEFCommunication/Mobilisation socialeOngoingGIN003001</v>
      </c>
      <c r="K150" s="69">
        <f>COUNTIF(Main3WData[Concatenate],Main3WData[[#This Row],[Concatenate]])</f>
        <v>1</v>
      </c>
      <c r="L150" s="61" t="str">
        <f>Main3WData[[#This Row],[Sector]]&amp;Main3WData[[#This Row],[Pcode]]</f>
        <v>Communication/Mobilisation socialeGIN003001</v>
      </c>
      <c r="M150" s="71">
        <f>COUNTIF($L$5:L150,Main3WData[[#This Row],[PT.Concat]])</f>
        <v>1</v>
      </c>
      <c r="N150" s="70">
        <f>MATCH(Main3WData[[#This Row],[PT.Concat]],$L$5:L150,0)</f>
        <v>146</v>
      </c>
      <c r="O150" s="62" t="b">
        <f>Main3WData[[#This Row],[Count PT.Concat]]=1</f>
        <v>1</v>
      </c>
      <c r="P150" s="62">
        <f t="array" ref="P150">MAX(($N$4:N149=Main3WData[[#This Row],[PT.ID]])*ROW($N$4:N149))</f>
        <v>0</v>
      </c>
      <c r="Q150" s="62" t="str">
        <f>IF(Main3WData[[#This Row],[PT.FirstID]],Main3WData[[#This Row],[Acronym]],INDEX($Q$4:Q149,Main3WData[[#This Row],[PT.LastID.Row]]-ROW($Q$4)+1) &amp; ", "&amp;Main3WData[[#This Row],[Acronym]])</f>
        <v>UNICEF</v>
      </c>
      <c r="R150" s="62" t="b">
        <f t="array" ref="R150">MAX(IF(Main3WData[PT.ID]=Main3WData[[#This Row],[PT.ID]],Main3WData[PT.LastID.Row]))=Main3WData[[#This Row],[PT.LastID.Row]]</f>
        <v>0</v>
      </c>
    </row>
    <row r="151" spans="2:18" ht="16.5" customHeight="1" x14ac:dyDescent="0.2">
      <c r="B151" s="55" t="s">
        <v>75</v>
      </c>
      <c r="C151" s="27" t="str">
        <f>INDEX(Organizations[],MATCH(Main3WData[[#This Row],[Acronym]],AcronymList,0),1)</f>
        <v>United Nations Population Fund</v>
      </c>
      <c r="D151" s="27" t="str">
        <f>INDEX(Organizations[],MATCH(Main3WData[[#This Row],[Acronym]],AcronymList,0),3)</f>
        <v>UN Agency</v>
      </c>
      <c r="E151" s="54" t="s">
        <v>350</v>
      </c>
      <c r="F151" s="53" t="s">
        <v>82</v>
      </c>
      <c r="G151" s="54" t="s">
        <v>378</v>
      </c>
      <c r="H151" s="28" t="str">
        <f>VLOOKUP(Main3WData[[#This Row],[Admin Unit Name]],AdminUnits[],2,FALSE)</f>
        <v>GIN003001</v>
      </c>
      <c r="I151" s="57">
        <v>0</v>
      </c>
      <c r="J151" s="67" t="str">
        <f>Main3WData[[#This Row],[Acronym]]&amp;Main3WData[[#This Row],[Sector]]&amp;Main3WData[[#This Row],[Activity Type]]&amp;Main3WData[[#This Row],[Pcode]]</f>
        <v>UNFPACommunication/Mobilisation socialeOngoingGIN003001</v>
      </c>
      <c r="K151" s="69">
        <f>COUNTIF(Main3WData[Concatenate],Main3WData[[#This Row],[Concatenate]])</f>
        <v>1</v>
      </c>
      <c r="L151" s="61" t="str">
        <f>Main3WData[[#This Row],[Sector]]&amp;Main3WData[[#This Row],[Pcode]]</f>
        <v>Communication/Mobilisation socialeGIN003001</v>
      </c>
      <c r="M151" s="71">
        <f>COUNTIF($L$5:L151,Main3WData[[#This Row],[PT.Concat]])</f>
        <v>2</v>
      </c>
      <c r="N151" s="70">
        <f>MATCH(Main3WData[[#This Row],[PT.Concat]],$L$5:L151,0)</f>
        <v>146</v>
      </c>
      <c r="O151" s="62" t="b">
        <f>Main3WData[[#This Row],[Count PT.Concat]]=1</f>
        <v>0</v>
      </c>
      <c r="P151" s="62">
        <f t="array" ref="P151">MAX(($N$4:N150=Main3WData[[#This Row],[PT.ID]])*ROW($N$4:N150))</f>
        <v>150</v>
      </c>
      <c r="Q151" s="62" t="str">
        <f>IF(Main3WData[[#This Row],[PT.FirstID]],Main3WData[[#This Row],[Acronym]],INDEX($Q$4:Q150,Main3WData[[#This Row],[PT.LastID.Row]]-ROW($Q$4)+1) &amp; ", "&amp;Main3WData[[#This Row],[Acronym]])</f>
        <v>UNICEF, UNFPA</v>
      </c>
      <c r="R151" s="62" t="b">
        <f t="array" ref="R151">MAX(IF(Main3WData[PT.ID]=Main3WData[[#This Row],[PT.ID]],Main3WData[PT.LastID.Row]))=Main3WData[[#This Row],[PT.LastID.Row]]</f>
        <v>0</v>
      </c>
    </row>
    <row r="152" spans="2:18" ht="16.5" customHeight="1" x14ac:dyDescent="0.2">
      <c r="B152" s="55" t="s">
        <v>72</v>
      </c>
      <c r="C152" s="27" t="str">
        <f>INDEX(Organizations[],MATCH(Main3WData[[#This Row],[Acronym]],AcronymList,0),1)</f>
        <v>PLAN</v>
      </c>
      <c r="D152" s="27" t="str">
        <f>INDEX(Organizations[],MATCH(Main3WData[[#This Row],[Acronym]],AcronymList,0),3)</f>
        <v>International Organization</v>
      </c>
      <c r="E152" s="54" t="s">
        <v>350</v>
      </c>
      <c r="F152" s="53" t="s">
        <v>82</v>
      </c>
      <c r="G152" s="54" t="s">
        <v>378</v>
      </c>
      <c r="H152" s="28" t="str">
        <f>VLOOKUP(Main3WData[[#This Row],[Admin Unit Name]],AdminUnits[],2,FALSE)</f>
        <v>GIN003001</v>
      </c>
      <c r="I152" s="57">
        <v>0</v>
      </c>
      <c r="J152" s="67" t="str">
        <f>Main3WData[[#This Row],[Acronym]]&amp;Main3WData[[#This Row],[Sector]]&amp;Main3WData[[#This Row],[Activity Type]]&amp;Main3WData[[#This Row],[Pcode]]</f>
        <v>PLANCommunication/Mobilisation socialeOngoingGIN003001</v>
      </c>
      <c r="K152" s="69">
        <f>COUNTIF(Main3WData[Concatenate],Main3WData[[#This Row],[Concatenate]])</f>
        <v>1</v>
      </c>
      <c r="L152" s="61" t="str">
        <f>Main3WData[[#This Row],[Sector]]&amp;Main3WData[[#This Row],[Pcode]]</f>
        <v>Communication/Mobilisation socialeGIN003001</v>
      </c>
      <c r="M152" s="71">
        <f>COUNTIF($L$5:L152,Main3WData[[#This Row],[PT.Concat]])</f>
        <v>3</v>
      </c>
      <c r="N152" s="70">
        <f>MATCH(Main3WData[[#This Row],[PT.Concat]],$L$5:L152,0)</f>
        <v>146</v>
      </c>
      <c r="O152" s="62" t="b">
        <f>Main3WData[[#This Row],[Count PT.Concat]]=1</f>
        <v>0</v>
      </c>
      <c r="P152" s="62">
        <f t="array" ref="P152">MAX(($N$4:N151=Main3WData[[#This Row],[PT.ID]])*ROW($N$4:N151))</f>
        <v>151</v>
      </c>
      <c r="Q152" s="62" t="str">
        <f>IF(Main3WData[[#This Row],[PT.FirstID]],Main3WData[[#This Row],[Acronym]],INDEX($Q$4:Q151,Main3WData[[#This Row],[PT.LastID.Row]]-ROW($Q$4)+1) &amp; ", "&amp;Main3WData[[#This Row],[Acronym]])</f>
        <v>UNICEF, UNFPA, PLAN</v>
      </c>
      <c r="R152" s="62" t="b">
        <f t="array" ref="R152">MAX(IF(Main3WData[PT.ID]=Main3WData[[#This Row],[PT.ID]],Main3WData[PT.LastID.Row]))=Main3WData[[#This Row],[PT.LastID.Row]]</f>
        <v>0</v>
      </c>
    </row>
    <row r="153" spans="2:18" ht="16.5" customHeight="1" x14ac:dyDescent="0.2">
      <c r="B153" s="55" t="s">
        <v>512</v>
      </c>
      <c r="C153" s="27" t="str">
        <f>INDEX(Organizations[],MATCH(Main3WData[[#This Row],[Acronym]],AcronymList,0),1)</f>
        <v>World Health Organization</v>
      </c>
      <c r="D153" s="27" t="str">
        <f>INDEX(Organizations[],MATCH(Main3WData[[#This Row],[Acronym]],AcronymList,0),3)</f>
        <v>UN Agency</v>
      </c>
      <c r="E153" s="54" t="s">
        <v>350</v>
      </c>
      <c r="F153" s="53" t="s">
        <v>82</v>
      </c>
      <c r="G153" s="54" t="s">
        <v>378</v>
      </c>
      <c r="H153" s="28" t="str">
        <f>VLOOKUP(Main3WData[[#This Row],[Admin Unit Name]],AdminUnits[],2,FALSE)</f>
        <v>GIN003001</v>
      </c>
      <c r="I153" s="57">
        <v>0</v>
      </c>
      <c r="J153" s="67" t="str">
        <f>Main3WData[[#This Row],[Acronym]]&amp;Main3WData[[#This Row],[Sector]]&amp;Main3WData[[#This Row],[Activity Type]]&amp;Main3WData[[#This Row],[Pcode]]</f>
        <v>OMSCommunication/Mobilisation socialeOngoingGIN003001</v>
      </c>
      <c r="K153" s="69">
        <f>COUNTIF(Main3WData[Concatenate],Main3WData[[#This Row],[Concatenate]])</f>
        <v>1</v>
      </c>
      <c r="L153" s="61" t="str">
        <f>Main3WData[[#This Row],[Sector]]&amp;Main3WData[[#This Row],[Pcode]]</f>
        <v>Communication/Mobilisation socialeGIN003001</v>
      </c>
      <c r="M153" s="71">
        <f>COUNTIF($L$5:L153,Main3WData[[#This Row],[PT.Concat]])</f>
        <v>4</v>
      </c>
      <c r="N153" s="70">
        <f>MATCH(Main3WData[[#This Row],[PT.Concat]],$L$5:L153,0)</f>
        <v>146</v>
      </c>
      <c r="O153" s="62" t="b">
        <f>Main3WData[[#This Row],[Count PT.Concat]]=1</f>
        <v>0</v>
      </c>
      <c r="P153" s="62">
        <f t="array" ref="P153">MAX(($N$4:N152=Main3WData[[#This Row],[PT.ID]])*ROW($N$4:N152))</f>
        <v>152</v>
      </c>
      <c r="Q153" s="62" t="str">
        <f>IF(Main3WData[[#This Row],[PT.FirstID]],Main3WData[[#This Row],[Acronym]],INDEX($Q$4:Q152,Main3WData[[#This Row],[PT.LastID.Row]]-ROW($Q$4)+1) &amp; ", "&amp;Main3WData[[#This Row],[Acronym]])</f>
        <v>UNICEF, UNFPA, PLAN, OMS</v>
      </c>
      <c r="R153" s="62" t="b">
        <f t="array" ref="R153">MAX(IF(Main3WData[PT.ID]=Main3WData[[#This Row],[PT.ID]],Main3WData[PT.LastID.Row]))=Main3WData[[#This Row],[PT.LastID.Row]]</f>
        <v>1</v>
      </c>
    </row>
    <row r="154" spans="2:18" ht="16.5" customHeight="1" x14ac:dyDescent="0.2">
      <c r="B154" s="55" t="s">
        <v>516</v>
      </c>
      <c r="C154" s="27" t="str">
        <f>INDEX(Organizations[],MATCH(Main3WData[[#This Row],[Acronym]],AcronymList,0),1)</f>
        <v>UNITED NATION MISSION FOR EBOLA  EMERGENCY RESPONSE</v>
      </c>
      <c r="D154" s="27" t="str">
        <f>INDEX(Organizations[],MATCH(Main3WData[[#This Row],[Acronym]],AcronymList,0),3)</f>
        <v>UN Agency</v>
      </c>
      <c r="E154" s="54" t="s">
        <v>360</v>
      </c>
      <c r="F154" s="53" t="s">
        <v>82</v>
      </c>
      <c r="G154" s="54" t="s">
        <v>378</v>
      </c>
      <c r="H154" s="28" t="str">
        <f>VLOOKUP(Main3WData[[#This Row],[Admin Unit Name]],AdminUnits[],2,FALSE)</f>
        <v>GIN003001</v>
      </c>
      <c r="I154" s="57">
        <v>0</v>
      </c>
      <c r="J154" s="67" t="str">
        <f>Main3WData[[#This Row],[Acronym]]&amp;Main3WData[[#This Row],[Sector]]&amp;Main3WData[[#This Row],[Activity Type]]&amp;Main3WData[[#This Row],[Pcode]]</f>
        <v>UNMEERCoordinationOngoingGIN003001</v>
      </c>
      <c r="K154" s="69">
        <f>COUNTIF(Main3WData[Concatenate],Main3WData[[#This Row],[Concatenate]])</f>
        <v>1</v>
      </c>
      <c r="L154" s="61" t="str">
        <f>Main3WData[[#This Row],[Sector]]&amp;Main3WData[[#This Row],[Pcode]]</f>
        <v>CoordinationGIN003001</v>
      </c>
      <c r="M154" s="71">
        <f>COUNTIF($L$5:L154,Main3WData[[#This Row],[PT.Concat]])</f>
        <v>1</v>
      </c>
      <c r="N154" s="70">
        <f>MATCH(Main3WData[[#This Row],[PT.Concat]],$L$5:L154,0)</f>
        <v>150</v>
      </c>
      <c r="O154" s="62" t="b">
        <f>Main3WData[[#This Row],[Count PT.Concat]]=1</f>
        <v>1</v>
      </c>
      <c r="P154" s="62">
        <f t="array" ref="P154">MAX(($N$4:N153=Main3WData[[#This Row],[PT.ID]])*ROW($N$4:N153))</f>
        <v>0</v>
      </c>
      <c r="Q154" s="62" t="str">
        <f>IF(Main3WData[[#This Row],[PT.FirstID]],Main3WData[[#This Row],[Acronym]],INDEX($Q$4:Q153,Main3WData[[#This Row],[PT.LastID.Row]]-ROW($Q$4)+1) &amp; ", "&amp;Main3WData[[#This Row],[Acronym]])</f>
        <v>UNMEER</v>
      </c>
      <c r="R154" s="62" t="b">
        <f t="array" ref="R154">MAX(IF(Main3WData[PT.ID]=Main3WData[[#This Row],[PT.ID]],Main3WData[PT.LastID.Row]))=Main3WData[[#This Row],[PT.LastID.Row]]</f>
        <v>0</v>
      </c>
    </row>
    <row r="155" spans="2:18" ht="16.5" customHeight="1" x14ac:dyDescent="0.2">
      <c r="B155" s="55" t="s">
        <v>75</v>
      </c>
      <c r="C155" s="27" t="str">
        <f>INDEX(Organizations[],MATCH(Main3WData[[#This Row],[Acronym]],AcronymList,0),1)</f>
        <v>United Nations Population Fund</v>
      </c>
      <c r="D155" s="27" t="str">
        <f>INDEX(Organizations[],MATCH(Main3WData[[#This Row],[Acronym]],AcronymList,0),3)</f>
        <v>UN Agency</v>
      </c>
      <c r="E155" s="54" t="s">
        <v>360</v>
      </c>
      <c r="F155" s="53" t="s">
        <v>82</v>
      </c>
      <c r="G155" s="54" t="s">
        <v>378</v>
      </c>
      <c r="H155" s="28" t="str">
        <f>VLOOKUP(Main3WData[[#This Row],[Admin Unit Name]],AdminUnits[],2,FALSE)</f>
        <v>GIN003001</v>
      </c>
      <c r="I155" s="57">
        <v>0</v>
      </c>
      <c r="J155" s="67" t="str">
        <f>Main3WData[[#This Row],[Acronym]]&amp;Main3WData[[#This Row],[Sector]]&amp;Main3WData[[#This Row],[Activity Type]]&amp;Main3WData[[#This Row],[Pcode]]</f>
        <v>UNFPACoordinationOngoingGIN003001</v>
      </c>
      <c r="K155" s="69">
        <f>COUNTIF(Main3WData[Concatenate],Main3WData[[#This Row],[Concatenate]])</f>
        <v>1</v>
      </c>
      <c r="L155" s="61" t="str">
        <f>Main3WData[[#This Row],[Sector]]&amp;Main3WData[[#This Row],[Pcode]]</f>
        <v>CoordinationGIN003001</v>
      </c>
      <c r="M155" s="71">
        <f>COUNTIF($L$5:L155,Main3WData[[#This Row],[PT.Concat]])</f>
        <v>2</v>
      </c>
      <c r="N155" s="70">
        <f>MATCH(Main3WData[[#This Row],[PT.Concat]],$L$5:L155,0)</f>
        <v>150</v>
      </c>
      <c r="O155" s="62" t="b">
        <f>Main3WData[[#This Row],[Count PT.Concat]]=1</f>
        <v>0</v>
      </c>
      <c r="P155" s="62">
        <f t="array" ref="P155">MAX(($N$4:N154=Main3WData[[#This Row],[PT.ID]])*ROW($N$4:N154))</f>
        <v>154</v>
      </c>
      <c r="Q155" s="62" t="str">
        <f>IF(Main3WData[[#This Row],[PT.FirstID]],Main3WData[[#This Row],[Acronym]],INDEX($Q$4:Q154,Main3WData[[#This Row],[PT.LastID.Row]]-ROW($Q$4)+1) &amp; ", "&amp;Main3WData[[#This Row],[Acronym]])</f>
        <v>UNMEER, UNFPA</v>
      </c>
      <c r="R155" s="62" t="b">
        <f t="array" ref="R155">MAX(IF(Main3WData[PT.ID]=Main3WData[[#This Row],[PT.ID]],Main3WData[PT.LastID.Row]))=Main3WData[[#This Row],[PT.LastID.Row]]</f>
        <v>0</v>
      </c>
    </row>
    <row r="156" spans="2:18" ht="16.5" customHeight="1" x14ac:dyDescent="0.2">
      <c r="B156" s="55" t="s">
        <v>473</v>
      </c>
      <c r="C156" s="27" t="str">
        <f>INDEX(Organizations[],MATCH(Main3WData[[#This Row],[Acronym]],AcronymList,0),1)</f>
        <v>United Nations Development Programme</v>
      </c>
      <c r="D156" s="27" t="str">
        <f>INDEX(Organizations[],MATCH(Main3WData[[#This Row],[Acronym]],AcronymList,0),3)</f>
        <v>UN Agency</v>
      </c>
      <c r="E156" s="54" t="s">
        <v>360</v>
      </c>
      <c r="F156" s="53" t="s">
        <v>82</v>
      </c>
      <c r="G156" s="54" t="s">
        <v>378</v>
      </c>
      <c r="H156" s="28" t="str">
        <f>VLOOKUP(Main3WData[[#This Row],[Admin Unit Name]],AdminUnits[],2,FALSE)</f>
        <v>GIN003001</v>
      </c>
      <c r="I156" s="57">
        <v>0</v>
      </c>
      <c r="J156" s="67" t="str">
        <f>Main3WData[[#This Row],[Acronym]]&amp;Main3WData[[#This Row],[Sector]]&amp;Main3WData[[#This Row],[Activity Type]]&amp;Main3WData[[#This Row],[Pcode]]</f>
        <v>UNDPCoordinationOngoingGIN003001</v>
      </c>
      <c r="K156" s="69">
        <f>COUNTIF(Main3WData[Concatenate],Main3WData[[#This Row],[Concatenate]])</f>
        <v>1</v>
      </c>
      <c r="L156" s="61" t="str">
        <f>Main3WData[[#This Row],[Sector]]&amp;Main3WData[[#This Row],[Pcode]]</f>
        <v>CoordinationGIN003001</v>
      </c>
      <c r="M156" s="71">
        <f>COUNTIF($L$5:L156,Main3WData[[#This Row],[PT.Concat]])</f>
        <v>3</v>
      </c>
      <c r="N156" s="70">
        <f>MATCH(Main3WData[[#This Row],[PT.Concat]],$L$5:L156,0)</f>
        <v>150</v>
      </c>
      <c r="O156" s="62" t="b">
        <f>Main3WData[[#This Row],[Count PT.Concat]]=1</f>
        <v>0</v>
      </c>
      <c r="P156" s="62">
        <f t="array" ref="P156">MAX(($N$4:N155=Main3WData[[#This Row],[PT.ID]])*ROW($N$4:N155))</f>
        <v>155</v>
      </c>
      <c r="Q156" s="62" t="str">
        <f>IF(Main3WData[[#This Row],[PT.FirstID]],Main3WData[[#This Row],[Acronym]],INDEX($Q$4:Q155,Main3WData[[#This Row],[PT.LastID.Row]]-ROW($Q$4)+1) &amp; ", "&amp;Main3WData[[#This Row],[Acronym]])</f>
        <v>UNMEER, UNFPA, UNDP</v>
      </c>
      <c r="R156" s="62" t="b">
        <f t="array" ref="R156">MAX(IF(Main3WData[PT.ID]=Main3WData[[#This Row],[PT.ID]],Main3WData[PT.LastID.Row]))=Main3WData[[#This Row],[PT.LastID.Row]]</f>
        <v>0</v>
      </c>
    </row>
    <row r="157" spans="2:18" ht="16.5" customHeight="1" x14ac:dyDescent="0.2">
      <c r="B157" s="55" t="s">
        <v>512</v>
      </c>
      <c r="C157" s="27" t="str">
        <f>INDEX(Organizations[],MATCH(Main3WData[[#This Row],[Acronym]],AcronymList,0),1)</f>
        <v>World Health Organization</v>
      </c>
      <c r="D157" s="27" t="str">
        <f>INDEX(Organizations[],MATCH(Main3WData[[#This Row],[Acronym]],AcronymList,0),3)</f>
        <v>UN Agency</v>
      </c>
      <c r="E157" s="54" t="s">
        <v>360</v>
      </c>
      <c r="F157" s="53" t="s">
        <v>82</v>
      </c>
      <c r="G157" s="54" t="s">
        <v>378</v>
      </c>
      <c r="H157" s="28" t="str">
        <f>VLOOKUP(Main3WData[[#This Row],[Admin Unit Name]],AdminUnits[],2,FALSE)</f>
        <v>GIN003001</v>
      </c>
      <c r="I157" s="57">
        <v>0</v>
      </c>
      <c r="J157" s="67" t="str">
        <f>Main3WData[[#This Row],[Acronym]]&amp;Main3WData[[#This Row],[Sector]]&amp;Main3WData[[#This Row],[Activity Type]]&amp;Main3WData[[#This Row],[Pcode]]</f>
        <v>OMSCoordinationOngoingGIN003001</v>
      </c>
      <c r="K157" s="69">
        <f>COUNTIF(Main3WData[Concatenate],Main3WData[[#This Row],[Concatenate]])</f>
        <v>1</v>
      </c>
      <c r="L157" s="61" t="str">
        <f>Main3WData[[#This Row],[Sector]]&amp;Main3WData[[#This Row],[Pcode]]</f>
        <v>CoordinationGIN003001</v>
      </c>
      <c r="M157" s="71">
        <f>COUNTIF($L$5:L157,Main3WData[[#This Row],[PT.Concat]])</f>
        <v>4</v>
      </c>
      <c r="N157" s="70">
        <f>MATCH(Main3WData[[#This Row],[PT.Concat]],$L$5:L157,0)</f>
        <v>150</v>
      </c>
      <c r="O157" s="62" t="b">
        <f>Main3WData[[#This Row],[Count PT.Concat]]=1</f>
        <v>0</v>
      </c>
      <c r="P157" s="62">
        <f t="array" ref="P157">MAX(($N$4:N156=Main3WData[[#This Row],[PT.ID]])*ROW($N$4:N156))</f>
        <v>156</v>
      </c>
      <c r="Q157" s="62" t="str">
        <f>IF(Main3WData[[#This Row],[PT.FirstID]],Main3WData[[#This Row],[Acronym]],INDEX($Q$4:Q156,Main3WData[[#This Row],[PT.LastID.Row]]-ROW($Q$4)+1) &amp; ", "&amp;Main3WData[[#This Row],[Acronym]])</f>
        <v>UNMEER, UNFPA, UNDP, OMS</v>
      </c>
      <c r="R157" s="62" t="b">
        <f t="array" ref="R157">MAX(IF(Main3WData[PT.ID]=Main3WData[[#This Row],[PT.ID]],Main3WData[PT.LastID.Row]))=Main3WData[[#This Row],[PT.LastID.Row]]</f>
        <v>0</v>
      </c>
    </row>
    <row r="158" spans="2:18" ht="16.5" customHeight="1" x14ac:dyDescent="0.2">
      <c r="B158" s="55" t="s">
        <v>71</v>
      </c>
      <c r="C158" s="27" t="str">
        <f>INDEX(Organizations[],MATCH(Main3WData[[#This Row],[Acronym]],AcronymList,0),1)</f>
        <v>Medecins sans Frontieres</v>
      </c>
      <c r="D158" s="27" t="str">
        <f>INDEX(Organizations[],MATCH(Main3WData[[#This Row],[Acronym]],AcronymList,0),3)</f>
        <v>International NGO</v>
      </c>
      <c r="E158" s="54" t="s">
        <v>360</v>
      </c>
      <c r="F158" s="53" t="s">
        <v>82</v>
      </c>
      <c r="G158" s="54" t="s">
        <v>378</v>
      </c>
      <c r="H158" s="28" t="str">
        <f>VLOOKUP(Main3WData[[#This Row],[Admin Unit Name]],AdminUnits[],2,FALSE)</f>
        <v>GIN003001</v>
      </c>
      <c r="I158" s="57">
        <v>0</v>
      </c>
      <c r="J158" s="67" t="str">
        <f>Main3WData[[#This Row],[Acronym]]&amp;Main3WData[[#This Row],[Sector]]&amp;Main3WData[[#This Row],[Activity Type]]&amp;Main3WData[[#This Row],[Pcode]]</f>
        <v>MSFCoordinationOngoingGIN003001</v>
      </c>
      <c r="K158" s="69">
        <f>COUNTIF(Main3WData[Concatenate],Main3WData[[#This Row],[Concatenate]])</f>
        <v>1</v>
      </c>
      <c r="L158" s="61" t="str">
        <f>Main3WData[[#This Row],[Sector]]&amp;Main3WData[[#This Row],[Pcode]]</f>
        <v>CoordinationGIN003001</v>
      </c>
      <c r="M158" s="71">
        <f>COUNTIF($L$5:L158,Main3WData[[#This Row],[PT.Concat]])</f>
        <v>5</v>
      </c>
      <c r="N158" s="70">
        <f>MATCH(Main3WData[[#This Row],[PT.Concat]],$L$5:L158,0)</f>
        <v>150</v>
      </c>
      <c r="O158" s="62" t="b">
        <f>Main3WData[[#This Row],[Count PT.Concat]]=1</f>
        <v>0</v>
      </c>
      <c r="P158" s="62">
        <f t="array" ref="P158">MAX(($N$4:N157=Main3WData[[#This Row],[PT.ID]])*ROW($N$4:N157))</f>
        <v>157</v>
      </c>
      <c r="Q158" s="62" t="str">
        <f>IF(Main3WData[[#This Row],[PT.FirstID]],Main3WData[[#This Row],[Acronym]],INDEX($Q$4:Q157,Main3WData[[#This Row],[PT.LastID.Row]]-ROW($Q$4)+1) &amp; ", "&amp;Main3WData[[#This Row],[Acronym]])</f>
        <v>UNMEER, UNFPA, UNDP, OMS, MSF</v>
      </c>
      <c r="R158" s="62" t="b">
        <f t="array" ref="R158">MAX(IF(Main3WData[PT.ID]=Main3WData[[#This Row],[PT.ID]],Main3WData[PT.LastID.Row]))=Main3WData[[#This Row],[PT.LastID.Row]]</f>
        <v>0</v>
      </c>
    </row>
    <row r="159" spans="2:18" ht="16.5" customHeight="1" x14ac:dyDescent="0.2">
      <c r="B159" s="55" t="s">
        <v>507</v>
      </c>
      <c r="C159" s="27" t="str">
        <f>INDEX(Organizations[],MATCH(Main3WData[[#This Row],[Acronym]],AcronymList,0),1)</f>
        <v>eHealth Africa</v>
      </c>
      <c r="D159" s="27" t="str">
        <f>INDEX(Organizations[],MATCH(Main3WData[[#This Row],[Acronym]],AcronymList,0),3)</f>
        <v>International Organization</v>
      </c>
      <c r="E159" s="54" t="s">
        <v>360</v>
      </c>
      <c r="F159" s="53" t="s">
        <v>82</v>
      </c>
      <c r="G159" s="54" t="s">
        <v>378</v>
      </c>
      <c r="H159" s="28" t="str">
        <f>VLOOKUP(Main3WData[[#This Row],[Admin Unit Name]],AdminUnits[],2,FALSE)</f>
        <v>GIN003001</v>
      </c>
      <c r="I159" s="57">
        <v>0</v>
      </c>
      <c r="J159" s="67" t="str">
        <f>Main3WData[[#This Row],[Acronym]]&amp;Main3WData[[#This Row],[Sector]]&amp;Main3WData[[#This Row],[Activity Type]]&amp;Main3WData[[#This Row],[Pcode]]</f>
        <v>eHealth AfricaCoordinationOngoingGIN003001</v>
      </c>
      <c r="K159" s="69">
        <f>COUNTIF(Main3WData[Concatenate],Main3WData[[#This Row],[Concatenate]])</f>
        <v>1</v>
      </c>
      <c r="L159" s="61" t="str">
        <f>Main3WData[[#This Row],[Sector]]&amp;Main3WData[[#This Row],[Pcode]]</f>
        <v>CoordinationGIN003001</v>
      </c>
      <c r="M159" s="71">
        <f>COUNTIF($L$5:L159,Main3WData[[#This Row],[PT.Concat]])</f>
        <v>6</v>
      </c>
      <c r="N159" s="70">
        <f>MATCH(Main3WData[[#This Row],[PT.Concat]],$L$5:L159,0)</f>
        <v>150</v>
      </c>
      <c r="O159" s="62" t="b">
        <f>Main3WData[[#This Row],[Count PT.Concat]]=1</f>
        <v>0</v>
      </c>
      <c r="P159" s="62">
        <f t="array" ref="P159">MAX(($N$4:N158=Main3WData[[#This Row],[PT.ID]])*ROW($N$4:N158))</f>
        <v>158</v>
      </c>
      <c r="Q159" s="62" t="str">
        <f>IF(Main3WData[[#This Row],[PT.FirstID]],Main3WData[[#This Row],[Acronym]],INDEX($Q$4:Q158,Main3WData[[#This Row],[PT.LastID.Row]]-ROW($Q$4)+1) &amp; ", "&amp;Main3WData[[#This Row],[Acronym]])</f>
        <v>UNMEER, UNFPA, UNDP, OMS, MSF, eHealth Africa</v>
      </c>
      <c r="R159" s="62" t="b">
        <f t="array" ref="R159">MAX(IF(Main3WData[PT.ID]=Main3WData[[#This Row],[PT.ID]],Main3WData[PT.LastID.Row]))=Main3WData[[#This Row],[PT.LastID.Row]]</f>
        <v>1</v>
      </c>
    </row>
    <row r="160" spans="2:18" ht="16.5" customHeight="1" x14ac:dyDescent="0.2">
      <c r="B160" s="55" t="s">
        <v>473</v>
      </c>
      <c r="C160" s="27" t="str">
        <f>INDEX(Organizations[],MATCH(Main3WData[[#This Row],[Acronym]],AcronymList,0),1)</f>
        <v>United Nations Development Programme</v>
      </c>
      <c r="D160" s="27" t="str">
        <f>INDEX(Organizations[],MATCH(Main3WData[[#This Row],[Acronym]],AcronymList,0),3)</f>
        <v>UN Agency</v>
      </c>
      <c r="E160" s="54" t="s">
        <v>359</v>
      </c>
      <c r="F160" s="53" t="s">
        <v>82</v>
      </c>
      <c r="G160" s="54" t="s">
        <v>378</v>
      </c>
      <c r="H160" s="28" t="str">
        <f>VLOOKUP(Main3WData[[#This Row],[Admin Unit Name]],AdminUnits[],2,FALSE)</f>
        <v>GIN003001</v>
      </c>
      <c r="I160" s="57">
        <v>0</v>
      </c>
      <c r="J160" s="67" t="str">
        <f>Main3WData[[#This Row],[Acronym]]&amp;Main3WData[[#This Row],[Sector]]&amp;Main3WData[[#This Row],[Activity Type]]&amp;Main3WData[[#This Row],[Pcode]]</f>
        <v>UNDPFinanceOngoingGIN003001</v>
      </c>
      <c r="K160" s="69">
        <f>COUNTIF(Main3WData[Concatenate],Main3WData[[#This Row],[Concatenate]])</f>
        <v>1</v>
      </c>
      <c r="L160" s="61" t="str">
        <f>Main3WData[[#This Row],[Sector]]&amp;Main3WData[[#This Row],[Pcode]]</f>
        <v>FinanceGIN003001</v>
      </c>
      <c r="M160" s="71">
        <f>COUNTIF($L$5:L160,Main3WData[[#This Row],[PT.Concat]])</f>
        <v>1</v>
      </c>
      <c r="N160" s="70">
        <f>MATCH(Main3WData[[#This Row],[PT.Concat]],$L$5:L160,0)</f>
        <v>156</v>
      </c>
      <c r="O160" s="62" t="b">
        <f>Main3WData[[#This Row],[Count PT.Concat]]=1</f>
        <v>1</v>
      </c>
      <c r="P160" s="62">
        <f t="array" ref="P160">MAX(($N$4:N159=Main3WData[[#This Row],[PT.ID]])*ROW($N$4:N159))</f>
        <v>0</v>
      </c>
      <c r="Q160" s="62" t="str">
        <f>IF(Main3WData[[#This Row],[PT.FirstID]],Main3WData[[#This Row],[Acronym]],INDEX($Q$4:Q159,Main3WData[[#This Row],[PT.LastID.Row]]-ROW($Q$4)+1) &amp; ", "&amp;Main3WData[[#This Row],[Acronym]])</f>
        <v>UNDP</v>
      </c>
      <c r="R160" s="62" t="b">
        <f t="array" ref="R160">MAX(IF(Main3WData[PT.ID]=Main3WData[[#This Row],[PT.ID]],Main3WData[PT.LastID.Row]))=Main3WData[[#This Row],[PT.LastID.Row]]</f>
        <v>1</v>
      </c>
    </row>
    <row r="161" spans="2:18" ht="16.5" customHeight="1" x14ac:dyDescent="0.2">
      <c r="B161" s="55" t="s">
        <v>451</v>
      </c>
      <c r="C161" s="27" t="str">
        <f>INDEX(Organizations[],MATCH(Main3WData[[#This Row],[Acronym]],AcronymList,0),1)</f>
        <v>Croix-Rouge Guinée</v>
      </c>
      <c r="D161" s="27" t="str">
        <f>INDEX(Organizations[],MATCH(Main3WData[[#This Row],[Acronym]],AcronymList,0),3)</f>
        <v>Red Cross Movement</v>
      </c>
      <c r="E161" s="54" t="s">
        <v>354</v>
      </c>
      <c r="F161" s="53" t="s">
        <v>82</v>
      </c>
      <c r="G161" s="54" t="s">
        <v>378</v>
      </c>
      <c r="H161" s="28" t="str">
        <f>VLOOKUP(Main3WData[[#This Row],[Admin Unit Name]],AdminUnits[],2,FALSE)</f>
        <v>GIN003001</v>
      </c>
      <c r="I161" s="57">
        <v>0</v>
      </c>
      <c r="J161" s="67" t="str">
        <f>Main3WData[[#This Row],[Acronym]]&amp;Main3WData[[#This Row],[Sector]]&amp;Main3WData[[#This Row],[Activity Type]]&amp;Main3WData[[#This Row],[Pcode]]</f>
        <v>CRGGestion des corps et desinfectionOngoingGIN003001</v>
      </c>
      <c r="K161" s="69">
        <f>COUNTIF(Main3WData[Concatenate],Main3WData[[#This Row],[Concatenate]])</f>
        <v>1</v>
      </c>
      <c r="L161" s="61" t="str">
        <f>Main3WData[[#This Row],[Sector]]&amp;Main3WData[[#This Row],[Pcode]]</f>
        <v>Gestion des corps et desinfectionGIN003001</v>
      </c>
      <c r="M161" s="71">
        <f>COUNTIF($L$5:L161,Main3WData[[#This Row],[PT.Concat]])</f>
        <v>1</v>
      </c>
      <c r="N161" s="70">
        <f>MATCH(Main3WData[[#This Row],[PT.Concat]],$L$5:L161,0)</f>
        <v>157</v>
      </c>
      <c r="O161" s="62" t="b">
        <f>Main3WData[[#This Row],[Count PT.Concat]]=1</f>
        <v>1</v>
      </c>
      <c r="P161" s="62">
        <f t="array" ref="P161">MAX(($N$4:N160=Main3WData[[#This Row],[PT.ID]])*ROW($N$4:N160))</f>
        <v>0</v>
      </c>
      <c r="Q161" s="62" t="str">
        <f>IF(Main3WData[[#This Row],[PT.FirstID]],Main3WData[[#This Row],[Acronym]],INDEX($Q$4:Q160,Main3WData[[#This Row],[PT.LastID.Row]]-ROW($Q$4)+1) &amp; ", "&amp;Main3WData[[#This Row],[Acronym]])</f>
        <v>CRG</v>
      </c>
      <c r="R161" s="62" t="b">
        <f t="array" ref="R161">MAX(IF(Main3WData[PT.ID]=Main3WData[[#This Row],[PT.ID]],Main3WData[PT.LastID.Row]))=Main3WData[[#This Row],[PT.LastID.Row]]</f>
        <v>1</v>
      </c>
    </row>
    <row r="162" spans="2:18" ht="16.5" customHeight="1" x14ac:dyDescent="0.2">
      <c r="B162" s="55" t="s">
        <v>516</v>
      </c>
      <c r="C162" s="27" t="str">
        <f>INDEX(Organizations[],MATCH(Main3WData[[#This Row],[Acronym]],AcronymList,0),1)</f>
        <v>UNITED NATION MISSION FOR EBOLA  EMERGENCY RESPONSE</v>
      </c>
      <c r="D162" s="27" t="str">
        <f>INDEX(Organizations[],MATCH(Main3WData[[#This Row],[Acronym]],AcronymList,0),3)</f>
        <v>UN Agency</v>
      </c>
      <c r="E162" s="54" t="s">
        <v>356</v>
      </c>
      <c r="F162" s="53" t="s">
        <v>82</v>
      </c>
      <c r="G162" s="54" t="s">
        <v>378</v>
      </c>
      <c r="H162" s="28" t="str">
        <f>VLOOKUP(Main3WData[[#This Row],[Admin Unit Name]],AdminUnits[],2,FALSE)</f>
        <v>GIN003001</v>
      </c>
      <c r="I162" s="57">
        <v>0</v>
      </c>
      <c r="J162" s="67" t="str">
        <f>Main3WData[[#This Row],[Acronym]]&amp;Main3WData[[#This Row],[Sector]]&amp;Main3WData[[#This Row],[Activity Type]]&amp;Main3WData[[#This Row],[Pcode]]</f>
        <v>UNMEERGestion des donnéesOngoingGIN003001</v>
      </c>
      <c r="K162" s="69">
        <f>COUNTIF(Main3WData[Concatenate],Main3WData[[#This Row],[Concatenate]])</f>
        <v>1</v>
      </c>
      <c r="L162" s="61" t="str">
        <f>Main3WData[[#This Row],[Sector]]&amp;Main3WData[[#This Row],[Pcode]]</f>
        <v>Gestion des donnéesGIN003001</v>
      </c>
      <c r="M162" s="71">
        <f>COUNTIF($L$5:L162,Main3WData[[#This Row],[PT.Concat]])</f>
        <v>1</v>
      </c>
      <c r="N162" s="70">
        <f>MATCH(Main3WData[[#This Row],[PT.Concat]],$L$5:L162,0)</f>
        <v>158</v>
      </c>
      <c r="O162" s="62" t="b">
        <f>Main3WData[[#This Row],[Count PT.Concat]]=1</f>
        <v>1</v>
      </c>
      <c r="P162" s="62">
        <f t="array" ref="P162">MAX(($N$4:N161=Main3WData[[#This Row],[PT.ID]])*ROW($N$4:N161))</f>
        <v>0</v>
      </c>
      <c r="Q162" s="62" t="str">
        <f>IF(Main3WData[[#This Row],[PT.FirstID]],Main3WData[[#This Row],[Acronym]],INDEX($Q$4:Q161,Main3WData[[#This Row],[PT.LastID.Row]]-ROW($Q$4)+1) &amp; ", "&amp;Main3WData[[#This Row],[Acronym]])</f>
        <v>UNMEER</v>
      </c>
      <c r="R162" s="62" t="b">
        <f t="array" ref="R162">MAX(IF(Main3WData[PT.ID]=Main3WData[[#This Row],[PT.ID]],Main3WData[PT.LastID.Row]))=Main3WData[[#This Row],[PT.LastID.Row]]</f>
        <v>0</v>
      </c>
    </row>
    <row r="163" spans="2:18" ht="16.5" customHeight="1" x14ac:dyDescent="0.2">
      <c r="B163" s="55" t="s">
        <v>72</v>
      </c>
      <c r="C163" s="27" t="str">
        <f>INDEX(Organizations[],MATCH(Main3WData[[#This Row],[Acronym]],AcronymList,0),1)</f>
        <v>PLAN</v>
      </c>
      <c r="D163" s="27" t="str">
        <f>INDEX(Organizations[],MATCH(Main3WData[[#This Row],[Acronym]],AcronymList,0),3)</f>
        <v>International Organization</v>
      </c>
      <c r="E163" s="54" t="s">
        <v>356</v>
      </c>
      <c r="F163" s="53" t="s">
        <v>82</v>
      </c>
      <c r="G163" s="54" t="s">
        <v>378</v>
      </c>
      <c r="H163" s="28" t="str">
        <f>VLOOKUP(Main3WData[[#This Row],[Admin Unit Name]],AdminUnits[],2,FALSE)</f>
        <v>GIN003001</v>
      </c>
      <c r="I163" s="57">
        <v>0</v>
      </c>
      <c r="J163" s="67" t="str">
        <f>Main3WData[[#This Row],[Acronym]]&amp;Main3WData[[#This Row],[Sector]]&amp;Main3WData[[#This Row],[Activity Type]]&amp;Main3WData[[#This Row],[Pcode]]</f>
        <v>PLANGestion des donnéesOngoingGIN003001</v>
      </c>
      <c r="K163" s="69">
        <f>COUNTIF(Main3WData[Concatenate],Main3WData[[#This Row],[Concatenate]])</f>
        <v>1</v>
      </c>
      <c r="L163" s="61" t="str">
        <f>Main3WData[[#This Row],[Sector]]&amp;Main3WData[[#This Row],[Pcode]]</f>
        <v>Gestion des donnéesGIN003001</v>
      </c>
      <c r="M163" s="71">
        <f>COUNTIF($L$5:L163,Main3WData[[#This Row],[PT.Concat]])</f>
        <v>2</v>
      </c>
      <c r="N163" s="70">
        <f>MATCH(Main3WData[[#This Row],[PT.Concat]],$L$5:L163,0)</f>
        <v>158</v>
      </c>
      <c r="O163" s="62" t="b">
        <f>Main3WData[[#This Row],[Count PT.Concat]]=1</f>
        <v>0</v>
      </c>
      <c r="P163" s="62">
        <f t="array" ref="P163">MAX(($N$4:N162=Main3WData[[#This Row],[PT.ID]])*ROW($N$4:N162))</f>
        <v>162</v>
      </c>
      <c r="Q163" s="62" t="str">
        <f>IF(Main3WData[[#This Row],[PT.FirstID]],Main3WData[[#This Row],[Acronym]],INDEX($Q$4:Q162,Main3WData[[#This Row],[PT.LastID.Row]]-ROW($Q$4)+1) &amp; ", "&amp;Main3WData[[#This Row],[Acronym]])</f>
        <v>UNMEER, PLAN</v>
      </c>
      <c r="R163" s="62" t="b">
        <f t="array" ref="R163">MAX(IF(Main3WData[PT.ID]=Main3WData[[#This Row],[PT.ID]],Main3WData[PT.LastID.Row]))=Main3WData[[#This Row],[PT.LastID.Row]]</f>
        <v>0</v>
      </c>
    </row>
    <row r="164" spans="2:18" ht="16.5" customHeight="1" x14ac:dyDescent="0.2">
      <c r="B164" s="55" t="s">
        <v>512</v>
      </c>
      <c r="C164" s="27" t="str">
        <f>INDEX(Organizations[],MATCH(Main3WData[[#This Row],[Acronym]],AcronymList,0),1)</f>
        <v>World Health Organization</v>
      </c>
      <c r="D164" s="27" t="str">
        <f>INDEX(Organizations[],MATCH(Main3WData[[#This Row],[Acronym]],AcronymList,0),3)</f>
        <v>UN Agency</v>
      </c>
      <c r="E164" s="54" t="s">
        <v>356</v>
      </c>
      <c r="F164" s="53" t="s">
        <v>82</v>
      </c>
      <c r="G164" s="54" t="s">
        <v>378</v>
      </c>
      <c r="H164" s="28" t="str">
        <f>VLOOKUP(Main3WData[[#This Row],[Admin Unit Name]],AdminUnits[],2,FALSE)</f>
        <v>GIN003001</v>
      </c>
      <c r="I164" s="57">
        <v>0</v>
      </c>
      <c r="J164" s="67" t="str">
        <f>Main3WData[[#This Row],[Acronym]]&amp;Main3WData[[#This Row],[Sector]]&amp;Main3WData[[#This Row],[Activity Type]]&amp;Main3WData[[#This Row],[Pcode]]</f>
        <v>OMSGestion des donnéesOngoingGIN003001</v>
      </c>
      <c r="K164" s="69">
        <f>COUNTIF(Main3WData[Concatenate],Main3WData[[#This Row],[Concatenate]])</f>
        <v>1</v>
      </c>
      <c r="L164" s="61" t="str">
        <f>Main3WData[[#This Row],[Sector]]&amp;Main3WData[[#This Row],[Pcode]]</f>
        <v>Gestion des donnéesGIN003001</v>
      </c>
      <c r="M164" s="71">
        <f>COUNTIF($L$5:L164,Main3WData[[#This Row],[PT.Concat]])</f>
        <v>3</v>
      </c>
      <c r="N164" s="70">
        <f>MATCH(Main3WData[[#This Row],[PT.Concat]],$L$5:L164,0)</f>
        <v>158</v>
      </c>
      <c r="O164" s="62" t="b">
        <f>Main3WData[[#This Row],[Count PT.Concat]]=1</f>
        <v>0</v>
      </c>
      <c r="P164" s="62">
        <f t="array" ref="P164">MAX(($N$4:N163=Main3WData[[#This Row],[PT.ID]])*ROW($N$4:N163))</f>
        <v>163</v>
      </c>
      <c r="Q164" s="62" t="str">
        <f>IF(Main3WData[[#This Row],[PT.FirstID]],Main3WData[[#This Row],[Acronym]],INDEX($Q$4:Q163,Main3WData[[#This Row],[PT.LastID.Row]]-ROW($Q$4)+1) &amp; ", "&amp;Main3WData[[#This Row],[Acronym]])</f>
        <v>UNMEER, PLAN, OMS</v>
      </c>
      <c r="R164" s="62" t="b">
        <f t="array" ref="R164">MAX(IF(Main3WData[PT.ID]=Main3WData[[#This Row],[PT.ID]],Main3WData[PT.LastID.Row]))=Main3WData[[#This Row],[PT.LastID.Row]]</f>
        <v>1</v>
      </c>
    </row>
    <row r="165" spans="2:18" ht="16.5" customHeight="1" x14ac:dyDescent="0.2">
      <c r="B165" s="55" t="s">
        <v>512</v>
      </c>
      <c r="C165" s="27" t="str">
        <f>INDEX(Organizations[],MATCH(Main3WData[[#This Row],[Acronym]],AcronymList,0),1)</f>
        <v>World Health Organization</v>
      </c>
      <c r="D165" s="27" t="str">
        <f>INDEX(Organizations[],MATCH(Main3WData[[#This Row],[Acronym]],AcronymList,0),3)</f>
        <v>UN Agency</v>
      </c>
      <c r="E165" s="54" t="s">
        <v>358</v>
      </c>
      <c r="F165" s="53" t="s">
        <v>82</v>
      </c>
      <c r="G165" s="54" t="s">
        <v>378</v>
      </c>
      <c r="H165" s="28" t="str">
        <f>VLOOKUP(Main3WData[[#This Row],[Admin Unit Name]],AdminUnits[],2,FALSE)</f>
        <v>GIN003001</v>
      </c>
      <c r="I165" s="57">
        <v>0</v>
      </c>
      <c r="J165" s="67" t="str">
        <f>Main3WData[[#This Row],[Acronym]]&amp;Main3WData[[#This Row],[Sector]]&amp;Main3WData[[#This Row],[Activity Type]]&amp;Main3WData[[#This Row],[Pcode]]</f>
        <v>OMSLogistiquesOngoingGIN003001</v>
      </c>
      <c r="K165" s="69">
        <f>COUNTIF(Main3WData[Concatenate],Main3WData[[#This Row],[Concatenate]])</f>
        <v>1</v>
      </c>
      <c r="L165" s="61" t="str">
        <f>Main3WData[[#This Row],[Sector]]&amp;Main3WData[[#This Row],[Pcode]]</f>
        <v>LogistiquesGIN003001</v>
      </c>
      <c r="M165" s="71">
        <f>COUNTIF($L$5:L165,Main3WData[[#This Row],[PT.Concat]])</f>
        <v>1</v>
      </c>
      <c r="N165" s="70">
        <f>MATCH(Main3WData[[#This Row],[PT.Concat]],$L$5:L165,0)</f>
        <v>161</v>
      </c>
      <c r="O165" s="62" t="b">
        <f>Main3WData[[#This Row],[Count PT.Concat]]=1</f>
        <v>1</v>
      </c>
      <c r="P165" s="62">
        <f t="array" ref="P165">MAX(($N$4:N164=Main3WData[[#This Row],[PT.ID]])*ROW($N$4:N164))</f>
        <v>0</v>
      </c>
      <c r="Q165" s="62" t="str">
        <f>IF(Main3WData[[#This Row],[PT.FirstID]],Main3WData[[#This Row],[Acronym]],INDEX($Q$4:Q164,Main3WData[[#This Row],[PT.LastID.Row]]-ROW($Q$4)+1) &amp; ", "&amp;Main3WData[[#This Row],[Acronym]])</f>
        <v>OMS</v>
      </c>
      <c r="R165" s="62" t="b">
        <f t="array" ref="R165">MAX(IF(Main3WData[PT.ID]=Main3WData[[#This Row],[PT.ID]],Main3WData[PT.LastID.Row]))=Main3WData[[#This Row],[PT.LastID.Row]]</f>
        <v>1</v>
      </c>
    </row>
    <row r="166" spans="2:18" ht="16.5" customHeight="1" x14ac:dyDescent="0.2">
      <c r="B166" s="55" t="s">
        <v>512</v>
      </c>
      <c r="C166" s="27" t="str">
        <f>INDEX(Organizations[],MATCH(Main3WData[[#This Row],[Acronym]],AcronymList,0),1)</f>
        <v>World Health Organization</v>
      </c>
      <c r="D166" s="27" t="str">
        <f>INDEX(Organizations[],MATCH(Main3WData[[#This Row],[Acronym]],AcronymList,0),3)</f>
        <v>UN Agency</v>
      </c>
      <c r="E166" s="54" t="s">
        <v>351</v>
      </c>
      <c r="F166" s="53" t="s">
        <v>82</v>
      </c>
      <c r="G166" s="54" t="s">
        <v>378</v>
      </c>
      <c r="H166" s="28" t="str">
        <f>VLOOKUP(Main3WData[[#This Row],[Admin Unit Name]],AdminUnits[],2,FALSE)</f>
        <v>GIN003001</v>
      </c>
      <c r="I166" s="57">
        <v>0</v>
      </c>
      <c r="J166" s="67" t="str">
        <f>Main3WData[[#This Row],[Acronym]]&amp;Main3WData[[#This Row],[Sector]]&amp;Main3WData[[#This Row],[Activity Type]]&amp;Main3WData[[#This Row],[Pcode]]</f>
        <v>OMSSurveillance &amp; suiviOngoingGIN003001</v>
      </c>
      <c r="K166" s="69">
        <f>COUNTIF(Main3WData[Concatenate],Main3WData[[#This Row],[Concatenate]])</f>
        <v>1</v>
      </c>
      <c r="L166" s="61" t="str">
        <f>Main3WData[[#This Row],[Sector]]&amp;Main3WData[[#This Row],[Pcode]]</f>
        <v>Surveillance &amp; suiviGIN003001</v>
      </c>
      <c r="M166" s="71">
        <f>COUNTIF($L$5:L166,Main3WData[[#This Row],[PT.Concat]])</f>
        <v>1</v>
      </c>
      <c r="N166" s="70">
        <f>MATCH(Main3WData[[#This Row],[PT.Concat]],$L$5:L166,0)</f>
        <v>162</v>
      </c>
      <c r="O166" s="62" t="b">
        <f>Main3WData[[#This Row],[Count PT.Concat]]=1</f>
        <v>1</v>
      </c>
      <c r="P166" s="62">
        <f t="array" ref="P166">MAX(($N$4:N165=Main3WData[[#This Row],[PT.ID]])*ROW($N$4:N165))</f>
        <v>0</v>
      </c>
      <c r="Q166" s="62" t="str">
        <f>IF(Main3WData[[#This Row],[PT.FirstID]],Main3WData[[#This Row],[Acronym]],INDEX($Q$4:Q165,Main3WData[[#This Row],[PT.LastID.Row]]-ROW($Q$4)+1) &amp; ", "&amp;Main3WData[[#This Row],[Acronym]])</f>
        <v>OMS</v>
      </c>
      <c r="R166" s="62" t="b">
        <f t="array" ref="R166">MAX(IF(Main3WData[PT.ID]=Main3WData[[#This Row],[PT.ID]],Main3WData[PT.LastID.Row]))=Main3WData[[#This Row],[PT.LastID.Row]]</f>
        <v>0</v>
      </c>
    </row>
    <row r="167" spans="2:18" ht="16.5" customHeight="1" x14ac:dyDescent="0.2">
      <c r="B167" s="55" t="s">
        <v>64</v>
      </c>
      <c r="C167" s="27" t="str">
        <f>INDEX(Organizations[],MATCH(Main3WData[[#This Row],[Acronym]],AcronymList,0),1)</f>
        <v>CDC</v>
      </c>
      <c r="D167" s="27" t="str">
        <f>INDEX(Organizations[],MATCH(Main3WData[[#This Row],[Acronym]],AcronymList,0),3)</f>
        <v>International NGO</v>
      </c>
      <c r="E167" s="54" t="s">
        <v>351</v>
      </c>
      <c r="F167" s="53" t="s">
        <v>82</v>
      </c>
      <c r="G167" s="54" t="s">
        <v>378</v>
      </c>
      <c r="H167" s="28" t="str">
        <f>VLOOKUP(Main3WData[[#This Row],[Admin Unit Name]],AdminUnits[],2,FALSE)</f>
        <v>GIN003001</v>
      </c>
      <c r="I167" s="57">
        <v>0</v>
      </c>
      <c r="J167" s="67" t="str">
        <f>Main3WData[[#This Row],[Acronym]]&amp;Main3WData[[#This Row],[Sector]]&amp;Main3WData[[#This Row],[Activity Type]]&amp;Main3WData[[#This Row],[Pcode]]</f>
        <v>CDCSurveillance &amp; suiviOngoingGIN003001</v>
      </c>
      <c r="K167" s="69">
        <f>COUNTIF(Main3WData[Concatenate],Main3WData[[#This Row],[Concatenate]])</f>
        <v>1</v>
      </c>
      <c r="L167" s="61" t="str">
        <f>Main3WData[[#This Row],[Sector]]&amp;Main3WData[[#This Row],[Pcode]]</f>
        <v>Surveillance &amp; suiviGIN003001</v>
      </c>
      <c r="M167" s="71">
        <f>COUNTIF($L$5:L167,Main3WData[[#This Row],[PT.Concat]])</f>
        <v>2</v>
      </c>
      <c r="N167" s="70">
        <f>MATCH(Main3WData[[#This Row],[PT.Concat]],$L$5:L167,0)</f>
        <v>162</v>
      </c>
      <c r="O167" s="62" t="b">
        <f>Main3WData[[#This Row],[Count PT.Concat]]=1</f>
        <v>0</v>
      </c>
      <c r="P167" s="62">
        <f t="array" ref="P167">MAX(($N$4:N166=Main3WData[[#This Row],[PT.ID]])*ROW($N$4:N166))</f>
        <v>166</v>
      </c>
      <c r="Q167" s="62" t="str">
        <f>IF(Main3WData[[#This Row],[PT.FirstID]],Main3WData[[#This Row],[Acronym]],INDEX($Q$4:Q166,Main3WData[[#This Row],[PT.LastID.Row]]-ROW($Q$4)+1) &amp; ", "&amp;Main3WData[[#This Row],[Acronym]])</f>
        <v>OMS, CDC</v>
      </c>
      <c r="R167" s="62" t="b">
        <f t="array" ref="R167">MAX(IF(Main3WData[PT.ID]=Main3WData[[#This Row],[PT.ID]],Main3WData[PT.LastID.Row]))=Main3WData[[#This Row],[PT.LastID.Row]]</f>
        <v>1</v>
      </c>
    </row>
    <row r="168" spans="2:18" ht="16.5" customHeight="1" x14ac:dyDescent="0.2">
      <c r="B168" s="55" t="s">
        <v>77</v>
      </c>
      <c r="C168" s="27" t="str">
        <f>INDEX(Organizations[],MATCH(Main3WData[[#This Row],[Acronym]],AcronymList,0),1)</f>
        <v>United Nations Children's Fund</v>
      </c>
      <c r="D168" s="27" t="str">
        <f>INDEX(Organizations[],MATCH(Main3WData[[#This Row],[Acronym]],AcronymList,0),3)</f>
        <v>UN Agency</v>
      </c>
      <c r="E168" s="54" t="s">
        <v>350</v>
      </c>
      <c r="F168" s="53" t="s">
        <v>82</v>
      </c>
      <c r="G168" s="54" t="s">
        <v>418</v>
      </c>
      <c r="H168" s="28" t="str">
        <f>VLOOKUP(Main3WData[[#This Row],[Admin Unit Name]],AdminUnits[],2,FALSE)</f>
        <v>GIN007001</v>
      </c>
      <c r="I168" s="57">
        <v>0</v>
      </c>
      <c r="J168" s="67" t="str">
        <f>Main3WData[[#This Row],[Acronym]]&amp;Main3WData[[#This Row],[Sector]]&amp;Main3WData[[#This Row],[Activity Type]]&amp;Main3WData[[#This Row],[Pcode]]</f>
        <v>UNICEFCommunication/Mobilisation socialeOngoingGIN007001</v>
      </c>
      <c r="K168" s="69">
        <f>COUNTIF(Main3WData[Concatenate],Main3WData[[#This Row],[Concatenate]])</f>
        <v>1</v>
      </c>
      <c r="L168" s="61" t="str">
        <f>Main3WData[[#This Row],[Sector]]&amp;Main3WData[[#This Row],[Pcode]]</f>
        <v>Communication/Mobilisation socialeGIN007001</v>
      </c>
      <c r="M168" s="71">
        <f>COUNTIF($L$5:L168,Main3WData[[#This Row],[PT.Concat]])</f>
        <v>1</v>
      </c>
      <c r="N168" s="70">
        <f>MATCH(Main3WData[[#This Row],[PT.Concat]],$L$5:L168,0)</f>
        <v>164</v>
      </c>
      <c r="O168" s="62" t="b">
        <f>Main3WData[[#This Row],[Count PT.Concat]]=1</f>
        <v>1</v>
      </c>
      <c r="P168" s="62">
        <f t="array" ref="P168">MAX(($N$4:N167=Main3WData[[#This Row],[PT.ID]])*ROW($N$4:N167))</f>
        <v>0</v>
      </c>
      <c r="Q168" s="62" t="str">
        <f>IF(Main3WData[[#This Row],[PT.FirstID]],Main3WData[[#This Row],[Acronym]],INDEX($Q$4:Q167,Main3WData[[#This Row],[PT.LastID.Row]]-ROW($Q$4)+1) &amp; ", "&amp;Main3WData[[#This Row],[Acronym]])</f>
        <v>UNICEF</v>
      </c>
      <c r="R168" s="62" t="b">
        <f t="array" ref="R168">MAX(IF(Main3WData[PT.ID]=Main3WData[[#This Row],[PT.ID]],Main3WData[PT.LastID.Row]))=Main3WData[[#This Row],[PT.LastID.Row]]</f>
        <v>0</v>
      </c>
    </row>
    <row r="169" spans="2:18" ht="16.5" customHeight="1" x14ac:dyDescent="0.2">
      <c r="B169" s="55" t="s">
        <v>75</v>
      </c>
      <c r="C169" s="27" t="str">
        <f>INDEX(Organizations[],MATCH(Main3WData[[#This Row],[Acronym]],AcronymList,0),1)</f>
        <v>United Nations Population Fund</v>
      </c>
      <c r="D169" s="27" t="str">
        <f>INDEX(Organizations[],MATCH(Main3WData[[#This Row],[Acronym]],AcronymList,0),3)</f>
        <v>UN Agency</v>
      </c>
      <c r="E169" s="54" t="s">
        <v>350</v>
      </c>
      <c r="F169" s="53" t="s">
        <v>82</v>
      </c>
      <c r="G169" s="54" t="s">
        <v>418</v>
      </c>
      <c r="H169" s="28" t="str">
        <f>VLOOKUP(Main3WData[[#This Row],[Admin Unit Name]],AdminUnits[],2,FALSE)</f>
        <v>GIN007001</v>
      </c>
      <c r="I169" s="57">
        <v>0</v>
      </c>
      <c r="J169" s="67" t="str">
        <f>Main3WData[[#This Row],[Acronym]]&amp;Main3WData[[#This Row],[Sector]]&amp;Main3WData[[#This Row],[Activity Type]]&amp;Main3WData[[#This Row],[Pcode]]</f>
        <v>UNFPACommunication/Mobilisation socialeOngoingGIN007001</v>
      </c>
      <c r="K169" s="69">
        <f>COUNTIF(Main3WData[Concatenate],Main3WData[[#This Row],[Concatenate]])</f>
        <v>1</v>
      </c>
      <c r="L169" s="61" t="str">
        <f>Main3WData[[#This Row],[Sector]]&amp;Main3WData[[#This Row],[Pcode]]</f>
        <v>Communication/Mobilisation socialeGIN007001</v>
      </c>
      <c r="M169" s="71">
        <f>COUNTIF($L$5:L169,Main3WData[[#This Row],[PT.Concat]])</f>
        <v>2</v>
      </c>
      <c r="N169" s="70">
        <f>MATCH(Main3WData[[#This Row],[PT.Concat]],$L$5:L169,0)</f>
        <v>164</v>
      </c>
      <c r="O169" s="62" t="b">
        <f>Main3WData[[#This Row],[Count PT.Concat]]=1</f>
        <v>0</v>
      </c>
      <c r="P169" s="62">
        <f t="array" ref="P169">MAX(($N$4:N168=Main3WData[[#This Row],[PT.ID]])*ROW($N$4:N168))</f>
        <v>168</v>
      </c>
      <c r="Q169" s="62" t="str">
        <f>IF(Main3WData[[#This Row],[PT.FirstID]],Main3WData[[#This Row],[Acronym]],INDEX($Q$4:Q168,Main3WData[[#This Row],[PT.LastID.Row]]-ROW($Q$4)+1) &amp; ", "&amp;Main3WData[[#This Row],[Acronym]])</f>
        <v>UNICEF, UNFPA</v>
      </c>
      <c r="R169" s="62" t="b">
        <f t="array" ref="R169">MAX(IF(Main3WData[PT.ID]=Main3WData[[#This Row],[PT.ID]],Main3WData[PT.LastID.Row]))=Main3WData[[#This Row],[PT.LastID.Row]]</f>
        <v>0</v>
      </c>
    </row>
    <row r="170" spans="2:18" ht="16.5" customHeight="1" x14ac:dyDescent="0.2">
      <c r="B170" s="55" t="s">
        <v>473</v>
      </c>
      <c r="C170" s="27" t="str">
        <f>INDEX(Organizations[],MATCH(Main3WData[[#This Row],[Acronym]],AcronymList,0),1)</f>
        <v>United Nations Development Programme</v>
      </c>
      <c r="D170" s="27" t="str">
        <f>INDEX(Organizations[],MATCH(Main3WData[[#This Row],[Acronym]],AcronymList,0),3)</f>
        <v>UN Agency</v>
      </c>
      <c r="E170" s="54" t="s">
        <v>350</v>
      </c>
      <c r="F170" s="53" t="s">
        <v>82</v>
      </c>
      <c r="G170" s="54" t="s">
        <v>418</v>
      </c>
      <c r="H170" s="28" t="str">
        <f>VLOOKUP(Main3WData[[#This Row],[Admin Unit Name]],AdminUnits[],2,FALSE)</f>
        <v>GIN007001</v>
      </c>
      <c r="I170" s="57">
        <v>0</v>
      </c>
      <c r="J170" s="67" t="str">
        <f>Main3WData[[#This Row],[Acronym]]&amp;Main3WData[[#This Row],[Sector]]&amp;Main3WData[[#This Row],[Activity Type]]&amp;Main3WData[[#This Row],[Pcode]]</f>
        <v>UNDPCommunication/Mobilisation socialeOngoingGIN007001</v>
      </c>
      <c r="K170" s="69">
        <f>COUNTIF(Main3WData[Concatenate],Main3WData[[#This Row],[Concatenate]])</f>
        <v>1</v>
      </c>
      <c r="L170" s="61" t="str">
        <f>Main3WData[[#This Row],[Sector]]&amp;Main3WData[[#This Row],[Pcode]]</f>
        <v>Communication/Mobilisation socialeGIN007001</v>
      </c>
      <c r="M170" s="71">
        <f>COUNTIF($L$5:L170,Main3WData[[#This Row],[PT.Concat]])</f>
        <v>3</v>
      </c>
      <c r="N170" s="70">
        <f>MATCH(Main3WData[[#This Row],[PT.Concat]],$L$5:L170,0)</f>
        <v>164</v>
      </c>
      <c r="O170" s="62" t="b">
        <f>Main3WData[[#This Row],[Count PT.Concat]]=1</f>
        <v>0</v>
      </c>
      <c r="P170" s="62">
        <f t="array" ref="P170">MAX(($N$4:N169=Main3WData[[#This Row],[PT.ID]])*ROW($N$4:N169))</f>
        <v>169</v>
      </c>
      <c r="Q170" s="62" t="str">
        <f>IF(Main3WData[[#This Row],[PT.FirstID]],Main3WData[[#This Row],[Acronym]],INDEX($Q$4:Q169,Main3WData[[#This Row],[PT.LastID.Row]]-ROW($Q$4)+1) &amp; ", "&amp;Main3WData[[#This Row],[Acronym]])</f>
        <v>UNICEF, UNFPA, UNDP</v>
      </c>
      <c r="R170" s="62" t="b">
        <f t="array" ref="R170">MAX(IF(Main3WData[PT.ID]=Main3WData[[#This Row],[PT.ID]],Main3WData[PT.LastID.Row]))=Main3WData[[#This Row],[PT.LastID.Row]]</f>
        <v>0</v>
      </c>
    </row>
    <row r="171" spans="2:18" ht="16.5" customHeight="1" x14ac:dyDescent="0.2">
      <c r="B171" s="55" t="s">
        <v>72</v>
      </c>
      <c r="C171" s="27" t="str">
        <f>INDEX(Organizations[],MATCH(Main3WData[[#This Row],[Acronym]],AcronymList,0),1)</f>
        <v>PLAN</v>
      </c>
      <c r="D171" s="27" t="str">
        <f>INDEX(Organizations[],MATCH(Main3WData[[#This Row],[Acronym]],AcronymList,0),3)</f>
        <v>International Organization</v>
      </c>
      <c r="E171" s="54" t="s">
        <v>350</v>
      </c>
      <c r="F171" s="53" t="s">
        <v>82</v>
      </c>
      <c r="G171" s="54" t="s">
        <v>418</v>
      </c>
      <c r="H171" s="28" t="str">
        <f>VLOOKUP(Main3WData[[#This Row],[Admin Unit Name]],AdminUnits[],2,FALSE)</f>
        <v>GIN007001</v>
      </c>
      <c r="I171" s="57">
        <v>0</v>
      </c>
      <c r="J171" s="67" t="str">
        <f>Main3WData[[#This Row],[Acronym]]&amp;Main3WData[[#This Row],[Sector]]&amp;Main3WData[[#This Row],[Activity Type]]&amp;Main3WData[[#This Row],[Pcode]]</f>
        <v>PLANCommunication/Mobilisation socialeOngoingGIN007001</v>
      </c>
      <c r="K171" s="69">
        <f>COUNTIF(Main3WData[Concatenate],Main3WData[[#This Row],[Concatenate]])</f>
        <v>1</v>
      </c>
      <c r="L171" s="61" t="str">
        <f>Main3WData[[#This Row],[Sector]]&amp;Main3WData[[#This Row],[Pcode]]</f>
        <v>Communication/Mobilisation socialeGIN007001</v>
      </c>
      <c r="M171" s="71">
        <f>COUNTIF($L$5:L171,Main3WData[[#This Row],[PT.Concat]])</f>
        <v>4</v>
      </c>
      <c r="N171" s="70">
        <f>MATCH(Main3WData[[#This Row],[PT.Concat]],$L$5:L171,0)</f>
        <v>164</v>
      </c>
      <c r="O171" s="62" t="b">
        <f>Main3WData[[#This Row],[Count PT.Concat]]=1</f>
        <v>0</v>
      </c>
      <c r="P171" s="62">
        <f t="array" ref="P171">MAX(($N$4:N170=Main3WData[[#This Row],[PT.ID]])*ROW($N$4:N170))</f>
        <v>170</v>
      </c>
      <c r="Q171" s="62" t="str">
        <f>IF(Main3WData[[#This Row],[PT.FirstID]],Main3WData[[#This Row],[Acronym]],INDEX($Q$4:Q170,Main3WData[[#This Row],[PT.LastID.Row]]-ROW($Q$4)+1) &amp; ", "&amp;Main3WData[[#This Row],[Acronym]])</f>
        <v>UNICEF, UNFPA, UNDP, PLAN</v>
      </c>
      <c r="R171" s="62" t="b">
        <f t="array" ref="R171">MAX(IF(Main3WData[PT.ID]=Main3WData[[#This Row],[PT.ID]],Main3WData[PT.LastID.Row]))=Main3WData[[#This Row],[PT.LastID.Row]]</f>
        <v>0</v>
      </c>
    </row>
    <row r="172" spans="2:18" ht="16.5" customHeight="1" x14ac:dyDescent="0.2">
      <c r="B172" s="55" t="s">
        <v>512</v>
      </c>
      <c r="C172" s="27" t="str">
        <f>INDEX(Organizations[],MATCH(Main3WData[[#This Row],[Acronym]],AcronymList,0),1)</f>
        <v>World Health Organization</v>
      </c>
      <c r="D172" s="27" t="str">
        <f>INDEX(Organizations[],MATCH(Main3WData[[#This Row],[Acronym]],AcronymList,0),3)</f>
        <v>UN Agency</v>
      </c>
      <c r="E172" s="54" t="s">
        <v>350</v>
      </c>
      <c r="F172" s="53" t="s">
        <v>82</v>
      </c>
      <c r="G172" s="54" t="s">
        <v>418</v>
      </c>
      <c r="H172" s="28" t="str">
        <f>VLOOKUP(Main3WData[[#This Row],[Admin Unit Name]],AdminUnits[],2,FALSE)</f>
        <v>GIN007001</v>
      </c>
      <c r="I172" s="57">
        <v>0</v>
      </c>
      <c r="J172" s="67" t="str">
        <f>Main3WData[[#This Row],[Acronym]]&amp;Main3WData[[#This Row],[Sector]]&amp;Main3WData[[#This Row],[Activity Type]]&amp;Main3WData[[#This Row],[Pcode]]</f>
        <v>OMSCommunication/Mobilisation socialeOngoingGIN007001</v>
      </c>
      <c r="K172" s="69">
        <f>COUNTIF(Main3WData[Concatenate],Main3WData[[#This Row],[Concatenate]])</f>
        <v>1</v>
      </c>
      <c r="L172" s="61" t="str">
        <f>Main3WData[[#This Row],[Sector]]&amp;Main3WData[[#This Row],[Pcode]]</f>
        <v>Communication/Mobilisation socialeGIN007001</v>
      </c>
      <c r="M172" s="71">
        <f>COUNTIF($L$5:L172,Main3WData[[#This Row],[PT.Concat]])</f>
        <v>5</v>
      </c>
      <c r="N172" s="70">
        <f>MATCH(Main3WData[[#This Row],[PT.Concat]],$L$5:L172,0)</f>
        <v>164</v>
      </c>
      <c r="O172" s="62" t="b">
        <f>Main3WData[[#This Row],[Count PT.Concat]]=1</f>
        <v>0</v>
      </c>
      <c r="P172" s="62">
        <f t="array" ref="P172">MAX(($N$4:N171=Main3WData[[#This Row],[PT.ID]])*ROW($N$4:N171))</f>
        <v>171</v>
      </c>
      <c r="Q172" s="62" t="str">
        <f>IF(Main3WData[[#This Row],[PT.FirstID]],Main3WData[[#This Row],[Acronym]],INDEX($Q$4:Q171,Main3WData[[#This Row],[PT.LastID.Row]]-ROW($Q$4)+1) &amp; ", "&amp;Main3WData[[#This Row],[Acronym]])</f>
        <v>UNICEF, UNFPA, UNDP, PLAN, OMS</v>
      </c>
      <c r="R172" s="62" t="b">
        <f t="array" ref="R172">MAX(IF(Main3WData[PT.ID]=Main3WData[[#This Row],[PT.ID]],Main3WData[PT.LastID.Row]))=Main3WData[[#This Row],[PT.LastID.Row]]</f>
        <v>1</v>
      </c>
    </row>
    <row r="173" spans="2:18" ht="16.5" customHeight="1" x14ac:dyDescent="0.2">
      <c r="B173" s="55" t="s">
        <v>516</v>
      </c>
      <c r="C173" s="27" t="str">
        <f>INDEX(Organizations[],MATCH(Main3WData[[#This Row],[Acronym]],AcronymList,0),1)</f>
        <v>UNITED NATION MISSION FOR EBOLA  EMERGENCY RESPONSE</v>
      </c>
      <c r="D173" s="27" t="str">
        <f>INDEX(Organizations[],MATCH(Main3WData[[#This Row],[Acronym]],AcronymList,0),3)</f>
        <v>UN Agency</v>
      </c>
      <c r="E173" s="54" t="s">
        <v>360</v>
      </c>
      <c r="F173" s="53" t="s">
        <v>82</v>
      </c>
      <c r="G173" s="54" t="s">
        <v>418</v>
      </c>
      <c r="H173" s="28" t="str">
        <f>VLOOKUP(Main3WData[[#This Row],[Admin Unit Name]],AdminUnits[],2,FALSE)</f>
        <v>GIN007001</v>
      </c>
      <c r="I173" s="57">
        <v>0</v>
      </c>
      <c r="J173" s="67" t="str">
        <f>Main3WData[[#This Row],[Acronym]]&amp;Main3WData[[#This Row],[Sector]]&amp;Main3WData[[#This Row],[Activity Type]]&amp;Main3WData[[#This Row],[Pcode]]</f>
        <v>UNMEERCoordinationOngoingGIN007001</v>
      </c>
      <c r="K173" s="69">
        <f>COUNTIF(Main3WData[Concatenate],Main3WData[[#This Row],[Concatenate]])</f>
        <v>1</v>
      </c>
      <c r="L173" s="61" t="str">
        <f>Main3WData[[#This Row],[Sector]]&amp;Main3WData[[#This Row],[Pcode]]</f>
        <v>CoordinationGIN007001</v>
      </c>
      <c r="M173" s="71">
        <f>COUNTIF($L$5:L173,Main3WData[[#This Row],[PT.Concat]])</f>
        <v>1</v>
      </c>
      <c r="N173" s="70">
        <f>MATCH(Main3WData[[#This Row],[PT.Concat]],$L$5:L173,0)</f>
        <v>169</v>
      </c>
      <c r="O173" s="62" t="b">
        <f>Main3WData[[#This Row],[Count PT.Concat]]=1</f>
        <v>1</v>
      </c>
      <c r="P173" s="62">
        <f t="array" ref="P173">MAX(($N$4:N172=Main3WData[[#This Row],[PT.ID]])*ROW($N$4:N172))</f>
        <v>0</v>
      </c>
      <c r="Q173" s="62" t="str">
        <f>IF(Main3WData[[#This Row],[PT.FirstID]],Main3WData[[#This Row],[Acronym]],INDEX($Q$4:Q172,Main3WData[[#This Row],[PT.LastID.Row]]-ROW($Q$4)+1) &amp; ", "&amp;Main3WData[[#This Row],[Acronym]])</f>
        <v>UNMEER</v>
      </c>
      <c r="R173" s="62" t="b">
        <f t="array" ref="R173">MAX(IF(Main3WData[PT.ID]=Main3WData[[#This Row],[PT.ID]],Main3WData[PT.LastID.Row]))=Main3WData[[#This Row],[PT.LastID.Row]]</f>
        <v>0</v>
      </c>
    </row>
    <row r="174" spans="2:18" ht="16.5" customHeight="1" x14ac:dyDescent="0.2">
      <c r="B174" s="55" t="s">
        <v>75</v>
      </c>
      <c r="C174" s="27" t="str">
        <f>INDEX(Organizations[],MATCH(Main3WData[[#This Row],[Acronym]],AcronymList,0),1)</f>
        <v>United Nations Population Fund</v>
      </c>
      <c r="D174" s="27" t="str">
        <f>INDEX(Organizations[],MATCH(Main3WData[[#This Row],[Acronym]],AcronymList,0),3)</f>
        <v>UN Agency</v>
      </c>
      <c r="E174" s="54" t="s">
        <v>360</v>
      </c>
      <c r="F174" s="53" t="s">
        <v>82</v>
      </c>
      <c r="G174" s="54" t="s">
        <v>418</v>
      </c>
      <c r="H174" s="28" t="str">
        <f>VLOOKUP(Main3WData[[#This Row],[Admin Unit Name]],AdminUnits[],2,FALSE)</f>
        <v>GIN007001</v>
      </c>
      <c r="I174" s="57">
        <v>0</v>
      </c>
      <c r="J174" s="67" t="str">
        <f>Main3WData[[#This Row],[Acronym]]&amp;Main3WData[[#This Row],[Sector]]&amp;Main3WData[[#This Row],[Activity Type]]&amp;Main3WData[[#This Row],[Pcode]]</f>
        <v>UNFPACoordinationOngoingGIN007001</v>
      </c>
      <c r="K174" s="69">
        <f>COUNTIF(Main3WData[Concatenate],Main3WData[[#This Row],[Concatenate]])</f>
        <v>1</v>
      </c>
      <c r="L174" s="61" t="str">
        <f>Main3WData[[#This Row],[Sector]]&amp;Main3WData[[#This Row],[Pcode]]</f>
        <v>CoordinationGIN007001</v>
      </c>
      <c r="M174" s="71">
        <f>COUNTIF($L$5:L174,Main3WData[[#This Row],[PT.Concat]])</f>
        <v>2</v>
      </c>
      <c r="N174" s="70">
        <f>MATCH(Main3WData[[#This Row],[PT.Concat]],$L$5:L174,0)</f>
        <v>169</v>
      </c>
      <c r="O174" s="62" t="b">
        <f>Main3WData[[#This Row],[Count PT.Concat]]=1</f>
        <v>0</v>
      </c>
      <c r="P174" s="62">
        <f t="array" ref="P174">MAX(($N$4:N173=Main3WData[[#This Row],[PT.ID]])*ROW($N$4:N173))</f>
        <v>173</v>
      </c>
      <c r="Q174" s="62" t="str">
        <f>IF(Main3WData[[#This Row],[PT.FirstID]],Main3WData[[#This Row],[Acronym]],INDEX($Q$4:Q173,Main3WData[[#This Row],[PT.LastID.Row]]-ROW($Q$4)+1) &amp; ", "&amp;Main3WData[[#This Row],[Acronym]])</f>
        <v>UNMEER, UNFPA</v>
      </c>
      <c r="R174" s="62" t="b">
        <f t="array" ref="R174">MAX(IF(Main3WData[PT.ID]=Main3WData[[#This Row],[PT.ID]],Main3WData[PT.LastID.Row]))=Main3WData[[#This Row],[PT.LastID.Row]]</f>
        <v>0</v>
      </c>
    </row>
    <row r="175" spans="2:18" ht="16.5" customHeight="1" x14ac:dyDescent="0.2">
      <c r="B175" s="55" t="s">
        <v>473</v>
      </c>
      <c r="C175" s="27" t="str">
        <f>INDEX(Organizations[],MATCH(Main3WData[[#This Row],[Acronym]],AcronymList,0),1)</f>
        <v>United Nations Development Programme</v>
      </c>
      <c r="D175" s="27" t="str">
        <f>INDEX(Organizations[],MATCH(Main3WData[[#This Row],[Acronym]],AcronymList,0),3)</f>
        <v>UN Agency</v>
      </c>
      <c r="E175" s="54" t="s">
        <v>360</v>
      </c>
      <c r="F175" s="53" t="s">
        <v>82</v>
      </c>
      <c r="G175" s="54" t="s">
        <v>418</v>
      </c>
      <c r="H175" s="28" t="str">
        <f>VLOOKUP(Main3WData[[#This Row],[Admin Unit Name]],AdminUnits[],2,FALSE)</f>
        <v>GIN007001</v>
      </c>
      <c r="I175" s="57">
        <v>0</v>
      </c>
      <c r="J175" s="67" t="str">
        <f>Main3WData[[#This Row],[Acronym]]&amp;Main3WData[[#This Row],[Sector]]&amp;Main3WData[[#This Row],[Activity Type]]&amp;Main3WData[[#This Row],[Pcode]]</f>
        <v>UNDPCoordinationOngoingGIN007001</v>
      </c>
      <c r="K175" s="69">
        <f>COUNTIF(Main3WData[Concatenate],Main3WData[[#This Row],[Concatenate]])</f>
        <v>1</v>
      </c>
      <c r="L175" s="61" t="str">
        <f>Main3WData[[#This Row],[Sector]]&amp;Main3WData[[#This Row],[Pcode]]</f>
        <v>CoordinationGIN007001</v>
      </c>
      <c r="M175" s="71">
        <f>COUNTIF($L$5:L175,Main3WData[[#This Row],[PT.Concat]])</f>
        <v>3</v>
      </c>
      <c r="N175" s="70">
        <f>MATCH(Main3WData[[#This Row],[PT.Concat]],$L$5:L175,0)</f>
        <v>169</v>
      </c>
      <c r="O175" s="62" t="b">
        <f>Main3WData[[#This Row],[Count PT.Concat]]=1</f>
        <v>0</v>
      </c>
      <c r="P175" s="62">
        <f t="array" ref="P175">MAX(($N$4:N174=Main3WData[[#This Row],[PT.ID]])*ROW($N$4:N174))</f>
        <v>174</v>
      </c>
      <c r="Q175" s="62" t="str">
        <f>IF(Main3WData[[#This Row],[PT.FirstID]],Main3WData[[#This Row],[Acronym]],INDEX($Q$4:Q174,Main3WData[[#This Row],[PT.LastID.Row]]-ROW($Q$4)+1) &amp; ", "&amp;Main3WData[[#This Row],[Acronym]])</f>
        <v>UNMEER, UNFPA, UNDP</v>
      </c>
      <c r="R175" s="62" t="b">
        <f t="array" ref="R175">MAX(IF(Main3WData[PT.ID]=Main3WData[[#This Row],[PT.ID]],Main3WData[PT.LastID.Row]))=Main3WData[[#This Row],[PT.LastID.Row]]</f>
        <v>0</v>
      </c>
    </row>
    <row r="176" spans="2:18" ht="16.5" customHeight="1" x14ac:dyDescent="0.2">
      <c r="B176" s="55" t="s">
        <v>512</v>
      </c>
      <c r="C176" s="27" t="str">
        <f>INDEX(Organizations[],MATCH(Main3WData[[#This Row],[Acronym]],AcronymList,0),1)</f>
        <v>World Health Organization</v>
      </c>
      <c r="D176" s="27" t="str">
        <f>INDEX(Organizations[],MATCH(Main3WData[[#This Row],[Acronym]],AcronymList,0),3)</f>
        <v>UN Agency</v>
      </c>
      <c r="E176" s="54" t="s">
        <v>360</v>
      </c>
      <c r="F176" s="53" t="s">
        <v>82</v>
      </c>
      <c r="G176" s="54" t="s">
        <v>418</v>
      </c>
      <c r="H176" s="28" t="str">
        <f>VLOOKUP(Main3WData[[#This Row],[Admin Unit Name]],AdminUnits[],2,FALSE)</f>
        <v>GIN007001</v>
      </c>
      <c r="I176" s="57">
        <v>0</v>
      </c>
      <c r="J176" s="67" t="str">
        <f>Main3WData[[#This Row],[Acronym]]&amp;Main3WData[[#This Row],[Sector]]&amp;Main3WData[[#This Row],[Activity Type]]&amp;Main3WData[[#This Row],[Pcode]]</f>
        <v>OMSCoordinationOngoingGIN007001</v>
      </c>
      <c r="K176" s="69">
        <f>COUNTIF(Main3WData[Concatenate],Main3WData[[#This Row],[Concatenate]])</f>
        <v>1</v>
      </c>
      <c r="L176" s="61" t="str">
        <f>Main3WData[[#This Row],[Sector]]&amp;Main3WData[[#This Row],[Pcode]]</f>
        <v>CoordinationGIN007001</v>
      </c>
      <c r="M176" s="71">
        <f>COUNTIF($L$5:L176,Main3WData[[#This Row],[PT.Concat]])</f>
        <v>4</v>
      </c>
      <c r="N176" s="70">
        <f>MATCH(Main3WData[[#This Row],[PT.Concat]],$L$5:L176,0)</f>
        <v>169</v>
      </c>
      <c r="O176" s="62" t="b">
        <f>Main3WData[[#This Row],[Count PT.Concat]]=1</f>
        <v>0</v>
      </c>
      <c r="P176" s="62">
        <f t="array" ref="P176">MAX(($N$4:N175=Main3WData[[#This Row],[PT.ID]])*ROW($N$4:N175))</f>
        <v>175</v>
      </c>
      <c r="Q176" s="62" t="str">
        <f>IF(Main3WData[[#This Row],[PT.FirstID]],Main3WData[[#This Row],[Acronym]],INDEX($Q$4:Q175,Main3WData[[#This Row],[PT.LastID.Row]]-ROW($Q$4)+1) &amp; ", "&amp;Main3WData[[#This Row],[Acronym]])</f>
        <v>UNMEER, UNFPA, UNDP, OMS</v>
      </c>
      <c r="R176" s="62" t="b">
        <f t="array" ref="R176">MAX(IF(Main3WData[PT.ID]=Main3WData[[#This Row],[PT.ID]],Main3WData[PT.LastID.Row]))=Main3WData[[#This Row],[PT.LastID.Row]]</f>
        <v>0</v>
      </c>
    </row>
    <row r="177" spans="2:18" ht="16.5" customHeight="1" x14ac:dyDescent="0.2">
      <c r="B177" s="55" t="s">
        <v>71</v>
      </c>
      <c r="C177" s="27" t="str">
        <f>INDEX(Organizations[],MATCH(Main3WData[[#This Row],[Acronym]],AcronymList,0),1)</f>
        <v>Medecins sans Frontieres</v>
      </c>
      <c r="D177" s="27" t="str">
        <f>INDEX(Organizations[],MATCH(Main3WData[[#This Row],[Acronym]],AcronymList,0),3)</f>
        <v>International NGO</v>
      </c>
      <c r="E177" s="54" t="s">
        <v>360</v>
      </c>
      <c r="F177" s="53" t="s">
        <v>82</v>
      </c>
      <c r="G177" s="54" t="s">
        <v>418</v>
      </c>
      <c r="H177" s="28" t="str">
        <f>VLOOKUP(Main3WData[[#This Row],[Admin Unit Name]],AdminUnits[],2,FALSE)</f>
        <v>GIN007001</v>
      </c>
      <c r="I177" s="57">
        <v>0</v>
      </c>
      <c r="J177" s="67" t="str">
        <f>Main3WData[[#This Row],[Acronym]]&amp;Main3WData[[#This Row],[Sector]]&amp;Main3WData[[#This Row],[Activity Type]]&amp;Main3WData[[#This Row],[Pcode]]</f>
        <v>MSFCoordinationOngoingGIN007001</v>
      </c>
      <c r="K177" s="69">
        <f>COUNTIF(Main3WData[Concatenate],Main3WData[[#This Row],[Concatenate]])</f>
        <v>1</v>
      </c>
      <c r="L177" s="61" t="str">
        <f>Main3WData[[#This Row],[Sector]]&amp;Main3WData[[#This Row],[Pcode]]</f>
        <v>CoordinationGIN007001</v>
      </c>
      <c r="M177" s="71">
        <f>COUNTIF($L$5:L177,Main3WData[[#This Row],[PT.Concat]])</f>
        <v>5</v>
      </c>
      <c r="N177" s="70">
        <f>MATCH(Main3WData[[#This Row],[PT.Concat]],$L$5:L177,0)</f>
        <v>169</v>
      </c>
      <c r="O177" s="62" t="b">
        <f>Main3WData[[#This Row],[Count PT.Concat]]=1</f>
        <v>0</v>
      </c>
      <c r="P177" s="62">
        <f t="array" ref="P177">MAX(($N$4:N176=Main3WData[[#This Row],[PT.ID]])*ROW($N$4:N176))</f>
        <v>176</v>
      </c>
      <c r="Q177" s="62" t="str">
        <f>IF(Main3WData[[#This Row],[PT.FirstID]],Main3WData[[#This Row],[Acronym]],INDEX($Q$4:Q176,Main3WData[[#This Row],[PT.LastID.Row]]-ROW($Q$4)+1) &amp; ", "&amp;Main3WData[[#This Row],[Acronym]])</f>
        <v>UNMEER, UNFPA, UNDP, OMS, MSF</v>
      </c>
      <c r="R177" s="62" t="b">
        <f t="array" ref="R177">MAX(IF(Main3WData[PT.ID]=Main3WData[[#This Row],[PT.ID]],Main3WData[PT.LastID.Row]))=Main3WData[[#This Row],[PT.LastID.Row]]</f>
        <v>0</v>
      </c>
    </row>
    <row r="178" spans="2:18" ht="16.5" customHeight="1" x14ac:dyDescent="0.2">
      <c r="B178" s="55" t="s">
        <v>507</v>
      </c>
      <c r="C178" s="27" t="str">
        <f>INDEX(Organizations[],MATCH(Main3WData[[#This Row],[Acronym]],AcronymList,0),1)</f>
        <v>eHealth Africa</v>
      </c>
      <c r="D178" s="27" t="str">
        <f>INDEX(Organizations[],MATCH(Main3WData[[#This Row],[Acronym]],AcronymList,0),3)</f>
        <v>International Organization</v>
      </c>
      <c r="E178" s="54" t="s">
        <v>360</v>
      </c>
      <c r="F178" s="53" t="s">
        <v>82</v>
      </c>
      <c r="G178" s="54" t="s">
        <v>418</v>
      </c>
      <c r="H178" s="28" t="str">
        <f>VLOOKUP(Main3WData[[#This Row],[Admin Unit Name]],AdminUnits[],2,FALSE)</f>
        <v>GIN007001</v>
      </c>
      <c r="I178" s="57">
        <v>0</v>
      </c>
      <c r="J178" s="67" t="str">
        <f>Main3WData[[#This Row],[Acronym]]&amp;Main3WData[[#This Row],[Sector]]&amp;Main3WData[[#This Row],[Activity Type]]&amp;Main3WData[[#This Row],[Pcode]]</f>
        <v>eHealth AfricaCoordinationOngoingGIN007001</v>
      </c>
      <c r="K178" s="69">
        <f>COUNTIF(Main3WData[Concatenate],Main3WData[[#This Row],[Concatenate]])</f>
        <v>1</v>
      </c>
      <c r="L178" s="61" t="str">
        <f>Main3WData[[#This Row],[Sector]]&amp;Main3WData[[#This Row],[Pcode]]</f>
        <v>CoordinationGIN007001</v>
      </c>
      <c r="M178" s="71">
        <f>COUNTIF($L$5:L178,Main3WData[[#This Row],[PT.Concat]])</f>
        <v>6</v>
      </c>
      <c r="N178" s="70">
        <f>MATCH(Main3WData[[#This Row],[PT.Concat]],$L$5:L178,0)</f>
        <v>169</v>
      </c>
      <c r="O178" s="62" t="b">
        <f>Main3WData[[#This Row],[Count PT.Concat]]=1</f>
        <v>0</v>
      </c>
      <c r="P178" s="62">
        <f t="array" ref="P178">MAX(($N$4:N177=Main3WData[[#This Row],[PT.ID]])*ROW($N$4:N177))</f>
        <v>177</v>
      </c>
      <c r="Q178" s="62" t="str">
        <f>IF(Main3WData[[#This Row],[PT.FirstID]],Main3WData[[#This Row],[Acronym]],INDEX($Q$4:Q177,Main3WData[[#This Row],[PT.LastID.Row]]-ROW($Q$4)+1) &amp; ", "&amp;Main3WData[[#This Row],[Acronym]])</f>
        <v>UNMEER, UNFPA, UNDP, OMS, MSF, eHealth Africa</v>
      </c>
      <c r="R178" s="62" t="b">
        <f t="array" ref="R178">MAX(IF(Main3WData[PT.ID]=Main3WData[[#This Row],[PT.ID]],Main3WData[PT.LastID.Row]))=Main3WData[[#This Row],[PT.LastID.Row]]</f>
        <v>1</v>
      </c>
    </row>
    <row r="179" spans="2:18" ht="16.5" customHeight="1" x14ac:dyDescent="0.2">
      <c r="B179" s="55" t="s">
        <v>473</v>
      </c>
      <c r="C179" s="27" t="str">
        <f>INDEX(Organizations[],MATCH(Main3WData[[#This Row],[Acronym]],AcronymList,0),1)</f>
        <v>United Nations Development Programme</v>
      </c>
      <c r="D179" s="27" t="str">
        <f>INDEX(Organizations[],MATCH(Main3WData[[#This Row],[Acronym]],AcronymList,0),3)</f>
        <v>UN Agency</v>
      </c>
      <c r="E179" s="54" t="s">
        <v>359</v>
      </c>
      <c r="F179" s="53" t="s">
        <v>82</v>
      </c>
      <c r="G179" s="54" t="s">
        <v>418</v>
      </c>
      <c r="H179" s="28" t="str">
        <f>VLOOKUP(Main3WData[[#This Row],[Admin Unit Name]],AdminUnits[],2,FALSE)</f>
        <v>GIN007001</v>
      </c>
      <c r="I179" s="57">
        <v>0</v>
      </c>
      <c r="J179" s="67" t="str">
        <f>Main3WData[[#This Row],[Acronym]]&amp;Main3WData[[#This Row],[Sector]]&amp;Main3WData[[#This Row],[Activity Type]]&amp;Main3WData[[#This Row],[Pcode]]</f>
        <v>UNDPFinanceOngoingGIN007001</v>
      </c>
      <c r="K179" s="69">
        <f>COUNTIF(Main3WData[Concatenate],Main3WData[[#This Row],[Concatenate]])</f>
        <v>1</v>
      </c>
      <c r="L179" s="61" t="str">
        <f>Main3WData[[#This Row],[Sector]]&amp;Main3WData[[#This Row],[Pcode]]</f>
        <v>FinanceGIN007001</v>
      </c>
      <c r="M179" s="71">
        <f>COUNTIF($L$5:L179,Main3WData[[#This Row],[PT.Concat]])</f>
        <v>1</v>
      </c>
      <c r="N179" s="70">
        <f>MATCH(Main3WData[[#This Row],[PT.Concat]],$L$5:L179,0)</f>
        <v>175</v>
      </c>
      <c r="O179" s="62" t="b">
        <f>Main3WData[[#This Row],[Count PT.Concat]]=1</f>
        <v>1</v>
      </c>
      <c r="P179" s="62">
        <f t="array" ref="P179">MAX(($N$4:N178=Main3WData[[#This Row],[PT.ID]])*ROW($N$4:N178))</f>
        <v>0</v>
      </c>
      <c r="Q179" s="62" t="str">
        <f>IF(Main3WData[[#This Row],[PT.FirstID]],Main3WData[[#This Row],[Acronym]],INDEX($Q$4:Q178,Main3WData[[#This Row],[PT.LastID.Row]]-ROW($Q$4)+1) &amp; ", "&amp;Main3WData[[#This Row],[Acronym]])</f>
        <v>UNDP</v>
      </c>
      <c r="R179" s="62" t="b">
        <f t="array" ref="R179">MAX(IF(Main3WData[PT.ID]=Main3WData[[#This Row],[PT.ID]],Main3WData[PT.LastID.Row]))=Main3WData[[#This Row],[PT.LastID.Row]]</f>
        <v>1</v>
      </c>
    </row>
    <row r="180" spans="2:18" ht="16.5" customHeight="1" x14ac:dyDescent="0.2">
      <c r="B180" s="55" t="s">
        <v>451</v>
      </c>
      <c r="C180" s="27" t="str">
        <f>INDEX(Organizations[],MATCH(Main3WData[[#This Row],[Acronym]],AcronymList,0),1)</f>
        <v>Croix-Rouge Guinée</v>
      </c>
      <c r="D180" s="27" t="str">
        <f>INDEX(Organizations[],MATCH(Main3WData[[#This Row],[Acronym]],AcronymList,0),3)</f>
        <v>Red Cross Movement</v>
      </c>
      <c r="E180" s="54" t="s">
        <v>354</v>
      </c>
      <c r="F180" s="53" t="s">
        <v>82</v>
      </c>
      <c r="G180" s="54" t="s">
        <v>418</v>
      </c>
      <c r="H180" s="28" t="str">
        <f>VLOOKUP(Main3WData[[#This Row],[Admin Unit Name]],AdminUnits[],2,FALSE)</f>
        <v>GIN007001</v>
      </c>
      <c r="I180" s="57">
        <v>0</v>
      </c>
      <c r="J180" s="67" t="str">
        <f>Main3WData[[#This Row],[Acronym]]&amp;Main3WData[[#This Row],[Sector]]&amp;Main3WData[[#This Row],[Activity Type]]&amp;Main3WData[[#This Row],[Pcode]]</f>
        <v>CRGGestion des corps et desinfectionOngoingGIN007001</v>
      </c>
      <c r="K180" s="69">
        <f>COUNTIF(Main3WData[Concatenate],Main3WData[[#This Row],[Concatenate]])</f>
        <v>1</v>
      </c>
      <c r="L180" s="61" t="str">
        <f>Main3WData[[#This Row],[Sector]]&amp;Main3WData[[#This Row],[Pcode]]</f>
        <v>Gestion des corps et desinfectionGIN007001</v>
      </c>
      <c r="M180" s="71">
        <f>COUNTIF($L$5:L180,Main3WData[[#This Row],[PT.Concat]])</f>
        <v>1</v>
      </c>
      <c r="N180" s="70">
        <f>MATCH(Main3WData[[#This Row],[PT.Concat]],$L$5:L180,0)</f>
        <v>176</v>
      </c>
      <c r="O180" s="62" t="b">
        <f>Main3WData[[#This Row],[Count PT.Concat]]=1</f>
        <v>1</v>
      </c>
      <c r="P180" s="62">
        <f t="array" ref="P180">MAX(($N$4:N179=Main3WData[[#This Row],[PT.ID]])*ROW($N$4:N179))</f>
        <v>0</v>
      </c>
      <c r="Q180" s="62" t="str">
        <f>IF(Main3WData[[#This Row],[PT.FirstID]],Main3WData[[#This Row],[Acronym]],INDEX($Q$4:Q179,Main3WData[[#This Row],[PT.LastID.Row]]-ROW($Q$4)+1) &amp; ", "&amp;Main3WData[[#This Row],[Acronym]])</f>
        <v>CRG</v>
      </c>
      <c r="R180" s="62" t="b">
        <f t="array" ref="R180">MAX(IF(Main3WData[PT.ID]=Main3WData[[#This Row],[PT.ID]],Main3WData[PT.LastID.Row]))=Main3WData[[#This Row],[PT.LastID.Row]]</f>
        <v>1</v>
      </c>
    </row>
    <row r="181" spans="2:18" ht="16.5" customHeight="1" x14ac:dyDescent="0.2">
      <c r="B181" s="55" t="s">
        <v>516</v>
      </c>
      <c r="C181" s="27" t="str">
        <f>INDEX(Organizations[],MATCH(Main3WData[[#This Row],[Acronym]],AcronymList,0),1)</f>
        <v>UNITED NATION MISSION FOR EBOLA  EMERGENCY RESPONSE</v>
      </c>
      <c r="D181" s="27" t="str">
        <f>INDEX(Organizations[],MATCH(Main3WData[[#This Row],[Acronym]],AcronymList,0),3)</f>
        <v>UN Agency</v>
      </c>
      <c r="E181" s="54" t="s">
        <v>356</v>
      </c>
      <c r="F181" s="53" t="s">
        <v>82</v>
      </c>
      <c r="G181" s="54" t="s">
        <v>418</v>
      </c>
      <c r="H181" s="28" t="str">
        <f>VLOOKUP(Main3WData[[#This Row],[Admin Unit Name]],AdminUnits[],2,FALSE)</f>
        <v>GIN007001</v>
      </c>
      <c r="I181" s="57">
        <v>0</v>
      </c>
      <c r="J181" s="67" t="str">
        <f>Main3WData[[#This Row],[Acronym]]&amp;Main3WData[[#This Row],[Sector]]&amp;Main3WData[[#This Row],[Activity Type]]&amp;Main3WData[[#This Row],[Pcode]]</f>
        <v>UNMEERGestion des donnéesOngoingGIN007001</v>
      </c>
      <c r="K181" s="69">
        <f>COUNTIF(Main3WData[Concatenate],Main3WData[[#This Row],[Concatenate]])</f>
        <v>1</v>
      </c>
      <c r="L181" s="61" t="str">
        <f>Main3WData[[#This Row],[Sector]]&amp;Main3WData[[#This Row],[Pcode]]</f>
        <v>Gestion des donnéesGIN007001</v>
      </c>
      <c r="M181" s="71">
        <f>COUNTIF($L$5:L181,Main3WData[[#This Row],[PT.Concat]])</f>
        <v>1</v>
      </c>
      <c r="N181" s="70">
        <f>MATCH(Main3WData[[#This Row],[PT.Concat]],$L$5:L181,0)</f>
        <v>177</v>
      </c>
      <c r="O181" s="62" t="b">
        <f>Main3WData[[#This Row],[Count PT.Concat]]=1</f>
        <v>1</v>
      </c>
      <c r="P181" s="62">
        <f t="array" ref="P181">MAX(($N$4:N180=Main3WData[[#This Row],[PT.ID]])*ROW($N$4:N180))</f>
        <v>0</v>
      </c>
      <c r="Q181" s="62" t="str">
        <f>IF(Main3WData[[#This Row],[PT.FirstID]],Main3WData[[#This Row],[Acronym]],INDEX($Q$4:Q180,Main3WData[[#This Row],[PT.LastID.Row]]-ROW($Q$4)+1) &amp; ", "&amp;Main3WData[[#This Row],[Acronym]])</f>
        <v>UNMEER</v>
      </c>
      <c r="R181" s="62" t="b">
        <f t="array" ref="R181">MAX(IF(Main3WData[PT.ID]=Main3WData[[#This Row],[PT.ID]],Main3WData[PT.LastID.Row]))=Main3WData[[#This Row],[PT.LastID.Row]]</f>
        <v>0</v>
      </c>
    </row>
    <row r="182" spans="2:18" ht="16.5" customHeight="1" x14ac:dyDescent="0.2">
      <c r="B182" s="55" t="s">
        <v>512</v>
      </c>
      <c r="C182" s="27" t="str">
        <f>INDEX(Organizations[],MATCH(Main3WData[[#This Row],[Acronym]],AcronymList,0),1)</f>
        <v>World Health Organization</v>
      </c>
      <c r="D182" s="27" t="str">
        <f>INDEX(Organizations[],MATCH(Main3WData[[#This Row],[Acronym]],AcronymList,0),3)</f>
        <v>UN Agency</v>
      </c>
      <c r="E182" s="54" t="s">
        <v>356</v>
      </c>
      <c r="F182" s="53" t="s">
        <v>82</v>
      </c>
      <c r="G182" s="54" t="s">
        <v>418</v>
      </c>
      <c r="H182" s="28" t="str">
        <f>VLOOKUP(Main3WData[[#This Row],[Admin Unit Name]],AdminUnits[],2,FALSE)</f>
        <v>GIN007001</v>
      </c>
      <c r="I182" s="57">
        <v>0</v>
      </c>
      <c r="J182" s="67" t="str">
        <f>Main3WData[[#This Row],[Acronym]]&amp;Main3WData[[#This Row],[Sector]]&amp;Main3WData[[#This Row],[Activity Type]]&amp;Main3WData[[#This Row],[Pcode]]</f>
        <v>OMSGestion des donnéesOngoingGIN007001</v>
      </c>
      <c r="K182" s="69">
        <f>COUNTIF(Main3WData[Concatenate],Main3WData[[#This Row],[Concatenate]])</f>
        <v>1</v>
      </c>
      <c r="L182" s="61" t="str">
        <f>Main3WData[[#This Row],[Sector]]&amp;Main3WData[[#This Row],[Pcode]]</f>
        <v>Gestion des donnéesGIN007001</v>
      </c>
      <c r="M182" s="71">
        <f>COUNTIF($L$5:L182,Main3WData[[#This Row],[PT.Concat]])</f>
        <v>2</v>
      </c>
      <c r="N182" s="70">
        <f>MATCH(Main3WData[[#This Row],[PT.Concat]],$L$5:L182,0)</f>
        <v>177</v>
      </c>
      <c r="O182" s="62" t="b">
        <f>Main3WData[[#This Row],[Count PT.Concat]]=1</f>
        <v>0</v>
      </c>
      <c r="P182" s="62">
        <f t="array" ref="P182">MAX(($N$4:N181=Main3WData[[#This Row],[PT.ID]])*ROW($N$4:N181))</f>
        <v>181</v>
      </c>
      <c r="Q182" s="62" t="str">
        <f>IF(Main3WData[[#This Row],[PT.FirstID]],Main3WData[[#This Row],[Acronym]],INDEX($Q$4:Q181,Main3WData[[#This Row],[PT.LastID.Row]]-ROW($Q$4)+1) &amp; ", "&amp;Main3WData[[#This Row],[Acronym]])</f>
        <v>UNMEER, OMS</v>
      </c>
      <c r="R182" s="62" t="b">
        <f t="array" ref="R182">MAX(IF(Main3WData[PT.ID]=Main3WData[[#This Row],[PT.ID]],Main3WData[PT.LastID.Row]))=Main3WData[[#This Row],[PT.LastID.Row]]</f>
        <v>1</v>
      </c>
    </row>
    <row r="183" spans="2:18" ht="16.5" customHeight="1" x14ac:dyDescent="0.2">
      <c r="B183" s="55" t="s">
        <v>75</v>
      </c>
      <c r="C183" s="27" t="str">
        <f>INDEX(Organizations[],MATCH(Main3WData[[#This Row],[Acronym]],AcronymList,0),1)</f>
        <v>United Nations Population Fund</v>
      </c>
      <c r="D183" s="27" t="str">
        <f>INDEX(Organizations[],MATCH(Main3WData[[#This Row],[Acronym]],AcronymList,0),3)</f>
        <v>UN Agency</v>
      </c>
      <c r="E183" s="54" t="s">
        <v>351</v>
      </c>
      <c r="F183" s="53" t="s">
        <v>82</v>
      </c>
      <c r="G183" s="54" t="s">
        <v>418</v>
      </c>
      <c r="H183" s="28" t="str">
        <f>VLOOKUP(Main3WData[[#This Row],[Admin Unit Name]],AdminUnits[],2,FALSE)</f>
        <v>GIN007001</v>
      </c>
      <c r="I183" s="57">
        <v>0</v>
      </c>
      <c r="J183" s="67" t="str">
        <f>Main3WData[[#This Row],[Acronym]]&amp;Main3WData[[#This Row],[Sector]]&amp;Main3WData[[#This Row],[Activity Type]]&amp;Main3WData[[#This Row],[Pcode]]</f>
        <v>UNFPASurveillance &amp; suiviOngoingGIN007001</v>
      </c>
      <c r="K183" s="69">
        <f>COUNTIF(Main3WData[Concatenate],Main3WData[[#This Row],[Concatenate]])</f>
        <v>1</v>
      </c>
      <c r="L183" s="61" t="str">
        <f>Main3WData[[#This Row],[Sector]]&amp;Main3WData[[#This Row],[Pcode]]</f>
        <v>Surveillance &amp; suiviGIN007001</v>
      </c>
      <c r="M183" s="71">
        <f>COUNTIF($L$5:L183,Main3WData[[#This Row],[PT.Concat]])</f>
        <v>1</v>
      </c>
      <c r="N183" s="70">
        <f>MATCH(Main3WData[[#This Row],[PT.Concat]],$L$5:L183,0)</f>
        <v>179</v>
      </c>
      <c r="O183" s="62" t="b">
        <f>Main3WData[[#This Row],[Count PT.Concat]]=1</f>
        <v>1</v>
      </c>
      <c r="P183" s="62">
        <f t="array" ref="P183">MAX(($N$4:N182=Main3WData[[#This Row],[PT.ID]])*ROW($N$4:N182))</f>
        <v>0</v>
      </c>
      <c r="Q183" s="62" t="str">
        <f>IF(Main3WData[[#This Row],[PT.FirstID]],Main3WData[[#This Row],[Acronym]],INDEX($Q$4:Q182,Main3WData[[#This Row],[PT.LastID.Row]]-ROW($Q$4)+1) &amp; ", "&amp;Main3WData[[#This Row],[Acronym]])</f>
        <v>UNFPA</v>
      </c>
      <c r="R183" s="62" t="b">
        <f t="array" ref="R183">MAX(IF(Main3WData[PT.ID]=Main3WData[[#This Row],[PT.ID]],Main3WData[PT.LastID.Row]))=Main3WData[[#This Row],[PT.LastID.Row]]</f>
        <v>0</v>
      </c>
    </row>
    <row r="184" spans="2:18" ht="16.5" customHeight="1" x14ac:dyDescent="0.2">
      <c r="B184" s="55" t="s">
        <v>512</v>
      </c>
      <c r="C184" s="27" t="str">
        <f>INDEX(Organizations[],MATCH(Main3WData[[#This Row],[Acronym]],AcronymList,0),1)</f>
        <v>World Health Organization</v>
      </c>
      <c r="D184" s="27" t="str">
        <f>INDEX(Organizations[],MATCH(Main3WData[[#This Row],[Acronym]],AcronymList,0),3)</f>
        <v>UN Agency</v>
      </c>
      <c r="E184" s="54" t="s">
        <v>351</v>
      </c>
      <c r="F184" s="53" t="s">
        <v>82</v>
      </c>
      <c r="G184" s="54" t="s">
        <v>418</v>
      </c>
      <c r="H184" s="28" t="str">
        <f>VLOOKUP(Main3WData[[#This Row],[Admin Unit Name]],AdminUnits[],2,FALSE)</f>
        <v>GIN007001</v>
      </c>
      <c r="I184" s="57">
        <v>0</v>
      </c>
      <c r="J184" s="67" t="str">
        <f>Main3WData[[#This Row],[Acronym]]&amp;Main3WData[[#This Row],[Sector]]&amp;Main3WData[[#This Row],[Activity Type]]&amp;Main3WData[[#This Row],[Pcode]]</f>
        <v>OMSSurveillance &amp; suiviOngoingGIN007001</v>
      </c>
      <c r="K184" s="69">
        <f>COUNTIF(Main3WData[Concatenate],Main3WData[[#This Row],[Concatenate]])</f>
        <v>1</v>
      </c>
      <c r="L184" s="61" t="str">
        <f>Main3WData[[#This Row],[Sector]]&amp;Main3WData[[#This Row],[Pcode]]</f>
        <v>Surveillance &amp; suiviGIN007001</v>
      </c>
      <c r="M184" s="71">
        <f>COUNTIF($L$5:L184,Main3WData[[#This Row],[PT.Concat]])</f>
        <v>2</v>
      </c>
      <c r="N184" s="70">
        <f>MATCH(Main3WData[[#This Row],[PT.Concat]],$L$5:L184,0)</f>
        <v>179</v>
      </c>
      <c r="O184" s="62" t="b">
        <f>Main3WData[[#This Row],[Count PT.Concat]]=1</f>
        <v>0</v>
      </c>
      <c r="P184" s="62">
        <f t="array" ref="P184">MAX(($N$4:N183=Main3WData[[#This Row],[PT.ID]])*ROW($N$4:N183))</f>
        <v>183</v>
      </c>
      <c r="Q184" s="62" t="str">
        <f>IF(Main3WData[[#This Row],[PT.FirstID]],Main3WData[[#This Row],[Acronym]],INDEX($Q$4:Q183,Main3WData[[#This Row],[PT.LastID.Row]]-ROW($Q$4)+1) &amp; ", "&amp;Main3WData[[#This Row],[Acronym]])</f>
        <v>UNFPA, OMS</v>
      </c>
      <c r="R184" s="62" t="b">
        <f t="array" ref="R184">MAX(IF(Main3WData[PT.ID]=Main3WData[[#This Row],[PT.ID]],Main3WData[PT.LastID.Row]))=Main3WData[[#This Row],[PT.LastID.Row]]</f>
        <v>0</v>
      </c>
    </row>
    <row r="185" spans="2:18" ht="16.5" customHeight="1" x14ac:dyDescent="0.2">
      <c r="B185" s="55" t="s">
        <v>496</v>
      </c>
      <c r="C185" s="27" t="str">
        <f>INDEX(Organizations[],MATCH(Main3WData[[#This Row],[Acronym]],AcronymList,0),1)</f>
        <v>Columbia University</v>
      </c>
      <c r="D185" s="27" t="str">
        <f>INDEX(Organizations[],MATCH(Main3WData[[#This Row],[Acronym]],AcronymList,0),3)</f>
        <v>Education</v>
      </c>
      <c r="E185" s="54" t="s">
        <v>351</v>
      </c>
      <c r="F185" s="53" t="s">
        <v>82</v>
      </c>
      <c r="G185" s="54" t="s">
        <v>418</v>
      </c>
      <c r="H185" s="28" t="str">
        <f>VLOOKUP(Main3WData[[#This Row],[Admin Unit Name]],AdminUnits[],2,FALSE)</f>
        <v>GIN007001</v>
      </c>
      <c r="I185" s="57">
        <v>0</v>
      </c>
      <c r="J185" s="67" t="str">
        <f>Main3WData[[#This Row],[Acronym]]&amp;Main3WData[[#This Row],[Sector]]&amp;Main3WData[[#This Row],[Activity Type]]&amp;Main3WData[[#This Row],[Pcode]]</f>
        <v>Columbia UnivSurveillance &amp; suiviOngoingGIN007001</v>
      </c>
      <c r="K185" s="69">
        <f>COUNTIF(Main3WData[Concatenate],Main3WData[[#This Row],[Concatenate]])</f>
        <v>1</v>
      </c>
      <c r="L185" s="61" t="str">
        <f>Main3WData[[#This Row],[Sector]]&amp;Main3WData[[#This Row],[Pcode]]</f>
        <v>Surveillance &amp; suiviGIN007001</v>
      </c>
      <c r="M185" s="71">
        <f>COUNTIF($L$5:L185,Main3WData[[#This Row],[PT.Concat]])</f>
        <v>3</v>
      </c>
      <c r="N185" s="70">
        <f>MATCH(Main3WData[[#This Row],[PT.Concat]],$L$5:L185,0)</f>
        <v>179</v>
      </c>
      <c r="O185" s="62" t="b">
        <f>Main3WData[[#This Row],[Count PT.Concat]]=1</f>
        <v>0</v>
      </c>
      <c r="P185" s="62">
        <f t="array" ref="P185">MAX(($N$4:N184=Main3WData[[#This Row],[PT.ID]])*ROW($N$4:N184))</f>
        <v>184</v>
      </c>
      <c r="Q185" s="62" t="str">
        <f>IF(Main3WData[[#This Row],[PT.FirstID]],Main3WData[[#This Row],[Acronym]],INDEX($Q$4:Q184,Main3WData[[#This Row],[PT.LastID.Row]]-ROW($Q$4)+1) &amp; ", "&amp;Main3WData[[#This Row],[Acronym]])</f>
        <v>UNFPA, OMS, Columbia Univ</v>
      </c>
      <c r="R185" s="62" t="b">
        <f t="array" ref="R185">MAX(IF(Main3WData[PT.ID]=Main3WData[[#This Row],[PT.ID]],Main3WData[PT.LastID.Row]))=Main3WData[[#This Row],[PT.LastID.Row]]</f>
        <v>0</v>
      </c>
    </row>
    <row r="186" spans="2:18" ht="16.5" customHeight="1" x14ac:dyDescent="0.2">
      <c r="B186" s="55" t="s">
        <v>64</v>
      </c>
      <c r="C186" s="27" t="str">
        <f>INDEX(Organizations[],MATCH(Main3WData[[#This Row],[Acronym]],AcronymList,0),1)</f>
        <v>CDC</v>
      </c>
      <c r="D186" s="27" t="str">
        <f>INDEX(Organizations[],MATCH(Main3WData[[#This Row],[Acronym]],AcronymList,0),3)</f>
        <v>International NGO</v>
      </c>
      <c r="E186" s="54" t="s">
        <v>351</v>
      </c>
      <c r="F186" s="53" t="s">
        <v>82</v>
      </c>
      <c r="G186" s="54" t="s">
        <v>418</v>
      </c>
      <c r="H186" s="28" t="str">
        <f>VLOOKUP(Main3WData[[#This Row],[Admin Unit Name]],AdminUnits[],2,FALSE)</f>
        <v>GIN007001</v>
      </c>
      <c r="I186" s="57">
        <v>0</v>
      </c>
      <c r="J186" s="67" t="str">
        <f>Main3WData[[#This Row],[Acronym]]&amp;Main3WData[[#This Row],[Sector]]&amp;Main3WData[[#This Row],[Activity Type]]&amp;Main3WData[[#This Row],[Pcode]]</f>
        <v>CDCSurveillance &amp; suiviOngoingGIN007001</v>
      </c>
      <c r="K186" s="69">
        <f>COUNTIF(Main3WData[Concatenate],Main3WData[[#This Row],[Concatenate]])</f>
        <v>1</v>
      </c>
      <c r="L186" s="61" t="str">
        <f>Main3WData[[#This Row],[Sector]]&amp;Main3WData[[#This Row],[Pcode]]</f>
        <v>Surveillance &amp; suiviGIN007001</v>
      </c>
      <c r="M186" s="71">
        <f>COUNTIF($L$5:L186,Main3WData[[#This Row],[PT.Concat]])</f>
        <v>4</v>
      </c>
      <c r="N186" s="70">
        <f>MATCH(Main3WData[[#This Row],[PT.Concat]],$L$5:L186,0)</f>
        <v>179</v>
      </c>
      <c r="O186" s="62" t="b">
        <f>Main3WData[[#This Row],[Count PT.Concat]]=1</f>
        <v>0</v>
      </c>
      <c r="P186" s="62">
        <f t="array" ref="P186">MAX(($N$4:N185=Main3WData[[#This Row],[PT.ID]])*ROW($N$4:N185))</f>
        <v>185</v>
      </c>
      <c r="Q186" s="62" t="str">
        <f>IF(Main3WData[[#This Row],[PT.FirstID]],Main3WData[[#This Row],[Acronym]],INDEX($Q$4:Q185,Main3WData[[#This Row],[PT.LastID.Row]]-ROW($Q$4)+1) &amp; ", "&amp;Main3WData[[#This Row],[Acronym]])</f>
        <v>UNFPA, OMS, Columbia Univ, CDC</v>
      </c>
      <c r="R186" s="62" t="b">
        <f t="array" ref="R186">MAX(IF(Main3WData[PT.ID]=Main3WData[[#This Row],[PT.ID]],Main3WData[PT.LastID.Row]))=Main3WData[[#This Row],[PT.LastID.Row]]</f>
        <v>0</v>
      </c>
    </row>
    <row r="187" spans="2:18" ht="16.5" customHeight="1" x14ac:dyDescent="0.2">
      <c r="B187" s="55" t="s">
        <v>437</v>
      </c>
      <c r="C187" s="27" t="str">
        <f>INDEX(Organizations[],MATCH(Main3WData[[#This Row],[Acronym]],AcronymList,0),1)</f>
        <v>Action Contre la Faim Espagne</v>
      </c>
      <c r="D187" s="27" t="str">
        <f>INDEX(Organizations[],MATCH(Main3WData[[#This Row],[Acronym]],AcronymList,0),3)</f>
        <v>International NGO</v>
      </c>
      <c r="E187" s="54" t="s">
        <v>351</v>
      </c>
      <c r="F187" s="53" t="s">
        <v>82</v>
      </c>
      <c r="G187" s="54" t="s">
        <v>418</v>
      </c>
      <c r="H187" s="28" t="str">
        <f>VLOOKUP(Main3WData[[#This Row],[Admin Unit Name]],AdminUnits[],2,FALSE)</f>
        <v>GIN007001</v>
      </c>
      <c r="I187" s="57">
        <v>0</v>
      </c>
      <c r="J187" s="67" t="str">
        <f>Main3WData[[#This Row],[Acronym]]&amp;Main3WData[[#This Row],[Sector]]&amp;Main3WData[[#This Row],[Activity Type]]&amp;Main3WData[[#This Row],[Pcode]]</f>
        <v>ACF-ESurveillance &amp; suiviOngoingGIN007001</v>
      </c>
      <c r="K187" s="69">
        <f>COUNTIF(Main3WData[Concatenate],Main3WData[[#This Row],[Concatenate]])</f>
        <v>1</v>
      </c>
      <c r="L187" s="61" t="str">
        <f>Main3WData[[#This Row],[Sector]]&amp;Main3WData[[#This Row],[Pcode]]</f>
        <v>Surveillance &amp; suiviGIN007001</v>
      </c>
      <c r="M187" s="71">
        <f>COUNTIF($L$5:L187,Main3WData[[#This Row],[PT.Concat]])</f>
        <v>5</v>
      </c>
      <c r="N187" s="70">
        <f>MATCH(Main3WData[[#This Row],[PT.Concat]],$L$5:L187,0)</f>
        <v>179</v>
      </c>
      <c r="O187" s="62" t="b">
        <f>Main3WData[[#This Row],[Count PT.Concat]]=1</f>
        <v>0</v>
      </c>
      <c r="P187" s="62">
        <f t="array" ref="P187">MAX(($N$4:N186=Main3WData[[#This Row],[PT.ID]])*ROW($N$4:N186))</f>
        <v>186</v>
      </c>
      <c r="Q187" s="62" t="str">
        <f>IF(Main3WData[[#This Row],[PT.FirstID]],Main3WData[[#This Row],[Acronym]],INDEX($Q$4:Q186,Main3WData[[#This Row],[PT.LastID.Row]]-ROW($Q$4)+1) &amp; ", "&amp;Main3WData[[#This Row],[Acronym]])</f>
        <v>UNFPA, OMS, Columbia Univ, CDC, ACF-E</v>
      </c>
      <c r="R187" s="62" t="b">
        <f t="array" ref="R187">MAX(IF(Main3WData[PT.ID]=Main3WData[[#This Row],[PT.ID]],Main3WData[PT.LastID.Row]))=Main3WData[[#This Row],[PT.LastID.Row]]</f>
        <v>1</v>
      </c>
    </row>
    <row r="188" spans="2:18" ht="16.5" customHeight="1" x14ac:dyDescent="0.2">
      <c r="B188" s="55" t="s">
        <v>77</v>
      </c>
      <c r="C188" s="27" t="str">
        <f>INDEX(Organizations[],MATCH(Main3WData[[#This Row],[Acronym]],AcronymList,0),1)</f>
        <v>United Nations Children's Fund</v>
      </c>
      <c r="D188" s="27" t="str">
        <f>INDEX(Organizations[],MATCH(Main3WData[[#This Row],[Acronym]],AcronymList,0),3)</f>
        <v>UN Agency</v>
      </c>
      <c r="E188" s="54" t="s">
        <v>350</v>
      </c>
      <c r="F188" s="53" t="s">
        <v>82</v>
      </c>
      <c r="G188" s="54" t="s">
        <v>380</v>
      </c>
      <c r="H188" s="28" t="str">
        <f>VLOOKUP(Main3WData[[#This Row],[Admin Unit Name]],AdminUnits[],2,FALSE)</f>
        <v>GIN003002</v>
      </c>
      <c r="I188" s="57">
        <v>0</v>
      </c>
      <c r="J188" s="67" t="str">
        <f>Main3WData[[#This Row],[Acronym]]&amp;Main3WData[[#This Row],[Sector]]&amp;Main3WData[[#This Row],[Activity Type]]&amp;Main3WData[[#This Row],[Pcode]]</f>
        <v>UNICEFCommunication/Mobilisation socialeOngoingGIN003002</v>
      </c>
      <c r="K188" s="69">
        <f>COUNTIF(Main3WData[Concatenate],Main3WData[[#This Row],[Concatenate]])</f>
        <v>1</v>
      </c>
      <c r="L188" s="61" t="str">
        <f>Main3WData[[#This Row],[Sector]]&amp;Main3WData[[#This Row],[Pcode]]</f>
        <v>Communication/Mobilisation socialeGIN003002</v>
      </c>
      <c r="M188" s="71">
        <f>COUNTIF($L$5:L188,Main3WData[[#This Row],[PT.Concat]])</f>
        <v>1</v>
      </c>
      <c r="N188" s="70">
        <f>MATCH(Main3WData[[#This Row],[PT.Concat]],$L$5:L188,0)</f>
        <v>184</v>
      </c>
      <c r="O188" s="62" t="b">
        <f>Main3WData[[#This Row],[Count PT.Concat]]=1</f>
        <v>1</v>
      </c>
      <c r="P188" s="62">
        <f t="array" ref="P188">MAX(($N$4:N187=Main3WData[[#This Row],[PT.ID]])*ROW($N$4:N187))</f>
        <v>0</v>
      </c>
      <c r="Q188" s="62" t="str">
        <f>IF(Main3WData[[#This Row],[PT.FirstID]],Main3WData[[#This Row],[Acronym]],INDEX($Q$4:Q187,Main3WData[[#This Row],[PT.LastID.Row]]-ROW($Q$4)+1) &amp; ", "&amp;Main3WData[[#This Row],[Acronym]])</f>
        <v>UNICEF</v>
      </c>
      <c r="R188" s="62" t="b">
        <f t="array" ref="R188">MAX(IF(Main3WData[PT.ID]=Main3WData[[#This Row],[PT.ID]],Main3WData[PT.LastID.Row]))=Main3WData[[#This Row],[PT.LastID.Row]]</f>
        <v>0</v>
      </c>
    </row>
    <row r="189" spans="2:18" ht="16.5" customHeight="1" x14ac:dyDescent="0.2">
      <c r="B189" s="55" t="s">
        <v>75</v>
      </c>
      <c r="C189" s="27" t="str">
        <f>INDEX(Organizations[],MATCH(Main3WData[[#This Row],[Acronym]],AcronymList,0),1)</f>
        <v>United Nations Population Fund</v>
      </c>
      <c r="D189" s="27" t="str">
        <f>INDEX(Organizations[],MATCH(Main3WData[[#This Row],[Acronym]],AcronymList,0),3)</f>
        <v>UN Agency</v>
      </c>
      <c r="E189" s="54" t="s">
        <v>350</v>
      </c>
      <c r="F189" s="53" t="s">
        <v>82</v>
      </c>
      <c r="G189" s="54" t="s">
        <v>380</v>
      </c>
      <c r="H189" s="28" t="str">
        <f>VLOOKUP(Main3WData[[#This Row],[Admin Unit Name]],AdminUnits[],2,FALSE)</f>
        <v>GIN003002</v>
      </c>
      <c r="I189" s="57">
        <v>0</v>
      </c>
      <c r="J189" s="67" t="str">
        <f>Main3WData[[#This Row],[Acronym]]&amp;Main3WData[[#This Row],[Sector]]&amp;Main3WData[[#This Row],[Activity Type]]&amp;Main3WData[[#This Row],[Pcode]]</f>
        <v>UNFPACommunication/Mobilisation socialeOngoingGIN003002</v>
      </c>
      <c r="K189" s="69">
        <f>COUNTIF(Main3WData[Concatenate],Main3WData[[#This Row],[Concatenate]])</f>
        <v>1</v>
      </c>
      <c r="L189" s="61" t="str">
        <f>Main3WData[[#This Row],[Sector]]&amp;Main3WData[[#This Row],[Pcode]]</f>
        <v>Communication/Mobilisation socialeGIN003002</v>
      </c>
      <c r="M189" s="71">
        <f>COUNTIF($L$5:L189,Main3WData[[#This Row],[PT.Concat]])</f>
        <v>2</v>
      </c>
      <c r="N189" s="70">
        <f>MATCH(Main3WData[[#This Row],[PT.Concat]],$L$5:L189,0)</f>
        <v>184</v>
      </c>
      <c r="O189" s="62" t="b">
        <f>Main3WData[[#This Row],[Count PT.Concat]]=1</f>
        <v>0</v>
      </c>
      <c r="P189" s="62">
        <f t="array" ref="P189">MAX(($N$4:N188=Main3WData[[#This Row],[PT.ID]])*ROW($N$4:N188))</f>
        <v>188</v>
      </c>
      <c r="Q189" s="62" t="str">
        <f>IF(Main3WData[[#This Row],[PT.FirstID]],Main3WData[[#This Row],[Acronym]],INDEX($Q$4:Q188,Main3WData[[#This Row],[PT.LastID.Row]]-ROW($Q$4)+1) &amp; ", "&amp;Main3WData[[#This Row],[Acronym]])</f>
        <v>UNICEF, UNFPA</v>
      </c>
      <c r="R189" s="62" t="b">
        <f t="array" ref="R189">MAX(IF(Main3WData[PT.ID]=Main3WData[[#This Row],[PT.ID]],Main3WData[PT.LastID.Row]))=Main3WData[[#This Row],[PT.LastID.Row]]</f>
        <v>0</v>
      </c>
    </row>
    <row r="190" spans="2:18" ht="16.5" customHeight="1" x14ac:dyDescent="0.2">
      <c r="B190" s="55" t="s">
        <v>72</v>
      </c>
      <c r="C190" s="27" t="str">
        <f>INDEX(Organizations[],MATCH(Main3WData[[#This Row],[Acronym]],AcronymList,0),1)</f>
        <v>PLAN</v>
      </c>
      <c r="D190" s="27" t="str">
        <f>INDEX(Organizations[],MATCH(Main3WData[[#This Row],[Acronym]],AcronymList,0),3)</f>
        <v>International Organization</v>
      </c>
      <c r="E190" s="54" t="s">
        <v>350</v>
      </c>
      <c r="F190" s="53" t="s">
        <v>82</v>
      </c>
      <c r="G190" s="54" t="s">
        <v>380</v>
      </c>
      <c r="H190" s="28" t="str">
        <f>VLOOKUP(Main3WData[[#This Row],[Admin Unit Name]],AdminUnits[],2,FALSE)</f>
        <v>GIN003002</v>
      </c>
      <c r="I190" s="57">
        <v>0</v>
      </c>
      <c r="J190" s="67" t="str">
        <f>Main3WData[[#This Row],[Acronym]]&amp;Main3WData[[#This Row],[Sector]]&amp;Main3WData[[#This Row],[Activity Type]]&amp;Main3WData[[#This Row],[Pcode]]</f>
        <v>PLANCommunication/Mobilisation socialeOngoingGIN003002</v>
      </c>
      <c r="K190" s="69">
        <f>COUNTIF(Main3WData[Concatenate],Main3WData[[#This Row],[Concatenate]])</f>
        <v>1</v>
      </c>
      <c r="L190" s="61" t="str">
        <f>Main3WData[[#This Row],[Sector]]&amp;Main3WData[[#This Row],[Pcode]]</f>
        <v>Communication/Mobilisation socialeGIN003002</v>
      </c>
      <c r="M190" s="71">
        <f>COUNTIF($L$5:L190,Main3WData[[#This Row],[PT.Concat]])</f>
        <v>3</v>
      </c>
      <c r="N190" s="70">
        <f>MATCH(Main3WData[[#This Row],[PT.Concat]],$L$5:L190,0)</f>
        <v>184</v>
      </c>
      <c r="O190" s="62" t="b">
        <f>Main3WData[[#This Row],[Count PT.Concat]]=1</f>
        <v>0</v>
      </c>
      <c r="P190" s="62">
        <f t="array" ref="P190">MAX(($N$4:N189=Main3WData[[#This Row],[PT.ID]])*ROW($N$4:N189))</f>
        <v>189</v>
      </c>
      <c r="Q190" s="62" t="str">
        <f>IF(Main3WData[[#This Row],[PT.FirstID]],Main3WData[[#This Row],[Acronym]],INDEX($Q$4:Q189,Main3WData[[#This Row],[PT.LastID.Row]]-ROW($Q$4)+1) &amp; ", "&amp;Main3WData[[#This Row],[Acronym]])</f>
        <v>UNICEF, UNFPA, PLAN</v>
      </c>
      <c r="R190" s="62" t="b">
        <f t="array" ref="R190">MAX(IF(Main3WData[PT.ID]=Main3WData[[#This Row],[PT.ID]],Main3WData[PT.LastID.Row]))=Main3WData[[#This Row],[PT.LastID.Row]]</f>
        <v>0</v>
      </c>
    </row>
    <row r="191" spans="2:18" ht="16.5" customHeight="1" x14ac:dyDescent="0.2">
      <c r="B191" s="55" t="s">
        <v>512</v>
      </c>
      <c r="C191" s="27" t="str">
        <f>INDEX(Organizations[],MATCH(Main3WData[[#This Row],[Acronym]],AcronymList,0),1)</f>
        <v>World Health Organization</v>
      </c>
      <c r="D191" s="27" t="str">
        <f>INDEX(Organizations[],MATCH(Main3WData[[#This Row],[Acronym]],AcronymList,0),3)</f>
        <v>UN Agency</v>
      </c>
      <c r="E191" s="54" t="s">
        <v>350</v>
      </c>
      <c r="F191" s="53" t="s">
        <v>82</v>
      </c>
      <c r="G191" s="54" t="s">
        <v>380</v>
      </c>
      <c r="H191" s="28" t="str">
        <f>VLOOKUP(Main3WData[[#This Row],[Admin Unit Name]],AdminUnits[],2,FALSE)</f>
        <v>GIN003002</v>
      </c>
      <c r="I191" s="57">
        <v>0</v>
      </c>
      <c r="J191" s="67" t="str">
        <f>Main3WData[[#This Row],[Acronym]]&amp;Main3WData[[#This Row],[Sector]]&amp;Main3WData[[#This Row],[Activity Type]]&amp;Main3WData[[#This Row],[Pcode]]</f>
        <v>OMSCommunication/Mobilisation socialeOngoingGIN003002</v>
      </c>
      <c r="K191" s="69">
        <f>COUNTIF(Main3WData[Concatenate],Main3WData[[#This Row],[Concatenate]])</f>
        <v>1</v>
      </c>
      <c r="L191" s="61" t="str">
        <f>Main3WData[[#This Row],[Sector]]&amp;Main3WData[[#This Row],[Pcode]]</f>
        <v>Communication/Mobilisation socialeGIN003002</v>
      </c>
      <c r="M191" s="71">
        <f>COUNTIF($L$5:L191,Main3WData[[#This Row],[PT.Concat]])</f>
        <v>4</v>
      </c>
      <c r="N191" s="70">
        <f>MATCH(Main3WData[[#This Row],[PT.Concat]],$L$5:L191,0)</f>
        <v>184</v>
      </c>
      <c r="O191" s="62" t="b">
        <f>Main3WData[[#This Row],[Count PT.Concat]]=1</f>
        <v>0</v>
      </c>
      <c r="P191" s="62">
        <f t="array" ref="P191">MAX(($N$4:N190=Main3WData[[#This Row],[PT.ID]])*ROW($N$4:N190))</f>
        <v>190</v>
      </c>
      <c r="Q191" s="62" t="str">
        <f>IF(Main3WData[[#This Row],[PT.FirstID]],Main3WData[[#This Row],[Acronym]],INDEX($Q$4:Q190,Main3WData[[#This Row],[PT.LastID.Row]]-ROW($Q$4)+1) &amp; ", "&amp;Main3WData[[#This Row],[Acronym]])</f>
        <v>UNICEF, UNFPA, PLAN, OMS</v>
      </c>
      <c r="R191" s="62" t="b">
        <f t="array" ref="R191">MAX(IF(Main3WData[PT.ID]=Main3WData[[#This Row],[PT.ID]],Main3WData[PT.LastID.Row]))=Main3WData[[#This Row],[PT.LastID.Row]]</f>
        <v>1</v>
      </c>
    </row>
    <row r="192" spans="2:18" ht="16.5" customHeight="1" x14ac:dyDescent="0.2">
      <c r="B192" s="55" t="s">
        <v>516</v>
      </c>
      <c r="C192" s="27" t="str">
        <f>INDEX(Organizations[],MATCH(Main3WData[[#This Row],[Acronym]],AcronymList,0),1)</f>
        <v>UNITED NATION MISSION FOR EBOLA  EMERGENCY RESPONSE</v>
      </c>
      <c r="D192" s="27" t="str">
        <f>INDEX(Organizations[],MATCH(Main3WData[[#This Row],[Acronym]],AcronymList,0),3)</f>
        <v>UN Agency</v>
      </c>
      <c r="E192" s="54" t="s">
        <v>360</v>
      </c>
      <c r="F192" s="53" t="s">
        <v>82</v>
      </c>
      <c r="G192" s="54" t="s">
        <v>380</v>
      </c>
      <c r="H192" s="28" t="str">
        <f>VLOOKUP(Main3WData[[#This Row],[Admin Unit Name]],AdminUnits[],2,FALSE)</f>
        <v>GIN003002</v>
      </c>
      <c r="I192" s="57">
        <v>0</v>
      </c>
      <c r="J192" s="67" t="str">
        <f>Main3WData[[#This Row],[Acronym]]&amp;Main3WData[[#This Row],[Sector]]&amp;Main3WData[[#This Row],[Activity Type]]&amp;Main3WData[[#This Row],[Pcode]]</f>
        <v>UNMEERCoordinationOngoingGIN003002</v>
      </c>
      <c r="K192" s="69">
        <f>COUNTIF(Main3WData[Concatenate],Main3WData[[#This Row],[Concatenate]])</f>
        <v>1</v>
      </c>
      <c r="L192" s="61" t="str">
        <f>Main3WData[[#This Row],[Sector]]&amp;Main3WData[[#This Row],[Pcode]]</f>
        <v>CoordinationGIN003002</v>
      </c>
      <c r="M192" s="71">
        <f>COUNTIF($L$5:L192,Main3WData[[#This Row],[PT.Concat]])</f>
        <v>1</v>
      </c>
      <c r="N192" s="70">
        <f>MATCH(Main3WData[[#This Row],[PT.Concat]],$L$5:L192,0)</f>
        <v>188</v>
      </c>
      <c r="O192" s="62" t="b">
        <f>Main3WData[[#This Row],[Count PT.Concat]]=1</f>
        <v>1</v>
      </c>
      <c r="P192" s="62">
        <f t="array" ref="P192">MAX(($N$4:N191=Main3WData[[#This Row],[PT.ID]])*ROW($N$4:N191))</f>
        <v>0</v>
      </c>
      <c r="Q192" s="62" t="str">
        <f>IF(Main3WData[[#This Row],[PT.FirstID]],Main3WData[[#This Row],[Acronym]],INDEX($Q$4:Q191,Main3WData[[#This Row],[PT.LastID.Row]]-ROW($Q$4)+1) &amp; ", "&amp;Main3WData[[#This Row],[Acronym]])</f>
        <v>UNMEER</v>
      </c>
      <c r="R192" s="62" t="b">
        <f t="array" ref="R192">MAX(IF(Main3WData[PT.ID]=Main3WData[[#This Row],[PT.ID]],Main3WData[PT.LastID.Row]))=Main3WData[[#This Row],[PT.LastID.Row]]</f>
        <v>0</v>
      </c>
    </row>
    <row r="193" spans="2:18" ht="16.5" customHeight="1" x14ac:dyDescent="0.2">
      <c r="B193" s="55" t="s">
        <v>75</v>
      </c>
      <c r="C193" s="27" t="str">
        <f>INDEX(Organizations[],MATCH(Main3WData[[#This Row],[Acronym]],AcronymList,0),1)</f>
        <v>United Nations Population Fund</v>
      </c>
      <c r="D193" s="27" t="str">
        <f>INDEX(Organizations[],MATCH(Main3WData[[#This Row],[Acronym]],AcronymList,0),3)</f>
        <v>UN Agency</v>
      </c>
      <c r="E193" s="54" t="s">
        <v>360</v>
      </c>
      <c r="F193" s="53" t="s">
        <v>82</v>
      </c>
      <c r="G193" s="54" t="s">
        <v>380</v>
      </c>
      <c r="H193" s="28" t="str">
        <f>VLOOKUP(Main3WData[[#This Row],[Admin Unit Name]],AdminUnits[],2,FALSE)</f>
        <v>GIN003002</v>
      </c>
      <c r="I193" s="57">
        <v>0</v>
      </c>
      <c r="J193" s="67" t="str">
        <f>Main3WData[[#This Row],[Acronym]]&amp;Main3WData[[#This Row],[Sector]]&amp;Main3WData[[#This Row],[Activity Type]]&amp;Main3WData[[#This Row],[Pcode]]</f>
        <v>UNFPACoordinationOngoingGIN003002</v>
      </c>
      <c r="K193" s="69">
        <f>COUNTIF(Main3WData[Concatenate],Main3WData[[#This Row],[Concatenate]])</f>
        <v>1</v>
      </c>
      <c r="L193" s="61" t="str">
        <f>Main3WData[[#This Row],[Sector]]&amp;Main3WData[[#This Row],[Pcode]]</f>
        <v>CoordinationGIN003002</v>
      </c>
      <c r="M193" s="71">
        <f>COUNTIF($L$5:L193,Main3WData[[#This Row],[PT.Concat]])</f>
        <v>2</v>
      </c>
      <c r="N193" s="70">
        <f>MATCH(Main3WData[[#This Row],[PT.Concat]],$L$5:L193,0)</f>
        <v>188</v>
      </c>
      <c r="O193" s="62" t="b">
        <f>Main3WData[[#This Row],[Count PT.Concat]]=1</f>
        <v>0</v>
      </c>
      <c r="P193" s="62">
        <f t="array" ref="P193">MAX(($N$4:N192=Main3WData[[#This Row],[PT.ID]])*ROW($N$4:N192))</f>
        <v>192</v>
      </c>
      <c r="Q193" s="62" t="str">
        <f>IF(Main3WData[[#This Row],[PT.FirstID]],Main3WData[[#This Row],[Acronym]],INDEX($Q$4:Q192,Main3WData[[#This Row],[PT.LastID.Row]]-ROW($Q$4)+1) &amp; ", "&amp;Main3WData[[#This Row],[Acronym]])</f>
        <v>UNMEER, UNFPA</v>
      </c>
      <c r="R193" s="62" t="b">
        <f t="array" ref="R193">MAX(IF(Main3WData[PT.ID]=Main3WData[[#This Row],[PT.ID]],Main3WData[PT.LastID.Row]))=Main3WData[[#This Row],[PT.LastID.Row]]</f>
        <v>0</v>
      </c>
    </row>
    <row r="194" spans="2:18" ht="16.5" customHeight="1" x14ac:dyDescent="0.2">
      <c r="B194" s="55" t="s">
        <v>473</v>
      </c>
      <c r="C194" s="27" t="str">
        <f>INDEX(Organizations[],MATCH(Main3WData[[#This Row],[Acronym]],AcronymList,0),1)</f>
        <v>United Nations Development Programme</v>
      </c>
      <c r="D194" s="27" t="str">
        <f>INDEX(Organizations[],MATCH(Main3WData[[#This Row],[Acronym]],AcronymList,0),3)</f>
        <v>UN Agency</v>
      </c>
      <c r="E194" s="54" t="s">
        <v>360</v>
      </c>
      <c r="F194" s="53" t="s">
        <v>82</v>
      </c>
      <c r="G194" s="54" t="s">
        <v>380</v>
      </c>
      <c r="H194" s="28" t="str">
        <f>VLOOKUP(Main3WData[[#This Row],[Admin Unit Name]],AdminUnits[],2,FALSE)</f>
        <v>GIN003002</v>
      </c>
      <c r="I194" s="57">
        <v>0</v>
      </c>
      <c r="J194" s="67" t="str">
        <f>Main3WData[[#This Row],[Acronym]]&amp;Main3WData[[#This Row],[Sector]]&amp;Main3WData[[#This Row],[Activity Type]]&amp;Main3WData[[#This Row],[Pcode]]</f>
        <v>UNDPCoordinationOngoingGIN003002</v>
      </c>
      <c r="K194" s="69">
        <f>COUNTIF(Main3WData[Concatenate],Main3WData[[#This Row],[Concatenate]])</f>
        <v>1</v>
      </c>
      <c r="L194" s="61" t="str">
        <f>Main3WData[[#This Row],[Sector]]&amp;Main3WData[[#This Row],[Pcode]]</f>
        <v>CoordinationGIN003002</v>
      </c>
      <c r="M194" s="71">
        <f>COUNTIF($L$5:L194,Main3WData[[#This Row],[PT.Concat]])</f>
        <v>3</v>
      </c>
      <c r="N194" s="70">
        <f>MATCH(Main3WData[[#This Row],[PT.Concat]],$L$5:L194,0)</f>
        <v>188</v>
      </c>
      <c r="O194" s="62" t="b">
        <f>Main3WData[[#This Row],[Count PT.Concat]]=1</f>
        <v>0</v>
      </c>
      <c r="P194" s="62">
        <f t="array" ref="P194">MAX(($N$4:N193=Main3WData[[#This Row],[PT.ID]])*ROW($N$4:N193))</f>
        <v>193</v>
      </c>
      <c r="Q194" s="62" t="str">
        <f>IF(Main3WData[[#This Row],[PT.FirstID]],Main3WData[[#This Row],[Acronym]],INDEX($Q$4:Q193,Main3WData[[#This Row],[PT.LastID.Row]]-ROW($Q$4)+1) &amp; ", "&amp;Main3WData[[#This Row],[Acronym]])</f>
        <v>UNMEER, UNFPA, UNDP</v>
      </c>
      <c r="R194" s="62" t="b">
        <f t="array" ref="R194">MAX(IF(Main3WData[PT.ID]=Main3WData[[#This Row],[PT.ID]],Main3WData[PT.LastID.Row]))=Main3WData[[#This Row],[PT.LastID.Row]]</f>
        <v>0</v>
      </c>
    </row>
    <row r="195" spans="2:18" ht="16.5" customHeight="1" x14ac:dyDescent="0.2">
      <c r="B195" s="55" t="s">
        <v>512</v>
      </c>
      <c r="C195" s="27" t="str">
        <f>INDEX(Organizations[],MATCH(Main3WData[[#This Row],[Acronym]],AcronymList,0),1)</f>
        <v>World Health Organization</v>
      </c>
      <c r="D195" s="27" t="str">
        <f>INDEX(Organizations[],MATCH(Main3WData[[#This Row],[Acronym]],AcronymList,0),3)</f>
        <v>UN Agency</v>
      </c>
      <c r="E195" s="54" t="s">
        <v>360</v>
      </c>
      <c r="F195" s="53" t="s">
        <v>82</v>
      </c>
      <c r="G195" s="54" t="s">
        <v>380</v>
      </c>
      <c r="H195" s="28" t="str">
        <f>VLOOKUP(Main3WData[[#This Row],[Admin Unit Name]],AdminUnits[],2,FALSE)</f>
        <v>GIN003002</v>
      </c>
      <c r="I195" s="57">
        <v>0</v>
      </c>
      <c r="J195" s="67" t="str">
        <f>Main3WData[[#This Row],[Acronym]]&amp;Main3WData[[#This Row],[Sector]]&amp;Main3WData[[#This Row],[Activity Type]]&amp;Main3WData[[#This Row],[Pcode]]</f>
        <v>OMSCoordinationOngoingGIN003002</v>
      </c>
      <c r="K195" s="69">
        <f>COUNTIF(Main3WData[Concatenate],Main3WData[[#This Row],[Concatenate]])</f>
        <v>1</v>
      </c>
      <c r="L195" s="61" t="str">
        <f>Main3WData[[#This Row],[Sector]]&amp;Main3WData[[#This Row],[Pcode]]</f>
        <v>CoordinationGIN003002</v>
      </c>
      <c r="M195" s="71">
        <f>COUNTIF($L$5:L195,Main3WData[[#This Row],[PT.Concat]])</f>
        <v>4</v>
      </c>
      <c r="N195" s="70">
        <f>MATCH(Main3WData[[#This Row],[PT.Concat]],$L$5:L195,0)</f>
        <v>188</v>
      </c>
      <c r="O195" s="62" t="b">
        <f>Main3WData[[#This Row],[Count PT.Concat]]=1</f>
        <v>0</v>
      </c>
      <c r="P195" s="62">
        <f t="array" ref="P195">MAX(($N$4:N194=Main3WData[[#This Row],[PT.ID]])*ROW($N$4:N194))</f>
        <v>194</v>
      </c>
      <c r="Q195" s="62" t="str">
        <f>IF(Main3WData[[#This Row],[PT.FirstID]],Main3WData[[#This Row],[Acronym]],INDEX($Q$4:Q194,Main3WData[[#This Row],[PT.LastID.Row]]-ROW($Q$4)+1) &amp; ", "&amp;Main3WData[[#This Row],[Acronym]])</f>
        <v>UNMEER, UNFPA, UNDP, OMS</v>
      </c>
      <c r="R195" s="62" t="b">
        <f t="array" ref="R195">MAX(IF(Main3WData[PT.ID]=Main3WData[[#This Row],[PT.ID]],Main3WData[PT.LastID.Row]))=Main3WData[[#This Row],[PT.LastID.Row]]</f>
        <v>0</v>
      </c>
    </row>
    <row r="196" spans="2:18" ht="16.5" customHeight="1" x14ac:dyDescent="0.2">
      <c r="B196" s="55" t="s">
        <v>71</v>
      </c>
      <c r="C196" s="27" t="str">
        <f>INDEX(Organizations[],MATCH(Main3WData[[#This Row],[Acronym]],AcronymList,0),1)</f>
        <v>Medecins sans Frontieres</v>
      </c>
      <c r="D196" s="27" t="str">
        <f>INDEX(Organizations[],MATCH(Main3WData[[#This Row],[Acronym]],AcronymList,0),3)</f>
        <v>International NGO</v>
      </c>
      <c r="E196" s="54" t="s">
        <v>360</v>
      </c>
      <c r="F196" s="53" t="s">
        <v>82</v>
      </c>
      <c r="G196" s="54" t="s">
        <v>380</v>
      </c>
      <c r="H196" s="28" t="str">
        <f>VLOOKUP(Main3WData[[#This Row],[Admin Unit Name]],AdminUnits[],2,FALSE)</f>
        <v>GIN003002</v>
      </c>
      <c r="I196" s="57">
        <v>0</v>
      </c>
      <c r="J196" s="67" t="str">
        <f>Main3WData[[#This Row],[Acronym]]&amp;Main3WData[[#This Row],[Sector]]&amp;Main3WData[[#This Row],[Activity Type]]&amp;Main3WData[[#This Row],[Pcode]]</f>
        <v>MSFCoordinationOngoingGIN003002</v>
      </c>
      <c r="K196" s="69">
        <f>COUNTIF(Main3WData[Concatenate],Main3WData[[#This Row],[Concatenate]])</f>
        <v>1</v>
      </c>
      <c r="L196" s="61" t="str">
        <f>Main3WData[[#This Row],[Sector]]&amp;Main3WData[[#This Row],[Pcode]]</f>
        <v>CoordinationGIN003002</v>
      </c>
      <c r="M196" s="71">
        <f>COUNTIF($L$5:L196,Main3WData[[#This Row],[PT.Concat]])</f>
        <v>5</v>
      </c>
      <c r="N196" s="70">
        <f>MATCH(Main3WData[[#This Row],[PT.Concat]],$L$5:L196,0)</f>
        <v>188</v>
      </c>
      <c r="O196" s="62" t="b">
        <f>Main3WData[[#This Row],[Count PT.Concat]]=1</f>
        <v>0</v>
      </c>
      <c r="P196" s="62">
        <f t="array" ref="P196">MAX(($N$4:N195=Main3WData[[#This Row],[PT.ID]])*ROW($N$4:N195))</f>
        <v>195</v>
      </c>
      <c r="Q196" s="62" t="str">
        <f>IF(Main3WData[[#This Row],[PT.FirstID]],Main3WData[[#This Row],[Acronym]],INDEX($Q$4:Q195,Main3WData[[#This Row],[PT.LastID.Row]]-ROW($Q$4)+1) &amp; ", "&amp;Main3WData[[#This Row],[Acronym]])</f>
        <v>UNMEER, UNFPA, UNDP, OMS, MSF</v>
      </c>
      <c r="R196" s="62" t="b">
        <f t="array" ref="R196">MAX(IF(Main3WData[PT.ID]=Main3WData[[#This Row],[PT.ID]],Main3WData[PT.LastID.Row]))=Main3WData[[#This Row],[PT.LastID.Row]]</f>
        <v>0</v>
      </c>
    </row>
    <row r="197" spans="2:18" ht="16.5" customHeight="1" x14ac:dyDescent="0.2">
      <c r="B197" s="55" t="s">
        <v>507</v>
      </c>
      <c r="C197" s="27" t="str">
        <f>INDEX(Organizations[],MATCH(Main3WData[[#This Row],[Acronym]],AcronymList,0),1)</f>
        <v>eHealth Africa</v>
      </c>
      <c r="D197" s="27" t="str">
        <f>INDEX(Organizations[],MATCH(Main3WData[[#This Row],[Acronym]],AcronymList,0),3)</f>
        <v>International Organization</v>
      </c>
      <c r="E197" s="54" t="s">
        <v>360</v>
      </c>
      <c r="F197" s="53" t="s">
        <v>82</v>
      </c>
      <c r="G197" s="54" t="s">
        <v>380</v>
      </c>
      <c r="H197" s="28" t="str">
        <f>VLOOKUP(Main3WData[[#This Row],[Admin Unit Name]],AdminUnits[],2,FALSE)</f>
        <v>GIN003002</v>
      </c>
      <c r="I197" s="57">
        <v>0</v>
      </c>
      <c r="J197" s="67" t="str">
        <f>Main3WData[[#This Row],[Acronym]]&amp;Main3WData[[#This Row],[Sector]]&amp;Main3WData[[#This Row],[Activity Type]]&amp;Main3WData[[#This Row],[Pcode]]</f>
        <v>eHealth AfricaCoordinationOngoingGIN003002</v>
      </c>
      <c r="K197" s="69">
        <f>COUNTIF(Main3WData[Concatenate],Main3WData[[#This Row],[Concatenate]])</f>
        <v>1</v>
      </c>
      <c r="L197" s="61" t="str">
        <f>Main3WData[[#This Row],[Sector]]&amp;Main3WData[[#This Row],[Pcode]]</f>
        <v>CoordinationGIN003002</v>
      </c>
      <c r="M197" s="71">
        <f>COUNTIF($L$5:L197,Main3WData[[#This Row],[PT.Concat]])</f>
        <v>6</v>
      </c>
      <c r="N197" s="70">
        <f>MATCH(Main3WData[[#This Row],[PT.Concat]],$L$5:L197,0)</f>
        <v>188</v>
      </c>
      <c r="O197" s="62" t="b">
        <f>Main3WData[[#This Row],[Count PT.Concat]]=1</f>
        <v>0</v>
      </c>
      <c r="P197" s="62">
        <f t="array" ref="P197">MAX(($N$4:N196=Main3WData[[#This Row],[PT.ID]])*ROW($N$4:N196))</f>
        <v>196</v>
      </c>
      <c r="Q197" s="62" t="str">
        <f>IF(Main3WData[[#This Row],[PT.FirstID]],Main3WData[[#This Row],[Acronym]],INDEX($Q$4:Q196,Main3WData[[#This Row],[PT.LastID.Row]]-ROW($Q$4)+1) &amp; ", "&amp;Main3WData[[#This Row],[Acronym]])</f>
        <v>UNMEER, UNFPA, UNDP, OMS, MSF, eHealth Africa</v>
      </c>
      <c r="R197" s="62" t="b">
        <f t="array" ref="R197">MAX(IF(Main3WData[PT.ID]=Main3WData[[#This Row],[PT.ID]],Main3WData[PT.LastID.Row]))=Main3WData[[#This Row],[PT.LastID.Row]]</f>
        <v>1</v>
      </c>
    </row>
    <row r="198" spans="2:18" ht="16.5" customHeight="1" x14ac:dyDescent="0.2">
      <c r="B198" s="55" t="s">
        <v>473</v>
      </c>
      <c r="C198" s="27" t="str">
        <f>INDEX(Organizations[],MATCH(Main3WData[[#This Row],[Acronym]],AcronymList,0),1)</f>
        <v>United Nations Development Programme</v>
      </c>
      <c r="D198" s="27" t="str">
        <f>INDEX(Organizations[],MATCH(Main3WData[[#This Row],[Acronym]],AcronymList,0),3)</f>
        <v>UN Agency</v>
      </c>
      <c r="E198" s="54" t="s">
        <v>359</v>
      </c>
      <c r="F198" s="53" t="s">
        <v>82</v>
      </c>
      <c r="G198" s="54" t="s">
        <v>380</v>
      </c>
      <c r="H198" s="28" t="str">
        <f>VLOOKUP(Main3WData[[#This Row],[Admin Unit Name]],AdminUnits[],2,FALSE)</f>
        <v>GIN003002</v>
      </c>
      <c r="I198" s="57">
        <v>0</v>
      </c>
      <c r="J198" s="67" t="str">
        <f>Main3WData[[#This Row],[Acronym]]&amp;Main3WData[[#This Row],[Sector]]&amp;Main3WData[[#This Row],[Activity Type]]&amp;Main3WData[[#This Row],[Pcode]]</f>
        <v>UNDPFinanceOngoingGIN003002</v>
      </c>
      <c r="K198" s="69">
        <f>COUNTIF(Main3WData[Concatenate],Main3WData[[#This Row],[Concatenate]])</f>
        <v>1</v>
      </c>
      <c r="L198" s="61" t="str">
        <f>Main3WData[[#This Row],[Sector]]&amp;Main3WData[[#This Row],[Pcode]]</f>
        <v>FinanceGIN003002</v>
      </c>
      <c r="M198" s="71">
        <f>COUNTIF($L$5:L198,Main3WData[[#This Row],[PT.Concat]])</f>
        <v>1</v>
      </c>
      <c r="N198" s="70">
        <f>MATCH(Main3WData[[#This Row],[PT.Concat]],$L$5:L198,0)</f>
        <v>194</v>
      </c>
      <c r="O198" s="62" t="b">
        <f>Main3WData[[#This Row],[Count PT.Concat]]=1</f>
        <v>1</v>
      </c>
      <c r="P198" s="62">
        <f t="array" ref="P198">MAX(($N$4:N197=Main3WData[[#This Row],[PT.ID]])*ROW($N$4:N197))</f>
        <v>0</v>
      </c>
      <c r="Q198" s="62" t="str">
        <f>IF(Main3WData[[#This Row],[PT.FirstID]],Main3WData[[#This Row],[Acronym]],INDEX($Q$4:Q197,Main3WData[[#This Row],[PT.LastID.Row]]-ROW($Q$4)+1) &amp; ", "&amp;Main3WData[[#This Row],[Acronym]])</f>
        <v>UNDP</v>
      </c>
      <c r="R198" s="62" t="b">
        <f t="array" ref="R198">MAX(IF(Main3WData[PT.ID]=Main3WData[[#This Row],[PT.ID]],Main3WData[PT.LastID.Row]))=Main3WData[[#This Row],[PT.LastID.Row]]</f>
        <v>1</v>
      </c>
    </row>
    <row r="199" spans="2:18" ht="16.5" customHeight="1" x14ac:dyDescent="0.2">
      <c r="B199" s="55" t="s">
        <v>451</v>
      </c>
      <c r="C199" s="27" t="str">
        <f>INDEX(Organizations[],MATCH(Main3WData[[#This Row],[Acronym]],AcronymList,0),1)</f>
        <v>Croix-Rouge Guinée</v>
      </c>
      <c r="D199" s="27" t="str">
        <f>INDEX(Organizations[],MATCH(Main3WData[[#This Row],[Acronym]],AcronymList,0),3)</f>
        <v>Red Cross Movement</v>
      </c>
      <c r="E199" s="54" t="s">
        <v>354</v>
      </c>
      <c r="F199" s="53" t="s">
        <v>82</v>
      </c>
      <c r="G199" s="54" t="s">
        <v>380</v>
      </c>
      <c r="H199" s="28" t="str">
        <f>VLOOKUP(Main3WData[[#This Row],[Admin Unit Name]],AdminUnits[],2,FALSE)</f>
        <v>GIN003002</v>
      </c>
      <c r="I199" s="57">
        <v>0</v>
      </c>
      <c r="J199" s="67" t="str">
        <f>Main3WData[[#This Row],[Acronym]]&amp;Main3WData[[#This Row],[Sector]]&amp;Main3WData[[#This Row],[Activity Type]]&amp;Main3WData[[#This Row],[Pcode]]</f>
        <v>CRGGestion des corps et desinfectionOngoingGIN003002</v>
      </c>
      <c r="K199" s="69">
        <f>COUNTIF(Main3WData[Concatenate],Main3WData[[#This Row],[Concatenate]])</f>
        <v>1</v>
      </c>
      <c r="L199" s="61" t="str">
        <f>Main3WData[[#This Row],[Sector]]&amp;Main3WData[[#This Row],[Pcode]]</f>
        <v>Gestion des corps et desinfectionGIN003002</v>
      </c>
      <c r="M199" s="71">
        <f>COUNTIF($L$5:L199,Main3WData[[#This Row],[PT.Concat]])</f>
        <v>1</v>
      </c>
      <c r="N199" s="70">
        <f>MATCH(Main3WData[[#This Row],[PT.Concat]],$L$5:L199,0)</f>
        <v>195</v>
      </c>
      <c r="O199" s="62" t="b">
        <f>Main3WData[[#This Row],[Count PT.Concat]]=1</f>
        <v>1</v>
      </c>
      <c r="P199" s="62">
        <f t="array" ref="P199">MAX(($N$4:N198=Main3WData[[#This Row],[PT.ID]])*ROW($N$4:N198))</f>
        <v>0</v>
      </c>
      <c r="Q199" s="62" t="str">
        <f>IF(Main3WData[[#This Row],[PT.FirstID]],Main3WData[[#This Row],[Acronym]],INDEX($Q$4:Q198,Main3WData[[#This Row],[PT.LastID.Row]]-ROW($Q$4)+1) &amp; ", "&amp;Main3WData[[#This Row],[Acronym]])</f>
        <v>CRG</v>
      </c>
      <c r="R199" s="62" t="b">
        <f t="array" ref="R199">MAX(IF(Main3WData[PT.ID]=Main3WData[[#This Row],[PT.ID]],Main3WData[PT.LastID.Row]))=Main3WData[[#This Row],[PT.LastID.Row]]</f>
        <v>1</v>
      </c>
    </row>
    <row r="200" spans="2:18" ht="16.5" customHeight="1" x14ac:dyDescent="0.2">
      <c r="B200" s="55" t="s">
        <v>516</v>
      </c>
      <c r="C200" s="27" t="str">
        <f>INDEX(Organizations[],MATCH(Main3WData[[#This Row],[Acronym]],AcronymList,0),1)</f>
        <v>UNITED NATION MISSION FOR EBOLA  EMERGENCY RESPONSE</v>
      </c>
      <c r="D200" s="27" t="str">
        <f>INDEX(Organizations[],MATCH(Main3WData[[#This Row],[Acronym]],AcronymList,0),3)</f>
        <v>UN Agency</v>
      </c>
      <c r="E200" s="54" t="s">
        <v>356</v>
      </c>
      <c r="F200" s="53" t="s">
        <v>82</v>
      </c>
      <c r="G200" s="54" t="s">
        <v>380</v>
      </c>
      <c r="H200" s="28" t="str">
        <f>VLOOKUP(Main3WData[[#This Row],[Admin Unit Name]],AdminUnits[],2,FALSE)</f>
        <v>GIN003002</v>
      </c>
      <c r="I200" s="57">
        <v>0</v>
      </c>
      <c r="J200" s="67" t="str">
        <f>Main3WData[[#This Row],[Acronym]]&amp;Main3WData[[#This Row],[Sector]]&amp;Main3WData[[#This Row],[Activity Type]]&amp;Main3WData[[#This Row],[Pcode]]</f>
        <v>UNMEERGestion des donnéesOngoingGIN003002</v>
      </c>
      <c r="K200" s="69">
        <f>COUNTIF(Main3WData[Concatenate],Main3WData[[#This Row],[Concatenate]])</f>
        <v>1</v>
      </c>
      <c r="L200" s="61" t="str">
        <f>Main3WData[[#This Row],[Sector]]&amp;Main3WData[[#This Row],[Pcode]]</f>
        <v>Gestion des donnéesGIN003002</v>
      </c>
      <c r="M200" s="71">
        <f>COUNTIF($L$5:L200,Main3WData[[#This Row],[PT.Concat]])</f>
        <v>1</v>
      </c>
      <c r="N200" s="70">
        <f>MATCH(Main3WData[[#This Row],[PT.Concat]],$L$5:L200,0)</f>
        <v>196</v>
      </c>
      <c r="O200" s="62" t="b">
        <f>Main3WData[[#This Row],[Count PT.Concat]]=1</f>
        <v>1</v>
      </c>
      <c r="P200" s="62">
        <f t="array" ref="P200">MAX(($N$4:N199=Main3WData[[#This Row],[PT.ID]])*ROW($N$4:N199))</f>
        <v>0</v>
      </c>
      <c r="Q200" s="62" t="str">
        <f>IF(Main3WData[[#This Row],[PT.FirstID]],Main3WData[[#This Row],[Acronym]],INDEX($Q$4:Q199,Main3WData[[#This Row],[PT.LastID.Row]]-ROW($Q$4)+1) &amp; ", "&amp;Main3WData[[#This Row],[Acronym]])</f>
        <v>UNMEER</v>
      </c>
      <c r="R200" s="62" t="b">
        <f t="array" ref="R200">MAX(IF(Main3WData[PT.ID]=Main3WData[[#This Row],[PT.ID]],Main3WData[PT.LastID.Row]))=Main3WData[[#This Row],[PT.LastID.Row]]</f>
        <v>0</v>
      </c>
    </row>
    <row r="201" spans="2:18" ht="16.5" customHeight="1" x14ac:dyDescent="0.2">
      <c r="B201" s="55" t="s">
        <v>72</v>
      </c>
      <c r="C201" s="27" t="str">
        <f>INDEX(Organizations[],MATCH(Main3WData[[#This Row],[Acronym]],AcronymList,0),1)</f>
        <v>PLAN</v>
      </c>
      <c r="D201" s="27" t="str">
        <f>INDEX(Organizations[],MATCH(Main3WData[[#This Row],[Acronym]],AcronymList,0),3)</f>
        <v>International Organization</v>
      </c>
      <c r="E201" s="54" t="s">
        <v>356</v>
      </c>
      <c r="F201" s="53" t="s">
        <v>82</v>
      </c>
      <c r="G201" s="54" t="s">
        <v>380</v>
      </c>
      <c r="H201" s="28" t="str">
        <f>VLOOKUP(Main3WData[[#This Row],[Admin Unit Name]],AdminUnits[],2,FALSE)</f>
        <v>GIN003002</v>
      </c>
      <c r="I201" s="57">
        <v>0</v>
      </c>
      <c r="J201" s="67" t="str">
        <f>Main3WData[[#This Row],[Acronym]]&amp;Main3WData[[#This Row],[Sector]]&amp;Main3WData[[#This Row],[Activity Type]]&amp;Main3WData[[#This Row],[Pcode]]</f>
        <v>PLANGestion des donnéesOngoingGIN003002</v>
      </c>
      <c r="K201" s="69">
        <f>COUNTIF(Main3WData[Concatenate],Main3WData[[#This Row],[Concatenate]])</f>
        <v>1</v>
      </c>
      <c r="L201" s="61" t="str">
        <f>Main3WData[[#This Row],[Sector]]&amp;Main3WData[[#This Row],[Pcode]]</f>
        <v>Gestion des donnéesGIN003002</v>
      </c>
      <c r="M201" s="71">
        <f>COUNTIF($L$5:L201,Main3WData[[#This Row],[PT.Concat]])</f>
        <v>2</v>
      </c>
      <c r="N201" s="70">
        <f>MATCH(Main3WData[[#This Row],[PT.Concat]],$L$5:L201,0)</f>
        <v>196</v>
      </c>
      <c r="O201" s="62" t="b">
        <f>Main3WData[[#This Row],[Count PT.Concat]]=1</f>
        <v>0</v>
      </c>
      <c r="P201" s="62">
        <f t="array" ref="P201">MAX(($N$4:N200=Main3WData[[#This Row],[PT.ID]])*ROW($N$4:N200))</f>
        <v>200</v>
      </c>
      <c r="Q201" s="62" t="str">
        <f>IF(Main3WData[[#This Row],[PT.FirstID]],Main3WData[[#This Row],[Acronym]],INDEX($Q$4:Q200,Main3WData[[#This Row],[PT.LastID.Row]]-ROW($Q$4)+1) &amp; ", "&amp;Main3WData[[#This Row],[Acronym]])</f>
        <v>UNMEER, PLAN</v>
      </c>
      <c r="R201" s="62" t="b">
        <f t="array" ref="R201">MAX(IF(Main3WData[PT.ID]=Main3WData[[#This Row],[PT.ID]],Main3WData[PT.LastID.Row]))=Main3WData[[#This Row],[PT.LastID.Row]]</f>
        <v>0</v>
      </c>
    </row>
    <row r="202" spans="2:18" ht="16.5" customHeight="1" x14ac:dyDescent="0.2">
      <c r="B202" s="55" t="s">
        <v>512</v>
      </c>
      <c r="C202" s="27" t="str">
        <f>INDEX(Organizations[],MATCH(Main3WData[[#This Row],[Acronym]],AcronymList,0),1)</f>
        <v>World Health Organization</v>
      </c>
      <c r="D202" s="27" t="str">
        <f>INDEX(Organizations[],MATCH(Main3WData[[#This Row],[Acronym]],AcronymList,0),3)</f>
        <v>UN Agency</v>
      </c>
      <c r="E202" s="54" t="s">
        <v>356</v>
      </c>
      <c r="F202" s="53" t="s">
        <v>82</v>
      </c>
      <c r="G202" s="54" t="s">
        <v>380</v>
      </c>
      <c r="H202" s="28" t="str">
        <f>VLOOKUP(Main3WData[[#This Row],[Admin Unit Name]],AdminUnits[],2,FALSE)</f>
        <v>GIN003002</v>
      </c>
      <c r="I202" s="57">
        <v>0</v>
      </c>
      <c r="J202" s="67" t="str">
        <f>Main3WData[[#This Row],[Acronym]]&amp;Main3WData[[#This Row],[Sector]]&amp;Main3WData[[#This Row],[Activity Type]]&amp;Main3WData[[#This Row],[Pcode]]</f>
        <v>OMSGestion des donnéesOngoingGIN003002</v>
      </c>
      <c r="K202" s="69">
        <f>COUNTIF(Main3WData[Concatenate],Main3WData[[#This Row],[Concatenate]])</f>
        <v>1</v>
      </c>
      <c r="L202" s="61" t="str">
        <f>Main3WData[[#This Row],[Sector]]&amp;Main3WData[[#This Row],[Pcode]]</f>
        <v>Gestion des donnéesGIN003002</v>
      </c>
      <c r="M202" s="71">
        <f>COUNTIF($L$5:L202,Main3WData[[#This Row],[PT.Concat]])</f>
        <v>3</v>
      </c>
      <c r="N202" s="70">
        <f>MATCH(Main3WData[[#This Row],[PT.Concat]],$L$5:L202,0)</f>
        <v>196</v>
      </c>
      <c r="O202" s="62" t="b">
        <f>Main3WData[[#This Row],[Count PT.Concat]]=1</f>
        <v>0</v>
      </c>
      <c r="P202" s="62">
        <f t="array" ref="P202">MAX(($N$4:N201=Main3WData[[#This Row],[PT.ID]])*ROW($N$4:N201))</f>
        <v>201</v>
      </c>
      <c r="Q202" s="62" t="str">
        <f>IF(Main3WData[[#This Row],[PT.FirstID]],Main3WData[[#This Row],[Acronym]],INDEX($Q$4:Q201,Main3WData[[#This Row],[PT.LastID.Row]]-ROW($Q$4)+1) &amp; ", "&amp;Main3WData[[#This Row],[Acronym]])</f>
        <v>UNMEER, PLAN, OMS</v>
      </c>
      <c r="R202" s="62" t="b">
        <f t="array" ref="R202">MAX(IF(Main3WData[PT.ID]=Main3WData[[#This Row],[PT.ID]],Main3WData[PT.LastID.Row]))=Main3WData[[#This Row],[PT.LastID.Row]]</f>
        <v>1</v>
      </c>
    </row>
    <row r="203" spans="2:18" ht="16.5" customHeight="1" x14ac:dyDescent="0.2">
      <c r="B203" s="55" t="s">
        <v>512</v>
      </c>
      <c r="C203" s="27" t="str">
        <f>INDEX(Organizations[],MATCH(Main3WData[[#This Row],[Acronym]],AcronymList,0),1)</f>
        <v>World Health Organization</v>
      </c>
      <c r="D203" s="27" t="str">
        <f>INDEX(Organizations[],MATCH(Main3WData[[#This Row],[Acronym]],AcronymList,0),3)</f>
        <v>UN Agency</v>
      </c>
      <c r="E203" s="54" t="s">
        <v>351</v>
      </c>
      <c r="F203" s="53" t="s">
        <v>82</v>
      </c>
      <c r="G203" s="54" t="s">
        <v>380</v>
      </c>
      <c r="H203" s="28" t="str">
        <f>VLOOKUP(Main3WData[[#This Row],[Admin Unit Name]],AdminUnits[],2,FALSE)</f>
        <v>GIN003002</v>
      </c>
      <c r="I203" s="57">
        <v>0</v>
      </c>
      <c r="J203" s="67" t="str">
        <f>Main3WData[[#This Row],[Acronym]]&amp;Main3WData[[#This Row],[Sector]]&amp;Main3WData[[#This Row],[Activity Type]]&amp;Main3WData[[#This Row],[Pcode]]</f>
        <v>OMSSurveillance &amp; suiviOngoingGIN003002</v>
      </c>
      <c r="K203" s="69">
        <f>COUNTIF(Main3WData[Concatenate],Main3WData[[#This Row],[Concatenate]])</f>
        <v>1</v>
      </c>
      <c r="L203" s="61" t="str">
        <f>Main3WData[[#This Row],[Sector]]&amp;Main3WData[[#This Row],[Pcode]]</f>
        <v>Surveillance &amp; suiviGIN003002</v>
      </c>
      <c r="M203" s="71">
        <f>COUNTIF($L$5:L203,Main3WData[[#This Row],[PT.Concat]])</f>
        <v>1</v>
      </c>
      <c r="N203" s="70">
        <f>MATCH(Main3WData[[#This Row],[PT.Concat]],$L$5:L203,0)</f>
        <v>199</v>
      </c>
      <c r="O203" s="62" t="b">
        <f>Main3WData[[#This Row],[Count PT.Concat]]=1</f>
        <v>1</v>
      </c>
      <c r="P203" s="62">
        <f t="array" ref="P203">MAX(($N$4:N202=Main3WData[[#This Row],[PT.ID]])*ROW($N$4:N202))</f>
        <v>0</v>
      </c>
      <c r="Q203" s="62" t="str">
        <f>IF(Main3WData[[#This Row],[PT.FirstID]],Main3WData[[#This Row],[Acronym]],INDEX($Q$4:Q202,Main3WData[[#This Row],[PT.LastID.Row]]-ROW($Q$4)+1) &amp; ", "&amp;Main3WData[[#This Row],[Acronym]])</f>
        <v>OMS</v>
      </c>
      <c r="R203" s="62" t="b">
        <f t="array" ref="R203">MAX(IF(Main3WData[PT.ID]=Main3WData[[#This Row],[PT.ID]],Main3WData[PT.LastID.Row]))=Main3WData[[#This Row],[PT.LastID.Row]]</f>
        <v>0</v>
      </c>
    </row>
    <row r="204" spans="2:18" ht="16.5" customHeight="1" x14ac:dyDescent="0.2">
      <c r="B204" s="55" t="s">
        <v>64</v>
      </c>
      <c r="C204" s="27" t="str">
        <f>INDEX(Organizations[],MATCH(Main3WData[[#This Row],[Acronym]],AcronymList,0),1)</f>
        <v>CDC</v>
      </c>
      <c r="D204" s="27" t="str">
        <f>INDEX(Organizations[],MATCH(Main3WData[[#This Row],[Acronym]],AcronymList,0),3)</f>
        <v>International NGO</v>
      </c>
      <c r="E204" s="54" t="s">
        <v>351</v>
      </c>
      <c r="F204" s="53" t="s">
        <v>82</v>
      </c>
      <c r="G204" s="54" t="s">
        <v>380</v>
      </c>
      <c r="H204" s="28" t="str">
        <f>VLOOKUP(Main3WData[[#This Row],[Admin Unit Name]],AdminUnits[],2,FALSE)</f>
        <v>GIN003002</v>
      </c>
      <c r="I204" s="57">
        <v>0</v>
      </c>
      <c r="J204" s="67" t="str">
        <f>Main3WData[[#This Row],[Acronym]]&amp;Main3WData[[#This Row],[Sector]]&amp;Main3WData[[#This Row],[Activity Type]]&amp;Main3WData[[#This Row],[Pcode]]</f>
        <v>CDCSurveillance &amp; suiviOngoingGIN003002</v>
      </c>
      <c r="K204" s="69">
        <f>COUNTIF(Main3WData[Concatenate],Main3WData[[#This Row],[Concatenate]])</f>
        <v>1</v>
      </c>
      <c r="L204" s="61" t="str">
        <f>Main3WData[[#This Row],[Sector]]&amp;Main3WData[[#This Row],[Pcode]]</f>
        <v>Surveillance &amp; suiviGIN003002</v>
      </c>
      <c r="M204" s="71">
        <f>COUNTIF($L$5:L204,Main3WData[[#This Row],[PT.Concat]])</f>
        <v>2</v>
      </c>
      <c r="N204" s="70">
        <f>MATCH(Main3WData[[#This Row],[PT.Concat]],$L$5:L204,0)</f>
        <v>199</v>
      </c>
      <c r="O204" s="62" t="b">
        <f>Main3WData[[#This Row],[Count PT.Concat]]=1</f>
        <v>0</v>
      </c>
      <c r="P204" s="62">
        <f t="array" ref="P204">MAX(($N$4:N203=Main3WData[[#This Row],[PT.ID]])*ROW($N$4:N203))</f>
        <v>203</v>
      </c>
      <c r="Q204" s="62" t="str">
        <f>IF(Main3WData[[#This Row],[PT.FirstID]],Main3WData[[#This Row],[Acronym]],INDEX($Q$4:Q203,Main3WData[[#This Row],[PT.LastID.Row]]-ROW($Q$4)+1) &amp; ", "&amp;Main3WData[[#This Row],[Acronym]])</f>
        <v>OMS, CDC</v>
      </c>
      <c r="R204" s="62" t="b">
        <f t="array" ref="R204">MAX(IF(Main3WData[PT.ID]=Main3WData[[#This Row],[PT.ID]],Main3WData[PT.LastID.Row]))=Main3WData[[#This Row],[PT.LastID.Row]]</f>
        <v>1</v>
      </c>
    </row>
    <row r="205" spans="2:18" ht="16.5" customHeight="1" x14ac:dyDescent="0.2">
      <c r="B205" s="55" t="s">
        <v>77</v>
      </c>
      <c r="C205" s="27" t="str">
        <f>INDEX(Organizations[],MATCH(Main3WData[[#This Row],[Acronym]],AcronymList,0),1)</f>
        <v>United Nations Children's Fund</v>
      </c>
      <c r="D205" s="27" t="str">
        <f>INDEX(Organizations[],MATCH(Main3WData[[#This Row],[Acronym]],AcronymList,0),3)</f>
        <v>UN Agency</v>
      </c>
      <c r="E205" s="54" t="s">
        <v>350</v>
      </c>
      <c r="F205" s="53" t="s">
        <v>82</v>
      </c>
      <c r="G205" s="54" t="s">
        <v>398</v>
      </c>
      <c r="H205" s="28" t="str">
        <f>VLOOKUP(Main3WData[[#This Row],[Admin Unit Name]],AdminUnits[],2,FALSE)</f>
        <v>GIN005002</v>
      </c>
      <c r="I205" s="57">
        <v>0</v>
      </c>
      <c r="J205" s="67" t="str">
        <f>Main3WData[[#This Row],[Acronym]]&amp;Main3WData[[#This Row],[Sector]]&amp;Main3WData[[#This Row],[Activity Type]]&amp;Main3WData[[#This Row],[Pcode]]</f>
        <v>UNICEFCommunication/Mobilisation socialeOngoingGIN005002</v>
      </c>
      <c r="K205" s="69">
        <f>COUNTIF(Main3WData[Concatenate],Main3WData[[#This Row],[Concatenate]])</f>
        <v>1</v>
      </c>
      <c r="L205" s="61" t="str">
        <f>Main3WData[[#This Row],[Sector]]&amp;Main3WData[[#This Row],[Pcode]]</f>
        <v>Communication/Mobilisation socialeGIN005002</v>
      </c>
      <c r="M205" s="71">
        <f>COUNTIF($L$5:L205,Main3WData[[#This Row],[PT.Concat]])</f>
        <v>1</v>
      </c>
      <c r="N205" s="70">
        <f>MATCH(Main3WData[[#This Row],[PT.Concat]],$L$5:L205,0)</f>
        <v>201</v>
      </c>
      <c r="O205" s="62" t="b">
        <f>Main3WData[[#This Row],[Count PT.Concat]]=1</f>
        <v>1</v>
      </c>
      <c r="P205" s="62">
        <f t="array" ref="P205">MAX(($N$4:N204=Main3WData[[#This Row],[PT.ID]])*ROW($N$4:N204))</f>
        <v>0</v>
      </c>
      <c r="Q205" s="62" t="str">
        <f>IF(Main3WData[[#This Row],[PT.FirstID]],Main3WData[[#This Row],[Acronym]],INDEX($Q$4:Q204,Main3WData[[#This Row],[PT.LastID.Row]]-ROW($Q$4)+1) &amp; ", "&amp;Main3WData[[#This Row],[Acronym]])</f>
        <v>UNICEF</v>
      </c>
      <c r="R205" s="62" t="b">
        <f t="array" ref="R205">MAX(IF(Main3WData[PT.ID]=Main3WData[[#This Row],[PT.ID]],Main3WData[PT.LastID.Row]))=Main3WData[[#This Row],[PT.LastID.Row]]</f>
        <v>0</v>
      </c>
    </row>
    <row r="206" spans="2:18" ht="16.5" customHeight="1" x14ac:dyDescent="0.2">
      <c r="B206" s="55" t="s">
        <v>75</v>
      </c>
      <c r="C206" s="27" t="str">
        <f>INDEX(Organizations[],MATCH(Main3WData[[#This Row],[Acronym]],AcronymList,0),1)</f>
        <v>United Nations Population Fund</v>
      </c>
      <c r="D206" s="27" t="str">
        <f>INDEX(Organizations[],MATCH(Main3WData[[#This Row],[Acronym]],AcronymList,0),3)</f>
        <v>UN Agency</v>
      </c>
      <c r="E206" s="54" t="s">
        <v>350</v>
      </c>
      <c r="F206" s="53" t="s">
        <v>82</v>
      </c>
      <c r="G206" s="54" t="s">
        <v>398</v>
      </c>
      <c r="H206" s="28" t="str">
        <f>VLOOKUP(Main3WData[[#This Row],[Admin Unit Name]],AdminUnits[],2,FALSE)</f>
        <v>GIN005002</v>
      </c>
      <c r="I206" s="57">
        <v>0</v>
      </c>
      <c r="J206" s="67" t="str">
        <f>Main3WData[[#This Row],[Acronym]]&amp;Main3WData[[#This Row],[Sector]]&amp;Main3WData[[#This Row],[Activity Type]]&amp;Main3WData[[#This Row],[Pcode]]</f>
        <v>UNFPACommunication/Mobilisation socialeOngoingGIN005002</v>
      </c>
      <c r="K206" s="69">
        <f>COUNTIF(Main3WData[Concatenate],Main3WData[[#This Row],[Concatenate]])</f>
        <v>1</v>
      </c>
      <c r="L206" s="61" t="str">
        <f>Main3WData[[#This Row],[Sector]]&amp;Main3WData[[#This Row],[Pcode]]</f>
        <v>Communication/Mobilisation socialeGIN005002</v>
      </c>
      <c r="M206" s="71">
        <f>COUNTIF($L$5:L206,Main3WData[[#This Row],[PT.Concat]])</f>
        <v>2</v>
      </c>
      <c r="N206" s="70">
        <f>MATCH(Main3WData[[#This Row],[PT.Concat]],$L$5:L206,0)</f>
        <v>201</v>
      </c>
      <c r="O206" s="62" t="b">
        <f>Main3WData[[#This Row],[Count PT.Concat]]=1</f>
        <v>0</v>
      </c>
      <c r="P206" s="62">
        <f t="array" ref="P206">MAX(($N$4:N205=Main3WData[[#This Row],[PT.ID]])*ROW($N$4:N205))</f>
        <v>205</v>
      </c>
      <c r="Q206" s="62" t="str">
        <f>IF(Main3WData[[#This Row],[PT.FirstID]],Main3WData[[#This Row],[Acronym]],INDEX($Q$4:Q205,Main3WData[[#This Row],[PT.LastID.Row]]-ROW($Q$4)+1) &amp; ", "&amp;Main3WData[[#This Row],[Acronym]])</f>
        <v>UNICEF, UNFPA</v>
      </c>
      <c r="R206" s="62" t="b">
        <f t="array" ref="R206">MAX(IF(Main3WData[PT.ID]=Main3WData[[#This Row],[PT.ID]],Main3WData[PT.LastID.Row]))=Main3WData[[#This Row],[PT.LastID.Row]]</f>
        <v>0</v>
      </c>
    </row>
    <row r="207" spans="2:18" ht="16.5" customHeight="1" x14ac:dyDescent="0.2">
      <c r="B207" s="55" t="s">
        <v>473</v>
      </c>
      <c r="C207" s="27" t="str">
        <f>INDEX(Organizations[],MATCH(Main3WData[[#This Row],[Acronym]],AcronymList,0),1)</f>
        <v>United Nations Development Programme</v>
      </c>
      <c r="D207" s="27" t="str">
        <f>INDEX(Organizations[],MATCH(Main3WData[[#This Row],[Acronym]],AcronymList,0),3)</f>
        <v>UN Agency</v>
      </c>
      <c r="E207" s="54" t="s">
        <v>350</v>
      </c>
      <c r="F207" s="53" t="s">
        <v>82</v>
      </c>
      <c r="G207" s="54" t="s">
        <v>398</v>
      </c>
      <c r="H207" s="28" t="str">
        <f>VLOOKUP(Main3WData[[#This Row],[Admin Unit Name]],AdminUnits[],2,FALSE)</f>
        <v>GIN005002</v>
      </c>
      <c r="I207" s="57">
        <v>0</v>
      </c>
      <c r="J207" s="67" t="str">
        <f>Main3WData[[#This Row],[Acronym]]&amp;Main3WData[[#This Row],[Sector]]&amp;Main3WData[[#This Row],[Activity Type]]&amp;Main3WData[[#This Row],[Pcode]]</f>
        <v>UNDPCommunication/Mobilisation socialeOngoingGIN005002</v>
      </c>
      <c r="K207" s="69">
        <f>COUNTIF(Main3WData[Concatenate],Main3WData[[#This Row],[Concatenate]])</f>
        <v>1</v>
      </c>
      <c r="L207" s="61" t="str">
        <f>Main3WData[[#This Row],[Sector]]&amp;Main3WData[[#This Row],[Pcode]]</f>
        <v>Communication/Mobilisation socialeGIN005002</v>
      </c>
      <c r="M207" s="71">
        <f>COUNTIF($L$5:L207,Main3WData[[#This Row],[PT.Concat]])</f>
        <v>3</v>
      </c>
      <c r="N207" s="70">
        <f>MATCH(Main3WData[[#This Row],[PT.Concat]],$L$5:L207,0)</f>
        <v>201</v>
      </c>
      <c r="O207" s="62" t="b">
        <f>Main3WData[[#This Row],[Count PT.Concat]]=1</f>
        <v>0</v>
      </c>
      <c r="P207" s="62">
        <f t="array" ref="P207">MAX(($N$4:N206=Main3WData[[#This Row],[PT.ID]])*ROW($N$4:N206))</f>
        <v>206</v>
      </c>
      <c r="Q207" s="62" t="str">
        <f>IF(Main3WData[[#This Row],[PT.FirstID]],Main3WData[[#This Row],[Acronym]],INDEX($Q$4:Q206,Main3WData[[#This Row],[PT.LastID.Row]]-ROW($Q$4)+1) &amp; ", "&amp;Main3WData[[#This Row],[Acronym]])</f>
        <v>UNICEF, UNFPA, UNDP</v>
      </c>
      <c r="R207" s="62" t="b">
        <f t="array" ref="R207">MAX(IF(Main3WData[PT.ID]=Main3WData[[#This Row],[PT.ID]],Main3WData[PT.LastID.Row]))=Main3WData[[#This Row],[PT.LastID.Row]]</f>
        <v>0</v>
      </c>
    </row>
    <row r="208" spans="2:18" ht="16.5" customHeight="1" x14ac:dyDescent="0.2">
      <c r="B208" s="55" t="s">
        <v>72</v>
      </c>
      <c r="C208" s="27" t="str">
        <f>INDEX(Organizations[],MATCH(Main3WData[[#This Row],[Acronym]],AcronymList,0),1)</f>
        <v>PLAN</v>
      </c>
      <c r="D208" s="27" t="str">
        <f>INDEX(Organizations[],MATCH(Main3WData[[#This Row],[Acronym]],AcronymList,0),3)</f>
        <v>International Organization</v>
      </c>
      <c r="E208" s="54" t="s">
        <v>350</v>
      </c>
      <c r="F208" s="53" t="s">
        <v>82</v>
      </c>
      <c r="G208" s="54" t="s">
        <v>398</v>
      </c>
      <c r="H208" s="28" t="str">
        <f>VLOOKUP(Main3WData[[#This Row],[Admin Unit Name]],AdminUnits[],2,FALSE)</f>
        <v>GIN005002</v>
      </c>
      <c r="I208" s="57">
        <v>0</v>
      </c>
      <c r="J208" s="67" t="str">
        <f>Main3WData[[#This Row],[Acronym]]&amp;Main3WData[[#This Row],[Sector]]&amp;Main3WData[[#This Row],[Activity Type]]&amp;Main3WData[[#This Row],[Pcode]]</f>
        <v>PLANCommunication/Mobilisation socialeOngoingGIN005002</v>
      </c>
      <c r="K208" s="69">
        <f>COUNTIF(Main3WData[Concatenate],Main3WData[[#This Row],[Concatenate]])</f>
        <v>1</v>
      </c>
      <c r="L208" s="61" t="str">
        <f>Main3WData[[#This Row],[Sector]]&amp;Main3WData[[#This Row],[Pcode]]</f>
        <v>Communication/Mobilisation socialeGIN005002</v>
      </c>
      <c r="M208" s="71">
        <f>COUNTIF($L$5:L208,Main3WData[[#This Row],[PT.Concat]])</f>
        <v>4</v>
      </c>
      <c r="N208" s="70">
        <f>MATCH(Main3WData[[#This Row],[PT.Concat]],$L$5:L208,0)</f>
        <v>201</v>
      </c>
      <c r="O208" s="62" t="b">
        <f>Main3WData[[#This Row],[Count PT.Concat]]=1</f>
        <v>0</v>
      </c>
      <c r="P208" s="62">
        <f t="array" ref="P208">MAX(($N$4:N207=Main3WData[[#This Row],[PT.ID]])*ROW($N$4:N207))</f>
        <v>207</v>
      </c>
      <c r="Q208" s="62" t="str">
        <f>IF(Main3WData[[#This Row],[PT.FirstID]],Main3WData[[#This Row],[Acronym]],INDEX($Q$4:Q207,Main3WData[[#This Row],[PT.LastID.Row]]-ROW($Q$4)+1) &amp; ", "&amp;Main3WData[[#This Row],[Acronym]])</f>
        <v>UNICEF, UNFPA, UNDP, PLAN</v>
      </c>
      <c r="R208" s="62" t="b">
        <f t="array" ref="R208">MAX(IF(Main3WData[PT.ID]=Main3WData[[#This Row],[PT.ID]],Main3WData[PT.LastID.Row]))=Main3WData[[#This Row],[PT.LastID.Row]]</f>
        <v>0</v>
      </c>
    </row>
    <row r="209" spans="2:18" ht="16.5" customHeight="1" x14ac:dyDescent="0.2">
      <c r="B209" s="55" t="s">
        <v>512</v>
      </c>
      <c r="C209" s="27" t="str">
        <f>INDEX(Organizations[],MATCH(Main3WData[[#This Row],[Acronym]],AcronymList,0),1)</f>
        <v>World Health Organization</v>
      </c>
      <c r="D209" s="27" t="str">
        <f>INDEX(Organizations[],MATCH(Main3WData[[#This Row],[Acronym]],AcronymList,0),3)</f>
        <v>UN Agency</v>
      </c>
      <c r="E209" s="54" t="s">
        <v>350</v>
      </c>
      <c r="F209" s="53" t="s">
        <v>82</v>
      </c>
      <c r="G209" s="54" t="s">
        <v>398</v>
      </c>
      <c r="H209" s="28" t="str">
        <f>VLOOKUP(Main3WData[[#This Row],[Admin Unit Name]],AdminUnits[],2,FALSE)</f>
        <v>GIN005002</v>
      </c>
      <c r="I209" s="57">
        <v>0</v>
      </c>
      <c r="J209" s="67" t="str">
        <f>Main3WData[[#This Row],[Acronym]]&amp;Main3WData[[#This Row],[Sector]]&amp;Main3WData[[#This Row],[Activity Type]]&amp;Main3WData[[#This Row],[Pcode]]</f>
        <v>OMSCommunication/Mobilisation socialeOngoingGIN005002</v>
      </c>
      <c r="K209" s="69">
        <f>COUNTIF(Main3WData[Concatenate],Main3WData[[#This Row],[Concatenate]])</f>
        <v>1</v>
      </c>
      <c r="L209" s="61" t="str">
        <f>Main3WData[[#This Row],[Sector]]&amp;Main3WData[[#This Row],[Pcode]]</f>
        <v>Communication/Mobilisation socialeGIN005002</v>
      </c>
      <c r="M209" s="71">
        <f>COUNTIF($L$5:L209,Main3WData[[#This Row],[PT.Concat]])</f>
        <v>5</v>
      </c>
      <c r="N209" s="70">
        <f>MATCH(Main3WData[[#This Row],[PT.Concat]],$L$5:L209,0)</f>
        <v>201</v>
      </c>
      <c r="O209" s="62" t="b">
        <f>Main3WData[[#This Row],[Count PT.Concat]]=1</f>
        <v>0</v>
      </c>
      <c r="P209" s="62">
        <f t="array" ref="P209">MAX(($N$4:N208=Main3WData[[#This Row],[PT.ID]])*ROW($N$4:N208))</f>
        <v>208</v>
      </c>
      <c r="Q209" s="62" t="str">
        <f>IF(Main3WData[[#This Row],[PT.FirstID]],Main3WData[[#This Row],[Acronym]],INDEX($Q$4:Q208,Main3WData[[#This Row],[PT.LastID.Row]]-ROW($Q$4)+1) &amp; ", "&amp;Main3WData[[#This Row],[Acronym]])</f>
        <v>UNICEF, UNFPA, UNDP, PLAN, OMS</v>
      </c>
      <c r="R209" s="62" t="b">
        <f t="array" ref="R209">MAX(IF(Main3WData[PT.ID]=Main3WData[[#This Row],[PT.ID]],Main3WData[PT.LastID.Row]))=Main3WData[[#This Row],[PT.LastID.Row]]</f>
        <v>0</v>
      </c>
    </row>
    <row r="210" spans="2:18" ht="16.5" customHeight="1" x14ac:dyDescent="0.2">
      <c r="B210" s="55" t="s">
        <v>499</v>
      </c>
      <c r="C210" s="27" t="str">
        <f>INDEX(Organizations[],MATCH(Main3WData[[#This Row],[Acronym]],AcronymList,0),1)</f>
        <v>Croix-Rouge Guinée/Fédération internationale de la Croix-Rouge</v>
      </c>
      <c r="D210" s="27" t="str">
        <f>INDEX(Organizations[],MATCH(Main3WData[[#This Row],[Acronym]],AcronymList,0),3)</f>
        <v>International Organization</v>
      </c>
      <c r="E210" s="54" t="s">
        <v>350</v>
      </c>
      <c r="F210" s="53" t="s">
        <v>82</v>
      </c>
      <c r="G210" s="54" t="s">
        <v>398</v>
      </c>
      <c r="H210" s="28" t="str">
        <f>VLOOKUP(Main3WData[[#This Row],[Admin Unit Name]],AdminUnits[],2,FALSE)</f>
        <v>GIN005002</v>
      </c>
      <c r="I210" s="57">
        <v>0</v>
      </c>
      <c r="J210" s="67" t="str">
        <f>Main3WData[[#This Row],[Acronym]]&amp;Main3WData[[#This Row],[Sector]]&amp;Main3WData[[#This Row],[Activity Type]]&amp;Main3WData[[#This Row],[Pcode]]</f>
        <v>CRG/FICRCommunication/Mobilisation socialeOngoingGIN005002</v>
      </c>
      <c r="K210" s="69">
        <f>COUNTIF(Main3WData[Concatenate],Main3WData[[#This Row],[Concatenate]])</f>
        <v>1</v>
      </c>
      <c r="L210" s="61" t="str">
        <f>Main3WData[[#This Row],[Sector]]&amp;Main3WData[[#This Row],[Pcode]]</f>
        <v>Communication/Mobilisation socialeGIN005002</v>
      </c>
      <c r="M210" s="71">
        <f>COUNTIF($L$5:L210,Main3WData[[#This Row],[PT.Concat]])</f>
        <v>6</v>
      </c>
      <c r="N210" s="70">
        <f>MATCH(Main3WData[[#This Row],[PT.Concat]],$L$5:L210,0)</f>
        <v>201</v>
      </c>
      <c r="O210" s="62" t="b">
        <f>Main3WData[[#This Row],[Count PT.Concat]]=1</f>
        <v>0</v>
      </c>
      <c r="P210" s="62">
        <f t="array" ref="P210">MAX(($N$4:N209=Main3WData[[#This Row],[PT.ID]])*ROW($N$4:N209))</f>
        <v>209</v>
      </c>
      <c r="Q210" s="62" t="str">
        <f>IF(Main3WData[[#This Row],[PT.FirstID]],Main3WData[[#This Row],[Acronym]],INDEX($Q$4:Q209,Main3WData[[#This Row],[PT.LastID.Row]]-ROW($Q$4)+1) &amp; ", "&amp;Main3WData[[#This Row],[Acronym]])</f>
        <v>UNICEF, UNFPA, UNDP, PLAN, OMS, CRG/FICR</v>
      </c>
      <c r="R210" s="62" t="b">
        <f t="array" ref="R210">MAX(IF(Main3WData[PT.ID]=Main3WData[[#This Row],[PT.ID]],Main3WData[PT.LastID.Row]))=Main3WData[[#This Row],[PT.LastID.Row]]</f>
        <v>1</v>
      </c>
    </row>
    <row r="211" spans="2:18" ht="16.5" customHeight="1" x14ac:dyDescent="0.2">
      <c r="B211" s="55" t="s">
        <v>516</v>
      </c>
      <c r="C211" s="27" t="str">
        <f>INDEX(Organizations[],MATCH(Main3WData[[#This Row],[Acronym]],AcronymList,0),1)</f>
        <v>UNITED NATION MISSION FOR EBOLA  EMERGENCY RESPONSE</v>
      </c>
      <c r="D211" s="27" t="str">
        <f>INDEX(Organizations[],MATCH(Main3WData[[#This Row],[Acronym]],AcronymList,0),3)</f>
        <v>UN Agency</v>
      </c>
      <c r="E211" s="54" t="s">
        <v>360</v>
      </c>
      <c r="F211" s="53" t="s">
        <v>82</v>
      </c>
      <c r="G211" s="54" t="s">
        <v>398</v>
      </c>
      <c r="H211" s="28" t="str">
        <f>VLOOKUP(Main3WData[[#This Row],[Admin Unit Name]],AdminUnits[],2,FALSE)</f>
        <v>GIN005002</v>
      </c>
      <c r="I211" s="57">
        <v>0</v>
      </c>
      <c r="J211" s="67" t="str">
        <f>Main3WData[[#This Row],[Acronym]]&amp;Main3WData[[#This Row],[Sector]]&amp;Main3WData[[#This Row],[Activity Type]]&amp;Main3WData[[#This Row],[Pcode]]</f>
        <v>UNMEERCoordinationOngoingGIN005002</v>
      </c>
      <c r="K211" s="69">
        <f>COUNTIF(Main3WData[Concatenate],Main3WData[[#This Row],[Concatenate]])</f>
        <v>1</v>
      </c>
      <c r="L211" s="61" t="str">
        <f>Main3WData[[#This Row],[Sector]]&amp;Main3WData[[#This Row],[Pcode]]</f>
        <v>CoordinationGIN005002</v>
      </c>
      <c r="M211" s="71">
        <f>COUNTIF($L$5:L211,Main3WData[[#This Row],[PT.Concat]])</f>
        <v>1</v>
      </c>
      <c r="N211" s="70">
        <f>MATCH(Main3WData[[#This Row],[PT.Concat]],$L$5:L211,0)</f>
        <v>207</v>
      </c>
      <c r="O211" s="62" t="b">
        <f>Main3WData[[#This Row],[Count PT.Concat]]=1</f>
        <v>1</v>
      </c>
      <c r="P211" s="62">
        <f t="array" ref="P211">MAX(($N$4:N210=Main3WData[[#This Row],[PT.ID]])*ROW($N$4:N210))</f>
        <v>0</v>
      </c>
      <c r="Q211" s="62" t="str">
        <f>IF(Main3WData[[#This Row],[PT.FirstID]],Main3WData[[#This Row],[Acronym]],INDEX($Q$4:Q210,Main3WData[[#This Row],[PT.LastID.Row]]-ROW($Q$4)+1) &amp; ", "&amp;Main3WData[[#This Row],[Acronym]])</f>
        <v>UNMEER</v>
      </c>
      <c r="R211" s="62" t="b">
        <f t="array" ref="R211">MAX(IF(Main3WData[PT.ID]=Main3WData[[#This Row],[PT.ID]],Main3WData[PT.LastID.Row]))=Main3WData[[#This Row],[PT.LastID.Row]]</f>
        <v>0</v>
      </c>
    </row>
    <row r="212" spans="2:18" ht="16.5" customHeight="1" x14ac:dyDescent="0.2">
      <c r="B212" s="55" t="s">
        <v>75</v>
      </c>
      <c r="C212" s="27" t="str">
        <f>INDEX(Organizations[],MATCH(Main3WData[[#This Row],[Acronym]],AcronymList,0),1)</f>
        <v>United Nations Population Fund</v>
      </c>
      <c r="D212" s="27" t="str">
        <f>INDEX(Organizations[],MATCH(Main3WData[[#This Row],[Acronym]],AcronymList,0),3)</f>
        <v>UN Agency</v>
      </c>
      <c r="E212" s="54" t="s">
        <v>360</v>
      </c>
      <c r="F212" s="53" t="s">
        <v>82</v>
      </c>
      <c r="G212" s="54" t="s">
        <v>398</v>
      </c>
      <c r="H212" s="28" t="str">
        <f>VLOOKUP(Main3WData[[#This Row],[Admin Unit Name]],AdminUnits[],2,FALSE)</f>
        <v>GIN005002</v>
      </c>
      <c r="I212" s="57">
        <v>0</v>
      </c>
      <c r="J212" s="67" t="str">
        <f>Main3WData[[#This Row],[Acronym]]&amp;Main3WData[[#This Row],[Sector]]&amp;Main3WData[[#This Row],[Activity Type]]&amp;Main3WData[[#This Row],[Pcode]]</f>
        <v>UNFPACoordinationOngoingGIN005002</v>
      </c>
      <c r="K212" s="69">
        <f>COUNTIF(Main3WData[Concatenate],Main3WData[[#This Row],[Concatenate]])</f>
        <v>1</v>
      </c>
      <c r="L212" s="61" t="str">
        <f>Main3WData[[#This Row],[Sector]]&amp;Main3WData[[#This Row],[Pcode]]</f>
        <v>CoordinationGIN005002</v>
      </c>
      <c r="M212" s="71">
        <f>COUNTIF($L$5:L212,Main3WData[[#This Row],[PT.Concat]])</f>
        <v>2</v>
      </c>
      <c r="N212" s="70">
        <f>MATCH(Main3WData[[#This Row],[PT.Concat]],$L$5:L212,0)</f>
        <v>207</v>
      </c>
      <c r="O212" s="62" t="b">
        <f>Main3WData[[#This Row],[Count PT.Concat]]=1</f>
        <v>0</v>
      </c>
      <c r="P212" s="62">
        <f t="array" ref="P212">MAX(($N$4:N211=Main3WData[[#This Row],[PT.ID]])*ROW($N$4:N211))</f>
        <v>211</v>
      </c>
      <c r="Q212" s="62" t="str">
        <f>IF(Main3WData[[#This Row],[PT.FirstID]],Main3WData[[#This Row],[Acronym]],INDEX($Q$4:Q211,Main3WData[[#This Row],[PT.LastID.Row]]-ROW($Q$4)+1) &amp; ", "&amp;Main3WData[[#This Row],[Acronym]])</f>
        <v>UNMEER, UNFPA</v>
      </c>
      <c r="R212" s="62" t="b">
        <f t="array" ref="R212">MAX(IF(Main3WData[PT.ID]=Main3WData[[#This Row],[PT.ID]],Main3WData[PT.LastID.Row]))=Main3WData[[#This Row],[PT.LastID.Row]]</f>
        <v>0</v>
      </c>
    </row>
    <row r="213" spans="2:18" ht="16.5" customHeight="1" x14ac:dyDescent="0.2">
      <c r="B213" s="55" t="s">
        <v>473</v>
      </c>
      <c r="C213" s="27" t="str">
        <f>INDEX(Organizations[],MATCH(Main3WData[[#This Row],[Acronym]],AcronymList,0),1)</f>
        <v>United Nations Development Programme</v>
      </c>
      <c r="D213" s="27" t="str">
        <f>INDEX(Organizations[],MATCH(Main3WData[[#This Row],[Acronym]],AcronymList,0),3)</f>
        <v>UN Agency</v>
      </c>
      <c r="E213" s="54" t="s">
        <v>360</v>
      </c>
      <c r="F213" s="53" t="s">
        <v>82</v>
      </c>
      <c r="G213" s="54" t="s">
        <v>398</v>
      </c>
      <c r="H213" s="28" t="str">
        <f>VLOOKUP(Main3WData[[#This Row],[Admin Unit Name]],AdminUnits[],2,FALSE)</f>
        <v>GIN005002</v>
      </c>
      <c r="I213" s="57">
        <v>0</v>
      </c>
      <c r="J213" s="67" t="str">
        <f>Main3WData[[#This Row],[Acronym]]&amp;Main3WData[[#This Row],[Sector]]&amp;Main3WData[[#This Row],[Activity Type]]&amp;Main3WData[[#This Row],[Pcode]]</f>
        <v>UNDPCoordinationOngoingGIN005002</v>
      </c>
      <c r="K213" s="69">
        <f>COUNTIF(Main3WData[Concatenate],Main3WData[[#This Row],[Concatenate]])</f>
        <v>1</v>
      </c>
      <c r="L213" s="61" t="str">
        <f>Main3WData[[#This Row],[Sector]]&amp;Main3WData[[#This Row],[Pcode]]</f>
        <v>CoordinationGIN005002</v>
      </c>
      <c r="M213" s="71">
        <f>COUNTIF($L$5:L213,Main3WData[[#This Row],[PT.Concat]])</f>
        <v>3</v>
      </c>
      <c r="N213" s="70">
        <f>MATCH(Main3WData[[#This Row],[PT.Concat]],$L$5:L213,0)</f>
        <v>207</v>
      </c>
      <c r="O213" s="62" t="b">
        <f>Main3WData[[#This Row],[Count PT.Concat]]=1</f>
        <v>0</v>
      </c>
      <c r="P213" s="62">
        <f t="array" ref="P213">MAX(($N$4:N212=Main3WData[[#This Row],[PT.ID]])*ROW($N$4:N212))</f>
        <v>212</v>
      </c>
      <c r="Q213" s="62" t="str">
        <f>IF(Main3WData[[#This Row],[PT.FirstID]],Main3WData[[#This Row],[Acronym]],INDEX($Q$4:Q212,Main3WData[[#This Row],[PT.LastID.Row]]-ROW($Q$4)+1) &amp; ", "&amp;Main3WData[[#This Row],[Acronym]])</f>
        <v>UNMEER, UNFPA, UNDP</v>
      </c>
      <c r="R213" s="62" t="b">
        <f t="array" ref="R213">MAX(IF(Main3WData[PT.ID]=Main3WData[[#This Row],[PT.ID]],Main3WData[PT.LastID.Row]))=Main3WData[[#This Row],[PT.LastID.Row]]</f>
        <v>0</v>
      </c>
    </row>
    <row r="214" spans="2:18" ht="16.5" customHeight="1" x14ac:dyDescent="0.2">
      <c r="B214" s="55" t="s">
        <v>512</v>
      </c>
      <c r="C214" s="27" t="str">
        <f>INDEX(Organizations[],MATCH(Main3WData[[#This Row],[Acronym]],AcronymList,0),1)</f>
        <v>World Health Organization</v>
      </c>
      <c r="D214" s="27" t="str">
        <f>INDEX(Organizations[],MATCH(Main3WData[[#This Row],[Acronym]],AcronymList,0),3)</f>
        <v>UN Agency</v>
      </c>
      <c r="E214" s="54" t="s">
        <v>360</v>
      </c>
      <c r="F214" s="53" t="s">
        <v>82</v>
      </c>
      <c r="G214" s="54" t="s">
        <v>398</v>
      </c>
      <c r="H214" s="28" t="str">
        <f>VLOOKUP(Main3WData[[#This Row],[Admin Unit Name]],AdminUnits[],2,FALSE)</f>
        <v>GIN005002</v>
      </c>
      <c r="I214" s="57">
        <v>0</v>
      </c>
      <c r="J214" s="67" t="str">
        <f>Main3WData[[#This Row],[Acronym]]&amp;Main3WData[[#This Row],[Sector]]&amp;Main3WData[[#This Row],[Activity Type]]&amp;Main3WData[[#This Row],[Pcode]]</f>
        <v>OMSCoordinationOngoingGIN005002</v>
      </c>
      <c r="K214" s="69">
        <f>COUNTIF(Main3WData[Concatenate],Main3WData[[#This Row],[Concatenate]])</f>
        <v>1</v>
      </c>
      <c r="L214" s="61" t="str">
        <f>Main3WData[[#This Row],[Sector]]&amp;Main3WData[[#This Row],[Pcode]]</f>
        <v>CoordinationGIN005002</v>
      </c>
      <c r="M214" s="71">
        <f>COUNTIF($L$5:L214,Main3WData[[#This Row],[PT.Concat]])</f>
        <v>4</v>
      </c>
      <c r="N214" s="70">
        <f>MATCH(Main3WData[[#This Row],[PT.Concat]],$L$5:L214,0)</f>
        <v>207</v>
      </c>
      <c r="O214" s="62" t="b">
        <f>Main3WData[[#This Row],[Count PT.Concat]]=1</f>
        <v>0</v>
      </c>
      <c r="P214" s="62">
        <f t="array" ref="P214">MAX(($N$4:N213=Main3WData[[#This Row],[PT.ID]])*ROW($N$4:N213))</f>
        <v>213</v>
      </c>
      <c r="Q214" s="62" t="str">
        <f>IF(Main3WData[[#This Row],[PT.FirstID]],Main3WData[[#This Row],[Acronym]],INDEX($Q$4:Q213,Main3WData[[#This Row],[PT.LastID.Row]]-ROW($Q$4)+1) &amp; ", "&amp;Main3WData[[#This Row],[Acronym]])</f>
        <v>UNMEER, UNFPA, UNDP, OMS</v>
      </c>
      <c r="R214" s="62" t="b">
        <f t="array" ref="R214">MAX(IF(Main3WData[PT.ID]=Main3WData[[#This Row],[PT.ID]],Main3WData[PT.LastID.Row]))=Main3WData[[#This Row],[PT.LastID.Row]]</f>
        <v>0</v>
      </c>
    </row>
    <row r="215" spans="2:18" ht="16.5" customHeight="1" x14ac:dyDescent="0.2">
      <c r="B215" s="55" t="s">
        <v>71</v>
      </c>
      <c r="C215" s="27" t="str">
        <f>INDEX(Organizations[],MATCH(Main3WData[[#This Row],[Acronym]],AcronymList,0),1)</f>
        <v>Medecins sans Frontieres</v>
      </c>
      <c r="D215" s="27" t="str">
        <f>INDEX(Organizations[],MATCH(Main3WData[[#This Row],[Acronym]],AcronymList,0),3)</f>
        <v>International NGO</v>
      </c>
      <c r="E215" s="54" t="s">
        <v>360</v>
      </c>
      <c r="F215" s="53" t="s">
        <v>82</v>
      </c>
      <c r="G215" s="54" t="s">
        <v>398</v>
      </c>
      <c r="H215" s="28" t="str">
        <f>VLOOKUP(Main3WData[[#This Row],[Admin Unit Name]],AdminUnits[],2,FALSE)</f>
        <v>GIN005002</v>
      </c>
      <c r="I215" s="57">
        <v>0</v>
      </c>
      <c r="J215" s="67" t="str">
        <f>Main3WData[[#This Row],[Acronym]]&amp;Main3WData[[#This Row],[Sector]]&amp;Main3WData[[#This Row],[Activity Type]]&amp;Main3WData[[#This Row],[Pcode]]</f>
        <v>MSFCoordinationOngoingGIN005002</v>
      </c>
      <c r="K215" s="69">
        <f>COUNTIF(Main3WData[Concatenate],Main3WData[[#This Row],[Concatenate]])</f>
        <v>1</v>
      </c>
      <c r="L215" s="61" t="str">
        <f>Main3WData[[#This Row],[Sector]]&amp;Main3WData[[#This Row],[Pcode]]</f>
        <v>CoordinationGIN005002</v>
      </c>
      <c r="M215" s="71">
        <f>COUNTIF($L$5:L215,Main3WData[[#This Row],[PT.Concat]])</f>
        <v>5</v>
      </c>
      <c r="N215" s="70">
        <f>MATCH(Main3WData[[#This Row],[PT.Concat]],$L$5:L215,0)</f>
        <v>207</v>
      </c>
      <c r="O215" s="62" t="b">
        <f>Main3WData[[#This Row],[Count PT.Concat]]=1</f>
        <v>0</v>
      </c>
      <c r="P215" s="62">
        <f t="array" ref="P215">MAX(($N$4:N214=Main3WData[[#This Row],[PT.ID]])*ROW($N$4:N214))</f>
        <v>214</v>
      </c>
      <c r="Q215" s="62" t="str">
        <f>IF(Main3WData[[#This Row],[PT.FirstID]],Main3WData[[#This Row],[Acronym]],INDEX($Q$4:Q214,Main3WData[[#This Row],[PT.LastID.Row]]-ROW($Q$4)+1) &amp; ", "&amp;Main3WData[[#This Row],[Acronym]])</f>
        <v>UNMEER, UNFPA, UNDP, OMS, MSF</v>
      </c>
      <c r="R215" s="62" t="b">
        <f t="array" ref="R215">MAX(IF(Main3WData[PT.ID]=Main3WData[[#This Row],[PT.ID]],Main3WData[PT.LastID.Row]))=Main3WData[[#This Row],[PT.LastID.Row]]</f>
        <v>0</v>
      </c>
    </row>
    <row r="216" spans="2:18" ht="16.5" customHeight="1" x14ac:dyDescent="0.2">
      <c r="B216" s="55" t="s">
        <v>507</v>
      </c>
      <c r="C216" s="27" t="str">
        <f>INDEX(Organizations[],MATCH(Main3WData[[#This Row],[Acronym]],AcronymList,0),1)</f>
        <v>eHealth Africa</v>
      </c>
      <c r="D216" s="27" t="str">
        <f>INDEX(Organizations[],MATCH(Main3WData[[#This Row],[Acronym]],AcronymList,0),3)</f>
        <v>International Organization</v>
      </c>
      <c r="E216" s="54" t="s">
        <v>360</v>
      </c>
      <c r="F216" s="53" t="s">
        <v>82</v>
      </c>
      <c r="G216" s="54" t="s">
        <v>398</v>
      </c>
      <c r="H216" s="28" t="str">
        <f>VLOOKUP(Main3WData[[#This Row],[Admin Unit Name]],AdminUnits[],2,FALSE)</f>
        <v>GIN005002</v>
      </c>
      <c r="I216" s="57">
        <v>0</v>
      </c>
      <c r="J216" s="67" t="str">
        <f>Main3WData[[#This Row],[Acronym]]&amp;Main3WData[[#This Row],[Sector]]&amp;Main3WData[[#This Row],[Activity Type]]&amp;Main3WData[[#This Row],[Pcode]]</f>
        <v>eHealth AfricaCoordinationOngoingGIN005002</v>
      </c>
      <c r="K216" s="69">
        <f>COUNTIF(Main3WData[Concatenate],Main3WData[[#This Row],[Concatenate]])</f>
        <v>1</v>
      </c>
      <c r="L216" s="61" t="str">
        <f>Main3WData[[#This Row],[Sector]]&amp;Main3WData[[#This Row],[Pcode]]</f>
        <v>CoordinationGIN005002</v>
      </c>
      <c r="M216" s="71">
        <f>COUNTIF($L$5:L216,Main3WData[[#This Row],[PT.Concat]])</f>
        <v>6</v>
      </c>
      <c r="N216" s="70">
        <f>MATCH(Main3WData[[#This Row],[PT.Concat]],$L$5:L216,0)</f>
        <v>207</v>
      </c>
      <c r="O216" s="62" t="b">
        <f>Main3WData[[#This Row],[Count PT.Concat]]=1</f>
        <v>0</v>
      </c>
      <c r="P216" s="62">
        <f t="array" ref="P216">MAX(($N$4:N215=Main3WData[[#This Row],[PT.ID]])*ROW($N$4:N215))</f>
        <v>215</v>
      </c>
      <c r="Q216" s="62" t="str">
        <f>IF(Main3WData[[#This Row],[PT.FirstID]],Main3WData[[#This Row],[Acronym]],INDEX($Q$4:Q215,Main3WData[[#This Row],[PT.LastID.Row]]-ROW($Q$4)+1) &amp; ", "&amp;Main3WData[[#This Row],[Acronym]])</f>
        <v>UNMEER, UNFPA, UNDP, OMS, MSF, eHealth Africa</v>
      </c>
      <c r="R216" s="62" t="b">
        <f t="array" ref="R216">MAX(IF(Main3WData[PT.ID]=Main3WData[[#This Row],[PT.ID]],Main3WData[PT.LastID.Row]))=Main3WData[[#This Row],[PT.LastID.Row]]</f>
        <v>1</v>
      </c>
    </row>
    <row r="217" spans="2:18" ht="16.5" customHeight="1" x14ac:dyDescent="0.2">
      <c r="B217" s="55" t="s">
        <v>473</v>
      </c>
      <c r="C217" s="27" t="str">
        <f>INDEX(Organizations[],MATCH(Main3WData[[#This Row],[Acronym]],AcronymList,0),1)</f>
        <v>United Nations Development Programme</v>
      </c>
      <c r="D217" s="27" t="str">
        <f>INDEX(Organizations[],MATCH(Main3WData[[#This Row],[Acronym]],AcronymList,0),3)</f>
        <v>UN Agency</v>
      </c>
      <c r="E217" s="54" t="s">
        <v>359</v>
      </c>
      <c r="F217" s="53" t="s">
        <v>82</v>
      </c>
      <c r="G217" s="54" t="s">
        <v>398</v>
      </c>
      <c r="H217" s="28" t="str">
        <f>VLOOKUP(Main3WData[[#This Row],[Admin Unit Name]],AdminUnits[],2,FALSE)</f>
        <v>GIN005002</v>
      </c>
      <c r="I217" s="57">
        <v>0</v>
      </c>
      <c r="J217" s="67" t="str">
        <f>Main3WData[[#This Row],[Acronym]]&amp;Main3WData[[#This Row],[Sector]]&amp;Main3WData[[#This Row],[Activity Type]]&amp;Main3WData[[#This Row],[Pcode]]</f>
        <v>UNDPFinanceOngoingGIN005002</v>
      </c>
      <c r="K217" s="69">
        <f>COUNTIF(Main3WData[Concatenate],Main3WData[[#This Row],[Concatenate]])</f>
        <v>1</v>
      </c>
      <c r="L217" s="61" t="str">
        <f>Main3WData[[#This Row],[Sector]]&amp;Main3WData[[#This Row],[Pcode]]</f>
        <v>FinanceGIN005002</v>
      </c>
      <c r="M217" s="71">
        <f>COUNTIF($L$5:L217,Main3WData[[#This Row],[PT.Concat]])</f>
        <v>1</v>
      </c>
      <c r="N217" s="70">
        <f>MATCH(Main3WData[[#This Row],[PT.Concat]],$L$5:L217,0)</f>
        <v>213</v>
      </c>
      <c r="O217" s="62" t="b">
        <f>Main3WData[[#This Row],[Count PT.Concat]]=1</f>
        <v>1</v>
      </c>
      <c r="P217" s="62">
        <f t="array" ref="P217">MAX(($N$4:N216=Main3WData[[#This Row],[PT.ID]])*ROW($N$4:N216))</f>
        <v>0</v>
      </c>
      <c r="Q217" s="62" t="str">
        <f>IF(Main3WData[[#This Row],[PT.FirstID]],Main3WData[[#This Row],[Acronym]],INDEX($Q$4:Q216,Main3WData[[#This Row],[PT.LastID.Row]]-ROW($Q$4)+1) &amp; ", "&amp;Main3WData[[#This Row],[Acronym]])</f>
        <v>UNDP</v>
      </c>
      <c r="R217" s="62" t="b">
        <f t="array" ref="R217">MAX(IF(Main3WData[PT.ID]=Main3WData[[#This Row],[PT.ID]],Main3WData[PT.LastID.Row]))=Main3WData[[#This Row],[PT.LastID.Row]]</f>
        <v>1</v>
      </c>
    </row>
    <row r="218" spans="2:18" ht="16.5" customHeight="1" x14ac:dyDescent="0.2">
      <c r="B218" s="55" t="s">
        <v>451</v>
      </c>
      <c r="C218" s="27" t="str">
        <f>INDEX(Organizations[],MATCH(Main3WData[[#This Row],[Acronym]],AcronymList,0),1)</f>
        <v>Croix-Rouge Guinée</v>
      </c>
      <c r="D218" s="27" t="str">
        <f>INDEX(Organizations[],MATCH(Main3WData[[#This Row],[Acronym]],AcronymList,0),3)</f>
        <v>Red Cross Movement</v>
      </c>
      <c r="E218" s="54" t="s">
        <v>354</v>
      </c>
      <c r="F218" s="53" t="s">
        <v>82</v>
      </c>
      <c r="G218" s="54" t="s">
        <v>398</v>
      </c>
      <c r="H218" s="28" t="str">
        <f>VLOOKUP(Main3WData[[#This Row],[Admin Unit Name]],AdminUnits[],2,FALSE)</f>
        <v>GIN005002</v>
      </c>
      <c r="I218" s="57">
        <v>0</v>
      </c>
      <c r="J218" s="67" t="str">
        <f>Main3WData[[#This Row],[Acronym]]&amp;Main3WData[[#This Row],[Sector]]&amp;Main3WData[[#This Row],[Activity Type]]&amp;Main3WData[[#This Row],[Pcode]]</f>
        <v>CRGGestion des corps et desinfectionOngoingGIN005002</v>
      </c>
      <c r="K218" s="69">
        <f>COUNTIF(Main3WData[Concatenate],Main3WData[[#This Row],[Concatenate]])</f>
        <v>1</v>
      </c>
      <c r="L218" s="61" t="str">
        <f>Main3WData[[#This Row],[Sector]]&amp;Main3WData[[#This Row],[Pcode]]</f>
        <v>Gestion des corps et desinfectionGIN005002</v>
      </c>
      <c r="M218" s="71">
        <f>COUNTIF($L$5:L218,Main3WData[[#This Row],[PT.Concat]])</f>
        <v>1</v>
      </c>
      <c r="N218" s="70">
        <f>MATCH(Main3WData[[#This Row],[PT.Concat]],$L$5:L218,0)</f>
        <v>214</v>
      </c>
      <c r="O218" s="62" t="b">
        <f>Main3WData[[#This Row],[Count PT.Concat]]=1</f>
        <v>1</v>
      </c>
      <c r="P218" s="62">
        <f t="array" ref="P218">MAX(($N$4:N217=Main3WData[[#This Row],[PT.ID]])*ROW($N$4:N217))</f>
        <v>0</v>
      </c>
      <c r="Q218" s="62" t="str">
        <f>IF(Main3WData[[#This Row],[PT.FirstID]],Main3WData[[#This Row],[Acronym]],INDEX($Q$4:Q217,Main3WData[[#This Row],[PT.LastID.Row]]-ROW($Q$4)+1) &amp; ", "&amp;Main3WData[[#This Row],[Acronym]])</f>
        <v>CRG</v>
      </c>
      <c r="R218" s="62" t="b">
        <f t="array" ref="R218">MAX(IF(Main3WData[PT.ID]=Main3WData[[#This Row],[PT.ID]],Main3WData[PT.LastID.Row]))=Main3WData[[#This Row],[PT.LastID.Row]]</f>
        <v>1</v>
      </c>
    </row>
    <row r="219" spans="2:18" ht="16.5" customHeight="1" x14ac:dyDescent="0.2">
      <c r="B219" s="55" t="s">
        <v>516</v>
      </c>
      <c r="C219" s="27" t="str">
        <f>INDEX(Organizations[],MATCH(Main3WData[[#This Row],[Acronym]],AcronymList,0),1)</f>
        <v>UNITED NATION MISSION FOR EBOLA  EMERGENCY RESPONSE</v>
      </c>
      <c r="D219" s="27" t="str">
        <f>INDEX(Organizations[],MATCH(Main3WData[[#This Row],[Acronym]],AcronymList,0),3)</f>
        <v>UN Agency</v>
      </c>
      <c r="E219" s="54" t="s">
        <v>356</v>
      </c>
      <c r="F219" s="53" t="s">
        <v>82</v>
      </c>
      <c r="G219" s="54" t="s">
        <v>398</v>
      </c>
      <c r="H219" s="28" t="str">
        <f>VLOOKUP(Main3WData[[#This Row],[Admin Unit Name]],AdminUnits[],2,FALSE)</f>
        <v>GIN005002</v>
      </c>
      <c r="I219" s="57">
        <v>0</v>
      </c>
      <c r="J219" s="67" t="str">
        <f>Main3WData[[#This Row],[Acronym]]&amp;Main3WData[[#This Row],[Sector]]&amp;Main3WData[[#This Row],[Activity Type]]&amp;Main3WData[[#This Row],[Pcode]]</f>
        <v>UNMEERGestion des donnéesOngoingGIN005002</v>
      </c>
      <c r="K219" s="69">
        <f>COUNTIF(Main3WData[Concatenate],Main3WData[[#This Row],[Concatenate]])</f>
        <v>1</v>
      </c>
      <c r="L219" s="61" t="str">
        <f>Main3WData[[#This Row],[Sector]]&amp;Main3WData[[#This Row],[Pcode]]</f>
        <v>Gestion des donnéesGIN005002</v>
      </c>
      <c r="M219" s="71">
        <f>COUNTIF($L$5:L219,Main3WData[[#This Row],[PT.Concat]])</f>
        <v>1</v>
      </c>
      <c r="N219" s="70">
        <f>MATCH(Main3WData[[#This Row],[PT.Concat]],$L$5:L219,0)</f>
        <v>215</v>
      </c>
      <c r="O219" s="62" t="b">
        <f>Main3WData[[#This Row],[Count PT.Concat]]=1</f>
        <v>1</v>
      </c>
      <c r="P219" s="62">
        <f t="array" ref="P219">MAX(($N$4:N218=Main3WData[[#This Row],[PT.ID]])*ROW($N$4:N218))</f>
        <v>0</v>
      </c>
      <c r="Q219" s="62" t="str">
        <f>IF(Main3WData[[#This Row],[PT.FirstID]],Main3WData[[#This Row],[Acronym]],INDEX($Q$4:Q218,Main3WData[[#This Row],[PT.LastID.Row]]-ROW($Q$4)+1) &amp; ", "&amp;Main3WData[[#This Row],[Acronym]])</f>
        <v>UNMEER</v>
      </c>
      <c r="R219" s="62" t="b">
        <f t="array" ref="R219">MAX(IF(Main3WData[PT.ID]=Main3WData[[#This Row],[PT.ID]],Main3WData[PT.LastID.Row]))=Main3WData[[#This Row],[PT.LastID.Row]]</f>
        <v>0</v>
      </c>
    </row>
    <row r="220" spans="2:18" ht="16.5" customHeight="1" x14ac:dyDescent="0.2">
      <c r="B220" s="55" t="s">
        <v>72</v>
      </c>
      <c r="C220" s="27" t="str">
        <f>INDEX(Organizations[],MATCH(Main3WData[[#This Row],[Acronym]],AcronymList,0),1)</f>
        <v>PLAN</v>
      </c>
      <c r="D220" s="27" t="str">
        <f>INDEX(Organizations[],MATCH(Main3WData[[#This Row],[Acronym]],AcronymList,0),3)</f>
        <v>International Organization</v>
      </c>
      <c r="E220" s="54" t="s">
        <v>356</v>
      </c>
      <c r="F220" s="53" t="s">
        <v>82</v>
      </c>
      <c r="G220" s="54" t="s">
        <v>398</v>
      </c>
      <c r="H220" s="28" t="str">
        <f>VLOOKUP(Main3WData[[#This Row],[Admin Unit Name]],AdminUnits[],2,FALSE)</f>
        <v>GIN005002</v>
      </c>
      <c r="I220" s="57">
        <v>0</v>
      </c>
      <c r="J220" s="67" t="str">
        <f>Main3WData[[#This Row],[Acronym]]&amp;Main3WData[[#This Row],[Sector]]&amp;Main3WData[[#This Row],[Activity Type]]&amp;Main3WData[[#This Row],[Pcode]]</f>
        <v>PLANGestion des donnéesOngoingGIN005002</v>
      </c>
      <c r="K220" s="69">
        <f>COUNTIF(Main3WData[Concatenate],Main3WData[[#This Row],[Concatenate]])</f>
        <v>1</v>
      </c>
      <c r="L220" s="61" t="str">
        <f>Main3WData[[#This Row],[Sector]]&amp;Main3WData[[#This Row],[Pcode]]</f>
        <v>Gestion des donnéesGIN005002</v>
      </c>
      <c r="M220" s="71">
        <f>COUNTIF($L$5:L220,Main3WData[[#This Row],[PT.Concat]])</f>
        <v>2</v>
      </c>
      <c r="N220" s="70">
        <f>MATCH(Main3WData[[#This Row],[PT.Concat]],$L$5:L220,0)</f>
        <v>215</v>
      </c>
      <c r="O220" s="62" t="b">
        <f>Main3WData[[#This Row],[Count PT.Concat]]=1</f>
        <v>0</v>
      </c>
      <c r="P220" s="62">
        <f t="array" ref="P220">MAX(($N$4:N219=Main3WData[[#This Row],[PT.ID]])*ROW($N$4:N219))</f>
        <v>219</v>
      </c>
      <c r="Q220" s="62" t="str">
        <f>IF(Main3WData[[#This Row],[PT.FirstID]],Main3WData[[#This Row],[Acronym]],INDEX($Q$4:Q219,Main3WData[[#This Row],[PT.LastID.Row]]-ROW($Q$4)+1) &amp; ", "&amp;Main3WData[[#This Row],[Acronym]])</f>
        <v>UNMEER, PLAN</v>
      </c>
      <c r="R220" s="62" t="b">
        <f t="array" ref="R220">MAX(IF(Main3WData[PT.ID]=Main3WData[[#This Row],[PT.ID]],Main3WData[PT.LastID.Row]))=Main3WData[[#This Row],[PT.LastID.Row]]</f>
        <v>0</v>
      </c>
    </row>
    <row r="221" spans="2:18" ht="16.5" customHeight="1" x14ac:dyDescent="0.2">
      <c r="B221" s="55" t="s">
        <v>512</v>
      </c>
      <c r="C221" s="27" t="str">
        <f>INDEX(Organizations[],MATCH(Main3WData[[#This Row],[Acronym]],AcronymList,0),1)</f>
        <v>World Health Organization</v>
      </c>
      <c r="D221" s="27" t="str">
        <f>INDEX(Organizations[],MATCH(Main3WData[[#This Row],[Acronym]],AcronymList,0),3)</f>
        <v>UN Agency</v>
      </c>
      <c r="E221" s="54" t="s">
        <v>356</v>
      </c>
      <c r="F221" s="53" t="s">
        <v>82</v>
      </c>
      <c r="G221" s="54" t="s">
        <v>398</v>
      </c>
      <c r="H221" s="28" t="str">
        <f>VLOOKUP(Main3WData[[#This Row],[Admin Unit Name]],AdminUnits[],2,FALSE)</f>
        <v>GIN005002</v>
      </c>
      <c r="I221" s="57">
        <v>0</v>
      </c>
      <c r="J221" s="67" t="str">
        <f>Main3WData[[#This Row],[Acronym]]&amp;Main3WData[[#This Row],[Sector]]&amp;Main3WData[[#This Row],[Activity Type]]&amp;Main3WData[[#This Row],[Pcode]]</f>
        <v>OMSGestion des donnéesOngoingGIN005002</v>
      </c>
      <c r="K221" s="69">
        <f>COUNTIF(Main3WData[Concatenate],Main3WData[[#This Row],[Concatenate]])</f>
        <v>1</v>
      </c>
      <c r="L221" s="61" t="str">
        <f>Main3WData[[#This Row],[Sector]]&amp;Main3WData[[#This Row],[Pcode]]</f>
        <v>Gestion des donnéesGIN005002</v>
      </c>
      <c r="M221" s="71">
        <f>COUNTIF($L$5:L221,Main3WData[[#This Row],[PT.Concat]])</f>
        <v>3</v>
      </c>
      <c r="N221" s="70">
        <f>MATCH(Main3WData[[#This Row],[PT.Concat]],$L$5:L221,0)</f>
        <v>215</v>
      </c>
      <c r="O221" s="62" t="b">
        <f>Main3WData[[#This Row],[Count PT.Concat]]=1</f>
        <v>0</v>
      </c>
      <c r="P221" s="62">
        <f t="array" ref="P221">MAX(($N$4:N220=Main3WData[[#This Row],[PT.ID]])*ROW($N$4:N220))</f>
        <v>220</v>
      </c>
      <c r="Q221" s="62" t="str">
        <f>IF(Main3WData[[#This Row],[PT.FirstID]],Main3WData[[#This Row],[Acronym]],INDEX($Q$4:Q220,Main3WData[[#This Row],[PT.LastID.Row]]-ROW($Q$4)+1) &amp; ", "&amp;Main3WData[[#This Row],[Acronym]])</f>
        <v>UNMEER, PLAN, OMS</v>
      </c>
      <c r="R221" s="62" t="b">
        <f t="array" ref="R221">MAX(IF(Main3WData[PT.ID]=Main3WData[[#This Row],[PT.ID]],Main3WData[PT.LastID.Row]))=Main3WData[[#This Row],[PT.LastID.Row]]</f>
        <v>1</v>
      </c>
    </row>
    <row r="222" spans="2:18" ht="16.5" customHeight="1" x14ac:dyDescent="0.2">
      <c r="B222" s="55" t="s">
        <v>512</v>
      </c>
      <c r="C222" s="27" t="str">
        <f>INDEX(Organizations[],MATCH(Main3WData[[#This Row],[Acronym]],AcronymList,0),1)</f>
        <v>World Health Organization</v>
      </c>
      <c r="D222" s="27" t="str">
        <f>INDEX(Organizations[],MATCH(Main3WData[[#This Row],[Acronym]],AcronymList,0),3)</f>
        <v>UN Agency</v>
      </c>
      <c r="E222" s="54" t="s">
        <v>358</v>
      </c>
      <c r="F222" s="53" t="s">
        <v>82</v>
      </c>
      <c r="G222" s="54" t="s">
        <v>398</v>
      </c>
      <c r="H222" s="28" t="str">
        <f>VLOOKUP(Main3WData[[#This Row],[Admin Unit Name]],AdminUnits[],2,FALSE)</f>
        <v>GIN005002</v>
      </c>
      <c r="I222" s="57">
        <v>0</v>
      </c>
      <c r="J222" s="67" t="str">
        <f>Main3WData[[#This Row],[Acronym]]&amp;Main3WData[[#This Row],[Sector]]&amp;Main3WData[[#This Row],[Activity Type]]&amp;Main3WData[[#This Row],[Pcode]]</f>
        <v>OMSLogistiquesOngoingGIN005002</v>
      </c>
      <c r="K222" s="69">
        <f>COUNTIF(Main3WData[Concatenate],Main3WData[[#This Row],[Concatenate]])</f>
        <v>1</v>
      </c>
      <c r="L222" s="61" t="str">
        <f>Main3WData[[#This Row],[Sector]]&amp;Main3WData[[#This Row],[Pcode]]</f>
        <v>LogistiquesGIN005002</v>
      </c>
      <c r="M222" s="71">
        <f>COUNTIF($L$5:L222,Main3WData[[#This Row],[PT.Concat]])</f>
        <v>1</v>
      </c>
      <c r="N222" s="70">
        <f>MATCH(Main3WData[[#This Row],[PT.Concat]],$L$5:L222,0)</f>
        <v>218</v>
      </c>
      <c r="O222" s="62" t="b">
        <f>Main3WData[[#This Row],[Count PT.Concat]]=1</f>
        <v>1</v>
      </c>
      <c r="P222" s="62">
        <f t="array" ref="P222">MAX(($N$4:N221=Main3WData[[#This Row],[PT.ID]])*ROW($N$4:N221))</f>
        <v>0</v>
      </c>
      <c r="Q222" s="62" t="str">
        <f>IF(Main3WData[[#This Row],[PT.FirstID]],Main3WData[[#This Row],[Acronym]],INDEX($Q$4:Q221,Main3WData[[#This Row],[PT.LastID.Row]]-ROW($Q$4)+1) &amp; ", "&amp;Main3WData[[#This Row],[Acronym]])</f>
        <v>OMS</v>
      </c>
      <c r="R222" s="62" t="b">
        <f t="array" ref="R222">MAX(IF(Main3WData[PT.ID]=Main3WData[[#This Row],[PT.ID]],Main3WData[PT.LastID.Row]))=Main3WData[[#This Row],[PT.LastID.Row]]</f>
        <v>1</v>
      </c>
    </row>
    <row r="223" spans="2:18" ht="16.5" customHeight="1" x14ac:dyDescent="0.2">
      <c r="B223" s="55" t="s">
        <v>78</v>
      </c>
      <c r="C223" s="27" t="str">
        <f>INDEX(Organizations[],MATCH(Main3WData[[#This Row],[Acronym]],AcronymList,0),1)</f>
        <v>World Food Programme</v>
      </c>
      <c r="D223" s="27" t="str">
        <f>INDEX(Organizations[],MATCH(Main3WData[[#This Row],[Acronym]],AcronymList,0),3)</f>
        <v>UN Agency</v>
      </c>
      <c r="E223" s="54" t="s">
        <v>355</v>
      </c>
      <c r="F223" s="53" t="s">
        <v>82</v>
      </c>
      <c r="G223" s="54" t="s">
        <v>398</v>
      </c>
      <c r="H223" s="28" t="str">
        <f>VLOOKUP(Main3WData[[#This Row],[Admin Unit Name]],AdminUnits[],2,FALSE)</f>
        <v>GIN005002</v>
      </c>
      <c r="I223" s="57">
        <v>0</v>
      </c>
      <c r="J223" s="67" t="str">
        <f>Main3WData[[#This Row],[Acronym]]&amp;Main3WData[[#This Row],[Sector]]&amp;Main3WData[[#This Row],[Activity Type]]&amp;Main3WData[[#This Row],[Pcode]]</f>
        <v>WFPSoutien nutritionnel et socialOngoingGIN005002</v>
      </c>
      <c r="K223" s="69">
        <f>COUNTIF(Main3WData[Concatenate],Main3WData[[#This Row],[Concatenate]])</f>
        <v>1</v>
      </c>
      <c r="L223" s="61" t="str">
        <f>Main3WData[[#This Row],[Sector]]&amp;Main3WData[[#This Row],[Pcode]]</f>
        <v>Soutien nutritionnel et socialGIN005002</v>
      </c>
      <c r="M223" s="71">
        <f>COUNTIF($L$5:L223,Main3WData[[#This Row],[PT.Concat]])</f>
        <v>1</v>
      </c>
      <c r="N223" s="70">
        <f>MATCH(Main3WData[[#This Row],[PT.Concat]],$L$5:L223,0)</f>
        <v>219</v>
      </c>
      <c r="O223" s="62" t="b">
        <f>Main3WData[[#This Row],[Count PT.Concat]]=1</f>
        <v>1</v>
      </c>
      <c r="P223" s="62">
        <f t="array" ref="P223">MAX(($N$4:N222=Main3WData[[#This Row],[PT.ID]])*ROW($N$4:N222))</f>
        <v>0</v>
      </c>
      <c r="Q223" s="62" t="str">
        <f>IF(Main3WData[[#This Row],[PT.FirstID]],Main3WData[[#This Row],[Acronym]],INDEX($Q$4:Q222,Main3WData[[#This Row],[PT.LastID.Row]]-ROW($Q$4)+1) &amp; ", "&amp;Main3WData[[#This Row],[Acronym]])</f>
        <v>WFP</v>
      </c>
      <c r="R223" s="62" t="b">
        <f t="array" ref="R223">MAX(IF(Main3WData[PT.ID]=Main3WData[[#This Row],[PT.ID]],Main3WData[PT.LastID.Row]))=Main3WData[[#This Row],[PT.LastID.Row]]</f>
        <v>0</v>
      </c>
    </row>
    <row r="224" spans="2:18" ht="16.5" customHeight="1" x14ac:dyDescent="0.2">
      <c r="B224" s="55" t="s">
        <v>66</v>
      </c>
      <c r="C224" s="27" t="str">
        <f>INDEX(Organizations[],MATCH(Main3WData[[#This Row],[Acronym]],AcronymList,0),1)</f>
        <v>Catholic Relief Services</v>
      </c>
      <c r="D224" s="27" t="str">
        <f>INDEX(Organizations[],MATCH(Main3WData[[#This Row],[Acronym]],AcronymList,0),3)</f>
        <v>International NGO</v>
      </c>
      <c r="E224" s="54" t="s">
        <v>355</v>
      </c>
      <c r="F224" s="53" t="s">
        <v>82</v>
      </c>
      <c r="G224" s="54" t="s">
        <v>398</v>
      </c>
      <c r="H224" s="28" t="str">
        <f>VLOOKUP(Main3WData[[#This Row],[Admin Unit Name]],AdminUnits[],2,FALSE)</f>
        <v>GIN005002</v>
      </c>
      <c r="I224" s="57">
        <v>0</v>
      </c>
      <c r="J224" s="67" t="str">
        <f>Main3WData[[#This Row],[Acronym]]&amp;Main3WData[[#This Row],[Sector]]&amp;Main3WData[[#This Row],[Activity Type]]&amp;Main3WData[[#This Row],[Pcode]]</f>
        <v>CRSSoutien nutritionnel et socialOngoingGIN005002</v>
      </c>
      <c r="K224" s="69">
        <f>COUNTIF(Main3WData[Concatenate],Main3WData[[#This Row],[Concatenate]])</f>
        <v>1</v>
      </c>
      <c r="L224" s="61" t="str">
        <f>Main3WData[[#This Row],[Sector]]&amp;Main3WData[[#This Row],[Pcode]]</f>
        <v>Soutien nutritionnel et socialGIN005002</v>
      </c>
      <c r="M224" s="71">
        <f>COUNTIF($L$5:L224,Main3WData[[#This Row],[PT.Concat]])</f>
        <v>2</v>
      </c>
      <c r="N224" s="70">
        <f>MATCH(Main3WData[[#This Row],[PT.Concat]],$L$5:L224,0)</f>
        <v>219</v>
      </c>
      <c r="O224" s="62" t="b">
        <f>Main3WData[[#This Row],[Count PT.Concat]]=1</f>
        <v>0</v>
      </c>
      <c r="P224" s="62">
        <f t="array" ref="P224">MAX(($N$4:N223=Main3WData[[#This Row],[PT.ID]])*ROW($N$4:N223))</f>
        <v>223</v>
      </c>
      <c r="Q224" s="62" t="str">
        <f>IF(Main3WData[[#This Row],[PT.FirstID]],Main3WData[[#This Row],[Acronym]],INDEX($Q$4:Q223,Main3WData[[#This Row],[PT.LastID.Row]]-ROW($Q$4)+1) &amp; ", "&amp;Main3WData[[#This Row],[Acronym]])</f>
        <v>WFP, CRS</v>
      </c>
      <c r="R224" s="62" t="b">
        <f t="array" ref="R224">MAX(IF(Main3WData[PT.ID]=Main3WData[[#This Row],[PT.ID]],Main3WData[PT.LastID.Row]))=Main3WData[[#This Row],[PT.LastID.Row]]</f>
        <v>1</v>
      </c>
    </row>
    <row r="225" spans="2:18" ht="16.5" customHeight="1" x14ac:dyDescent="0.2">
      <c r="B225" s="55" t="s">
        <v>75</v>
      </c>
      <c r="C225" s="27" t="str">
        <f>INDEX(Organizations[],MATCH(Main3WData[[#This Row],[Acronym]],AcronymList,0),1)</f>
        <v>United Nations Population Fund</v>
      </c>
      <c r="D225" s="27" t="str">
        <f>INDEX(Organizations[],MATCH(Main3WData[[#This Row],[Acronym]],AcronymList,0),3)</f>
        <v>UN Agency</v>
      </c>
      <c r="E225" s="54" t="s">
        <v>351</v>
      </c>
      <c r="F225" s="53" t="s">
        <v>82</v>
      </c>
      <c r="G225" s="54" t="s">
        <v>398</v>
      </c>
      <c r="H225" s="28" t="str">
        <f>VLOOKUP(Main3WData[[#This Row],[Admin Unit Name]],AdminUnits[],2,FALSE)</f>
        <v>GIN005002</v>
      </c>
      <c r="I225" s="57">
        <v>0</v>
      </c>
      <c r="J225" s="67" t="str">
        <f>Main3WData[[#This Row],[Acronym]]&amp;Main3WData[[#This Row],[Sector]]&amp;Main3WData[[#This Row],[Activity Type]]&amp;Main3WData[[#This Row],[Pcode]]</f>
        <v>UNFPASurveillance &amp; suiviOngoingGIN005002</v>
      </c>
      <c r="K225" s="69">
        <f>COUNTIF(Main3WData[Concatenate],Main3WData[[#This Row],[Concatenate]])</f>
        <v>1</v>
      </c>
      <c r="L225" s="61" t="str">
        <f>Main3WData[[#This Row],[Sector]]&amp;Main3WData[[#This Row],[Pcode]]</f>
        <v>Surveillance &amp; suiviGIN005002</v>
      </c>
      <c r="M225" s="71">
        <f>COUNTIF($L$5:L225,Main3WData[[#This Row],[PT.Concat]])</f>
        <v>1</v>
      </c>
      <c r="N225" s="70">
        <f>MATCH(Main3WData[[#This Row],[PT.Concat]],$L$5:L225,0)</f>
        <v>221</v>
      </c>
      <c r="O225" s="62" t="b">
        <f>Main3WData[[#This Row],[Count PT.Concat]]=1</f>
        <v>1</v>
      </c>
      <c r="P225" s="62">
        <f t="array" ref="P225">MAX(($N$4:N224=Main3WData[[#This Row],[PT.ID]])*ROW($N$4:N224))</f>
        <v>0</v>
      </c>
      <c r="Q225" s="62" t="str">
        <f>IF(Main3WData[[#This Row],[PT.FirstID]],Main3WData[[#This Row],[Acronym]],INDEX($Q$4:Q224,Main3WData[[#This Row],[PT.LastID.Row]]-ROW($Q$4)+1) &amp; ", "&amp;Main3WData[[#This Row],[Acronym]])</f>
        <v>UNFPA</v>
      </c>
      <c r="R225" s="62" t="b">
        <f t="array" ref="R225">MAX(IF(Main3WData[PT.ID]=Main3WData[[#This Row],[PT.ID]],Main3WData[PT.LastID.Row]))=Main3WData[[#This Row],[PT.LastID.Row]]</f>
        <v>0</v>
      </c>
    </row>
    <row r="226" spans="2:18" ht="16.5" customHeight="1" x14ac:dyDescent="0.2">
      <c r="B226" s="55" t="s">
        <v>512</v>
      </c>
      <c r="C226" s="27" t="str">
        <f>INDEX(Organizations[],MATCH(Main3WData[[#This Row],[Acronym]],AcronymList,0),1)</f>
        <v>World Health Organization</v>
      </c>
      <c r="D226" s="27" t="str">
        <f>INDEX(Organizations[],MATCH(Main3WData[[#This Row],[Acronym]],AcronymList,0),3)</f>
        <v>UN Agency</v>
      </c>
      <c r="E226" s="54" t="s">
        <v>351</v>
      </c>
      <c r="F226" s="53" t="s">
        <v>82</v>
      </c>
      <c r="G226" s="54" t="s">
        <v>398</v>
      </c>
      <c r="H226" s="28" t="str">
        <f>VLOOKUP(Main3WData[[#This Row],[Admin Unit Name]],AdminUnits[],2,FALSE)</f>
        <v>GIN005002</v>
      </c>
      <c r="I226" s="57">
        <v>0</v>
      </c>
      <c r="J226" s="67" t="str">
        <f>Main3WData[[#This Row],[Acronym]]&amp;Main3WData[[#This Row],[Sector]]&amp;Main3WData[[#This Row],[Activity Type]]&amp;Main3WData[[#This Row],[Pcode]]</f>
        <v>OMSSurveillance &amp; suiviOngoingGIN005002</v>
      </c>
      <c r="K226" s="69">
        <f>COUNTIF(Main3WData[Concatenate],Main3WData[[#This Row],[Concatenate]])</f>
        <v>1</v>
      </c>
      <c r="L226" s="61" t="str">
        <f>Main3WData[[#This Row],[Sector]]&amp;Main3WData[[#This Row],[Pcode]]</f>
        <v>Surveillance &amp; suiviGIN005002</v>
      </c>
      <c r="M226" s="71">
        <f>COUNTIF($L$5:L226,Main3WData[[#This Row],[PT.Concat]])</f>
        <v>2</v>
      </c>
      <c r="N226" s="70">
        <f>MATCH(Main3WData[[#This Row],[PT.Concat]],$L$5:L226,0)</f>
        <v>221</v>
      </c>
      <c r="O226" s="62" t="b">
        <f>Main3WData[[#This Row],[Count PT.Concat]]=1</f>
        <v>0</v>
      </c>
      <c r="P226" s="62">
        <f t="array" ref="P226">MAX(($N$4:N225=Main3WData[[#This Row],[PT.ID]])*ROW($N$4:N225))</f>
        <v>225</v>
      </c>
      <c r="Q226" s="62" t="str">
        <f>IF(Main3WData[[#This Row],[PT.FirstID]],Main3WData[[#This Row],[Acronym]],INDEX($Q$4:Q225,Main3WData[[#This Row],[PT.LastID.Row]]-ROW($Q$4)+1) &amp; ", "&amp;Main3WData[[#This Row],[Acronym]])</f>
        <v>UNFPA, OMS</v>
      </c>
      <c r="R226" s="62" t="b">
        <f t="array" ref="R226">MAX(IF(Main3WData[PT.ID]=Main3WData[[#This Row],[PT.ID]],Main3WData[PT.LastID.Row]))=Main3WData[[#This Row],[PT.LastID.Row]]</f>
        <v>0</v>
      </c>
    </row>
    <row r="227" spans="2:18" ht="16.5" customHeight="1" x14ac:dyDescent="0.2">
      <c r="B227" s="55" t="s">
        <v>496</v>
      </c>
      <c r="C227" s="27" t="str">
        <f>INDEX(Organizations[],MATCH(Main3WData[[#This Row],[Acronym]],AcronymList,0),1)</f>
        <v>Columbia University</v>
      </c>
      <c r="D227" s="27" t="str">
        <f>INDEX(Organizations[],MATCH(Main3WData[[#This Row],[Acronym]],AcronymList,0),3)</f>
        <v>Education</v>
      </c>
      <c r="E227" s="54" t="s">
        <v>351</v>
      </c>
      <c r="F227" s="53" t="s">
        <v>82</v>
      </c>
      <c r="G227" s="54" t="s">
        <v>398</v>
      </c>
      <c r="H227" s="28" t="str">
        <f>VLOOKUP(Main3WData[[#This Row],[Admin Unit Name]],AdminUnits[],2,FALSE)</f>
        <v>GIN005002</v>
      </c>
      <c r="I227" s="57">
        <v>0</v>
      </c>
      <c r="J227" s="67" t="str">
        <f>Main3WData[[#This Row],[Acronym]]&amp;Main3WData[[#This Row],[Sector]]&amp;Main3WData[[#This Row],[Activity Type]]&amp;Main3WData[[#This Row],[Pcode]]</f>
        <v>Columbia UnivSurveillance &amp; suiviOngoingGIN005002</v>
      </c>
      <c r="K227" s="69">
        <f>COUNTIF(Main3WData[Concatenate],Main3WData[[#This Row],[Concatenate]])</f>
        <v>1</v>
      </c>
      <c r="L227" s="61" t="str">
        <f>Main3WData[[#This Row],[Sector]]&amp;Main3WData[[#This Row],[Pcode]]</f>
        <v>Surveillance &amp; suiviGIN005002</v>
      </c>
      <c r="M227" s="71">
        <f>COUNTIF($L$5:L227,Main3WData[[#This Row],[PT.Concat]])</f>
        <v>3</v>
      </c>
      <c r="N227" s="70">
        <f>MATCH(Main3WData[[#This Row],[PT.Concat]],$L$5:L227,0)</f>
        <v>221</v>
      </c>
      <c r="O227" s="62" t="b">
        <f>Main3WData[[#This Row],[Count PT.Concat]]=1</f>
        <v>0</v>
      </c>
      <c r="P227" s="62">
        <f t="array" ref="P227">MAX(($N$4:N226=Main3WData[[#This Row],[PT.ID]])*ROW($N$4:N226))</f>
        <v>226</v>
      </c>
      <c r="Q227" s="62" t="str">
        <f>IF(Main3WData[[#This Row],[PT.FirstID]],Main3WData[[#This Row],[Acronym]],INDEX($Q$4:Q226,Main3WData[[#This Row],[PT.LastID.Row]]-ROW($Q$4)+1) &amp; ", "&amp;Main3WData[[#This Row],[Acronym]])</f>
        <v>UNFPA, OMS, Columbia Univ</v>
      </c>
      <c r="R227" s="62" t="b">
        <f t="array" ref="R227">MAX(IF(Main3WData[PT.ID]=Main3WData[[#This Row],[PT.ID]],Main3WData[PT.LastID.Row]))=Main3WData[[#This Row],[PT.LastID.Row]]</f>
        <v>0</v>
      </c>
    </row>
    <row r="228" spans="2:18" ht="16.5" customHeight="1" x14ac:dyDescent="0.2">
      <c r="B228" s="55" t="s">
        <v>64</v>
      </c>
      <c r="C228" s="27" t="str">
        <f>INDEX(Organizations[],MATCH(Main3WData[[#This Row],[Acronym]],AcronymList,0),1)</f>
        <v>CDC</v>
      </c>
      <c r="D228" s="27" t="str">
        <f>INDEX(Organizations[],MATCH(Main3WData[[#This Row],[Acronym]],AcronymList,0),3)</f>
        <v>International NGO</v>
      </c>
      <c r="E228" s="54" t="s">
        <v>351</v>
      </c>
      <c r="F228" s="53" t="s">
        <v>82</v>
      </c>
      <c r="G228" s="54" t="s">
        <v>398</v>
      </c>
      <c r="H228" s="28" t="str">
        <f>VLOOKUP(Main3WData[[#This Row],[Admin Unit Name]],AdminUnits[],2,FALSE)</f>
        <v>GIN005002</v>
      </c>
      <c r="I228" s="57">
        <v>0</v>
      </c>
      <c r="J228" s="67" t="str">
        <f>Main3WData[[#This Row],[Acronym]]&amp;Main3WData[[#This Row],[Sector]]&amp;Main3WData[[#This Row],[Activity Type]]&amp;Main3WData[[#This Row],[Pcode]]</f>
        <v>CDCSurveillance &amp; suiviOngoingGIN005002</v>
      </c>
      <c r="K228" s="69">
        <f>COUNTIF(Main3WData[Concatenate],Main3WData[[#This Row],[Concatenate]])</f>
        <v>1</v>
      </c>
      <c r="L228" s="61" t="str">
        <f>Main3WData[[#This Row],[Sector]]&amp;Main3WData[[#This Row],[Pcode]]</f>
        <v>Surveillance &amp; suiviGIN005002</v>
      </c>
      <c r="M228" s="71">
        <f>COUNTIF($L$5:L228,Main3WData[[#This Row],[PT.Concat]])</f>
        <v>4</v>
      </c>
      <c r="N228" s="70">
        <f>MATCH(Main3WData[[#This Row],[PT.Concat]],$L$5:L228,0)</f>
        <v>221</v>
      </c>
      <c r="O228" s="62" t="b">
        <f>Main3WData[[#This Row],[Count PT.Concat]]=1</f>
        <v>0</v>
      </c>
      <c r="P228" s="62">
        <f t="array" ref="P228">MAX(($N$4:N227=Main3WData[[#This Row],[PT.ID]])*ROW($N$4:N227))</f>
        <v>227</v>
      </c>
      <c r="Q228" s="62" t="str">
        <f>IF(Main3WData[[#This Row],[PT.FirstID]],Main3WData[[#This Row],[Acronym]],INDEX($Q$4:Q227,Main3WData[[#This Row],[PT.LastID.Row]]-ROW($Q$4)+1) &amp; ", "&amp;Main3WData[[#This Row],[Acronym]])</f>
        <v>UNFPA, OMS, Columbia Univ, CDC</v>
      </c>
      <c r="R228" s="62" t="b">
        <f t="array" ref="R228">MAX(IF(Main3WData[PT.ID]=Main3WData[[#This Row],[PT.ID]],Main3WData[PT.LastID.Row]))=Main3WData[[#This Row],[PT.LastID.Row]]</f>
        <v>1</v>
      </c>
    </row>
    <row r="229" spans="2:18" ht="16.5" customHeight="1" x14ac:dyDescent="0.2">
      <c r="B229" s="55" t="s">
        <v>77</v>
      </c>
      <c r="C229" s="27" t="str">
        <f>INDEX(Organizations[],MATCH(Main3WData[[#This Row],[Acronym]],AcronymList,0),1)</f>
        <v>United Nations Children's Fund</v>
      </c>
      <c r="D229" s="27" t="str">
        <f>INDEX(Organizations[],MATCH(Main3WData[[#This Row],[Acronym]],AcronymList,0),3)</f>
        <v>UN Agency</v>
      </c>
      <c r="E229" s="54" t="s">
        <v>350</v>
      </c>
      <c r="F229" s="53" t="s">
        <v>82</v>
      </c>
      <c r="G229" s="54" t="s">
        <v>382</v>
      </c>
      <c r="H229" s="28" t="str">
        <f>VLOOKUP(Main3WData[[#This Row],[Admin Unit Name]],AdminUnits[],2,FALSE)</f>
        <v>GIN003003</v>
      </c>
      <c r="I229" s="57">
        <v>0</v>
      </c>
      <c r="J229" s="67" t="str">
        <f>Main3WData[[#This Row],[Acronym]]&amp;Main3WData[[#This Row],[Sector]]&amp;Main3WData[[#This Row],[Activity Type]]&amp;Main3WData[[#This Row],[Pcode]]</f>
        <v>UNICEFCommunication/Mobilisation socialeOngoingGIN003003</v>
      </c>
      <c r="K229" s="69">
        <f>COUNTIF(Main3WData[Concatenate],Main3WData[[#This Row],[Concatenate]])</f>
        <v>1</v>
      </c>
      <c r="L229" s="61" t="str">
        <f>Main3WData[[#This Row],[Sector]]&amp;Main3WData[[#This Row],[Pcode]]</f>
        <v>Communication/Mobilisation socialeGIN003003</v>
      </c>
      <c r="M229" s="71">
        <f>COUNTIF($L$5:L229,Main3WData[[#This Row],[PT.Concat]])</f>
        <v>1</v>
      </c>
      <c r="N229" s="70">
        <f>MATCH(Main3WData[[#This Row],[PT.Concat]],$L$5:L229,0)</f>
        <v>225</v>
      </c>
      <c r="O229" s="62" t="b">
        <f>Main3WData[[#This Row],[Count PT.Concat]]=1</f>
        <v>1</v>
      </c>
      <c r="P229" s="62">
        <f t="array" ref="P229">MAX(($N$4:N228=Main3WData[[#This Row],[PT.ID]])*ROW($N$4:N228))</f>
        <v>0</v>
      </c>
      <c r="Q229" s="62" t="str">
        <f>IF(Main3WData[[#This Row],[PT.FirstID]],Main3WData[[#This Row],[Acronym]],INDEX($Q$4:Q228,Main3WData[[#This Row],[PT.LastID.Row]]-ROW($Q$4)+1) &amp; ", "&amp;Main3WData[[#This Row],[Acronym]])</f>
        <v>UNICEF</v>
      </c>
      <c r="R229" s="62" t="b">
        <f t="array" ref="R229">MAX(IF(Main3WData[PT.ID]=Main3WData[[#This Row],[PT.ID]],Main3WData[PT.LastID.Row]))=Main3WData[[#This Row],[PT.LastID.Row]]</f>
        <v>0</v>
      </c>
    </row>
    <row r="230" spans="2:18" ht="16.5" customHeight="1" x14ac:dyDescent="0.2">
      <c r="B230" s="55" t="s">
        <v>75</v>
      </c>
      <c r="C230" s="27" t="str">
        <f>INDEX(Organizations[],MATCH(Main3WData[[#This Row],[Acronym]],AcronymList,0),1)</f>
        <v>United Nations Population Fund</v>
      </c>
      <c r="D230" s="27" t="str">
        <f>INDEX(Organizations[],MATCH(Main3WData[[#This Row],[Acronym]],AcronymList,0),3)</f>
        <v>UN Agency</v>
      </c>
      <c r="E230" s="54" t="s">
        <v>350</v>
      </c>
      <c r="F230" s="53" t="s">
        <v>82</v>
      </c>
      <c r="G230" s="54" t="s">
        <v>382</v>
      </c>
      <c r="H230" s="28" t="str">
        <f>VLOOKUP(Main3WData[[#This Row],[Admin Unit Name]],AdminUnits[],2,FALSE)</f>
        <v>GIN003003</v>
      </c>
      <c r="I230" s="57">
        <v>0</v>
      </c>
      <c r="J230" s="67" t="str">
        <f>Main3WData[[#This Row],[Acronym]]&amp;Main3WData[[#This Row],[Sector]]&amp;Main3WData[[#This Row],[Activity Type]]&amp;Main3WData[[#This Row],[Pcode]]</f>
        <v>UNFPACommunication/Mobilisation socialeOngoingGIN003003</v>
      </c>
      <c r="K230" s="69">
        <f>COUNTIF(Main3WData[Concatenate],Main3WData[[#This Row],[Concatenate]])</f>
        <v>1</v>
      </c>
      <c r="L230" s="61" t="str">
        <f>Main3WData[[#This Row],[Sector]]&amp;Main3WData[[#This Row],[Pcode]]</f>
        <v>Communication/Mobilisation socialeGIN003003</v>
      </c>
      <c r="M230" s="71">
        <f>COUNTIF($L$5:L230,Main3WData[[#This Row],[PT.Concat]])</f>
        <v>2</v>
      </c>
      <c r="N230" s="70">
        <f>MATCH(Main3WData[[#This Row],[PT.Concat]],$L$5:L230,0)</f>
        <v>225</v>
      </c>
      <c r="O230" s="62" t="b">
        <f>Main3WData[[#This Row],[Count PT.Concat]]=1</f>
        <v>0</v>
      </c>
      <c r="P230" s="62">
        <f t="array" ref="P230">MAX(($N$4:N229=Main3WData[[#This Row],[PT.ID]])*ROW($N$4:N229))</f>
        <v>229</v>
      </c>
      <c r="Q230" s="62" t="str">
        <f>IF(Main3WData[[#This Row],[PT.FirstID]],Main3WData[[#This Row],[Acronym]],INDEX($Q$4:Q229,Main3WData[[#This Row],[PT.LastID.Row]]-ROW($Q$4)+1) &amp; ", "&amp;Main3WData[[#This Row],[Acronym]])</f>
        <v>UNICEF, UNFPA</v>
      </c>
      <c r="R230" s="62" t="b">
        <f t="array" ref="R230">MAX(IF(Main3WData[PT.ID]=Main3WData[[#This Row],[PT.ID]],Main3WData[PT.LastID.Row]))=Main3WData[[#This Row],[PT.LastID.Row]]</f>
        <v>0</v>
      </c>
    </row>
    <row r="231" spans="2:18" ht="16.5" customHeight="1" x14ac:dyDescent="0.2">
      <c r="B231" s="55" t="s">
        <v>72</v>
      </c>
      <c r="C231" s="27" t="str">
        <f>INDEX(Organizations[],MATCH(Main3WData[[#This Row],[Acronym]],AcronymList,0),1)</f>
        <v>PLAN</v>
      </c>
      <c r="D231" s="27" t="str">
        <f>INDEX(Organizations[],MATCH(Main3WData[[#This Row],[Acronym]],AcronymList,0),3)</f>
        <v>International Organization</v>
      </c>
      <c r="E231" s="54" t="s">
        <v>350</v>
      </c>
      <c r="F231" s="53" t="s">
        <v>82</v>
      </c>
      <c r="G231" s="54" t="s">
        <v>382</v>
      </c>
      <c r="H231" s="28" t="str">
        <f>VLOOKUP(Main3WData[[#This Row],[Admin Unit Name]],AdminUnits[],2,FALSE)</f>
        <v>GIN003003</v>
      </c>
      <c r="I231" s="57">
        <v>0</v>
      </c>
      <c r="J231" s="67" t="str">
        <f>Main3WData[[#This Row],[Acronym]]&amp;Main3WData[[#This Row],[Sector]]&amp;Main3WData[[#This Row],[Activity Type]]&amp;Main3WData[[#This Row],[Pcode]]</f>
        <v>PLANCommunication/Mobilisation socialeOngoingGIN003003</v>
      </c>
      <c r="K231" s="69">
        <f>COUNTIF(Main3WData[Concatenate],Main3WData[[#This Row],[Concatenate]])</f>
        <v>1</v>
      </c>
      <c r="L231" s="61" t="str">
        <f>Main3WData[[#This Row],[Sector]]&amp;Main3WData[[#This Row],[Pcode]]</f>
        <v>Communication/Mobilisation socialeGIN003003</v>
      </c>
      <c r="M231" s="71">
        <f>COUNTIF($L$5:L231,Main3WData[[#This Row],[PT.Concat]])</f>
        <v>3</v>
      </c>
      <c r="N231" s="70">
        <f>MATCH(Main3WData[[#This Row],[PT.Concat]],$L$5:L231,0)</f>
        <v>225</v>
      </c>
      <c r="O231" s="62" t="b">
        <f>Main3WData[[#This Row],[Count PT.Concat]]=1</f>
        <v>0</v>
      </c>
      <c r="P231" s="62">
        <f t="array" ref="P231">MAX(($N$4:N230=Main3WData[[#This Row],[PT.ID]])*ROW($N$4:N230))</f>
        <v>230</v>
      </c>
      <c r="Q231" s="62" t="str">
        <f>IF(Main3WData[[#This Row],[PT.FirstID]],Main3WData[[#This Row],[Acronym]],INDEX($Q$4:Q230,Main3WData[[#This Row],[PT.LastID.Row]]-ROW($Q$4)+1) &amp; ", "&amp;Main3WData[[#This Row],[Acronym]])</f>
        <v>UNICEF, UNFPA, PLAN</v>
      </c>
      <c r="R231" s="62" t="b">
        <f t="array" ref="R231">MAX(IF(Main3WData[PT.ID]=Main3WData[[#This Row],[PT.ID]],Main3WData[PT.LastID.Row]))=Main3WData[[#This Row],[PT.LastID.Row]]</f>
        <v>0</v>
      </c>
    </row>
    <row r="232" spans="2:18" ht="16.5" customHeight="1" x14ac:dyDescent="0.2">
      <c r="B232" s="55" t="s">
        <v>512</v>
      </c>
      <c r="C232" s="27" t="str">
        <f>INDEX(Organizations[],MATCH(Main3WData[[#This Row],[Acronym]],AcronymList,0),1)</f>
        <v>World Health Organization</v>
      </c>
      <c r="D232" s="27" t="str">
        <f>INDEX(Organizations[],MATCH(Main3WData[[#This Row],[Acronym]],AcronymList,0),3)</f>
        <v>UN Agency</v>
      </c>
      <c r="E232" s="54" t="s">
        <v>350</v>
      </c>
      <c r="F232" s="53" t="s">
        <v>82</v>
      </c>
      <c r="G232" s="54" t="s">
        <v>382</v>
      </c>
      <c r="H232" s="28" t="str">
        <f>VLOOKUP(Main3WData[[#This Row],[Admin Unit Name]],AdminUnits[],2,FALSE)</f>
        <v>GIN003003</v>
      </c>
      <c r="I232" s="57">
        <v>0</v>
      </c>
      <c r="J232" s="67" t="str">
        <f>Main3WData[[#This Row],[Acronym]]&amp;Main3WData[[#This Row],[Sector]]&amp;Main3WData[[#This Row],[Activity Type]]&amp;Main3WData[[#This Row],[Pcode]]</f>
        <v>OMSCommunication/Mobilisation socialeOngoingGIN003003</v>
      </c>
      <c r="K232" s="69">
        <f>COUNTIF(Main3WData[Concatenate],Main3WData[[#This Row],[Concatenate]])</f>
        <v>1</v>
      </c>
      <c r="L232" s="61" t="str">
        <f>Main3WData[[#This Row],[Sector]]&amp;Main3WData[[#This Row],[Pcode]]</f>
        <v>Communication/Mobilisation socialeGIN003003</v>
      </c>
      <c r="M232" s="71">
        <f>COUNTIF($L$5:L232,Main3WData[[#This Row],[PT.Concat]])</f>
        <v>4</v>
      </c>
      <c r="N232" s="70">
        <f>MATCH(Main3WData[[#This Row],[PT.Concat]],$L$5:L232,0)</f>
        <v>225</v>
      </c>
      <c r="O232" s="62" t="b">
        <f>Main3WData[[#This Row],[Count PT.Concat]]=1</f>
        <v>0</v>
      </c>
      <c r="P232" s="62">
        <f t="array" ref="P232">MAX(($N$4:N231=Main3WData[[#This Row],[PT.ID]])*ROW($N$4:N231))</f>
        <v>231</v>
      </c>
      <c r="Q232" s="62" t="str">
        <f>IF(Main3WData[[#This Row],[PT.FirstID]],Main3WData[[#This Row],[Acronym]],INDEX($Q$4:Q231,Main3WData[[#This Row],[PT.LastID.Row]]-ROW($Q$4)+1) &amp; ", "&amp;Main3WData[[#This Row],[Acronym]])</f>
        <v>UNICEF, UNFPA, PLAN, OMS</v>
      </c>
      <c r="R232" s="62" t="b">
        <f t="array" ref="R232">MAX(IF(Main3WData[PT.ID]=Main3WData[[#This Row],[PT.ID]],Main3WData[PT.LastID.Row]))=Main3WData[[#This Row],[PT.LastID.Row]]</f>
        <v>0</v>
      </c>
    </row>
    <row r="233" spans="2:18" ht="16.5" customHeight="1" x14ac:dyDescent="0.2">
      <c r="B233" s="55" t="s">
        <v>499</v>
      </c>
      <c r="C233" s="27" t="str">
        <f>INDEX(Organizations[],MATCH(Main3WData[[#This Row],[Acronym]],AcronymList,0),1)</f>
        <v>Croix-Rouge Guinée/Fédération internationale de la Croix-Rouge</v>
      </c>
      <c r="D233" s="27" t="str">
        <f>INDEX(Organizations[],MATCH(Main3WData[[#This Row],[Acronym]],AcronymList,0),3)</f>
        <v>International Organization</v>
      </c>
      <c r="E233" s="54" t="s">
        <v>350</v>
      </c>
      <c r="F233" s="53" t="s">
        <v>82</v>
      </c>
      <c r="G233" s="54" t="s">
        <v>382</v>
      </c>
      <c r="H233" s="28" t="str">
        <f>VLOOKUP(Main3WData[[#This Row],[Admin Unit Name]],AdminUnits[],2,FALSE)</f>
        <v>GIN003003</v>
      </c>
      <c r="I233" s="57">
        <v>0</v>
      </c>
      <c r="J233" s="67" t="str">
        <f>Main3WData[[#This Row],[Acronym]]&amp;Main3WData[[#This Row],[Sector]]&amp;Main3WData[[#This Row],[Activity Type]]&amp;Main3WData[[#This Row],[Pcode]]</f>
        <v>CRG/FICRCommunication/Mobilisation socialeOngoingGIN003003</v>
      </c>
      <c r="K233" s="69">
        <f>COUNTIF(Main3WData[Concatenate],Main3WData[[#This Row],[Concatenate]])</f>
        <v>1</v>
      </c>
      <c r="L233" s="61" t="str">
        <f>Main3WData[[#This Row],[Sector]]&amp;Main3WData[[#This Row],[Pcode]]</f>
        <v>Communication/Mobilisation socialeGIN003003</v>
      </c>
      <c r="M233" s="71">
        <f>COUNTIF($L$5:L233,Main3WData[[#This Row],[PT.Concat]])</f>
        <v>5</v>
      </c>
      <c r="N233" s="70">
        <f>MATCH(Main3WData[[#This Row],[PT.Concat]],$L$5:L233,0)</f>
        <v>225</v>
      </c>
      <c r="O233" s="62" t="b">
        <f>Main3WData[[#This Row],[Count PT.Concat]]=1</f>
        <v>0</v>
      </c>
      <c r="P233" s="62">
        <f t="array" ref="P233">MAX(($N$4:N232=Main3WData[[#This Row],[PT.ID]])*ROW($N$4:N232))</f>
        <v>232</v>
      </c>
      <c r="Q233" s="62" t="str">
        <f>IF(Main3WData[[#This Row],[PT.FirstID]],Main3WData[[#This Row],[Acronym]],INDEX($Q$4:Q232,Main3WData[[#This Row],[PT.LastID.Row]]-ROW($Q$4)+1) &amp; ", "&amp;Main3WData[[#This Row],[Acronym]])</f>
        <v>UNICEF, UNFPA, PLAN, OMS, CRG/FICR</v>
      </c>
      <c r="R233" s="62" t="b">
        <f t="array" ref="R233">MAX(IF(Main3WData[PT.ID]=Main3WData[[#This Row],[PT.ID]],Main3WData[PT.LastID.Row]))=Main3WData[[#This Row],[PT.LastID.Row]]</f>
        <v>1</v>
      </c>
    </row>
    <row r="234" spans="2:18" ht="16.5" customHeight="1" x14ac:dyDescent="0.2">
      <c r="B234" s="55" t="s">
        <v>516</v>
      </c>
      <c r="C234" s="27" t="str">
        <f>INDEX(Organizations[],MATCH(Main3WData[[#This Row],[Acronym]],AcronymList,0),1)</f>
        <v>UNITED NATION MISSION FOR EBOLA  EMERGENCY RESPONSE</v>
      </c>
      <c r="D234" s="27" t="str">
        <f>INDEX(Organizations[],MATCH(Main3WData[[#This Row],[Acronym]],AcronymList,0),3)</f>
        <v>UN Agency</v>
      </c>
      <c r="E234" s="54" t="s">
        <v>360</v>
      </c>
      <c r="F234" s="53" t="s">
        <v>82</v>
      </c>
      <c r="G234" s="54" t="s">
        <v>382</v>
      </c>
      <c r="H234" s="28" t="str">
        <f>VLOOKUP(Main3WData[[#This Row],[Admin Unit Name]],AdminUnits[],2,FALSE)</f>
        <v>GIN003003</v>
      </c>
      <c r="I234" s="57">
        <v>0</v>
      </c>
      <c r="J234" s="67" t="str">
        <f>Main3WData[[#This Row],[Acronym]]&amp;Main3WData[[#This Row],[Sector]]&amp;Main3WData[[#This Row],[Activity Type]]&amp;Main3WData[[#This Row],[Pcode]]</f>
        <v>UNMEERCoordinationOngoingGIN003003</v>
      </c>
      <c r="K234" s="69">
        <f>COUNTIF(Main3WData[Concatenate],Main3WData[[#This Row],[Concatenate]])</f>
        <v>1</v>
      </c>
      <c r="L234" s="61" t="str">
        <f>Main3WData[[#This Row],[Sector]]&amp;Main3WData[[#This Row],[Pcode]]</f>
        <v>CoordinationGIN003003</v>
      </c>
      <c r="M234" s="71">
        <f>COUNTIF($L$5:L234,Main3WData[[#This Row],[PT.Concat]])</f>
        <v>1</v>
      </c>
      <c r="N234" s="70">
        <f>MATCH(Main3WData[[#This Row],[PT.Concat]],$L$5:L234,0)</f>
        <v>230</v>
      </c>
      <c r="O234" s="62" t="b">
        <f>Main3WData[[#This Row],[Count PT.Concat]]=1</f>
        <v>1</v>
      </c>
      <c r="P234" s="62">
        <f t="array" ref="P234">MAX(($N$4:N233=Main3WData[[#This Row],[PT.ID]])*ROW($N$4:N233))</f>
        <v>0</v>
      </c>
      <c r="Q234" s="62" t="str">
        <f>IF(Main3WData[[#This Row],[PT.FirstID]],Main3WData[[#This Row],[Acronym]],INDEX($Q$4:Q233,Main3WData[[#This Row],[PT.LastID.Row]]-ROW($Q$4)+1) &amp; ", "&amp;Main3WData[[#This Row],[Acronym]])</f>
        <v>UNMEER</v>
      </c>
      <c r="R234" s="62" t="b">
        <f t="array" ref="R234">MAX(IF(Main3WData[PT.ID]=Main3WData[[#This Row],[PT.ID]],Main3WData[PT.LastID.Row]))=Main3WData[[#This Row],[PT.LastID.Row]]</f>
        <v>0</v>
      </c>
    </row>
    <row r="235" spans="2:18" ht="16.5" customHeight="1" x14ac:dyDescent="0.2">
      <c r="B235" s="55" t="s">
        <v>75</v>
      </c>
      <c r="C235" s="27" t="str">
        <f>INDEX(Organizations[],MATCH(Main3WData[[#This Row],[Acronym]],AcronymList,0),1)</f>
        <v>United Nations Population Fund</v>
      </c>
      <c r="D235" s="27" t="str">
        <f>INDEX(Organizations[],MATCH(Main3WData[[#This Row],[Acronym]],AcronymList,0),3)</f>
        <v>UN Agency</v>
      </c>
      <c r="E235" s="54" t="s">
        <v>360</v>
      </c>
      <c r="F235" s="53" t="s">
        <v>82</v>
      </c>
      <c r="G235" s="54" t="s">
        <v>382</v>
      </c>
      <c r="H235" s="28" t="str">
        <f>VLOOKUP(Main3WData[[#This Row],[Admin Unit Name]],AdminUnits[],2,FALSE)</f>
        <v>GIN003003</v>
      </c>
      <c r="I235" s="57">
        <v>0</v>
      </c>
      <c r="J235" s="67" t="str">
        <f>Main3WData[[#This Row],[Acronym]]&amp;Main3WData[[#This Row],[Sector]]&amp;Main3WData[[#This Row],[Activity Type]]&amp;Main3WData[[#This Row],[Pcode]]</f>
        <v>UNFPACoordinationOngoingGIN003003</v>
      </c>
      <c r="K235" s="69">
        <f>COUNTIF(Main3WData[Concatenate],Main3WData[[#This Row],[Concatenate]])</f>
        <v>1</v>
      </c>
      <c r="L235" s="61" t="str">
        <f>Main3WData[[#This Row],[Sector]]&amp;Main3WData[[#This Row],[Pcode]]</f>
        <v>CoordinationGIN003003</v>
      </c>
      <c r="M235" s="71">
        <f>COUNTIF($L$5:L235,Main3WData[[#This Row],[PT.Concat]])</f>
        <v>2</v>
      </c>
      <c r="N235" s="70">
        <f>MATCH(Main3WData[[#This Row],[PT.Concat]],$L$5:L235,0)</f>
        <v>230</v>
      </c>
      <c r="O235" s="62" t="b">
        <f>Main3WData[[#This Row],[Count PT.Concat]]=1</f>
        <v>0</v>
      </c>
      <c r="P235" s="62">
        <f t="array" ref="P235">MAX(($N$4:N234=Main3WData[[#This Row],[PT.ID]])*ROW($N$4:N234))</f>
        <v>234</v>
      </c>
      <c r="Q235" s="62" t="str">
        <f>IF(Main3WData[[#This Row],[PT.FirstID]],Main3WData[[#This Row],[Acronym]],INDEX($Q$4:Q234,Main3WData[[#This Row],[PT.LastID.Row]]-ROW($Q$4)+1) &amp; ", "&amp;Main3WData[[#This Row],[Acronym]])</f>
        <v>UNMEER, UNFPA</v>
      </c>
      <c r="R235" s="62" t="b">
        <f t="array" ref="R235">MAX(IF(Main3WData[PT.ID]=Main3WData[[#This Row],[PT.ID]],Main3WData[PT.LastID.Row]))=Main3WData[[#This Row],[PT.LastID.Row]]</f>
        <v>0</v>
      </c>
    </row>
    <row r="236" spans="2:18" ht="16.5" customHeight="1" x14ac:dyDescent="0.2">
      <c r="B236" s="55" t="s">
        <v>473</v>
      </c>
      <c r="C236" s="27" t="str">
        <f>INDEX(Organizations[],MATCH(Main3WData[[#This Row],[Acronym]],AcronymList,0),1)</f>
        <v>United Nations Development Programme</v>
      </c>
      <c r="D236" s="27" t="str">
        <f>INDEX(Organizations[],MATCH(Main3WData[[#This Row],[Acronym]],AcronymList,0),3)</f>
        <v>UN Agency</v>
      </c>
      <c r="E236" s="54" t="s">
        <v>360</v>
      </c>
      <c r="F236" s="53" t="s">
        <v>82</v>
      </c>
      <c r="G236" s="54" t="s">
        <v>382</v>
      </c>
      <c r="H236" s="28" t="str">
        <f>VLOOKUP(Main3WData[[#This Row],[Admin Unit Name]],AdminUnits[],2,FALSE)</f>
        <v>GIN003003</v>
      </c>
      <c r="I236" s="57">
        <v>0</v>
      </c>
      <c r="J236" s="67" t="str">
        <f>Main3WData[[#This Row],[Acronym]]&amp;Main3WData[[#This Row],[Sector]]&amp;Main3WData[[#This Row],[Activity Type]]&amp;Main3WData[[#This Row],[Pcode]]</f>
        <v>UNDPCoordinationOngoingGIN003003</v>
      </c>
      <c r="K236" s="69">
        <f>COUNTIF(Main3WData[Concatenate],Main3WData[[#This Row],[Concatenate]])</f>
        <v>1</v>
      </c>
      <c r="L236" s="61" t="str">
        <f>Main3WData[[#This Row],[Sector]]&amp;Main3WData[[#This Row],[Pcode]]</f>
        <v>CoordinationGIN003003</v>
      </c>
      <c r="M236" s="71">
        <f>COUNTIF($L$5:L236,Main3WData[[#This Row],[PT.Concat]])</f>
        <v>3</v>
      </c>
      <c r="N236" s="70">
        <f>MATCH(Main3WData[[#This Row],[PT.Concat]],$L$5:L236,0)</f>
        <v>230</v>
      </c>
      <c r="O236" s="62" t="b">
        <f>Main3WData[[#This Row],[Count PT.Concat]]=1</f>
        <v>0</v>
      </c>
      <c r="P236" s="62">
        <f t="array" ref="P236">MAX(($N$4:N235=Main3WData[[#This Row],[PT.ID]])*ROW($N$4:N235))</f>
        <v>235</v>
      </c>
      <c r="Q236" s="62" t="str">
        <f>IF(Main3WData[[#This Row],[PT.FirstID]],Main3WData[[#This Row],[Acronym]],INDEX($Q$4:Q235,Main3WData[[#This Row],[PT.LastID.Row]]-ROW($Q$4)+1) &amp; ", "&amp;Main3WData[[#This Row],[Acronym]])</f>
        <v>UNMEER, UNFPA, UNDP</v>
      </c>
      <c r="R236" s="62" t="b">
        <f t="array" ref="R236">MAX(IF(Main3WData[PT.ID]=Main3WData[[#This Row],[PT.ID]],Main3WData[PT.LastID.Row]))=Main3WData[[#This Row],[PT.LastID.Row]]</f>
        <v>0</v>
      </c>
    </row>
    <row r="237" spans="2:18" ht="16.5" customHeight="1" x14ac:dyDescent="0.2">
      <c r="B237" s="55" t="s">
        <v>512</v>
      </c>
      <c r="C237" s="27" t="str">
        <f>INDEX(Organizations[],MATCH(Main3WData[[#This Row],[Acronym]],AcronymList,0),1)</f>
        <v>World Health Organization</v>
      </c>
      <c r="D237" s="27" t="str">
        <f>INDEX(Organizations[],MATCH(Main3WData[[#This Row],[Acronym]],AcronymList,0),3)</f>
        <v>UN Agency</v>
      </c>
      <c r="E237" s="54" t="s">
        <v>360</v>
      </c>
      <c r="F237" s="53" t="s">
        <v>82</v>
      </c>
      <c r="G237" s="54" t="s">
        <v>382</v>
      </c>
      <c r="H237" s="28" t="str">
        <f>VLOOKUP(Main3WData[[#This Row],[Admin Unit Name]],AdminUnits[],2,FALSE)</f>
        <v>GIN003003</v>
      </c>
      <c r="I237" s="57">
        <v>0</v>
      </c>
      <c r="J237" s="67" t="str">
        <f>Main3WData[[#This Row],[Acronym]]&amp;Main3WData[[#This Row],[Sector]]&amp;Main3WData[[#This Row],[Activity Type]]&amp;Main3WData[[#This Row],[Pcode]]</f>
        <v>OMSCoordinationOngoingGIN003003</v>
      </c>
      <c r="K237" s="69">
        <f>COUNTIF(Main3WData[Concatenate],Main3WData[[#This Row],[Concatenate]])</f>
        <v>1</v>
      </c>
      <c r="L237" s="61" t="str">
        <f>Main3WData[[#This Row],[Sector]]&amp;Main3WData[[#This Row],[Pcode]]</f>
        <v>CoordinationGIN003003</v>
      </c>
      <c r="M237" s="71">
        <f>COUNTIF($L$5:L237,Main3WData[[#This Row],[PT.Concat]])</f>
        <v>4</v>
      </c>
      <c r="N237" s="70">
        <f>MATCH(Main3WData[[#This Row],[PT.Concat]],$L$5:L237,0)</f>
        <v>230</v>
      </c>
      <c r="O237" s="62" t="b">
        <f>Main3WData[[#This Row],[Count PT.Concat]]=1</f>
        <v>0</v>
      </c>
      <c r="P237" s="62">
        <f t="array" ref="P237">MAX(($N$4:N236=Main3WData[[#This Row],[PT.ID]])*ROW($N$4:N236))</f>
        <v>236</v>
      </c>
      <c r="Q237" s="62" t="str">
        <f>IF(Main3WData[[#This Row],[PT.FirstID]],Main3WData[[#This Row],[Acronym]],INDEX($Q$4:Q236,Main3WData[[#This Row],[PT.LastID.Row]]-ROW($Q$4)+1) &amp; ", "&amp;Main3WData[[#This Row],[Acronym]])</f>
        <v>UNMEER, UNFPA, UNDP, OMS</v>
      </c>
      <c r="R237" s="62" t="b">
        <f t="array" ref="R237">MAX(IF(Main3WData[PT.ID]=Main3WData[[#This Row],[PT.ID]],Main3WData[PT.LastID.Row]))=Main3WData[[#This Row],[PT.LastID.Row]]</f>
        <v>0</v>
      </c>
    </row>
    <row r="238" spans="2:18" ht="16.5" customHeight="1" x14ac:dyDescent="0.2">
      <c r="B238" s="55" t="s">
        <v>71</v>
      </c>
      <c r="C238" s="27" t="str">
        <f>INDEX(Organizations[],MATCH(Main3WData[[#This Row],[Acronym]],AcronymList,0),1)</f>
        <v>Medecins sans Frontieres</v>
      </c>
      <c r="D238" s="27" t="str">
        <f>INDEX(Organizations[],MATCH(Main3WData[[#This Row],[Acronym]],AcronymList,0),3)</f>
        <v>International NGO</v>
      </c>
      <c r="E238" s="54" t="s">
        <v>360</v>
      </c>
      <c r="F238" s="53" t="s">
        <v>82</v>
      </c>
      <c r="G238" s="54" t="s">
        <v>382</v>
      </c>
      <c r="H238" s="28" t="str">
        <f>VLOOKUP(Main3WData[[#This Row],[Admin Unit Name]],AdminUnits[],2,FALSE)</f>
        <v>GIN003003</v>
      </c>
      <c r="I238" s="57">
        <v>0</v>
      </c>
      <c r="J238" s="67" t="str">
        <f>Main3WData[[#This Row],[Acronym]]&amp;Main3WData[[#This Row],[Sector]]&amp;Main3WData[[#This Row],[Activity Type]]&amp;Main3WData[[#This Row],[Pcode]]</f>
        <v>MSFCoordinationOngoingGIN003003</v>
      </c>
      <c r="K238" s="69">
        <f>COUNTIF(Main3WData[Concatenate],Main3WData[[#This Row],[Concatenate]])</f>
        <v>1</v>
      </c>
      <c r="L238" s="61" t="str">
        <f>Main3WData[[#This Row],[Sector]]&amp;Main3WData[[#This Row],[Pcode]]</f>
        <v>CoordinationGIN003003</v>
      </c>
      <c r="M238" s="71">
        <f>COUNTIF($L$5:L238,Main3WData[[#This Row],[PT.Concat]])</f>
        <v>5</v>
      </c>
      <c r="N238" s="70">
        <f>MATCH(Main3WData[[#This Row],[PT.Concat]],$L$5:L238,0)</f>
        <v>230</v>
      </c>
      <c r="O238" s="62" t="b">
        <f>Main3WData[[#This Row],[Count PT.Concat]]=1</f>
        <v>0</v>
      </c>
      <c r="P238" s="62">
        <f t="array" ref="P238">MAX(($N$4:N237=Main3WData[[#This Row],[PT.ID]])*ROW($N$4:N237))</f>
        <v>237</v>
      </c>
      <c r="Q238" s="62" t="str">
        <f>IF(Main3WData[[#This Row],[PT.FirstID]],Main3WData[[#This Row],[Acronym]],INDEX($Q$4:Q237,Main3WData[[#This Row],[PT.LastID.Row]]-ROW($Q$4)+1) &amp; ", "&amp;Main3WData[[#This Row],[Acronym]])</f>
        <v>UNMEER, UNFPA, UNDP, OMS, MSF</v>
      </c>
      <c r="R238" s="62" t="b">
        <f t="array" ref="R238">MAX(IF(Main3WData[PT.ID]=Main3WData[[#This Row],[PT.ID]],Main3WData[PT.LastID.Row]))=Main3WData[[#This Row],[PT.LastID.Row]]</f>
        <v>0</v>
      </c>
    </row>
    <row r="239" spans="2:18" ht="16.5" customHeight="1" x14ac:dyDescent="0.2">
      <c r="B239" s="55" t="s">
        <v>507</v>
      </c>
      <c r="C239" s="27" t="str">
        <f>INDEX(Organizations[],MATCH(Main3WData[[#This Row],[Acronym]],AcronymList,0),1)</f>
        <v>eHealth Africa</v>
      </c>
      <c r="D239" s="27" t="str">
        <f>INDEX(Organizations[],MATCH(Main3WData[[#This Row],[Acronym]],AcronymList,0),3)</f>
        <v>International Organization</v>
      </c>
      <c r="E239" s="54" t="s">
        <v>360</v>
      </c>
      <c r="F239" s="53" t="s">
        <v>82</v>
      </c>
      <c r="G239" s="54" t="s">
        <v>382</v>
      </c>
      <c r="H239" s="28" t="str">
        <f>VLOOKUP(Main3WData[[#This Row],[Admin Unit Name]],AdminUnits[],2,FALSE)</f>
        <v>GIN003003</v>
      </c>
      <c r="I239" s="57">
        <v>0</v>
      </c>
      <c r="J239" s="67" t="str">
        <f>Main3WData[[#This Row],[Acronym]]&amp;Main3WData[[#This Row],[Sector]]&amp;Main3WData[[#This Row],[Activity Type]]&amp;Main3WData[[#This Row],[Pcode]]</f>
        <v>eHealth AfricaCoordinationOngoingGIN003003</v>
      </c>
      <c r="K239" s="69">
        <f>COUNTIF(Main3WData[Concatenate],Main3WData[[#This Row],[Concatenate]])</f>
        <v>1</v>
      </c>
      <c r="L239" s="61" t="str">
        <f>Main3WData[[#This Row],[Sector]]&amp;Main3WData[[#This Row],[Pcode]]</f>
        <v>CoordinationGIN003003</v>
      </c>
      <c r="M239" s="71">
        <f>COUNTIF($L$5:L239,Main3WData[[#This Row],[PT.Concat]])</f>
        <v>6</v>
      </c>
      <c r="N239" s="70">
        <f>MATCH(Main3WData[[#This Row],[PT.Concat]],$L$5:L239,0)</f>
        <v>230</v>
      </c>
      <c r="O239" s="62" t="b">
        <f>Main3WData[[#This Row],[Count PT.Concat]]=1</f>
        <v>0</v>
      </c>
      <c r="P239" s="62">
        <f t="array" ref="P239">MAX(($N$4:N238=Main3WData[[#This Row],[PT.ID]])*ROW($N$4:N238))</f>
        <v>238</v>
      </c>
      <c r="Q239" s="62" t="str">
        <f>IF(Main3WData[[#This Row],[PT.FirstID]],Main3WData[[#This Row],[Acronym]],INDEX($Q$4:Q238,Main3WData[[#This Row],[PT.LastID.Row]]-ROW($Q$4)+1) &amp; ", "&amp;Main3WData[[#This Row],[Acronym]])</f>
        <v>UNMEER, UNFPA, UNDP, OMS, MSF, eHealth Africa</v>
      </c>
      <c r="R239" s="62" t="b">
        <f t="array" ref="R239">MAX(IF(Main3WData[PT.ID]=Main3WData[[#This Row],[PT.ID]],Main3WData[PT.LastID.Row]))=Main3WData[[#This Row],[PT.LastID.Row]]</f>
        <v>1</v>
      </c>
    </row>
    <row r="240" spans="2:18" ht="16.5" customHeight="1" x14ac:dyDescent="0.2">
      <c r="B240" s="55" t="s">
        <v>473</v>
      </c>
      <c r="C240" s="27" t="str">
        <f>INDEX(Organizations[],MATCH(Main3WData[[#This Row],[Acronym]],AcronymList,0),1)</f>
        <v>United Nations Development Programme</v>
      </c>
      <c r="D240" s="27" t="str">
        <f>INDEX(Organizations[],MATCH(Main3WData[[#This Row],[Acronym]],AcronymList,0),3)</f>
        <v>UN Agency</v>
      </c>
      <c r="E240" s="54" t="s">
        <v>359</v>
      </c>
      <c r="F240" s="53" t="s">
        <v>82</v>
      </c>
      <c r="G240" s="54" t="s">
        <v>382</v>
      </c>
      <c r="H240" s="28" t="str">
        <f>VLOOKUP(Main3WData[[#This Row],[Admin Unit Name]],AdminUnits[],2,FALSE)</f>
        <v>GIN003003</v>
      </c>
      <c r="I240" s="57">
        <v>0</v>
      </c>
      <c r="J240" s="67" t="str">
        <f>Main3WData[[#This Row],[Acronym]]&amp;Main3WData[[#This Row],[Sector]]&amp;Main3WData[[#This Row],[Activity Type]]&amp;Main3WData[[#This Row],[Pcode]]</f>
        <v>UNDPFinanceOngoingGIN003003</v>
      </c>
      <c r="K240" s="69">
        <f>COUNTIF(Main3WData[Concatenate],Main3WData[[#This Row],[Concatenate]])</f>
        <v>1</v>
      </c>
      <c r="L240" s="61" t="str">
        <f>Main3WData[[#This Row],[Sector]]&amp;Main3WData[[#This Row],[Pcode]]</f>
        <v>FinanceGIN003003</v>
      </c>
      <c r="M240" s="71">
        <f>COUNTIF($L$5:L240,Main3WData[[#This Row],[PT.Concat]])</f>
        <v>1</v>
      </c>
      <c r="N240" s="70">
        <f>MATCH(Main3WData[[#This Row],[PT.Concat]],$L$5:L240,0)</f>
        <v>236</v>
      </c>
      <c r="O240" s="62" t="b">
        <f>Main3WData[[#This Row],[Count PT.Concat]]=1</f>
        <v>1</v>
      </c>
      <c r="P240" s="62">
        <f t="array" ref="P240">MAX(($N$4:N239=Main3WData[[#This Row],[PT.ID]])*ROW($N$4:N239))</f>
        <v>0</v>
      </c>
      <c r="Q240" s="62" t="str">
        <f>IF(Main3WData[[#This Row],[PT.FirstID]],Main3WData[[#This Row],[Acronym]],INDEX($Q$4:Q239,Main3WData[[#This Row],[PT.LastID.Row]]-ROW($Q$4)+1) &amp; ", "&amp;Main3WData[[#This Row],[Acronym]])</f>
        <v>UNDP</v>
      </c>
      <c r="R240" s="62" t="b">
        <f t="array" ref="R240">MAX(IF(Main3WData[PT.ID]=Main3WData[[#This Row],[PT.ID]],Main3WData[PT.LastID.Row]))=Main3WData[[#This Row],[PT.LastID.Row]]</f>
        <v>1</v>
      </c>
    </row>
    <row r="241" spans="2:18" ht="16.5" customHeight="1" x14ac:dyDescent="0.2">
      <c r="B241" s="55" t="s">
        <v>451</v>
      </c>
      <c r="C241" s="27" t="str">
        <f>INDEX(Organizations[],MATCH(Main3WData[[#This Row],[Acronym]],AcronymList,0),1)</f>
        <v>Croix-Rouge Guinée</v>
      </c>
      <c r="D241" s="27" t="str">
        <f>INDEX(Organizations[],MATCH(Main3WData[[#This Row],[Acronym]],AcronymList,0),3)</f>
        <v>Red Cross Movement</v>
      </c>
      <c r="E241" s="54" t="s">
        <v>354</v>
      </c>
      <c r="F241" s="53" t="s">
        <v>82</v>
      </c>
      <c r="G241" s="54" t="s">
        <v>382</v>
      </c>
      <c r="H241" s="28" t="str">
        <f>VLOOKUP(Main3WData[[#This Row],[Admin Unit Name]],AdminUnits[],2,FALSE)</f>
        <v>GIN003003</v>
      </c>
      <c r="I241" s="57">
        <v>0</v>
      </c>
      <c r="J241" s="67" t="str">
        <f>Main3WData[[#This Row],[Acronym]]&amp;Main3WData[[#This Row],[Sector]]&amp;Main3WData[[#This Row],[Activity Type]]&amp;Main3WData[[#This Row],[Pcode]]</f>
        <v>CRGGestion des corps et desinfectionOngoingGIN003003</v>
      </c>
      <c r="K241" s="69">
        <f>COUNTIF(Main3WData[Concatenate],Main3WData[[#This Row],[Concatenate]])</f>
        <v>1</v>
      </c>
      <c r="L241" s="61" t="str">
        <f>Main3WData[[#This Row],[Sector]]&amp;Main3WData[[#This Row],[Pcode]]</f>
        <v>Gestion des corps et desinfectionGIN003003</v>
      </c>
      <c r="M241" s="71">
        <f>COUNTIF($L$5:L241,Main3WData[[#This Row],[PT.Concat]])</f>
        <v>1</v>
      </c>
      <c r="N241" s="70">
        <f>MATCH(Main3WData[[#This Row],[PT.Concat]],$L$5:L241,0)</f>
        <v>237</v>
      </c>
      <c r="O241" s="62" t="b">
        <f>Main3WData[[#This Row],[Count PT.Concat]]=1</f>
        <v>1</v>
      </c>
      <c r="P241" s="62">
        <f t="array" ref="P241">MAX(($N$4:N240=Main3WData[[#This Row],[PT.ID]])*ROW($N$4:N240))</f>
        <v>0</v>
      </c>
      <c r="Q241" s="62" t="str">
        <f>IF(Main3WData[[#This Row],[PT.FirstID]],Main3WData[[#This Row],[Acronym]],INDEX($Q$4:Q240,Main3WData[[#This Row],[PT.LastID.Row]]-ROW($Q$4)+1) &amp; ", "&amp;Main3WData[[#This Row],[Acronym]])</f>
        <v>CRG</v>
      </c>
      <c r="R241" s="62" t="b">
        <f t="array" ref="R241">MAX(IF(Main3WData[PT.ID]=Main3WData[[#This Row],[PT.ID]],Main3WData[PT.LastID.Row]))=Main3WData[[#This Row],[PT.LastID.Row]]</f>
        <v>1</v>
      </c>
    </row>
    <row r="242" spans="2:18" ht="16.5" customHeight="1" x14ac:dyDescent="0.2">
      <c r="B242" s="55" t="s">
        <v>516</v>
      </c>
      <c r="C242" s="27" t="str">
        <f>INDEX(Organizations[],MATCH(Main3WData[[#This Row],[Acronym]],AcronymList,0),1)</f>
        <v>UNITED NATION MISSION FOR EBOLA  EMERGENCY RESPONSE</v>
      </c>
      <c r="D242" s="27" t="str">
        <f>INDEX(Organizations[],MATCH(Main3WData[[#This Row],[Acronym]],AcronymList,0),3)</f>
        <v>UN Agency</v>
      </c>
      <c r="E242" s="54" t="s">
        <v>356</v>
      </c>
      <c r="F242" s="53" t="s">
        <v>82</v>
      </c>
      <c r="G242" s="54" t="s">
        <v>382</v>
      </c>
      <c r="H242" s="28" t="str">
        <f>VLOOKUP(Main3WData[[#This Row],[Admin Unit Name]],AdminUnits[],2,FALSE)</f>
        <v>GIN003003</v>
      </c>
      <c r="I242" s="57">
        <v>0</v>
      </c>
      <c r="J242" s="67" t="str">
        <f>Main3WData[[#This Row],[Acronym]]&amp;Main3WData[[#This Row],[Sector]]&amp;Main3WData[[#This Row],[Activity Type]]&amp;Main3WData[[#This Row],[Pcode]]</f>
        <v>UNMEERGestion des donnéesOngoingGIN003003</v>
      </c>
      <c r="K242" s="69">
        <f>COUNTIF(Main3WData[Concatenate],Main3WData[[#This Row],[Concatenate]])</f>
        <v>1</v>
      </c>
      <c r="L242" s="61" t="str">
        <f>Main3WData[[#This Row],[Sector]]&amp;Main3WData[[#This Row],[Pcode]]</f>
        <v>Gestion des donnéesGIN003003</v>
      </c>
      <c r="M242" s="71">
        <f>COUNTIF($L$5:L242,Main3WData[[#This Row],[PT.Concat]])</f>
        <v>1</v>
      </c>
      <c r="N242" s="70">
        <f>MATCH(Main3WData[[#This Row],[PT.Concat]],$L$5:L242,0)</f>
        <v>238</v>
      </c>
      <c r="O242" s="62" t="b">
        <f>Main3WData[[#This Row],[Count PT.Concat]]=1</f>
        <v>1</v>
      </c>
      <c r="P242" s="62">
        <f t="array" ref="P242">MAX(($N$4:N241=Main3WData[[#This Row],[PT.ID]])*ROW($N$4:N241))</f>
        <v>0</v>
      </c>
      <c r="Q242" s="62" t="str">
        <f>IF(Main3WData[[#This Row],[PT.FirstID]],Main3WData[[#This Row],[Acronym]],INDEX($Q$4:Q241,Main3WData[[#This Row],[PT.LastID.Row]]-ROW($Q$4)+1) &amp; ", "&amp;Main3WData[[#This Row],[Acronym]])</f>
        <v>UNMEER</v>
      </c>
      <c r="R242" s="62" t="b">
        <f t="array" ref="R242">MAX(IF(Main3WData[PT.ID]=Main3WData[[#This Row],[PT.ID]],Main3WData[PT.LastID.Row]))=Main3WData[[#This Row],[PT.LastID.Row]]</f>
        <v>0</v>
      </c>
    </row>
    <row r="243" spans="2:18" ht="16.5" customHeight="1" x14ac:dyDescent="0.2">
      <c r="B243" s="55" t="s">
        <v>72</v>
      </c>
      <c r="C243" s="27" t="str">
        <f>INDEX(Organizations[],MATCH(Main3WData[[#This Row],[Acronym]],AcronymList,0),1)</f>
        <v>PLAN</v>
      </c>
      <c r="D243" s="27" t="str">
        <f>INDEX(Organizations[],MATCH(Main3WData[[#This Row],[Acronym]],AcronymList,0),3)</f>
        <v>International Organization</v>
      </c>
      <c r="E243" s="54" t="s">
        <v>356</v>
      </c>
      <c r="F243" s="53" t="s">
        <v>82</v>
      </c>
      <c r="G243" s="54" t="s">
        <v>382</v>
      </c>
      <c r="H243" s="28" t="str">
        <f>VLOOKUP(Main3WData[[#This Row],[Admin Unit Name]],AdminUnits[],2,FALSE)</f>
        <v>GIN003003</v>
      </c>
      <c r="I243" s="57">
        <v>0</v>
      </c>
      <c r="J243" s="67" t="str">
        <f>Main3WData[[#This Row],[Acronym]]&amp;Main3WData[[#This Row],[Sector]]&amp;Main3WData[[#This Row],[Activity Type]]&amp;Main3WData[[#This Row],[Pcode]]</f>
        <v>PLANGestion des donnéesOngoingGIN003003</v>
      </c>
      <c r="K243" s="69">
        <f>COUNTIF(Main3WData[Concatenate],Main3WData[[#This Row],[Concatenate]])</f>
        <v>1</v>
      </c>
      <c r="L243" s="61" t="str">
        <f>Main3WData[[#This Row],[Sector]]&amp;Main3WData[[#This Row],[Pcode]]</f>
        <v>Gestion des donnéesGIN003003</v>
      </c>
      <c r="M243" s="71">
        <f>COUNTIF($L$5:L243,Main3WData[[#This Row],[PT.Concat]])</f>
        <v>2</v>
      </c>
      <c r="N243" s="70">
        <f>MATCH(Main3WData[[#This Row],[PT.Concat]],$L$5:L243,0)</f>
        <v>238</v>
      </c>
      <c r="O243" s="62" t="b">
        <f>Main3WData[[#This Row],[Count PT.Concat]]=1</f>
        <v>0</v>
      </c>
      <c r="P243" s="62">
        <f t="array" ref="P243">MAX(($N$4:N242=Main3WData[[#This Row],[PT.ID]])*ROW($N$4:N242))</f>
        <v>242</v>
      </c>
      <c r="Q243" s="62" t="str">
        <f>IF(Main3WData[[#This Row],[PT.FirstID]],Main3WData[[#This Row],[Acronym]],INDEX($Q$4:Q242,Main3WData[[#This Row],[PT.LastID.Row]]-ROW($Q$4)+1) &amp; ", "&amp;Main3WData[[#This Row],[Acronym]])</f>
        <v>UNMEER, PLAN</v>
      </c>
      <c r="R243" s="62" t="b">
        <f t="array" ref="R243">MAX(IF(Main3WData[PT.ID]=Main3WData[[#This Row],[PT.ID]],Main3WData[PT.LastID.Row]))=Main3WData[[#This Row],[PT.LastID.Row]]</f>
        <v>0</v>
      </c>
    </row>
    <row r="244" spans="2:18" ht="16.5" customHeight="1" x14ac:dyDescent="0.2">
      <c r="B244" s="55" t="s">
        <v>512</v>
      </c>
      <c r="C244" s="27" t="str">
        <f>INDEX(Organizations[],MATCH(Main3WData[[#This Row],[Acronym]],AcronymList,0),1)</f>
        <v>World Health Organization</v>
      </c>
      <c r="D244" s="27" t="str">
        <f>INDEX(Organizations[],MATCH(Main3WData[[#This Row],[Acronym]],AcronymList,0),3)</f>
        <v>UN Agency</v>
      </c>
      <c r="E244" s="54" t="s">
        <v>356</v>
      </c>
      <c r="F244" s="53" t="s">
        <v>82</v>
      </c>
      <c r="G244" s="54" t="s">
        <v>382</v>
      </c>
      <c r="H244" s="28" t="str">
        <f>VLOOKUP(Main3WData[[#This Row],[Admin Unit Name]],AdminUnits[],2,FALSE)</f>
        <v>GIN003003</v>
      </c>
      <c r="I244" s="57">
        <v>0</v>
      </c>
      <c r="J244" s="67" t="str">
        <f>Main3WData[[#This Row],[Acronym]]&amp;Main3WData[[#This Row],[Sector]]&amp;Main3WData[[#This Row],[Activity Type]]&amp;Main3WData[[#This Row],[Pcode]]</f>
        <v>OMSGestion des donnéesOngoingGIN003003</v>
      </c>
      <c r="K244" s="69">
        <f>COUNTIF(Main3WData[Concatenate],Main3WData[[#This Row],[Concatenate]])</f>
        <v>1</v>
      </c>
      <c r="L244" s="61" t="str">
        <f>Main3WData[[#This Row],[Sector]]&amp;Main3WData[[#This Row],[Pcode]]</f>
        <v>Gestion des donnéesGIN003003</v>
      </c>
      <c r="M244" s="71">
        <f>COUNTIF($L$5:L244,Main3WData[[#This Row],[PT.Concat]])</f>
        <v>3</v>
      </c>
      <c r="N244" s="70">
        <f>MATCH(Main3WData[[#This Row],[PT.Concat]],$L$5:L244,0)</f>
        <v>238</v>
      </c>
      <c r="O244" s="62" t="b">
        <f>Main3WData[[#This Row],[Count PT.Concat]]=1</f>
        <v>0</v>
      </c>
      <c r="P244" s="62">
        <f t="array" ref="P244">MAX(($N$4:N243=Main3WData[[#This Row],[PT.ID]])*ROW($N$4:N243))</f>
        <v>243</v>
      </c>
      <c r="Q244" s="62" t="str">
        <f>IF(Main3WData[[#This Row],[PT.FirstID]],Main3WData[[#This Row],[Acronym]],INDEX($Q$4:Q243,Main3WData[[#This Row],[PT.LastID.Row]]-ROW($Q$4)+1) &amp; ", "&amp;Main3WData[[#This Row],[Acronym]])</f>
        <v>UNMEER, PLAN, OMS</v>
      </c>
      <c r="R244" s="62" t="b">
        <f t="array" ref="R244">MAX(IF(Main3WData[PT.ID]=Main3WData[[#This Row],[PT.ID]],Main3WData[PT.LastID.Row]))=Main3WData[[#This Row],[PT.LastID.Row]]</f>
        <v>1</v>
      </c>
    </row>
    <row r="245" spans="2:18" ht="16.5" customHeight="1" x14ac:dyDescent="0.2">
      <c r="B245" s="55" t="s">
        <v>512</v>
      </c>
      <c r="C245" s="27" t="str">
        <f>INDEX(Organizations[],MATCH(Main3WData[[#This Row],[Acronym]],AcronymList,0),1)</f>
        <v>World Health Organization</v>
      </c>
      <c r="D245" s="27" t="str">
        <f>INDEX(Organizations[],MATCH(Main3WData[[#This Row],[Acronym]],AcronymList,0),3)</f>
        <v>UN Agency</v>
      </c>
      <c r="E245" s="54" t="s">
        <v>358</v>
      </c>
      <c r="F245" s="53" t="s">
        <v>82</v>
      </c>
      <c r="G245" s="54" t="s">
        <v>382</v>
      </c>
      <c r="H245" s="28" t="str">
        <f>VLOOKUP(Main3WData[[#This Row],[Admin Unit Name]],AdminUnits[],2,FALSE)</f>
        <v>GIN003003</v>
      </c>
      <c r="I245" s="57">
        <v>0</v>
      </c>
      <c r="J245" s="67" t="str">
        <f>Main3WData[[#This Row],[Acronym]]&amp;Main3WData[[#This Row],[Sector]]&amp;Main3WData[[#This Row],[Activity Type]]&amp;Main3WData[[#This Row],[Pcode]]</f>
        <v>OMSLogistiquesOngoingGIN003003</v>
      </c>
      <c r="K245" s="69">
        <f>COUNTIF(Main3WData[Concatenate],Main3WData[[#This Row],[Concatenate]])</f>
        <v>1</v>
      </c>
      <c r="L245" s="61" t="str">
        <f>Main3WData[[#This Row],[Sector]]&amp;Main3WData[[#This Row],[Pcode]]</f>
        <v>LogistiquesGIN003003</v>
      </c>
      <c r="M245" s="71">
        <f>COUNTIF($L$5:L245,Main3WData[[#This Row],[PT.Concat]])</f>
        <v>1</v>
      </c>
      <c r="N245" s="70">
        <f>MATCH(Main3WData[[#This Row],[PT.Concat]],$L$5:L245,0)</f>
        <v>241</v>
      </c>
      <c r="O245" s="62" t="b">
        <f>Main3WData[[#This Row],[Count PT.Concat]]=1</f>
        <v>1</v>
      </c>
      <c r="P245" s="62">
        <f t="array" ref="P245">MAX(($N$4:N244=Main3WData[[#This Row],[PT.ID]])*ROW($N$4:N244))</f>
        <v>0</v>
      </c>
      <c r="Q245" s="62" t="str">
        <f>IF(Main3WData[[#This Row],[PT.FirstID]],Main3WData[[#This Row],[Acronym]],INDEX($Q$4:Q244,Main3WData[[#This Row],[PT.LastID.Row]]-ROW($Q$4)+1) &amp; ", "&amp;Main3WData[[#This Row],[Acronym]])</f>
        <v>OMS</v>
      </c>
      <c r="R245" s="62" t="b">
        <f t="array" ref="R245">MAX(IF(Main3WData[PT.ID]=Main3WData[[#This Row],[PT.ID]],Main3WData[PT.LastID.Row]))=Main3WData[[#This Row],[PT.LastID.Row]]</f>
        <v>1</v>
      </c>
    </row>
    <row r="246" spans="2:18" ht="16.5" customHeight="1" x14ac:dyDescent="0.2">
      <c r="B246" s="55" t="s">
        <v>78</v>
      </c>
      <c r="C246" s="27" t="str">
        <f>INDEX(Organizations[],MATCH(Main3WData[[#This Row],[Acronym]],AcronymList,0),1)</f>
        <v>World Food Programme</v>
      </c>
      <c r="D246" s="27" t="str">
        <f>INDEX(Organizations[],MATCH(Main3WData[[#This Row],[Acronym]],AcronymList,0),3)</f>
        <v>UN Agency</v>
      </c>
      <c r="E246" s="54" t="s">
        <v>355</v>
      </c>
      <c r="F246" s="53" t="s">
        <v>82</v>
      </c>
      <c r="G246" s="54" t="s">
        <v>382</v>
      </c>
      <c r="H246" s="28" t="str">
        <f>VLOOKUP(Main3WData[[#This Row],[Admin Unit Name]],AdminUnits[],2,FALSE)</f>
        <v>GIN003003</v>
      </c>
      <c r="I246" s="57">
        <v>0</v>
      </c>
      <c r="J246" s="67" t="str">
        <f>Main3WData[[#This Row],[Acronym]]&amp;Main3WData[[#This Row],[Sector]]&amp;Main3WData[[#This Row],[Activity Type]]&amp;Main3WData[[#This Row],[Pcode]]</f>
        <v>WFPSoutien nutritionnel et socialOngoingGIN003003</v>
      </c>
      <c r="K246" s="69">
        <f>COUNTIF(Main3WData[Concatenate],Main3WData[[#This Row],[Concatenate]])</f>
        <v>1</v>
      </c>
      <c r="L246" s="61" t="str">
        <f>Main3WData[[#This Row],[Sector]]&amp;Main3WData[[#This Row],[Pcode]]</f>
        <v>Soutien nutritionnel et socialGIN003003</v>
      </c>
      <c r="M246" s="71">
        <f>COUNTIF($L$5:L246,Main3WData[[#This Row],[PT.Concat]])</f>
        <v>1</v>
      </c>
      <c r="N246" s="70">
        <f>MATCH(Main3WData[[#This Row],[PT.Concat]],$L$5:L246,0)</f>
        <v>242</v>
      </c>
      <c r="O246" s="62" t="b">
        <f>Main3WData[[#This Row],[Count PT.Concat]]=1</f>
        <v>1</v>
      </c>
      <c r="P246" s="62">
        <f t="array" ref="P246">MAX(($N$4:N245=Main3WData[[#This Row],[PT.ID]])*ROW($N$4:N245))</f>
        <v>0</v>
      </c>
      <c r="Q246" s="62" t="str">
        <f>IF(Main3WData[[#This Row],[PT.FirstID]],Main3WData[[#This Row],[Acronym]],INDEX($Q$4:Q245,Main3WData[[#This Row],[PT.LastID.Row]]-ROW($Q$4)+1) &amp; ", "&amp;Main3WData[[#This Row],[Acronym]])</f>
        <v>WFP</v>
      </c>
      <c r="R246" s="62" t="b">
        <f t="array" ref="R246">MAX(IF(Main3WData[PT.ID]=Main3WData[[#This Row],[PT.ID]],Main3WData[PT.LastID.Row]))=Main3WData[[#This Row],[PT.LastID.Row]]</f>
        <v>1</v>
      </c>
    </row>
    <row r="247" spans="2:18" ht="16.5" customHeight="1" x14ac:dyDescent="0.2">
      <c r="B247" s="55" t="s">
        <v>75</v>
      </c>
      <c r="C247" s="27" t="str">
        <f>INDEX(Organizations[],MATCH(Main3WData[[#This Row],[Acronym]],AcronymList,0),1)</f>
        <v>United Nations Population Fund</v>
      </c>
      <c r="D247" s="27" t="str">
        <f>INDEX(Organizations[],MATCH(Main3WData[[#This Row],[Acronym]],AcronymList,0),3)</f>
        <v>UN Agency</v>
      </c>
      <c r="E247" s="54" t="s">
        <v>351</v>
      </c>
      <c r="F247" s="53" t="s">
        <v>82</v>
      </c>
      <c r="G247" s="54" t="s">
        <v>382</v>
      </c>
      <c r="H247" s="28" t="str">
        <f>VLOOKUP(Main3WData[[#This Row],[Admin Unit Name]],AdminUnits[],2,FALSE)</f>
        <v>GIN003003</v>
      </c>
      <c r="I247" s="57">
        <v>0</v>
      </c>
      <c r="J247" s="67" t="str">
        <f>Main3WData[[#This Row],[Acronym]]&amp;Main3WData[[#This Row],[Sector]]&amp;Main3WData[[#This Row],[Activity Type]]&amp;Main3WData[[#This Row],[Pcode]]</f>
        <v>UNFPASurveillance &amp; suiviOngoingGIN003003</v>
      </c>
      <c r="K247" s="69">
        <f>COUNTIF(Main3WData[Concatenate],Main3WData[[#This Row],[Concatenate]])</f>
        <v>1</v>
      </c>
      <c r="L247" s="61" t="str">
        <f>Main3WData[[#This Row],[Sector]]&amp;Main3WData[[#This Row],[Pcode]]</f>
        <v>Surveillance &amp; suiviGIN003003</v>
      </c>
      <c r="M247" s="71">
        <f>COUNTIF($L$5:L247,Main3WData[[#This Row],[PT.Concat]])</f>
        <v>1</v>
      </c>
      <c r="N247" s="70">
        <f>MATCH(Main3WData[[#This Row],[PT.Concat]],$L$5:L247,0)</f>
        <v>243</v>
      </c>
      <c r="O247" s="62" t="b">
        <f>Main3WData[[#This Row],[Count PT.Concat]]=1</f>
        <v>1</v>
      </c>
      <c r="P247" s="62">
        <f t="array" ref="P247">MAX(($N$4:N246=Main3WData[[#This Row],[PT.ID]])*ROW($N$4:N246))</f>
        <v>0</v>
      </c>
      <c r="Q247" s="62" t="str">
        <f>IF(Main3WData[[#This Row],[PT.FirstID]],Main3WData[[#This Row],[Acronym]],INDEX($Q$4:Q246,Main3WData[[#This Row],[PT.LastID.Row]]-ROW($Q$4)+1) &amp; ", "&amp;Main3WData[[#This Row],[Acronym]])</f>
        <v>UNFPA</v>
      </c>
      <c r="R247" s="62" t="b">
        <f t="array" ref="R247">MAX(IF(Main3WData[PT.ID]=Main3WData[[#This Row],[PT.ID]],Main3WData[PT.LastID.Row]))=Main3WData[[#This Row],[PT.LastID.Row]]</f>
        <v>0</v>
      </c>
    </row>
    <row r="248" spans="2:18" ht="16.5" customHeight="1" x14ac:dyDescent="0.2">
      <c r="B248" s="55" t="s">
        <v>512</v>
      </c>
      <c r="C248" s="27" t="str">
        <f>INDEX(Organizations[],MATCH(Main3WData[[#This Row],[Acronym]],AcronymList,0),1)</f>
        <v>World Health Organization</v>
      </c>
      <c r="D248" s="27" t="str">
        <f>INDEX(Organizations[],MATCH(Main3WData[[#This Row],[Acronym]],AcronymList,0),3)</f>
        <v>UN Agency</v>
      </c>
      <c r="E248" s="54" t="s">
        <v>351</v>
      </c>
      <c r="F248" s="53" t="s">
        <v>82</v>
      </c>
      <c r="G248" s="54" t="s">
        <v>382</v>
      </c>
      <c r="H248" s="28" t="str">
        <f>VLOOKUP(Main3WData[[#This Row],[Admin Unit Name]],AdminUnits[],2,FALSE)</f>
        <v>GIN003003</v>
      </c>
      <c r="I248" s="57">
        <v>0</v>
      </c>
      <c r="J248" s="67" t="str">
        <f>Main3WData[[#This Row],[Acronym]]&amp;Main3WData[[#This Row],[Sector]]&amp;Main3WData[[#This Row],[Activity Type]]&amp;Main3WData[[#This Row],[Pcode]]</f>
        <v>OMSSurveillance &amp; suiviOngoingGIN003003</v>
      </c>
      <c r="K248" s="69">
        <f>COUNTIF(Main3WData[Concatenate],Main3WData[[#This Row],[Concatenate]])</f>
        <v>1</v>
      </c>
      <c r="L248" s="61" t="str">
        <f>Main3WData[[#This Row],[Sector]]&amp;Main3WData[[#This Row],[Pcode]]</f>
        <v>Surveillance &amp; suiviGIN003003</v>
      </c>
      <c r="M248" s="71">
        <f>COUNTIF($L$5:L248,Main3WData[[#This Row],[PT.Concat]])</f>
        <v>2</v>
      </c>
      <c r="N248" s="70">
        <f>MATCH(Main3WData[[#This Row],[PT.Concat]],$L$5:L248,0)</f>
        <v>243</v>
      </c>
      <c r="O248" s="62" t="b">
        <f>Main3WData[[#This Row],[Count PT.Concat]]=1</f>
        <v>0</v>
      </c>
      <c r="P248" s="62">
        <f t="array" ref="P248">MAX(($N$4:N247=Main3WData[[#This Row],[PT.ID]])*ROW($N$4:N247))</f>
        <v>247</v>
      </c>
      <c r="Q248" s="62" t="str">
        <f>IF(Main3WData[[#This Row],[PT.FirstID]],Main3WData[[#This Row],[Acronym]],INDEX($Q$4:Q247,Main3WData[[#This Row],[PT.LastID.Row]]-ROW($Q$4)+1) &amp; ", "&amp;Main3WData[[#This Row],[Acronym]])</f>
        <v>UNFPA, OMS</v>
      </c>
      <c r="R248" s="62" t="b">
        <f t="array" ref="R248">MAX(IF(Main3WData[PT.ID]=Main3WData[[#This Row],[PT.ID]],Main3WData[PT.LastID.Row]))=Main3WData[[#This Row],[PT.LastID.Row]]</f>
        <v>0</v>
      </c>
    </row>
    <row r="249" spans="2:18" ht="16.5" customHeight="1" x14ac:dyDescent="0.2">
      <c r="B249" s="55" t="s">
        <v>496</v>
      </c>
      <c r="C249" s="27" t="str">
        <f>INDEX(Organizations[],MATCH(Main3WData[[#This Row],[Acronym]],AcronymList,0),1)</f>
        <v>Columbia University</v>
      </c>
      <c r="D249" s="27" t="str">
        <f>INDEX(Organizations[],MATCH(Main3WData[[#This Row],[Acronym]],AcronymList,0),3)</f>
        <v>Education</v>
      </c>
      <c r="E249" s="54" t="s">
        <v>351</v>
      </c>
      <c r="F249" s="53" t="s">
        <v>82</v>
      </c>
      <c r="G249" s="54" t="s">
        <v>382</v>
      </c>
      <c r="H249" s="28" t="str">
        <f>VLOOKUP(Main3WData[[#This Row],[Admin Unit Name]],AdminUnits[],2,FALSE)</f>
        <v>GIN003003</v>
      </c>
      <c r="I249" s="57">
        <v>0</v>
      </c>
      <c r="J249" s="67" t="str">
        <f>Main3WData[[#This Row],[Acronym]]&amp;Main3WData[[#This Row],[Sector]]&amp;Main3WData[[#This Row],[Activity Type]]&amp;Main3WData[[#This Row],[Pcode]]</f>
        <v>Columbia UnivSurveillance &amp; suiviOngoingGIN003003</v>
      </c>
      <c r="K249" s="69">
        <f>COUNTIF(Main3WData[Concatenate],Main3WData[[#This Row],[Concatenate]])</f>
        <v>1</v>
      </c>
      <c r="L249" s="61" t="str">
        <f>Main3WData[[#This Row],[Sector]]&amp;Main3WData[[#This Row],[Pcode]]</f>
        <v>Surveillance &amp; suiviGIN003003</v>
      </c>
      <c r="M249" s="71">
        <f>COUNTIF($L$5:L249,Main3WData[[#This Row],[PT.Concat]])</f>
        <v>3</v>
      </c>
      <c r="N249" s="70">
        <f>MATCH(Main3WData[[#This Row],[PT.Concat]],$L$5:L249,0)</f>
        <v>243</v>
      </c>
      <c r="O249" s="62" t="b">
        <f>Main3WData[[#This Row],[Count PT.Concat]]=1</f>
        <v>0</v>
      </c>
      <c r="P249" s="62">
        <f t="array" ref="P249">MAX(($N$4:N248=Main3WData[[#This Row],[PT.ID]])*ROW($N$4:N248))</f>
        <v>248</v>
      </c>
      <c r="Q249" s="62" t="str">
        <f>IF(Main3WData[[#This Row],[PT.FirstID]],Main3WData[[#This Row],[Acronym]],INDEX($Q$4:Q248,Main3WData[[#This Row],[PT.LastID.Row]]-ROW($Q$4)+1) &amp; ", "&amp;Main3WData[[#This Row],[Acronym]])</f>
        <v>UNFPA, OMS, Columbia Univ</v>
      </c>
      <c r="R249" s="62" t="b">
        <f t="array" ref="R249">MAX(IF(Main3WData[PT.ID]=Main3WData[[#This Row],[PT.ID]],Main3WData[PT.LastID.Row]))=Main3WData[[#This Row],[PT.LastID.Row]]</f>
        <v>0</v>
      </c>
    </row>
    <row r="250" spans="2:18" ht="16.5" customHeight="1" x14ac:dyDescent="0.2">
      <c r="B250" s="55" t="s">
        <v>64</v>
      </c>
      <c r="C250" s="27" t="str">
        <f>INDEX(Organizations[],MATCH(Main3WData[[#This Row],[Acronym]],AcronymList,0),1)</f>
        <v>CDC</v>
      </c>
      <c r="D250" s="27" t="str">
        <f>INDEX(Organizations[],MATCH(Main3WData[[#This Row],[Acronym]],AcronymList,0),3)</f>
        <v>International NGO</v>
      </c>
      <c r="E250" s="54" t="s">
        <v>351</v>
      </c>
      <c r="F250" s="53" t="s">
        <v>82</v>
      </c>
      <c r="G250" s="54" t="s">
        <v>382</v>
      </c>
      <c r="H250" s="28" t="str">
        <f>VLOOKUP(Main3WData[[#This Row],[Admin Unit Name]],AdminUnits[],2,FALSE)</f>
        <v>GIN003003</v>
      </c>
      <c r="I250" s="57">
        <v>0</v>
      </c>
      <c r="J250" s="67" t="str">
        <f>Main3WData[[#This Row],[Acronym]]&amp;Main3WData[[#This Row],[Sector]]&amp;Main3WData[[#This Row],[Activity Type]]&amp;Main3WData[[#This Row],[Pcode]]</f>
        <v>CDCSurveillance &amp; suiviOngoingGIN003003</v>
      </c>
      <c r="K250" s="69">
        <f>COUNTIF(Main3WData[Concatenate],Main3WData[[#This Row],[Concatenate]])</f>
        <v>1</v>
      </c>
      <c r="L250" s="61" t="str">
        <f>Main3WData[[#This Row],[Sector]]&amp;Main3WData[[#This Row],[Pcode]]</f>
        <v>Surveillance &amp; suiviGIN003003</v>
      </c>
      <c r="M250" s="71">
        <f>COUNTIF($L$5:L250,Main3WData[[#This Row],[PT.Concat]])</f>
        <v>4</v>
      </c>
      <c r="N250" s="70">
        <f>MATCH(Main3WData[[#This Row],[PT.Concat]],$L$5:L250,0)</f>
        <v>243</v>
      </c>
      <c r="O250" s="62" t="b">
        <f>Main3WData[[#This Row],[Count PT.Concat]]=1</f>
        <v>0</v>
      </c>
      <c r="P250" s="62">
        <f t="array" ref="P250">MAX(($N$4:N249=Main3WData[[#This Row],[PT.ID]])*ROW($N$4:N249))</f>
        <v>249</v>
      </c>
      <c r="Q250" s="62" t="str">
        <f>IF(Main3WData[[#This Row],[PT.FirstID]],Main3WData[[#This Row],[Acronym]],INDEX($Q$4:Q249,Main3WData[[#This Row],[PT.LastID.Row]]-ROW($Q$4)+1) &amp; ", "&amp;Main3WData[[#This Row],[Acronym]])</f>
        <v>UNFPA, OMS, Columbia Univ, CDC</v>
      </c>
      <c r="R250" s="62" t="b">
        <f t="array" ref="R250">MAX(IF(Main3WData[PT.ID]=Main3WData[[#This Row],[PT.ID]],Main3WData[PT.LastID.Row]))=Main3WData[[#This Row],[PT.LastID.Row]]</f>
        <v>1</v>
      </c>
    </row>
    <row r="251" spans="2:18" ht="16.5" customHeight="1" x14ac:dyDescent="0.2">
      <c r="B251" s="55" t="s">
        <v>77</v>
      </c>
      <c r="C251" s="27" t="str">
        <f>INDEX(Organizations[],MATCH(Main3WData[[#This Row],[Acronym]],AcronymList,0),1)</f>
        <v>United Nations Children's Fund</v>
      </c>
      <c r="D251" s="27" t="str">
        <f>INDEX(Organizations[],MATCH(Main3WData[[#This Row],[Acronym]],AcronymList,0),3)</f>
        <v>UN Agency</v>
      </c>
      <c r="E251" s="54" t="s">
        <v>350</v>
      </c>
      <c r="F251" s="53" t="s">
        <v>82</v>
      </c>
      <c r="G251" s="54" t="s">
        <v>400</v>
      </c>
      <c r="H251" s="28" t="str">
        <f>VLOOKUP(Main3WData[[#This Row],[Admin Unit Name]],AdminUnits[],2,FALSE)</f>
        <v>GIN005003</v>
      </c>
      <c r="I251" s="57">
        <v>0</v>
      </c>
      <c r="J251" s="67" t="str">
        <f>Main3WData[[#This Row],[Acronym]]&amp;Main3WData[[#This Row],[Sector]]&amp;Main3WData[[#This Row],[Activity Type]]&amp;Main3WData[[#This Row],[Pcode]]</f>
        <v>UNICEFCommunication/Mobilisation socialeOngoingGIN005003</v>
      </c>
      <c r="K251" s="69">
        <f>COUNTIF(Main3WData[Concatenate],Main3WData[[#This Row],[Concatenate]])</f>
        <v>1</v>
      </c>
      <c r="L251" s="61" t="str">
        <f>Main3WData[[#This Row],[Sector]]&amp;Main3WData[[#This Row],[Pcode]]</f>
        <v>Communication/Mobilisation socialeGIN005003</v>
      </c>
      <c r="M251" s="71">
        <f>COUNTIF($L$5:L251,Main3WData[[#This Row],[PT.Concat]])</f>
        <v>1</v>
      </c>
      <c r="N251" s="70">
        <f>MATCH(Main3WData[[#This Row],[PT.Concat]],$L$5:L251,0)</f>
        <v>247</v>
      </c>
      <c r="O251" s="62" t="b">
        <f>Main3WData[[#This Row],[Count PT.Concat]]=1</f>
        <v>1</v>
      </c>
      <c r="P251" s="62">
        <f t="array" ref="P251">MAX(($N$4:N250=Main3WData[[#This Row],[PT.ID]])*ROW($N$4:N250))</f>
        <v>0</v>
      </c>
      <c r="Q251" s="62" t="str">
        <f>IF(Main3WData[[#This Row],[PT.FirstID]],Main3WData[[#This Row],[Acronym]],INDEX($Q$4:Q250,Main3WData[[#This Row],[PT.LastID.Row]]-ROW($Q$4)+1) &amp; ", "&amp;Main3WData[[#This Row],[Acronym]])</f>
        <v>UNICEF</v>
      </c>
      <c r="R251" s="62" t="b">
        <f t="array" ref="R251">MAX(IF(Main3WData[PT.ID]=Main3WData[[#This Row],[PT.ID]],Main3WData[PT.LastID.Row]))=Main3WData[[#This Row],[PT.LastID.Row]]</f>
        <v>0</v>
      </c>
    </row>
    <row r="252" spans="2:18" ht="16.5" customHeight="1" x14ac:dyDescent="0.2">
      <c r="B252" s="55" t="s">
        <v>75</v>
      </c>
      <c r="C252" s="27" t="str">
        <f>INDEX(Organizations[],MATCH(Main3WData[[#This Row],[Acronym]],AcronymList,0),1)</f>
        <v>United Nations Population Fund</v>
      </c>
      <c r="D252" s="27" t="str">
        <f>INDEX(Organizations[],MATCH(Main3WData[[#This Row],[Acronym]],AcronymList,0),3)</f>
        <v>UN Agency</v>
      </c>
      <c r="E252" s="54" t="s">
        <v>350</v>
      </c>
      <c r="F252" s="53" t="s">
        <v>82</v>
      </c>
      <c r="G252" s="54" t="s">
        <v>400</v>
      </c>
      <c r="H252" s="28" t="str">
        <f>VLOOKUP(Main3WData[[#This Row],[Admin Unit Name]],AdminUnits[],2,FALSE)</f>
        <v>GIN005003</v>
      </c>
      <c r="I252" s="57">
        <v>0</v>
      </c>
      <c r="J252" s="67" t="str">
        <f>Main3WData[[#This Row],[Acronym]]&amp;Main3WData[[#This Row],[Sector]]&amp;Main3WData[[#This Row],[Activity Type]]&amp;Main3WData[[#This Row],[Pcode]]</f>
        <v>UNFPACommunication/Mobilisation socialeOngoingGIN005003</v>
      </c>
      <c r="K252" s="69">
        <f>COUNTIF(Main3WData[Concatenate],Main3WData[[#This Row],[Concatenate]])</f>
        <v>1</v>
      </c>
      <c r="L252" s="61" t="str">
        <f>Main3WData[[#This Row],[Sector]]&amp;Main3WData[[#This Row],[Pcode]]</f>
        <v>Communication/Mobilisation socialeGIN005003</v>
      </c>
      <c r="M252" s="71">
        <f>COUNTIF($L$5:L252,Main3WData[[#This Row],[PT.Concat]])</f>
        <v>2</v>
      </c>
      <c r="N252" s="70">
        <f>MATCH(Main3WData[[#This Row],[PT.Concat]],$L$5:L252,0)</f>
        <v>247</v>
      </c>
      <c r="O252" s="62" t="b">
        <f>Main3WData[[#This Row],[Count PT.Concat]]=1</f>
        <v>0</v>
      </c>
      <c r="P252" s="62">
        <f t="array" ref="P252">MAX(($N$4:N251=Main3WData[[#This Row],[PT.ID]])*ROW($N$4:N251))</f>
        <v>251</v>
      </c>
      <c r="Q252" s="62" t="str">
        <f>IF(Main3WData[[#This Row],[PT.FirstID]],Main3WData[[#This Row],[Acronym]],INDEX($Q$4:Q251,Main3WData[[#This Row],[PT.LastID.Row]]-ROW($Q$4)+1) &amp; ", "&amp;Main3WData[[#This Row],[Acronym]])</f>
        <v>UNICEF, UNFPA</v>
      </c>
      <c r="R252" s="62" t="b">
        <f t="array" ref="R252">MAX(IF(Main3WData[PT.ID]=Main3WData[[#This Row],[PT.ID]],Main3WData[PT.LastID.Row]))=Main3WData[[#This Row],[PT.LastID.Row]]</f>
        <v>0</v>
      </c>
    </row>
    <row r="253" spans="2:18" ht="16.5" customHeight="1" x14ac:dyDescent="0.2">
      <c r="B253" s="55" t="s">
        <v>473</v>
      </c>
      <c r="C253" s="27" t="str">
        <f>INDEX(Organizations[],MATCH(Main3WData[[#This Row],[Acronym]],AcronymList,0),1)</f>
        <v>United Nations Development Programme</v>
      </c>
      <c r="D253" s="27" t="str">
        <f>INDEX(Organizations[],MATCH(Main3WData[[#This Row],[Acronym]],AcronymList,0),3)</f>
        <v>UN Agency</v>
      </c>
      <c r="E253" s="54" t="s">
        <v>350</v>
      </c>
      <c r="F253" s="53" t="s">
        <v>82</v>
      </c>
      <c r="G253" s="54" t="s">
        <v>400</v>
      </c>
      <c r="H253" s="28" t="str">
        <f>VLOOKUP(Main3WData[[#This Row],[Admin Unit Name]],AdminUnits[],2,FALSE)</f>
        <v>GIN005003</v>
      </c>
      <c r="I253" s="57">
        <v>0</v>
      </c>
      <c r="J253" s="67" t="str">
        <f>Main3WData[[#This Row],[Acronym]]&amp;Main3WData[[#This Row],[Sector]]&amp;Main3WData[[#This Row],[Activity Type]]&amp;Main3WData[[#This Row],[Pcode]]</f>
        <v>UNDPCommunication/Mobilisation socialeOngoingGIN005003</v>
      </c>
      <c r="K253" s="69">
        <f>COUNTIF(Main3WData[Concatenate],Main3WData[[#This Row],[Concatenate]])</f>
        <v>1</v>
      </c>
      <c r="L253" s="61" t="str">
        <f>Main3WData[[#This Row],[Sector]]&amp;Main3WData[[#This Row],[Pcode]]</f>
        <v>Communication/Mobilisation socialeGIN005003</v>
      </c>
      <c r="M253" s="71">
        <f>COUNTIF($L$5:L253,Main3WData[[#This Row],[PT.Concat]])</f>
        <v>3</v>
      </c>
      <c r="N253" s="70">
        <f>MATCH(Main3WData[[#This Row],[PT.Concat]],$L$5:L253,0)</f>
        <v>247</v>
      </c>
      <c r="O253" s="62" t="b">
        <f>Main3WData[[#This Row],[Count PT.Concat]]=1</f>
        <v>0</v>
      </c>
      <c r="P253" s="62">
        <f t="array" ref="P253">MAX(($N$4:N252=Main3WData[[#This Row],[PT.ID]])*ROW($N$4:N252))</f>
        <v>252</v>
      </c>
      <c r="Q253" s="62" t="str">
        <f>IF(Main3WData[[#This Row],[PT.FirstID]],Main3WData[[#This Row],[Acronym]],INDEX($Q$4:Q252,Main3WData[[#This Row],[PT.LastID.Row]]-ROW($Q$4)+1) &amp; ", "&amp;Main3WData[[#This Row],[Acronym]])</f>
        <v>UNICEF, UNFPA, UNDP</v>
      </c>
      <c r="R253" s="62" t="b">
        <f t="array" ref="R253">MAX(IF(Main3WData[PT.ID]=Main3WData[[#This Row],[PT.ID]],Main3WData[PT.LastID.Row]))=Main3WData[[#This Row],[PT.LastID.Row]]</f>
        <v>0</v>
      </c>
    </row>
    <row r="254" spans="2:18" ht="16.5" customHeight="1" x14ac:dyDescent="0.2">
      <c r="B254" s="55" t="s">
        <v>72</v>
      </c>
      <c r="C254" s="27" t="str">
        <f>INDEX(Organizations[],MATCH(Main3WData[[#This Row],[Acronym]],AcronymList,0),1)</f>
        <v>PLAN</v>
      </c>
      <c r="D254" s="27" t="str">
        <f>INDEX(Organizations[],MATCH(Main3WData[[#This Row],[Acronym]],AcronymList,0),3)</f>
        <v>International Organization</v>
      </c>
      <c r="E254" s="54" t="s">
        <v>350</v>
      </c>
      <c r="F254" s="53" t="s">
        <v>82</v>
      </c>
      <c r="G254" s="54" t="s">
        <v>400</v>
      </c>
      <c r="H254" s="28" t="str">
        <f>VLOOKUP(Main3WData[[#This Row],[Admin Unit Name]],AdminUnits[],2,FALSE)</f>
        <v>GIN005003</v>
      </c>
      <c r="I254" s="57">
        <v>0</v>
      </c>
      <c r="J254" s="67" t="str">
        <f>Main3WData[[#This Row],[Acronym]]&amp;Main3WData[[#This Row],[Sector]]&amp;Main3WData[[#This Row],[Activity Type]]&amp;Main3WData[[#This Row],[Pcode]]</f>
        <v>PLANCommunication/Mobilisation socialeOngoingGIN005003</v>
      </c>
      <c r="K254" s="69">
        <f>COUNTIF(Main3WData[Concatenate],Main3WData[[#This Row],[Concatenate]])</f>
        <v>1</v>
      </c>
      <c r="L254" s="61" t="str">
        <f>Main3WData[[#This Row],[Sector]]&amp;Main3WData[[#This Row],[Pcode]]</f>
        <v>Communication/Mobilisation socialeGIN005003</v>
      </c>
      <c r="M254" s="71">
        <f>COUNTIF($L$5:L254,Main3WData[[#This Row],[PT.Concat]])</f>
        <v>4</v>
      </c>
      <c r="N254" s="70">
        <f>MATCH(Main3WData[[#This Row],[PT.Concat]],$L$5:L254,0)</f>
        <v>247</v>
      </c>
      <c r="O254" s="62" t="b">
        <f>Main3WData[[#This Row],[Count PT.Concat]]=1</f>
        <v>0</v>
      </c>
      <c r="P254" s="62">
        <f t="array" ref="P254">MAX(($N$4:N253=Main3WData[[#This Row],[PT.ID]])*ROW($N$4:N253))</f>
        <v>253</v>
      </c>
      <c r="Q254" s="62" t="str">
        <f>IF(Main3WData[[#This Row],[PT.FirstID]],Main3WData[[#This Row],[Acronym]],INDEX($Q$4:Q253,Main3WData[[#This Row],[PT.LastID.Row]]-ROW($Q$4)+1) &amp; ", "&amp;Main3WData[[#This Row],[Acronym]])</f>
        <v>UNICEF, UNFPA, UNDP, PLAN</v>
      </c>
      <c r="R254" s="62" t="b">
        <f t="array" ref="R254">MAX(IF(Main3WData[PT.ID]=Main3WData[[#This Row],[PT.ID]],Main3WData[PT.LastID.Row]))=Main3WData[[#This Row],[PT.LastID.Row]]</f>
        <v>0</v>
      </c>
    </row>
    <row r="255" spans="2:18" ht="16.5" customHeight="1" x14ac:dyDescent="0.2">
      <c r="B255" s="55" t="s">
        <v>512</v>
      </c>
      <c r="C255" s="27" t="str">
        <f>INDEX(Organizations[],MATCH(Main3WData[[#This Row],[Acronym]],AcronymList,0),1)</f>
        <v>World Health Organization</v>
      </c>
      <c r="D255" s="27" t="str">
        <f>INDEX(Organizations[],MATCH(Main3WData[[#This Row],[Acronym]],AcronymList,0),3)</f>
        <v>UN Agency</v>
      </c>
      <c r="E255" s="54" t="s">
        <v>350</v>
      </c>
      <c r="F255" s="53" t="s">
        <v>82</v>
      </c>
      <c r="G255" s="54" t="s">
        <v>400</v>
      </c>
      <c r="H255" s="28" t="str">
        <f>VLOOKUP(Main3WData[[#This Row],[Admin Unit Name]],AdminUnits[],2,FALSE)</f>
        <v>GIN005003</v>
      </c>
      <c r="I255" s="57">
        <v>0</v>
      </c>
      <c r="J255" s="67" t="str">
        <f>Main3WData[[#This Row],[Acronym]]&amp;Main3WData[[#This Row],[Sector]]&amp;Main3WData[[#This Row],[Activity Type]]&amp;Main3WData[[#This Row],[Pcode]]</f>
        <v>OMSCommunication/Mobilisation socialeOngoingGIN005003</v>
      </c>
      <c r="K255" s="69">
        <f>COUNTIF(Main3WData[Concatenate],Main3WData[[#This Row],[Concatenate]])</f>
        <v>1</v>
      </c>
      <c r="L255" s="61" t="str">
        <f>Main3WData[[#This Row],[Sector]]&amp;Main3WData[[#This Row],[Pcode]]</f>
        <v>Communication/Mobilisation socialeGIN005003</v>
      </c>
      <c r="M255" s="71">
        <f>COUNTIF($L$5:L255,Main3WData[[#This Row],[PT.Concat]])</f>
        <v>5</v>
      </c>
      <c r="N255" s="70">
        <f>MATCH(Main3WData[[#This Row],[PT.Concat]],$L$5:L255,0)</f>
        <v>247</v>
      </c>
      <c r="O255" s="62" t="b">
        <f>Main3WData[[#This Row],[Count PT.Concat]]=1</f>
        <v>0</v>
      </c>
      <c r="P255" s="62">
        <f t="array" ref="P255">MAX(($N$4:N254=Main3WData[[#This Row],[PT.ID]])*ROW($N$4:N254))</f>
        <v>254</v>
      </c>
      <c r="Q255" s="62" t="str">
        <f>IF(Main3WData[[#This Row],[PT.FirstID]],Main3WData[[#This Row],[Acronym]],INDEX($Q$4:Q254,Main3WData[[#This Row],[PT.LastID.Row]]-ROW($Q$4)+1) &amp; ", "&amp;Main3WData[[#This Row],[Acronym]])</f>
        <v>UNICEF, UNFPA, UNDP, PLAN, OMS</v>
      </c>
      <c r="R255" s="62" t="b">
        <f t="array" ref="R255">MAX(IF(Main3WData[PT.ID]=Main3WData[[#This Row],[PT.ID]],Main3WData[PT.LastID.Row]))=Main3WData[[#This Row],[PT.LastID.Row]]</f>
        <v>0</v>
      </c>
    </row>
    <row r="256" spans="2:18" ht="16.5" customHeight="1" x14ac:dyDescent="0.2">
      <c r="B256" s="55" t="s">
        <v>499</v>
      </c>
      <c r="C256" s="27" t="str">
        <f>INDEX(Organizations[],MATCH(Main3WData[[#This Row],[Acronym]],AcronymList,0),1)</f>
        <v>Croix-Rouge Guinée/Fédération internationale de la Croix-Rouge</v>
      </c>
      <c r="D256" s="27" t="str">
        <f>INDEX(Organizations[],MATCH(Main3WData[[#This Row],[Acronym]],AcronymList,0),3)</f>
        <v>International Organization</v>
      </c>
      <c r="E256" s="54" t="s">
        <v>350</v>
      </c>
      <c r="F256" s="53" t="s">
        <v>82</v>
      </c>
      <c r="G256" s="54" t="s">
        <v>400</v>
      </c>
      <c r="H256" s="28" t="str">
        <f>VLOOKUP(Main3WData[[#This Row],[Admin Unit Name]],AdminUnits[],2,FALSE)</f>
        <v>GIN005003</v>
      </c>
      <c r="I256" s="57">
        <v>0</v>
      </c>
      <c r="J256" s="67" t="str">
        <f>Main3WData[[#This Row],[Acronym]]&amp;Main3WData[[#This Row],[Sector]]&amp;Main3WData[[#This Row],[Activity Type]]&amp;Main3WData[[#This Row],[Pcode]]</f>
        <v>CRG/FICRCommunication/Mobilisation socialeOngoingGIN005003</v>
      </c>
      <c r="K256" s="69">
        <f>COUNTIF(Main3WData[Concatenate],Main3WData[[#This Row],[Concatenate]])</f>
        <v>1</v>
      </c>
      <c r="L256" s="61" t="str">
        <f>Main3WData[[#This Row],[Sector]]&amp;Main3WData[[#This Row],[Pcode]]</f>
        <v>Communication/Mobilisation socialeGIN005003</v>
      </c>
      <c r="M256" s="71">
        <f>COUNTIF($L$5:L256,Main3WData[[#This Row],[PT.Concat]])</f>
        <v>6</v>
      </c>
      <c r="N256" s="70">
        <f>MATCH(Main3WData[[#This Row],[PT.Concat]],$L$5:L256,0)</f>
        <v>247</v>
      </c>
      <c r="O256" s="62" t="b">
        <f>Main3WData[[#This Row],[Count PT.Concat]]=1</f>
        <v>0</v>
      </c>
      <c r="P256" s="62">
        <f t="array" ref="P256">MAX(($N$4:N255=Main3WData[[#This Row],[PT.ID]])*ROW($N$4:N255))</f>
        <v>255</v>
      </c>
      <c r="Q256" s="62" t="str">
        <f>IF(Main3WData[[#This Row],[PT.FirstID]],Main3WData[[#This Row],[Acronym]],INDEX($Q$4:Q255,Main3WData[[#This Row],[PT.LastID.Row]]-ROW($Q$4)+1) &amp; ", "&amp;Main3WData[[#This Row],[Acronym]])</f>
        <v>UNICEF, UNFPA, UNDP, PLAN, OMS, CRG/FICR</v>
      </c>
      <c r="R256" s="62" t="b">
        <f t="array" ref="R256">MAX(IF(Main3WData[PT.ID]=Main3WData[[#This Row],[PT.ID]],Main3WData[PT.LastID.Row]))=Main3WData[[#This Row],[PT.LastID.Row]]</f>
        <v>1</v>
      </c>
    </row>
    <row r="257" spans="2:18" ht="16.5" customHeight="1" x14ac:dyDescent="0.2">
      <c r="B257" s="55" t="s">
        <v>516</v>
      </c>
      <c r="C257" s="27" t="str">
        <f>INDEX(Organizations[],MATCH(Main3WData[[#This Row],[Acronym]],AcronymList,0),1)</f>
        <v>UNITED NATION MISSION FOR EBOLA  EMERGENCY RESPONSE</v>
      </c>
      <c r="D257" s="27" t="str">
        <f>INDEX(Organizations[],MATCH(Main3WData[[#This Row],[Acronym]],AcronymList,0),3)</f>
        <v>UN Agency</v>
      </c>
      <c r="E257" s="54" t="s">
        <v>360</v>
      </c>
      <c r="F257" s="53" t="s">
        <v>82</v>
      </c>
      <c r="G257" s="54" t="s">
        <v>400</v>
      </c>
      <c r="H257" s="28" t="str">
        <f>VLOOKUP(Main3WData[[#This Row],[Admin Unit Name]],AdminUnits[],2,FALSE)</f>
        <v>GIN005003</v>
      </c>
      <c r="I257" s="57">
        <v>0</v>
      </c>
      <c r="J257" s="67" t="str">
        <f>Main3WData[[#This Row],[Acronym]]&amp;Main3WData[[#This Row],[Sector]]&amp;Main3WData[[#This Row],[Activity Type]]&amp;Main3WData[[#This Row],[Pcode]]</f>
        <v>UNMEERCoordinationOngoingGIN005003</v>
      </c>
      <c r="K257" s="69">
        <f>COUNTIF(Main3WData[Concatenate],Main3WData[[#This Row],[Concatenate]])</f>
        <v>1</v>
      </c>
      <c r="L257" s="61" t="str">
        <f>Main3WData[[#This Row],[Sector]]&amp;Main3WData[[#This Row],[Pcode]]</f>
        <v>CoordinationGIN005003</v>
      </c>
      <c r="M257" s="71">
        <f>COUNTIF($L$5:L257,Main3WData[[#This Row],[PT.Concat]])</f>
        <v>1</v>
      </c>
      <c r="N257" s="70">
        <f>MATCH(Main3WData[[#This Row],[PT.Concat]],$L$5:L257,0)</f>
        <v>253</v>
      </c>
      <c r="O257" s="62" t="b">
        <f>Main3WData[[#This Row],[Count PT.Concat]]=1</f>
        <v>1</v>
      </c>
      <c r="P257" s="62">
        <f t="array" ref="P257">MAX(($N$4:N256=Main3WData[[#This Row],[PT.ID]])*ROW($N$4:N256))</f>
        <v>0</v>
      </c>
      <c r="Q257" s="62" t="str">
        <f>IF(Main3WData[[#This Row],[PT.FirstID]],Main3WData[[#This Row],[Acronym]],INDEX($Q$4:Q256,Main3WData[[#This Row],[PT.LastID.Row]]-ROW($Q$4)+1) &amp; ", "&amp;Main3WData[[#This Row],[Acronym]])</f>
        <v>UNMEER</v>
      </c>
      <c r="R257" s="62" t="b">
        <f t="array" ref="R257">MAX(IF(Main3WData[PT.ID]=Main3WData[[#This Row],[PT.ID]],Main3WData[PT.LastID.Row]))=Main3WData[[#This Row],[PT.LastID.Row]]</f>
        <v>0</v>
      </c>
    </row>
    <row r="258" spans="2:18" ht="16.5" customHeight="1" x14ac:dyDescent="0.2">
      <c r="B258" s="55" t="s">
        <v>75</v>
      </c>
      <c r="C258" s="27" t="str">
        <f>INDEX(Organizations[],MATCH(Main3WData[[#This Row],[Acronym]],AcronymList,0),1)</f>
        <v>United Nations Population Fund</v>
      </c>
      <c r="D258" s="27" t="str">
        <f>INDEX(Organizations[],MATCH(Main3WData[[#This Row],[Acronym]],AcronymList,0),3)</f>
        <v>UN Agency</v>
      </c>
      <c r="E258" s="54" t="s">
        <v>360</v>
      </c>
      <c r="F258" s="53" t="s">
        <v>82</v>
      </c>
      <c r="G258" s="54" t="s">
        <v>400</v>
      </c>
      <c r="H258" s="28" t="str">
        <f>VLOOKUP(Main3WData[[#This Row],[Admin Unit Name]],AdminUnits[],2,FALSE)</f>
        <v>GIN005003</v>
      </c>
      <c r="I258" s="57">
        <v>0</v>
      </c>
      <c r="J258" s="67" t="str">
        <f>Main3WData[[#This Row],[Acronym]]&amp;Main3WData[[#This Row],[Sector]]&amp;Main3WData[[#This Row],[Activity Type]]&amp;Main3WData[[#This Row],[Pcode]]</f>
        <v>UNFPACoordinationOngoingGIN005003</v>
      </c>
      <c r="K258" s="69">
        <f>COUNTIF(Main3WData[Concatenate],Main3WData[[#This Row],[Concatenate]])</f>
        <v>1</v>
      </c>
      <c r="L258" s="61" t="str">
        <f>Main3WData[[#This Row],[Sector]]&amp;Main3WData[[#This Row],[Pcode]]</f>
        <v>CoordinationGIN005003</v>
      </c>
      <c r="M258" s="71">
        <f>COUNTIF($L$5:L258,Main3WData[[#This Row],[PT.Concat]])</f>
        <v>2</v>
      </c>
      <c r="N258" s="70">
        <f>MATCH(Main3WData[[#This Row],[PT.Concat]],$L$5:L258,0)</f>
        <v>253</v>
      </c>
      <c r="O258" s="62" t="b">
        <f>Main3WData[[#This Row],[Count PT.Concat]]=1</f>
        <v>0</v>
      </c>
      <c r="P258" s="62">
        <f t="array" ref="P258">MAX(($N$4:N257=Main3WData[[#This Row],[PT.ID]])*ROW($N$4:N257))</f>
        <v>257</v>
      </c>
      <c r="Q258" s="62" t="str">
        <f>IF(Main3WData[[#This Row],[PT.FirstID]],Main3WData[[#This Row],[Acronym]],INDEX($Q$4:Q257,Main3WData[[#This Row],[PT.LastID.Row]]-ROW($Q$4)+1) &amp; ", "&amp;Main3WData[[#This Row],[Acronym]])</f>
        <v>UNMEER, UNFPA</v>
      </c>
      <c r="R258" s="62" t="b">
        <f t="array" ref="R258">MAX(IF(Main3WData[PT.ID]=Main3WData[[#This Row],[PT.ID]],Main3WData[PT.LastID.Row]))=Main3WData[[#This Row],[PT.LastID.Row]]</f>
        <v>0</v>
      </c>
    </row>
    <row r="259" spans="2:18" ht="16.5" customHeight="1" x14ac:dyDescent="0.2">
      <c r="B259" s="55" t="s">
        <v>473</v>
      </c>
      <c r="C259" s="27" t="str">
        <f>INDEX(Organizations[],MATCH(Main3WData[[#This Row],[Acronym]],AcronymList,0),1)</f>
        <v>United Nations Development Programme</v>
      </c>
      <c r="D259" s="27" t="str">
        <f>INDEX(Organizations[],MATCH(Main3WData[[#This Row],[Acronym]],AcronymList,0),3)</f>
        <v>UN Agency</v>
      </c>
      <c r="E259" s="54" t="s">
        <v>360</v>
      </c>
      <c r="F259" s="53" t="s">
        <v>82</v>
      </c>
      <c r="G259" s="54" t="s">
        <v>400</v>
      </c>
      <c r="H259" s="28" t="str">
        <f>VLOOKUP(Main3WData[[#This Row],[Admin Unit Name]],AdminUnits[],2,FALSE)</f>
        <v>GIN005003</v>
      </c>
      <c r="I259" s="57">
        <v>0</v>
      </c>
      <c r="J259" s="67" t="str">
        <f>Main3WData[[#This Row],[Acronym]]&amp;Main3WData[[#This Row],[Sector]]&amp;Main3WData[[#This Row],[Activity Type]]&amp;Main3WData[[#This Row],[Pcode]]</f>
        <v>UNDPCoordinationOngoingGIN005003</v>
      </c>
      <c r="K259" s="69">
        <f>COUNTIF(Main3WData[Concatenate],Main3WData[[#This Row],[Concatenate]])</f>
        <v>1</v>
      </c>
      <c r="L259" s="61" t="str">
        <f>Main3WData[[#This Row],[Sector]]&amp;Main3WData[[#This Row],[Pcode]]</f>
        <v>CoordinationGIN005003</v>
      </c>
      <c r="M259" s="71">
        <f>COUNTIF($L$5:L259,Main3WData[[#This Row],[PT.Concat]])</f>
        <v>3</v>
      </c>
      <c r="N259" s="70">
        <f>MATCH(Main3WData[[#This Row],[PT.Concat]],$L$5:L259,0)</f>
        <v>253</v>
      </c>
      <c r="O259" s="62" t="b">
        <f>Main3WData[[#This Row],[Count PT.Concat]]=1</f>
        <v>0</v>
      </c>
      <c r="P259" s="62">
        <f t="array" ref="P259">MAX(($N$4:N258=Main3WData[[#This Row],[PT.ID]])*ROW($N$4:N258))</f>
        <v>258</v>
      </c>
      <c r="Q259" s="62" t="str">
        <f>IF(Main3WData[[#This Row],[PT.FirstID]],Main3WData[[#This Row],[Acronym]],INDEX($Q$4:Q258,Main3WData[[#This Row],[PT.LastID.Row]]-ROW($Q$4)+1) &amp; ", "&amp;Main3WData[[#This Row],[Acronym]])</f>
        <v>UNMEER, UNFPA, UNDP</v>
      </c>
      <c r="R259" s="62" t="b">
        <f t="array" ref="R259">MAX(IF(Main3WData[PT.ID]=Main3WData[[#This Row],[PT.ID]],Main3WData[PT.LastID.Row]))=Main3WData[[#This Row],[PT.LastID.Row]]</f>
        <v>0</v>
      </c>
    </row>
    <row r="260" spans="2:18" ht="16.5" customHeight="1" x14ac:dyDescent="0.2">
      <c r="B260" s="55" t="s">
        <v>512</v>
      </c>
      <c r="C260" s="27" t="str">
        <f>INDEX(Organizations[],MATCH(Main3WData[[#This Row],[Acronym]],AcronymList,0),1)</f>
        <v>World Health Organization</v>
      </c>
      <c r="D260" s="27" t="str">
        <f>INDEX(Organizations[],MATCH(Main3WData[[#This Row],[Acronym]],AcronymList,0),3)</f>
        <v>UN Agency</v>
      </c>
      <c r="E260" s="54" t="s">
        <v>360</v>
      </c>
      <c r="F260" s="53" t="s">
        <v>82</v>
      </c>
      <c r="G260" s="54" t="s">
        <v>400</v>
      </c>
      <c r="H260" s="28" t="str">
        <f>VLOOKUP(Main3WData[[#This Row],[Admin Unit Name]],AdminUnits[],2,FALSE)</f>
        <v>GIN005003</v>
      </c>
      <c r="I260" s="57">
        <v>0</v>
      </c>
      <c r="J260" s="67" t="str">
        <f>Main3WData[[#This Row],[Acronym]]&amp;Main3WData[[#This Row],[Sector]]&amp;Main3WData[[#This Row],[Activity Type]]&amp;Main3WData[[#This Row],[Pcode]]</f>
        <v>OMSCoordinationOngoingGIN005003</v>
      </c>
      <c r="K260" s="69">
        <f>COUNTIF(Main3WData[Concatenate],Main3WData[[#This Row],[Concatenate]])</f>
        <v>1</v>
      </c>
      <c r="L260" s="61" t="str">
        <f>Main3WData[[#This Row],[Sector]]&amp;Main3WData[[#This Row],[Pcode]]</f>
        <v>CoordinationGIN005003</v>
      </c>
      <c r="M260" s="71">
        <f>COUNTIF($L$5:L260,Main3WData[[#This Row],[PT.Concat]])</f>
        <v>4</v>
      </c>
      <c r="N260" s="70">
        <f>MATCH(Main3WData[[#This Row],[PT.Concat]],$L$5:L260,0)</f>
        <v>253</v>
      </c>
      <c r="O260" s="62" t="b">
        <f>Main3WData[[#This Row],[Count PT.Concat]]=1</f>
        <v>0</v>
      </c>
      <c r="P260" s="62">
        <f t="array" ref="P260">MAX(($N$4:N259=Main3WData[[#This Row],[PT.ID]])*ROW($N$4:N259))</f>
        <v>259</v>
      </c>
      <c r="Q260" s="62" t="str">
        <f>IF(Main3WData[[#This Row],[PT.FirstID]],Main3WData[[#This Row],[Acronym]],INDEX($Q$4:Q259,Main3WData[[#This Row],[PT.LastID.Row]]-ROW($Q$4)+1) &amp; ", "&amp;Main3WData[[#This Row],[Acronym]])</f>
        <v>UNMEER, UNFPA, UNDP, OMS</v>
      </c>
      <c r="R260" s="62" t="b">
        <f t="array" ref="R260">MAX(IF(Main3WData[PT.ID]=Main3WData[[#This Row],[PT.ID]],Main3WData[PT.LastID.Row]))=Main3WData[[#This Row],[PT.LastID.Row]]</f>
        <v>0</v>
      </c>
    </row>
    <row r="261" spans="2:18" ht="16.5" customHeight="1" x14ac:dyDescent="0.2">
      <c r="B261" s="55" t="s">
        <v>71</v>
      </c>
      <c r="C261" s="27" t="str">
        <f>INDEX(Organizations[],MATCH(Main3WData[[#This Row],[Acronym]],AcronymList,0),1)</f>
        <v>Medecins sans Frontieres</v>
      </c>
      <c r="D261" s="27" t="str">
        <f>INDEX(Organizations[],MATCH(Main3WData[[#This Row],[Acronym]],AcronymList,0),3)</f>
        <v>International NGO</v>
      </c>
      <c r="E261" s="54" t="s">
        <v>360</v>
      </c>
      <c r="F261" s="53" t="s">
        <v>82</v>
      </c>
      <c r="G261" s="54" t="s">
        <v>400</v>
      </c>
      <c r="H261" s="28" t="str">
        <f>VLOOKUP(Main3WData[[#This Row],[Admin Unit Name]],AdminUnits[],2,FALSE)</f>
        <v>GIN005003</v>
      </c>
      <c r="I261" s="57">
        <v>0</v>
      </c>
      <c r="J261" s="67" t="str">
        <f>Main3WData[[#This Row],[Acronym]]&amp;Main3WData[[#This Row],[Sector]]&amp;Main3WData[[#This Row],[Activity Type]]&amp;Main3WData[[#This Row],[Pcode]]</f>
        <v>MSFCoordinationOngoingGIN005003</v>
      </c>
      <c r="K261" s="69">
        <f>COUNTIF(Main3WData[Concatenate],Main3WData[[#This Row],[Concatenate]])</f>
        <v>1</v>
      </c>
      <c r="L261" s="61" t="str">
        <f>Main3WData[[#This Row],[Sector]]&amp;Main3WData[[#This Row],[Pcode]]</f>
        <v>CoordinationGIN005003</v>
      </c>
      <c r="M261" s="71">
        <f>COUNTIF($L$5:L261,Main3WData[[#This Row],[PT.Concat]])</f>
        <v>5</v>
      </c>
      <c r="N261" s="70">
        <f>MATCH(Main3WData[[#This Row],[PT.Concat]],$L$5:L261,0)</f>
        <v>253</v>
      </c>
      <c r="O261" s="62" t="b">
        <f>Main3WData[[#This Row],[Count PT.Concat]]=1</f>
        <v>0</v>
      </c>
      <c r="P261" s="62">
        <f t="array" ref="P261">MAX(($N$4:N260=Main3WData[[#This Row],[PT.ID]])*ROW($N$4:N260))</f>
        <v>260</v>
      </c>
      <c r="Q261" s="62" t="str">
        <f>IF(Main3WData[[#This Row],[PT.FirstID]],Main3WData[[#This Row],[Acronym]],INDEX($Q$4:Q260,Main3WData[[#This Row],[PT.LastID.Row]]-ROW($Q$4)+1) &amp; ", "&amp;Main3WData[[#This Row],[Acronym]])</f>
        <v>UNMEER, UNFPA, UNDP, OMS, MSF</v>
      </c>
      <c r="R261" s="62" t="b">
        <f t="array" ref="R261">MAX(IF(Main3WData[PT.ID]=Main3WData[[#This Row],[PT.ID]],Main3WData[PT.LastID.Row]))=Main3WData[[#This Row],[PT.LastID.Row]]</f>
        <v>0</v>
      </c>
    </row>
    <row r="262" spans="2:18" ht="16.5" customHeight="1" x14ac:dyDescent="0.2">
      <c r="B262" s="55" t="s">
        <v>507</v>
      </c>
      <c r="C262" s="27" t="str">
        <f>INDEX(Organizations[],MATCH(Main3WData[[#This Row],[Acronym]],AcronymList,0),1)</f>
        <v>eHealth Africa</v>
      </c>
      <c r="D262" s="27" t="str">
        <f>INDEX(Organizations[],MATCH(Main3WData[[#This Row],[Acronym]],AcronymList,0),3)</f>
        <v>International Organization</v>
      </c>
      <c r="E262" s="54" t="s">
        <v>360</v>
      </c>
      <c r="F262" s="53" t="s">
        <v>82</v>
      </c>
      <c r="G262" s="54" t="s">
        <v>400</v>
      </c>
      <c r="H262" s="28" t="str">
        <f>VLOOKUP(Main3WData[[#This Row],[Admin Unit Name]],AdminUnits[],2,FALSE)</f>
        <v>GIN005003</v>
      </c>
      <c r="I262" s="57">
        <v>0</v>
      </c>
      <c r="J262" s="67" t="str">
        <f>Main3WData[[#This Row],[Acronym]]&amp;Main3WData[[#This Row],[Sector]]&amp;Main3WData[[#This Row],[Activity Type]]&amp;Main3WData[[#This Row],[Pcode]]</f>
        <v>eHealth AfricaCoordinationOngoingGIN005003</v>
      </c>
      <c r="K262" s="69">
        <f>COUNTIF(Main3WData[Concatenate],Main3WData[[#This Row],[Concatenate]])</f>
        <v>1</v>
      </c>
      <c r="L262" s="61" t="str">
        <f>Main3WData[[#This Row],[Sector]]&amp;Main3WData[[#This Row],[Pcode]]</f>
        <v>CoordinationGIN005003</v>
      </c>
      <c r="M262" s="71">
        <f>COUNTIF($L$5:L262,Main3WData[[#This Row],[PT.Concat]])</f>
        <v>6</v>
      </c>
      <c r="N262" s="70">
        <f>MATCH(Main3WData[[#This Row],[PT.Concat]],$L$5:L262,0)</f>
        <v>253</v>
      </c>
      <c r="O262" s="62" t="b">
        <f>Main3WData[[#This Row],[Count PT.Concat]]=1</f>
        <v>0</v>
      </c>
      <c r="P262" s="62">
        <f t="array" ref="P262">MAX(($N$4:N261=Main3WData[[#This Row],[PT.ID]])*ROW($N$4:N261))</f>
        <v>261</v>
      </c>
      <c r="Q262" s="62" t="str">
        <f>IF(Main3WData[[#This Row],[PT.FirstID]],Main3WData[[#This Row],[Acronym]],INDEX($Q$4:Q261,Main3WData[[#This Row],[PT.LastID.Row]]-ROW($Q$4)+1) &amp; ", "&amp;Main3WData[[#This Row],[Acronym]])</f>
        <v>UNMEER, UNFPA, UNDP, OMS, MSF, eHealth Africa</v>
      </c>
      <c r="R262" s="62" t="b">
        <f t="array" ref="R262">MAX(IF(Main3WData[PT.ID]=Main3WData[[#This Row],[PT.ID]],Main3WData[PT.LastID.Row]))=Main3WData[[#This Row],[PT.LastID.Row]]</f>
        <v>1</v>
      </c>
    </row>
    <row r="263" spans="2:18" ht="16.5" customHeight="1" x14ac:dyDescent="0.2">
      <c r="B263" s="55" t="s">
        <v>473</v>
      </c>
      <c r="C263" s="27" t="str">
        <f>INDEX(Organizations[],MATCH(Main3WData[[#This Row],[Acronym]],AcronymList,0),1)</f>
        <v>United Nations Development Programme</v>
      </c>
      <c r="D263" s="27" t="str">
        <f>INDEX(Organizations[],MATCH(Main3WData[[#This Row],[Acronym]],AcronymList,0),3)</f>
        <v>UN Agency</v>
      </c>
      <c r="E263" s="54" t="s">
        <v>359</v>
      </c>
      <c r="F263" s="53" t="s">
        <v>82</v>
      </c>
      <c r="G263" s="54" t="s">
        <v>400</v>
      </c>
      <c r="H263" s="28" t="str">
        <f>VLOOKUP(Main3WData[[#This Row],[Admin Unit Name]],AdminUnits[],2,FALSE)</f>
        <v>GIN005003</v>
      </c>
      <c r="I263" s="57">
        <v>0</v>
      </c>
      <c r="J263" s="67" t="str">
        <f>Main3WData[[#This Row],[Acronym]]&amp;Main3WData[[#This Row],[Sector]]&amp;Main3WData[[#This Row],[Activity Type]]&amp;Main3WData[[#This Row],[Pcode]]</f>
        <v>UNDPFinanceOngoingGIN005003</v>
      </c>
      <c r="K263" s="69">
        <f>COUNTIF(Main3WData[Concatenate],Main3WData[[#This Row],[Concatenate]])</f>
        <v>1</v>
      </c>
      <c r="L263" s="61" t="str">
        <f>Main3WData[[#This Row],[Sector]]&amp;Main3WData[[#This Row],[Pcode]]</f>
        <v>FinanceGIN005003</v>
      </c>
      <c r="M263" s="71">
        <f>COUNTIF($L$5:L263,Main3WData[[#This Row],[PT.Concat]])</f>
        <v>1</v>
      </c>
      <c r="N263" s="70">
        <f>MATCH(Main3WData[[#This Row],[PT.Concat]],$L$5:L263,0)</f>
        <v>259</v>
      </c>
      <c r="O263" s="62" t="b">
        <f>Main3WData[[#This Row],[Count PT.Concat]]=1</f>
        <v>1</v>
      </c>
      <c r="P263" s="62">
        <f t="array" ref="P263">MAX(($N$4:N262=Main3WData[[#This Row],[PT.ID]])*ROW($N$4:N262))</f>
        <v>0</v>
      </c>
      <c r="Q263" s="62" t="str">
        <f>IF(Main3WData[[#This Row],[PT.FirstID]],Main3WData[[#This Row],[Acronym]],INDEX($Q$4:Q262,Main3WData[[#This Row],[PT.LastID.Row]]-ROW($Q$4)+1) &amp; ", "&amp;Main3WData[[#This Row],[Acronym]])</f>
        <v>UNDP</v>
      </c>
      <c r="R263" s="62" t="b">
        <f t="array" ref="R263">MAX(IF(Main3WData[PT.ID]=Main3WData[[#This Row],[PT.ID]],Main3WData[PT.LastID.Row]))=Main3WData[[#This Row],[PT.LastID.Row]]</f>
        <v>1</v>
      </c>
    </row>
    <row r="264" spans="2:18" ht="16.5" customHeight="1" x14ac:dyDescent="0.2">
      <c r="B264" s="55" t="s">
        <v>451</v>
      </c>
      <c r="C264" s="27" t="str">
        <f>INDEX(Organizations[],MATCH(Main3WData[[#This Row],[Acronym]],AcronymList,0),1)</f>
        <v>Croix-Rouge Guinée</v>
      </c>
      <c r="D264" s="27" t="str">
        <f>INDEX(Organizations[],MATCH(Main3WData[[#This Row],[Acronym]],AcronymList,0),3)</f>
        <v>Red Cross Movement</v>
      </c>
      <c r="E264" s="54" t="s">
        <v>354</v>
      </c>
      <c r="F264" s="53" t="s">
        <v>82</v>
      </c>
      <c r="G264" s="54" t="s">
        <v>400</v>
      </c>
      <c r="H264" s="28" t="str">
        <f>VLOOKUP(Main3WData[[#This Row],[Admin Unit Name]],AdminUnits[],2,FALSE)</f>
        <v>GIN005003</v>
      </c>
      <c r="I264" s="57">
        <v>0</v>
      </c>
      <c r="J264" s="67" t="str">
        <f>Main3WData[[#This Row],[Acronym]]&amp;Main3WData[[#This Row],[Sector]]&amp;Main3WData[[#This Row],[Activity Type]]&amp;Main3WData[[#This Row],[Pcode]]</f>
        <v>CRGGestion des corps et desinfectionOngoingGIN005003</v>
      </c>
      <c r="K264" s="69">
        <f>COUNTIF(Main3WData[Concatenate],Main3WData[[#This Row],[Concatenate]])</f>
        <v>1</v>
      </c>
      <c r="L264" s="61" t="str">
        <f>Main3WData[[#This Row],[Sector]]&amp;Main3WData[[#This Row],[Pcode]]</f>
        <v>Gestion des corps et desinfectionGIN005003</v>
      </c>
      <c r="M264" s="71">
        <f>COUNTIF($L$5:L264,Main3WData[[#This Row],[PT.Concat]])</f>
        <v>1</v>
      </c>
      <c r="N264" s="70">
        <f>MATCH(Main3WData[[#This Row],[PT.Concat]],$L$5:L264,0)</f>
        <v>260</v>
      </c>
      <c r="O264" s="62" t="b">
        <f>Main3WData[[#This Row],[Count PT.Concat]]=1</f>
        <v>1</v>
      </c>
      <c r="P264" s="62">
        <f t="array" ref="P264">MAX(($N$4:N263=Main3WData[[#This Row],[PT.ID]])*ROW($N$4:N263))</f>
        <v>0</v>
      </c>
      <c r="Q264" s="62" t="str">
        <f>IF(Main3WData[[#This Row],[PT.FirstID]],Main3WData[[#This Row],[Acronym]],INDEX($Q$4:Q263,Main3WData[[#This Row],[PT.LastID.Row]]-ROW($Q$4)+1) &amp; ", "&amp;Main3WData[[#This Row],[Acronym]])</f>
        <v>CRG</v>
      </c>
      <c r="R264" s="62" t="b">
        <f t="array" ref="R264">MAX(IF(Main3WData[PT.ID]=Main3WData[[#This Row],[PT.ID]],Main3WData[PT.LastID.Row]))=Main3WData[[#This Row],[PT.LastID.Row]]</f>
        <v>1</v>
      </c>
    </row>
    <row r="265" spans="2:18" ht="16.5" customHeight="1" x14ac:dyDescent="0.2">
      <c r="B265" s="55" t="s">
        <v>516</v>
      </c>
      <c r="C265" s="27" t="str">
        <f>INDEX(Organizations[],MATCH(Main3WData[[#This Row],[Acronym]],AcronymList,0),1)</f>
        <v>UNITED NATION MISSION FOR EBOLA  EMERGENCY RESPONSE</v>
      </c>
      <c r="D265" s="27" t="str">
        <f>INDEX(Organizations[],MATCH(Main3WData[[#This Row],[Acronym]],AcronymList,0),3)</f>
        <v>UN Agency</v>
      </c>
      <c r="E265" s="54" t="s">
        <v>356</v>
      </c>
      <c r="F265" s="53" t="s">
        <v>82</v>
      </c>
      <c r="G265" s="54" t="s">
        <v>400</v>
      </c>
      <c r="H265" s="28" t="str">
        <f>VLOOKUP(Main3WData[[#This Row],[Admin Unit Name]],AdminUnits[],2,FALSE)</f>
        <v>GIN005003</v>
      </c>
      <c r="I265" s="57">
        <v>0</v>
      </c>
      <c r="J265" s="67" t="str">
        <f>Main3WData[[#This Row],[Acronym]]&amp;Main3WData[[#This Row],[Sector]]&amp;Main3WData[[#This Row],[Activity Type]]&amp;Main3WData[[#This Row],[Pcode]]</f>
        <v>UNMEERGestion des donnéesOngoingGIN005003</v>
      </c>
      <c r="K265" s="69">
        <f>COUNTIF(Main3WData[Concatenate],Main3WData[[#This Row],[Concatenate]])</f>
        <v>1</v>
      </c>
      <c r="L265" s="61" t="str">
        <f>Main3WData[[#This Row],[Sector]]&amp;Main3WData[[#This Row],[Pcode]]</f>
        <v>Gestion des donnéesGIN005003</v>
      </c>
      <c r="M265" s="71">
        <f>COUNTIF($L$5:L265,Main3WData[[#This Row],[PT.Concat]])</f>
        <v>1</v>
      </c>
      <c r="N265" s="70">
        <f>MATCH(Main3WData[[#This Row],[PT.Concat]],$L$5:L265,0)</f>
        <v>261</v>
      </c>
      <c r="O265" s="62" t="b">
        <f>Main3WData[[#This Row],[Count PT.Concat]]=1</f>
        <v>1</v>
      </c>
      <c r="P265" s="62">
        <f t="array" ref="P265">MAX(($N$4:N264=Main3WData[[#This Row],[PT.ID]])*ROW($N$4:N264))</f>
        <v>0</v>
      </c>
      <c r="Q265" s="62" t="str">
        <f>IF(Main3WData[[#This Row],[PT.FirstID]],Main3WData[[#This Row],[Acronym]],INDEX($Q$4:Q264,Main3WData[[#This Row],[PT.LastID.Row]]-ROW($Q$4)+1) &amp; ", "&amp;Main3WData[[#This Row],[Acronym]])</f>
        <v>UNMEER</v>
      </c>
      <c r="R265" s="62" t="b">
        <f t="array" ref="R265">MAX(IF(Main3WData[PT.ID]=Main3WData[[#This Row],[PT.ID]],Main3WData[PT.LastID.Row]))=Main3WData[[#This Row],[PT.LastID.Row]]</f>
        <v>0</v>
      </c>
    </row>
    <row r="266" spans="2:18" ht="16.5" customHeight="1" x14ac:dyDescent="0.2">
      <c r="B266" s="55" t="s">
        <v>473</v>
      </c>
      <c r="C266" s="27" t="str">
        <f>INDEX(Organizations[],MATCH(Main3WData[[#This Row],[Acronym]],AcronymList,0),1)</f>
        <v>United Nations Development Programme</v>
      </c>
      <c r="D266" s="27" t="str">
        <f>INDEX(Organizations[],MATCH(Main3WData[[#This Row],[Acronym]],AcronymList,0),3)</f>
        <v>UN Agency</v>
      </c>
      <c r="E266" s="54" t="s">
        <v>356</v>
      </c>
      <c r="F266" s="53" t="s">
        <v>82</v>
      </c>
      <c r="G266" s="54" t="s">
        <v>400</v>
      </c>
      <c r="H266" s="28" t="str">
        <f>VLOOKUP(Main3WData[[#This Row],[Admin Unit Name]],AdminUnits[],2,FALSE)</f>
        <v>GIN005003</v>
      </c>
      <c r="I266" s="57">
        <v>0</v>
      </c>
      <c r="J266" s="67" t="str">
        <f>Main3WData[[#This Row],[Acronym]]&amp;Main3WData[[#This Row],[Sector]]&amp;Main3WData[[#This Row],[Activity Type]]&amp;Main3WData[[#This Row],[Pcode]]</f>
        <v>UNDPGestion des donnéesOngoingGIN005003</v>
      </c>
      <c r="K266" s="69">
        <f>COUNTIF(Main3WData[Concatenate],Main3WData[[#This Row],[Concatenate]])</f>
        <v>1</v>
      </c>
      <c r="L266" s="61" t="str">
        <f>Main3WData[[#This Row],[Sector]]&amp;Main3WData[[#This Row],[Pcode]]</f>
        <v>Gestion des donnéesGIN005003</v>
      </c>
      <c r="M266" s="71">
        <f>COUNTIF($L$5:L266,Main3WData[[#This Row],[PT.Concat]])</f>
        <v>2</v>
      </c>
      <c r="N266" s="70">
        <f>MATCH(Main3WData[[#This Row],[PT.Concat]],$L$5:L266,0)</f>
        <v>261</v>
      </c>
      <c r="O266" s="62" t="b">
        <f>Main3WData[[#This Row],[Count PT.Concat]]=1</f>
        <v>0</v>
      </c>
      <c r="P266" s="62">
        <f t="array" ref="P266">MAX(($N$4:N265=Main3WData[[#This Row],[PT.ID]])*ROW($N$4:N265))</f>
        <v>265</v>
      </c>
      <c r="Q266" s="62" t="str">
        <f>IF(Main3WData[[#This Row],[PT.FirstID]],Main3WData[[#This Row],[Acronym]],INDEX($Q$4:Q265,Main3WData[[#This Row],[PT.LastID.Row]]-ROW($Q$4)+1) &amp; ", "&amp;Main3WData[[#This Row],[Acronym]])</f>
        <v>UNMEER, UNDP</v>
      </c>
      <c r="R266" s="62" t="b">
        <f t="array" ref="R266">MAX(IF(Main3WData[PT.ID]=Main3WData[[#This Row],[PT.ID]],Main3WData[PT.LastID.Row]))=Main3WData[[#This Row],[PT.LastID.Row]]</f>
        <v>0</v>
      </c>
    </row>
    <row r="267" spans="2:18" ht="16.5" customHeight="1" x14ac:dyDescent="0.2">
      <c r="B267" s="55" t="s">
        <v>72</v>
      </c>
      <c r="C267" s="27" t="str">
        <f>INDEX(Organizations[],MATCH(Main3WData[[#This Row],[Acronym]],AcronymList,0),1)</f>
        <v>PLAN</v>
      </c>
      <c r="D267" s="27" t="str">
        <f>INDEX(Organizations[],MATCH(Main3WData[[#This Row],[Acronym]],AcronymList,0),3)</f>
        <v>International Organization</v>
      </c>
      <c r="E267" s="54" t="s">
        <v>356</v>
      </c>
      <c r="F267" s="53" t="s">
        <v>82</v>
      </c>
      <c r="G267" s="54" t="s">
        <v>400</v>
      </c>
      <c r="H267" s="28" t="str">
        <f>VLOOKUP(Main3WData[[#This Row],[Admin Unit Name]],AdminUnits[],2,FALSE)</f>
        <v>GIN005003</v>
      </c>
      <c r="I267" s="57">
        <v>0</v>
      </c>
      <c r="J267" s="67" t="str">
        <f>Main3WData[[#This Row],[Acronym]]&amp;Main3WData[[#This Row],[Sector]]&amp;Main3WData[[#This Row],[Activity Type]]&amp;Main3WData[[#This Row],[Pcode]]</f>
        <v>PLANGestion des donnéesOngoingGIN005003</v>
      </c>
      <c r="K267" s="69">
        <f>COUNTIF(Main3WData[Concatenate],Main3WData[[#This Row],[Concatenate]])</f>
        <v>1</v>
      </c>
      <c r="L267" s="61" t="str">
        <f>Main3WData[[#This Row],[Sector]]&amp;Main3WData[[#This Row],[Pcode]]</f>
        <v>Gestion des donnéesGIN005003</v>
      </c>
      <c r="M267" s="71">
        <f>COUNTIF($L$5:L267,Main3WData[[#This Row],[PT.Concat]])</f>
        <v>3</v>
      </c>
      <c r="N267" s="70">
        <f>MATCH(Main3WData[[#This Row],[PT.Concat]],$L$5:L267,0)</f>
        <v>261</v>
      </c>
      <c r="O267" s="62" t="b">
        <f>Main3WData[[#This Row],[Count PT.Concat]]=1</f>
        <v>0</v>
      </c>
      <c r="P267" s="62">
        <f t="array" ref="P267">MAX(($N$4:N266=Main3WData[[#This Row],[PT.ID]])*ROW($N$4:N266))</f>
        <v>266</v>
      </c>
      <c r="Q267" s="62" t="str">
        <f>IF(Main3WData[[#This Row],[PT.FirstID]],Main3WData[[#This Row],[Acronym]],INDEX($Q$4:Q266,Main3WData[[#This Row],[PT.LastID.Row]]-ROW($Q$4)+1) &amp; ", "&amp;Main3WData[[#This Row],[Acronym]])</f>
        <v>UNMEER, UNDP, PLAN</v>
      </c>
      <c r="R267" s="62" t="b">
        <f t="array" ref="R267">MAX(IF(Main3WData[PT.ID]=Main3WData[[#This Row],[PT.ID]],Main3WData[PT.LastID.Row]))=Main3WData[[#This Row],[PT.LastID.Row]]</f>
        <v>0</v>
      </c>
    </row>
    <row r="268" spans="2:18" ht="16.5" customHeight="1" x14ac:dyDescent="0.2">
      <c r="B268" s="55" t="s">
        <v>512</v>
      </c>
      <c r="C268" s="27" t="str">
        <f>INDEX(Organizations[],MATCH(Main3WData[[#This Row],[Acronym]],AcronymList,0),1)</f>
        <v>World Health Organization</v>
      </c>
      <c r="D268" s="27" t="str">
        <f>INDEX(Organizations[],MATCH(Main3WData[[#This Row],[Acronym]],AcronymList,0),3)</f>
        <v>UN Agency</v>
      </c>
      <c r="E268" s="54" t="s">
        <v>356</v>
      </c>
      <c r="F268" s="53" t="s">
        <v>82</v>
      </c>
      <c r="G268" s="54" t="s">
        <v>400</v>
      </c>
      <c r="H268" s="28" t="str">
        <f>VLOOKUP(Main3WData[[#This Row],[Admin Unit Name]],AdminUnits[],2,FALSE)</f>
        <v>GIN005003</v>
      </c>
      <c r="I268" s="57">
        <v>0</v>
      </c>
      <c r="J268" s="67" t="str">
        <f>Main3WData[[#This Row],[Acronym]]&amp;Main3WData[[#This Row],[Sector]]&amp;Main3WData[[#This Row],[Activity Type]]&amp;Main3WData[[#This Row],[Pcode]]</f>
        <v>OMSGestion des donnéesOngoingGIN005003</v>
      </c>
      <c r="K268" s="69">
        <f>COUNTIF(Main3WData[Concatenate],Main3WData[[#This Row],[Concatenate]])</f>
        <v>1</v>
      </c>
      <c r="L268" s="61" t="str">
        <f>Main3WData[[#This Row],[Sector]]&amp;Main3WData[[#This Row],[Pcode]]</f>
        <v>Gestion des donnéesGIN005003</v>
      </c>
      <c r="M268" s="71">
        <f>COUNTIF($L$5:L268,Main3WData[[#This Row],[PT.Concat]])</f>
        <v>4</v>
      </c>
      <c r="N268" s="70">
        <f>MATCH(Main3WData[[#This Row],[PT.Concat]],$L$5:L268,0)</f>
        <v>261</v>
      </c>
      <c r="O268" s="62" t="b">
        <f>Main3WData[[#This Row],[Count PT.Concat]]=1</f>
        <v>0</v>
      </c>
      <c r="P268" s="62">
        <f t="array" ref="P268">MAX(($N$4:N267=Main3WData[[#This Row],[PT.ID]])*ROW($N$4:N267))</f>
        <v>267</v>
      </c>
      <c r="Q268" s="62" t="str">
        <f>IF(Main3WData[[#This Row],[PT.FirstID]],Main3WData[[#This Row],[Acronym]],INDEX($Q$4:Q267,Main3WData[[#This Row],[PT.LastID.Row]]-ROW($Q$4)+1) &amp; ", "&amp;Main3WData[[#This Row],[Acronym]])</f>
        <v>UNMEER, UNDP, PLAN, OMS</v>
      </c>
      <c r="R268" s="62" t="b">
        <f t="array" ref="R268">MAX(IF(Main3WData[PT.ID]=Main3WData[[#This Row],[PT.ID]],Main3WData[PT.LastID.Row]))=Main3WData[[#This Row],[PT.LastID.Row]]</f>
        <v>1</v>
      </c>
    </row>
    <row r="269" spans="2:18" ht="16.5" customHeight="1" x14ac:dyDescent="0.2">
      <c r="B269" s="55" t="s">
        <v>512</v>
      </c>
      <c r="C269" s="27" t="str">
        <f>INDEX(Organizations[],MATCH(Main3WData[[#This Row],[Acronym]],AcronymList,0),1)</f>
        <v>World Health Organization</v>
      </c>
      <c r="D269" s="27" t="str">
        <f>INDEX(Organizations[],MATCH(Main3WData[[#This Row],[Acronym]],AcronymList,0),3)</f>
        <v>UN Agency</v>
      </c>
      <c r="E269" s="54" t="s">
        <v>358</v>
      </c>
      <c r="F269" s="53" t="s">
        <v>82</v>
      </c>
      <c r="G269" s="54" t="s">
        <v>400</v>
      </c>
      <c r="H269" s="28" t="str">
        <f>VLOOKUP(Main3WData[[#This Row],[Admin Unit Name]],AdminUnits[],2,FALSE)</f>
        <v>GIN005003</v>
      </c>
      <c r="I269" s="57">
        <v>0</v>
      </c>
      <c r="J269" s="67" t="str">
        <f>Main3WData[[#This Row],[Acronym]]&amp;Main3WData[[#This Row],[Sector]]&amp;Main3WData[[#This Row],[Activity Type]]&amp;Main3WData[[#This Row],[Pcode]]</f>
        <v>OMSLogistiquesOngoingGIN005003</v>
      </c>
      <c r="K269" s="69">
        <f>COUNTIF(Main3WData[Concatenate],Main3WData[[#This Row],[Concatenate]])</f>
        <v>1</v>
      </c>
      <c r="L269" s="61" t="str">
        <f>Main3WData[[#This Row],[Sector]]&amp;Main3WData[[#This Row],[Pcode]]</f>
        <v>LogistiquesGIN005003</v>
      </c>
      <c r="M269" s="71">
        <f>COUNTIF($L$5:L269,Main3WData[[#This Row],[PT.Concat]])</f>
        <v>1</v>
      </c>
      <c r="N269" s="70">
        <f>MATCH(Main3WData[[#This Row],[PT.Concat]],$L$5:L269,0)</f>
        <v>265</v>
      </c>
      <c r="O269" s="62" t="b">
        <f>Main3WData[[#This Row],[Count PT.Concat]]=1</f>
        <v>1</v>
      </c>
      <c r="P269" s="62">
        <f t="array" ref="P269">MAX(($N$4:N268=Main3WData[[#This Row],[PT.ID]])*ROW($N$4:N268))</f>
        <v>0</v>
      </c>
      <c r="Q269" s="62" t="str">
        <f>IF(Main3WData[[#This Row],[PT.FirstID]],Main3WData[[#This Row],[Acronym]],INDEX($Q$4:Q268,Main3WData[[#This Row],[PT.LastID.Row]]-ROW($Q$4)+1) &amp; ", "&amp;Main3WData[[#This Row],[Acronym]])</f>
        <v>OMS</v>
      </c>
      <c r="R269" s="62" t="b">
        <f t="array" ref="R269">MAX(IF(Main3WData[PT.ID]=Main3WData[[#This Row],[PT.ID]],Main3WData[PT.LastID.Row]))=Main3WData[[#This Row],[PT.LastID.Row]]</f>
        <v>1</v>
      </c>
    </row>
    <row r="270" spans="2:18" ht="16.5" customHeight="1" x14ac:dyDescent="0.2">
      <c r="B270" s="55" t="s">
        <v>78</v>
      </c>
      <c r="C270" s="27" t="str">
        <f>INDEX(Organizations[],MATCH(Main3WData[[#This Row],[Acronym]],AcronymList,0),1)</f>
        <v>World Food Programme</v>
      </c>
      <c r="D270" s="27" t="str">
        <f>INDEX(Organizations[],MATCH(Main3WData[[#This Row],[Acronym]],AcronymList,0),3)</f>
        <v>UN Agency</v>
      </c>
      <c r="E270" s="54" t="s">
        <v>353</v>
      </c>
      <c r="F270" s="53" t="s">
        <v>82</v>
      </c>
      <c r="G270" s="54" t="s">
        <v>400</v>
      </c>
      <c r="H270" s="28" t="str">
        <f>VLOOKUP(Main3WData[[#This Row],[Admin Unit Name]],AdminUnits[],2,FALSE)</f>
        <v>GIN005003</v>
      </c>
      <c r="I270" s="57">
        <v>0</v>
      </c>
      <c r="J270" s="67" t="str">
        <f>Main3WData[[#This Row],[Acronym]]&amp;Main3WData[[#This Row],[Sector]]&amp;Main3WData[[#This Row],[Activity Type]]&amp;Main3WData[[#This Row],[Pcode]]</f>
        <v>WFPPrise en chargeOngoingGIN005003</v>
      </c>
      <c r="K270" s="69">
        <f>COUNTIF(Main3WData[Concatenate],Main3WData[[#This Row],[Concatenate]])</f>
        <v>1</v>
      </c>
      <c r="L270" s="61" t="str">
        <f>Main3WData[[#This Row],[Sector]]&amp;Main3WData[[#This Row],[Pcode]]</f>
        <v>Prise en chargeGIN005003</v>
      </c>
      <c r="M270" s="71">
        <f>COUNTIF($L$5:L270,Main3WData[[#This Row],[PT.Concat]])</f>
        <v>1</v>
      </c>
      <c r="N270" s="70">
        <f>MATCH(Main3WData[[#This Row],[PT.Concat]],$L$5:L270,0)</f>
        <v>266</v>
      </c>
      <c r="O270" s="62" t="b">
        <f>Main3WData[[#This Row],[Count PT.Concat]]=1</f>
        <v>1</v>
      </c>
      <c r="P270" s="62">
        <f t="array" ref="P270">MAX(($N$4:N269=Main3WData[[#This Row],[PT.ID]])*ROW($N$4:N269))</f>
        <v>0</v>
      </c>
      <c r="Q270" s="62" t="str">
        <f>IF(Main3WData[[#This Row],[PT.FirstID]],Main3WData[[#This Row],[Acronym]],INDEX($Q$4:Q269,Main3WData[[#This Row],[PT.LastID.Row]]-ROW($Q$4)+1) &amp; ", "&amp;Main3WData[[#This Row],[Acronym]])</f>
        <v>WFP</v>
      </c>
      <c r="R270" s="62" t="b">
        <f t="array" ref="R270">MAX(IF(Main3WData[PT.ID]=Main3WData[[#This Row],[PT.ID]],Main3WData[PT.LastID.Row]))=Main3WData[[#This Row],[PT.LastID.Row]]</f>
        <v>0</v>
      </c>
    </row>
    <row r="271" spans="2:18" ht="16.5" customHeight="1" x14ac:dyDescent="0.2">
      <c r="B271" s="55" t="s">
        <v>517</v>
      </c>
      <c r="C271" s="27" t="str">
        <f>INDEX(Organizations[],MATCH(Main3WData[[#This Row],[Acronym]],AcronymList,0),1)</f>
        <v>USAID/JHPIEGO</v>
      </c>
      <c r="D271" s="27" t="str">
        <f>INDEX(Organizations[],MATCH(Main3WData[[#This Row],[Acronym]],AcronymList,0),3)</f>
        <v>International Organization</v>
      </c>
      <c r="E271" s="54" t="s">
        <v>353</v>
      </c>
      <c r="F271" s="53" t="s">
        <v>82</v>
      </c>
      <c r="G271" s="54" t="s">
        <v>400</v>
      </c>
      <c r="H271" s="28" t="str">
        <f>VLOOKUP(Main3WData[[#This Row],[Admin Unit Name]],AdminUnits[],2,FALSE)</f>
        <v>GIN005003</v>
      </c>
      <c r="I271" s="57">
        <v>0</v>
      </c>
      <c r="J271" s="67" t="str">
        <f>Main3WData[[#This Row],[Acronym]]&amp;Main3WData[[#This Row],[Sector]]&amp;Main3WData[[#This Row],[Activity Type]]&amp;Main3WData[[#This Row],[Pcode]]</f>
        <v>USAID/JHPIEGOPrise en chargeOngoingGIN005003</v>
      </c>
      <c r="K271" s="69">
        <f>COUNTIF(Main3WData[Concatenate],Main3WData[[#This Row],[Concatenate]])</f>
        <v>1</v>
      </c>
      <c r="L271" s="61" t="str">
        <f>Main3WData[[#This Row],[Sector]]&amp;Main3WData[[#This Row],[Pcode]]</f>
        <v>Prise en chargeGIN005003</v>
      </c>
      <c r="M271" s="71">
        <f>COUNTIF($L$5:L271,Main3WData[[#This Row],[PT.Concat]])</f>
        <v>2</v>
      </c>
      <c r="N271" s="70">
        <f>MATCH(Main3WData[[#This Row],[PT.Concat]],$L$5:L271,0)</f>
        <v>266</v>
      </c>
      <c r="O271" s="62" t="b">
        <f>Main3WData[[#This Row],[Count PT.Concat]]=1</f>
        <v>0</v>
      </c>
      <c r="P271" s="62">
        <f t="array" ref="P271">MAX(($N$4:N270=Main3WData[[#This Row],[PT.ID]])*ROW($N$4:N270))</f>
        <v>270</v>
      </c>
      <c r="Q271" s="62" t="str">
        <f>IF(Main3WData[[#This Row],[PT.FirstID]],Main3WData[[#This Row],[Acronym]],INDEX($Q$4:Q270,Main3WData[[#This Row],[PT.LastID.Row]]-ROW($Q$4)+1) &amp; ", "&amp;Main3WData[[#This Row],[Acronym]])</f>
        <v>WFP, USAID/JHPIEGO</v>
      </c>
      <c r="R271" s="62" t="b">
        <f t="array" ref="R271">MAX(IF(Main3WData[PT.ID]=Main3WData[[#This Row],[PT.ID]],Main3WData[PT.LastID.Row]))=Main3WData[[#This Row],[PT.LastID.Row]]</f>
        <v>0</v>
      </c>
    </row>
    <row r="272" spans="2:18" ht="16.5" customHeight="1" x14ac:dyDescent="0.2">
      <c r="B272" s="55" t="s">
        <v>512</v>
      </c>
      <c r="C272" s="27" t="str">
        <f>INDEX(Organizations[],MATCH(Main3WData[[#This Row],[Acronym]],AcronymList,0),1)</f>
        <v>World Health Organization</v>
      </c>
      <c r="D272" s="27" t="str">
        <f>INDEX(Organizations[],MATCH(Main3WData[[#This Row],[Acronym]],AcronymList,0),3)</f>
        <v>UN Agency</v>
      </c>
      <c r="E272" s="54" t="s">
        <v>353</v>
      </c>
      <c r="F272" s="53" t="s">
        <v>82</v>
      </c>
      <c r="G272" s="54" t="s">
        <v>400</v>
      </c>
      <c r="H272" s="28" t="str">
        <f>VLOOKUP(Main3WData[[#This Row],[Admin Unit Name]],AdminUnits[],2,FALSE)</f>
        <v>GIN005003</v>
      </c>
      <c r="I272" s="57">
        <v>0</v>
      </c>
      <c r="J272" s="67" t="str">
        <f>Main3WData[[#This Row],[Acronym]]&amp;Main3WData[[#This Row],[Sector]]&amp;Main3WData[[#This Row],[Activity Type]]&amp;Main3WData[[#This Row],[Pcode]]</f>
        <v>OMSPrise en chargeOngoingGIN005003</v>
      </c>
      <c r="K272" s="69">
        <f>COUNTIF(Main3WData[Concatenate],Main3WData[[#This Row],[Concatenate]])</f>
        <v>1</v>
      </c>
      <c r="L272" s="61" t="str">
        <f>Main3WData[[#This Row],[Sector]]&amp;Main3WData[[#This Row],[Pcode]]</f>
        <v>Prise en chargeGIN005003</v>
      </c>
      <c r="M272" s="71">
        <f>COUNTIF($L$5:L272,Main3WData[[#This Row],[PT.Concat]])</f>
        <v>3</v>
      </c>
      <c r="N272" s="70">
        <f>MATCH(Main3WData[[#This Row],[PT.Concat]],$L$5:L272,0)</f>
        <v>266</v>
      </c>
      <c r="O272" s="62" t="b">
        <f>Main3WData[[#This Row],[Count PT.Concat]]=1</f>
        <v>0</v>
      </c>
      <c r="P272" s="62">
        <f t="array" ref="P272">MAX(($N$4:N271=Main3WData[[#This Row],[PT.ID]])*ROW($N$4:N271))</f>
        <v>271</v>
      </c>
      <c r="Q272" s="62" t="str">
        <f>IF(Main3WData[[#This Row],[PT.FirstID]],Main3WData[[#This Row],[Acronym]],INDEX($Q$4:Q271,Main3WData[[#This Row],[PT.LastID.Row]]-ROW($Q$4)+1) &amp; ", "&amp;Main3WData[[#This Row],[Acronym]])</f>
        <v>WFP, USAID/JHPIEGO, OMS</v>
      </c>
      <c r="R272" s="62" t="b">
        <f t="array" ref="R272">MAX(IF(Main3WData[PT.ID]=Main3WData[[#This Row],[PT.ID]],Main3WData[PT.LastID.Row]))=Main3WData[[#This Row],[PT.LastID.Row]]</f>
        <v>0</v>
      </c>
    </row>
    <row r="273" spans="2:18" ht="16.5" customHeight="1" x14ac:dyDescent="0.2">
      <c r="B273" s="55" t="s">
        <v>71</v>
      </c>
      <c r="C273" s="27" t="str">
        <f>INDEX(Organizations[],MATCH(Main3WData[[#This Row],[Acronym]],AcronymList,0),1)</f>
        <v>Medecins sans Frontieres</v>
      </c>
      <c r="D273" s="27" t="str">
        <f>INDEX(Organizations[],MATCH(Main3WData[[#This Row],[Acronym]],AcronymList,0),3)</f>
        <v>International NGO</v>
      </c>
      <c r="E273" s="54" t="s">
        <v>353</v>
      </c>
      <c r="F273" s="53" t="s">
        <v>82</v>
      </c>
      <c r="G273" s="54" t="s">
        <v>400</v>
      </c>
      <c r="H273" s="28" t="str">
        <f>VLOOKUP(Main3WData[[#This Row],[Admin Unit Name]],AdminUnits[],2,FALSE)</f>
        <v>GIN005003</v>
      </c>
      <c r="I273" s="57">
        <v>0</v>
      </c>
      <c r="J273" s="67" t="str">
        <f>Main3WData[[#This Row],[Acronym]]&amp;Main3WData[[#This Row],[Sector]]&amp;Main3WData[[#This Row],[Activity Type]]&amp;Main3WData[[#This Row],[Pcode]]</f>
        <v>MSFPrise en chargeOngoingGIN005003</v>
      </c>
      <c r="K273" s="69">
        <f>COUNTIF(Main3WData[Concatenate],Main3WData[[#This Row],[Concatenate]])</f>
        <v>1</v>
      </c>
      <c r="L273" s="61" t="str">
        <f>Main3WData[[#This Row],[Sector]]&amp;Main3WData[[#This Row],[Pcode]]</f>
        <v>Prise en chargeGIN005003</v>
      </c>
      <c r="M273" s="71">
        <f>COUNTIF($L$5:L273,Main3WData[[#This Row],[PT.Concat]])</f>
        <v>4</v>
      </c>
      <c r="N273" s="70">
        <f>MATCH(Main3WData[[#This Row],[PT.Concat]],$L$5:L273,0)</f>
        <v>266</v>
      </c>
      <c r="O273" s="62" t="b">
        <f>Main3WData[[#This Row],[Count PT.Concat]]=1</f>
        <v>0</v>
      </c>
      <c r="P273" s="62">
        <f t="array" ref="P273">MAX(($N$4:N272=Main3WData[[#This Row],[PT.ID]])*ROW($N$4:N272))</f>
        <v>272</v>
      </c>
      <c r="Q273" s="62" t="str">
        <f>IF(Main3WData[[#This Row],[PT.FirstID]],Main3WData[[#This Row],[Acronym]],INDEX($Q$4:Q272,Main3WData[[#This Row],[PT.LastID.Row]]-ROW($Q$4)+1) &amp; ", "&amp;Main3WData[[#This Row],[Acronym]])</f>
        <v>WFP, USAID/JHPIEGO, OMS, MSF</v>
      </c>
      <c r="R273" s="62" t="b">
        <f t="array" ref="R273">MAX(IF(Main3WData[PT.ID]=Main3WData[[#This Row],[PT.ID]],Main3WData[PT.LastID.Row]))=Main3WData[[#This Row],[PT.LastID.Row]]</f>
        <v>0</v>
      </c>
    </row>
    <row r="274" spans="2:18" ht="16.5" customHeight="1" x14ac:dyDescent="0.2">
      <c r="B274" s="55" t="s">
        <v>454</v>
      </c>
      <c r="C274" s="27" t="str">
        <f>INDEX(Organizations[],MATCH(Main3WData[[#This Row],[Acronym]],AcronymList,0),1)</f>
        <v>France</v>
      </c>
      <c r="D274" s="27" t="str">
        <f>INDEX(Organizations[],MATCH(Main3WData[[#This Row],[Acronym]],AcronymList,0),3)</f>
        <v>Donors</v>
      </c>
      <c r="E274" s="54" t="s">
        <v>353</v>
      </c>
      <c r="F274" s="53" t="s">
        <v>82</v>
      </c>
      <c r="G274" s="54" t="s">
        <v>400</v>
      </c>
      <c r="H274" s="28" t="str">
        <f>VLOOKUP(Main3WData[[#This Row],[Admin Unit Name]],AdminUnits[],2,FALSE)</f>
        <v>GIN005003</v>
      </c>
      <c r="I274" s="57">
        <v>0</v>
      </c>
      <c r="J274" s="67" t="str">
        <f>Main3WData[[#This Row],[Acronym]]&amp;Main3WData[[#This Row],[Sector]]&amp;Main3WData[[#This Row],[Activity Type]]&amp;Main3WData[[#This Row],[Pcode]]</f>
        <v>FrancePrise en chargeOngoingGIN005003</v>
      </c>
      <c r="K274" s="69">
        <f>COUNTIF(Main3WData[Concatenate],Main3WData[[#This Row],[Concatenate]])</f>
        <v>1</v>
      </c>
      <c r="L274" s="61" t="str">
        <f>Main3WData[[#This Row],[Sector]]&amp;Main3WData[[#This Row],[Pcode]]</f>
        <v>Prise en chargeGIN005003</v>
      </c>
      <c r="M274" s="71">
        <f>COUNTIF($L$5:L274,Main3WData[[#This Row],[PT.Concat]])</f>
        <v>5</v>
      </c>
      <c r="N274" s="70">
        <f>MATCH(Main3WData[[#This Row],[PT.Concat]],$L$5:L274,0)</f>
        <v>266</v>
      </c>
      <c r="O274" s="62" t="b">
        <f>Main3WData[[#This Row],[Count PT.Concat]]=1</f>
        <v>0</v>
      </c>
      <c r="P274" s="62">
        <f t="array" ref="P274">MAX(($N$4:N273=Main3WData[[#This Row],[PT.ID]])*ROW($N$4:N273))</f>
        <v>273</v>
      </c>
      <c r="Q274" s="62" t="str">
        <f>IF(Main3WData[[#This Row],[PT.FirstID]],Main3WData[[#This Row],[Acronym]],INDEX($Q$4:Q273,Main3WData[[#This Row],[PT.LastID.Row]]-ROW($Q$4)+1) &amp; ", "&amp;Main3WData[[#This Row],[Acronym]])</f>
        <v>WFP, USAID/JHPIEGO, OMS, MSF, France</v>
      </c>
      <c r="R274" s="62" t="b">
        <f t="array" ref="R274">MAX(IF(Main3WData[PT.ID]=Main3WData[[#This Row],[PT.ID]],Main3WData[PT.LastID.Row]))=Main3WData[[#This Row],[PT.LastID.Row]]</f>
        <v>0</v>
      </c>
    </row>
    <row r="275" spans="2:18" ht="16.5" customHeight="1" x14ac:dyDescent="0.2">
      <c r="B275" s="55" t="s">
        <v>451</v>
      </c>
      <c r="C275" s="27" t="str">
        <f>INDEX(Organizations[],MATCH(Main3WData[[#This Row],[Acronym]],AcronymList,0),1)</f>
        <v>Croix-Rouge Guinée</v>
      </c>
      <c r="D275" s="27" t="str">
        <f>INDEX(Organizations[],MATCH(Main3WData[[#This Row],[Acronym]],AcronymList,0),3)</f>
        <v>Red Cross Movement</v>
      </c>
      <c r="E275" s="54" t="s">
        <v>353</v>
      </c>
      <c r="F275" s="53" t="s">
        <v>82</v>
      </c>
      <c r="G275" s="54" t="s">
        <v>400</v>
      </c>
      <c r="H275" s="28" t="str">
        <f>VLOOKUP(Main3WData[[#This Row],[Admin Unit Name]],AdminUnits[],2,FALSE)</f>
        <v>GIN005003</v>
      </c>
      <c r="I275" s="57">
        <v>0</v>
      </c>
      <c r="J275" s="67" t="str">
        <f>Main3WData[[#This Row],[Acronym]]&amp;Main3WData[[#This Row],[Sector]]&amp;Main3WData[[#This Row],[Activity Type]]&amp;Main3WData[[#This Row],[Pcode]]</f>
        <v>CRGPrise en chargeOngoingGIN005003</v>
      </c>
      <c r="K275" s="69">
        <f>COUNTIF(Main3WData[Concatenate],Main3WData[[#This Row],[Concatenate]])</f>
        <v>1</v>
      </c>
      <c r="L275" s="61" t="str">
        <f>Main3WData[[#This Row],[Sector]]&amp;Main3WData[[#This Row],[Pcode]]</f>
        <v>Prise en chargeGIN005003</v>
      </c>
      <c r="M275" s="71">
        <f>COUNTIF($L$5:L275,Main3WData[[#This Row],[PT.Concat]])</f>
        <v>6</v>
      </c>
      <c r="N275" s="70">
        <f>MATCH(Main3WData[[#This Row],[PT.Concat]],$L$5:L275,0)</f>
        <v>266</v>
      </c>
      <c r="O275" s="62" t="b">
        <f>Main3WData[[#This Row],[Count PT.Concat]]=1</f>
        <v>0</v>
      </c>
      <c r="P275" s="62">
        <f t="array" ref="P275">MAX(($N$4:N274=Main3WData[[#This Row],[PT.ID]])*ROW($N$4:N274))</f>
        <v>274</v>
      </c>
      <c r="Q275" s="62" t="str">
        <f>IF(Main3WData[[#This Row],[PT.FirstID]],Main3WData[[#This Row],[Acronym]],INDEX($Q$4:Q274,Main3WData[[#This Row],[PT.LastID.Row]]-ROW($Q$4)+1) &amp; ", "&amp;Main3WData[[#This Row],[Acronym]])</f>
        <v>WFP, USAID/JHPIEGO, OMS, MSF, France, CRG</v>
      </c>
      <c r="R275" s="62" t="b">
        <f t="array" ref="R275">MAX(IF(Main3WData[PT.ID]=Main3WData[[#This Row],[PT.ID]],Main3WData[PT.LastID.Row]))=Main3WData[[#This Row],[PT.LastID.Row]]</f>
        <v>1</v>
      </c>
    </row>
    <row r="276" spans="2:18" ht="16.5" customHeight="1" x14ac:dyDescent="0.2">
      <c r="B276" s="55" t="s">
        <v>78</v>
      </c>
      <c r="C276" s="27" t="str">
        <f>INDEX(Organizations[],MATCH(Main3WData[[#This Row],[Acronym]],AcronymList,0),1)</f>
        <v>World Food Programme</v>
      </c>
      <c r="D276" s="27" t="str">
        <f>INDEX(Organizations[],MATCH(Main3WData[[#This Row],[Acronym]],AcronymList,0),3)</f>
        <v>UN Agency</v>
      </c>
      <c r="E276" s="54" t="s">
        <v>355</v>
      </c>
      <c r="F276" s="53" t="s">
        <v>82</v>
      </c>
      <c r="G276" s="54" t="s">
        <v>400</v>
      </c>
      <c r="H276" s="28" t="str">
        <f>VLOOKUP(Main3WData[[#This Row],[Admin Unit Name]],AdminUnits[],2,FALSE)</f>
        <v>GIN005003</v>
      </c>
      <c r="I276" s="57">
        <v>0</v>
      </c>
      <c r="J276" s="67" t="str">
        <f>Main3WData[[#This Row],[Acronym]]&amp;Main3WData[[#This Row],[Sector]]&amp;Main3WData[[#This Row],[Activity Type]]&amp;Main3WData[[#This Row],[Pcode]]</f>
        <v>WFPSoutien nutritionnel et socialOngoingGIN005003</v>
      </c>
      <c r="K276" s="69">
        <f>COUNTIF(Main3WData[Concatenate],Main3WData[[#This Row],[Concatenate]])</f>
        <v>1</v>
      </c>
      <c r="L276" s="61" t="str">
        <f>Main3WData[[#This Row],[Sector]]&amp;Main3WData[[#This Row],[Pcode]]</f>
        <v>Soutien nutritionnel et socialGIN005003</v>
      </c>
      <c r="M276" s="71">
        <f>COUNTIF($L$5:L276,Main3WData[[#This Row],[PT.Concat]])</f>
        <v>1</v>
      </c>
      <c r="N276" s="70">
        <f>MATCH(Main3WData[[#This Row],[PT.Concat]],$L$5:L276,0)</f>
        <v>272</v>
      </c>
      <c r="O276" s="62" t="b">
        <f>Main3WData[[#This Row],[Count PT.Concat]]=1</f>
        <v>1</v>
      </c>
      <c r="P276" s="62">
        <f t="array" ref="P276">MAX(($N$4:N275=Main3WData[[#This Row],[PT.ID]])*ROW($N$4:N275))</f>
        <v>0</v>
      </c>
      <c r="Q276" s="62" t="str">
        <f>IF(Main3WData[[#This Row],[PT.FirstID]],Main3WData[[#This Row],[Acronym]],INDEX($Q$4:Q275,Main3WData[[#This Row],[PT.LastID.Row]]-ROW($Q$4)+1) &amp; ", "&amp;Main3WData[[#This Row],[Acronym]])</f>
        <v>WFP</v>
      </c>
      <c r="R276" s="62" t="b">
        <f t="array" ref="R276">MAX(IF(Main3WData[PT.ID]=Main3WData[[#This Row],[PT.ID]],Main3WData[PT.LastID.Row]))=Main3WData[[#This Row],[PT.LastID.Row]]</f>
        <v>0</v>
      </c>
    </row>
    <row r="277" spans="2:18" ht="16.5" customHeight="1" x14ac:dyDescent="0.2">
      <c r="B277" s="55" t="s">
        <v>66</v>
      </c>
      <c r="C277" s="27" t="str">
        <f>INDEX(Organizations[],MATCH(Main3WData[[#This Row],[Acronym]],AcronymList,0),1)</f>
        <v>Catholic Relief Services</v>
      </c>
      <c r="D277" s="27" t="str">
        <f>INDEX(Organizations[],MATCH(Main3WData[[#This Row],[Acronym]],AcronymList,0),3)</f>
        <v>International NGO</v>
      </c>
      <c r="E277" s="54" t="s">
        <v>355</v>
      </c>
      <c r="F277" s="53" t="s">
        <v>82</v>
      </c>
      <c r="G277" s="54" t="s">
        <v>400</v>
      </c>
      <c r="H277" s="28" t="str">
        <f>VLOOKUP(Main3WData[[#This Row],[Admin Unit Name]],AdminUnits[],2,FALSE)</f>
        <v>GIN005003</v>
      </c>
      <c r="I277" s="57">
        <v>0</v>
      </c>
      <c r="J277" s="67" t="str">
        <f>Main3WData[[#This Row],[Acronym]]&amp;Main3WData[[#This Row],[Sector]]&amp;Main3WData[[#This Row],[Activity Type]]&amp;Main3WData[[#This Row],[Pcode]]</f>
        <v>CRSSoutien nutritionnel et socialOngoingGIN005003</v>
      </c>
      <c r="K277" s="69">
        <f>COUNTIF(Main3WData[Concatenate],Main3WData[[#This Row],[Concatenate]])</f>
        <v>1</v>
      </c>
      <c r="L277" s="61" t="str">
        <f>Main3WData[[#This Row],[Sector]]&amp;Main3WData[[#This Row],[Pcode]]</f>
        <v>Soutien nutritionnel et socialGIN005003</v>
      </c>
      <c r="M277" s="71">
        <f>COUNTIF($L$5:L277,Main3WData[[#This Row],[PT.Concat]])</f>
        <v>2</v>
      </c>
      <c r="N277" s="70">
        <f>MATCH(Main3WData[[#This Row],[PT.Concat]],$L$5:L277,0)</f>
        <v>272</v>
      </c>
      <c r="O277" s="62" t="b">
        <f>Main3WData[[#This Row],[Count PT.Concat]]=1</f>
        <v>0</v>
      </c>
      <c r="P277" s="62">
        <f t="array" ref="P277">MAX(($N$4:N276=Main3WData[[#This Row],[PT.ID]])*ROW($N$4:N276))</f>
        <v>276</v>
      </c>
      <c r="Q277" s="62" t="str">
        <f>IF(Main3WData[[#This Row],[PT.FirstID]],Main3WData[[#This Row],[Acronym]],INDEX($Q$4:Q276,Main3WData[[#This Row],[PT.LastID.Row]]-ROW($Q$4)+1) &amp; ", "&amp;Main3WData[[#This Row],[Acronym]])</f>
        <v>WFP, CRS</v>
      </c>
      <c r="R277" s="62" t="b">
        <f t="array" ref="R277">MAX(IF(Main3WData[PT.ID]=Main3WData[[#This Row],[PT.ID]],Main3WData[PT.LastID.Row]))=Main3WData[[#This Row],[PT.LastID.Row]]</f>
        <v>1</v>
      </c>
    </row>
    <row r="278" spans="2:18" ht="16.5" customHeight="1" x14ac:dyDescent="0.2">
      <c r="B278" s="55" t="s">
        <v>517</v>
      </c>
      <c r="C278" s="27" t="str">
        <f>INDEX(Organizations[],MATCH(Main3WData[[#This Row],[Acronym]],AcronymList,0),1)</f>
        <v>USAID/JHPIEGO</v>
      </c>
      <c r="D278" s="27" t="str">
        <f>INDEX(Organizations[],MATCH(Main3WData[[#This Row],[Acronym]],AcronymList,0),3)</f>
        <v>International Organization</v>
      </c>
      <c r="E278" s="54" t="s">
        <v>351</v>
      </c>
      <c r="F278" s="53" t="s">
        <v>82</v>
      </c>
      <c r="G278" s="54" t="s">
        <v>400</v>
      </c>
      <c r="H278" s="28" t="str">
        <f>VLOOKUP(Main3WData[[#This Row],[Admin Unit Name]],AdminUnits[],2,FALSE)</f>
        <v>GIN005003</v>
      </c>
      <c r="I278" s="57">
        <v>0</v>
      </c>
      <c r="J278" s="67" t="str">
        <f>Main3WData[[#This Row],[Acronym]]&amp;Main3WData[[#This Row],[Sector]]&amp;Main3WData[[#This Row],[Activity Type]]&amp;Main3WData[[#This Row],[Pcode]]</f>
        <v>USAID/JHPIEGOSurveillance &amp; suiviOngoingGIN005003</v>
      </c>
      <c r="K278" s="69">
        <f>COUNTIF(Main3WData[Concatenate],Main3WData[[#This Row],[Concatenate]])</f>
        <v>1</v>
      </c>
      <c r="L278" s="61" t="str">
        <f>Main3WData[[#This Row],[Sector]]&amp;Main3WData[[#This Row],[Pcode]]</f>
        <v>Surveillance &amp; suiviGIN005003</v>
      </c>
      <c r="M278" s="71">
        <f>COUNTIF($L$5:L278,Main3WData[[#This Row],[PT.Concat]])</f>
        <v>1</v>
      </c>
      <c r="N278" s="70">
        <f>MATCH(Main3WData[[#This Row],[PT.Concat]],$L$5:L278,0)</f>
        <v>274</v>
      </c>
      <c r="O278" s="62" t="b">
        <f>Main3WData[[#This Row],[Count PT.Concat]]=1</f>
        <v>1</v>
      </c>
      <c r="P278" s="62">
        <f t="array" ref="P278">MAX(($N$4:N277=Main3WData[[#This Row],[PT.ID]])*ROW($N$4:N277))</f>
        <v>0</v>
      </c>
      <c r="Q278" s="62" t="str">
        <f>IF(Main3WData[[#This Row],[PT.FirstID]],Main3WData[[#This Row],[Acronym]],INDEX($Q$4:Q277,Main3WData[[#This Row],[PT.LastID.Row]]-ROW($Q$4)+1) &amp; ", "&amp;Main3WData[[#This Row],[Acronym]])</f>
        <v>USAID/JHPIEGO</v>
      </c>
      <c r="R278" s="62" t="b">
        <f t="array" ref="R278">MAX(IF(Main3WData[PT.ID]=Main3WData[[#This Row],[PT.ID]],Main3WData[PT.LastID.Row]))=Main3WData[[#This Row],[PT.LastID.Row]]</f>
        <v>0</v>
      </c>
    </row>
    <row r="279" spans="2:18" ht="16.5" customHeight="1" x14ac:dyDescent="0.2">
      <c r="B279" s="55" t="s">
        <v>75</v>
      </c>
      <c r="C279" s="27" t="str">
        <f>INDEX(Organizations[],MATCH(Main3WData[[#This Row],[Acronym]],AcronymList,0),1)</f>
        <v>United Nations Population Fund</v>
      </c>
      <c r="D279" s="27" t="str">
        <f>INDEX(Organizations[],MATCH(Main3WData[[#This Row],[Acronym]],AcronymList,0),3)</f>
        <v>UN Agency</v>
      </c>
      <c r="E279" s="54" t="s">
        <v>351</v>
      </c>
      <c r="F279" s="53" t="s">
        <v>82</v>
      </c>
      <c r="G279" s="54" t="s">
        <v>400</v>
      </c>
      <c r="H279" s="28" t="str">
        <f>VLOOKUP(Main3WData[[#This Row],[Admin Unit Name]],AdminUnits[],2,FALSE)</f>
        <v>GIN005003</v>
      </c>
      <c r="I279" s="57">
        <v>0</v>
      </c>
      <c r="J279" s="67" t="str">
        <f>Main3WData[[#This Row],[Acronym]]&amp;Main3WData[[#This Row],[Sector]]&amp;Main3WData[[#This Row],[Activity Type]]&amp;Main3WData[[#This Row],[Pcode]]</f>
        <v>UNFPASurveillance &amp; suiviOngoingGIN005003</v>
      </c>
      <c r="K279" s="69">
        <f>COUNTIF(Main3WData[Concatenate],Main3WData[[#This Row],[Concatenate]])</f>
        <v>1</v>
      </c>
      <c r="L279" s="61" t="str">
        <f>Main3WData[[#This Row],[Sector]]&amp;Main3WData[[#This Row],[Pcode]]</f>
        <v>Surveillance &amp; suiviGIN005003</v>
      </c>
      <c r="M279" s="71">
        <f>COUNTIF($L$5:L279,Main3WData[[#This Row],[PT.Concat]])</f>
        <v>2</v>
      </c>
      <c r="N279" s="70">
        <f>MATCH(Main3WData[[#This Row],[PT.Concat]],$L$5:L279,0)</f>
        <v>274</v>
      </c>
      <c r="O279" s="62" t="b">
        <f>Main3WData[[#This Row],[Count PT.Concat]]=1</f>
        <v>0</v>
      </c>
      <c r="P279" s="62">
        <f t="array" ref="P279">MAX(($N$4:N278=Main3WData[[#This Row],[PT.ID]])*ROW($N$4:N278))</f>
        <v>278</v>
      </c>
      <c r="Q279" s="62" t="str">
        <f>IF(Main3WData[[#This Row],[PT.FirstID]],Main3WData[[#This Row],[Acronym]],INDEX($Q$4:Q278,Main3WData[[#This Row],[PT.LastID.Row]]-ROW($Q$4)+1) &amp; ", "&amp;Main3WData[[#This Row],[Acronym]])</f>
        <v>USAID/JHPIEGO, UNFPA</v>
      </c>
      <c r="R279" s="62" t="b">
        <f t="array" ref="R279">MAX(IF(Main3WData[PT.ID]=Main3WData[[#This Row],[PT.ID]],Main3WData[PT.LastID.Row]))=Main3WData[[#This Row],[PT.LastID.Row]]</f>
        <v>0</v>
      </c>
    </row>
    <row r="280" spans="2:18" ht="16.5" customHeight="1" x14ac:dyDescent="0.2">
      <c r="B280" s="55" t="s">
        <v>72</v>
      </c>
      <c r="C280" s="27" t="str">
        <f>INDEX(Organizations[],MATCH(Main3WData[[#This Row],[Acronym]],AcronymList,0),1)</f>
        <v>PLAN</v>
      </c>
      <c r="D280" s="27" t="str">
        <f>INDEX(Organizations[],MATCH(Main3WData[[#This Row],[Acronym]],AcronymList,0),3)</f>
        <v>International Organization</v>
      </c>
      <c r="E280" s="54" t="s">
        <v>351</v>
      </c>
      <c r="F280" s="53" t="s">
        <v>82</v>
      </c>
      <c r="G280" s="54" t="s">
        <v>400</v>
      </c>
      <c r="H280" s="28" t="str">
        <f>VLOOKUP(Main3WData[[#This Row],[Admin Unit Name]],AdminUnits[],2,FALSE)</f>
        <v>GIN005003</v>
      </c>
      <c r="I280" s="57">
        <v>0</v>
      </c>
      <c r="J280" s="67" t="str">
        <f>Main3WData[[#This Row],[Acronym]]&amp;Main3WData[[#This Row],[Sector]]&amp;Main3WData[[#This Row],[Activity Type]]&amp;Main3WData[[#This Row],[Pcode]]</f>
        <v>PLANSurveillance &amp; suiviOngoingGIN005003</v>
      </c>
      <c r="K280" s="69">
        <f>COUNTIF(Main3WData[Concatenate],Main3WData[[#This Row],[Concatenate]])</f>
        <v>1</v>
      </c>
      <c r="L280" s="61" t="str">
        <f>Main3WData[[#This Row],[Sector]]&amp;Main3WData[[#This Row],[Pcode]]</f>
        <v>Surveillance &amp; suiviGIN005003</v>
      </c>
      <c r="M280" s="71">
        <f>COUNTIF($L$5:L280,Main3WData[[#This Row],[PT.Concat]])</f>
        <v>3</v>
      </c>
      <c r="N280" s="70">
        <f>MATCH(Main3WData[[#This Row],[PT.Concat]],$L$5:L280,0)</f>
        <v>274</v>
      </c>
      <c r="O280" s="62" t="b">
        <f>Main3WData[[#This Row],[Count PT.Concat]]=1</f>
        <v>0</v>
      </c>
      <c r="P280" s="62">
        <f t="array" ref="P280">MAX(($N$4:N279=Main3WData[[#This Row],[PT.ID]])*ROW($N$4:N279))</f>
        <v>279</v>
      </c>
      <c r="Q280" s="62" t="str">
        <f>IF(Main3WData[[#This Row],[PT.FirstID]],Main3WData[[#This Row],[Acronym]],INDEX($Q$4:Q279,Main3WData[[#This Row],[PT.LastID.Row]]-ROW($Q$4)+1) &amp; ", "&amp;Main3WData[[#This Row],[Acronym]])</f>
        <v>USAID/JHPIEGO, UNFPA, PLAN</v>
      </c>
      <c r="R280" s="62" t="b">
        <f t="array" ref="R280">MAX(IF(Main3WData[PT.ID]=Main3WData[[#This Row],[PT.ID]],Main3WData[PT.LastID.Row]))=Main3WData[[#This Row],[PT.LastID.Row]]</f>
        <v>0</v>
      </c>
    </row>
    <row r="281" spans="2:18" ht="16.5" customHeight="1" x14ac:dyDescent="0.2">
      <c r="B281" s="55" t="s">
        <v>512</v>
      </c>
      <c r="C281" s="27" t="str">
        <f>INDEX(Organizations[],MATCH(Main3WData[[#This Row],[Acronym]],AcronymList,0),1)</f>
        <v>World Health Organization</v>
      </c>
      <c r="D281" s="27" t="str">
        <f>INDEX(Organizations[],MATCH(Main3WData[[#This Row],[Acronym]],AcronymList,0),3)</f>
        <v>UN Agency</v>
      </c>
      <c r="E281" s="54" t="s">
        <v>351</v>
      </c>
      <c r="F281" s="53" t="s">
        <v>82</v>
      </c>
      <c r="G281" s="54" t="s">
        <v>400</v>
      </c>
      <c r="H281" s="28" t="str">
        <f>VLOOKUP(Main3WData[[#This Row],[Admin Unit Name]],AdminUnits[],2,FALSE)</f>
        <v>GIN005003</v>
      </c>
      <c r="I281" s="57">
        <v>0</v>
      </c>
      <c r="J281" s="67" t="str">
        <f>Main3WData[[#This Row],[Acronym]]&amp;Main3WData[[#This Row],[Sector]]&amp;Main3WData[[#This Row],[Activity Type]]&amp;Main3WData[[#This Row],[Pcode]]</f>
        <v>OMSSurveillance &amp; suiviOngoingGIN005003</v>
      </c>
      <c r="K281" s="69">
        <f>COUNTIF(Main3WData[Concatenate],Main3WData[[#This Row],[Concatenate]])</f>
        <v>1</v>
      </c>
      <c r="L281" s="61" t="str">
        <f>Main3WData[[#This Row],[Sector]]&amp;Main3WData[[#This Row],[Pcode]]</f>
        <v>Surveillance &amp; suiviGIN005003</v>
      </c>
      <c r="M281" s="71">
        <f>COUNTIF($L$5:L281,Main3WData[[#This Row],[PT.Concat]])</f>
        <v>4</v>
      </c>
      <c r="N281" s="70">
        <f>MATCH(Main3WData[[#This Row],[PT.Concat]],$L$5:L281,0)</f>
        <v>274</v>
      </c>
      <c r="O281" s="62" t="b">
        <f>Main3WData[[#This Row],[Count PT.Concat]]=1</f>
        <v>0</v>
      </c>
      <c r="P281" s="62">
        <f t="array" ref="P281">MAX(($N$4:N280=Main3WData[[#This Row],[PT.ID]])*ROW($N$4:N280))</f>
        <v>280</v>
      </c>
      <c r="Q281" s="62" t="str">
        <f>IF(Main3WData[[#This Row],[PT.FirstID]],Main3WData[[#This Row],[Acronym]],INDEX($Q$4:Q280,Main3WData[[#This Row],[PT.LastID.Row]]-ROW($Q$4)+1) &amp; ", "&amp;Main3WData[[#This Row],[Acronym]])</f>
        <v>USAID/JHPIEGO, UNFPA, PLAN, OMS</v>
      </c>
      <c r="R281" s="62" t="b">
        <f t="array" ref="R281">MAX(IF(Main3WData[PT.ID]=Main3WData[[#This Row],[PT.ID]],Main3WData[PT.LastID.Row]))=Main3WData[[#This Row],[PT.LastID.Row]]</f>
        <v>0</v>
      </c>
    </row>
    <row r="282" spans="2:18" ht="16.5" customHeight="1" x14ac:dyDescent="0.2">
      <c r="B282" s="55" t="s">
        <v>496</v>
      </c>
      <c r="C282" s="27" t="str">
        <f>INDEX(Organizations[],MATCH(Main3WData[[#This Row],[Acronym]],AcronymList,0),1)</f>
        <v>Columbia University</v>
      </c>
      <c r="D282" s="27" t="str">
        <f>INDEX(Organizations[],MATCH(Main3WData[[#This Row],[Acronym]],AcronymList,0),3)</f>
        <v>Education</v>
      </c>
      <c r="E282" s="54" t="s">
        <v>351</v>
      </c>
      <c r="F282" s="53" t="s">
        <v>82</v>
      </c>
      <c r="G282" s="54" t="s">
        <v>400</v>
      </c>
      <c r="H282" s="28" t="str">
        <f>VLOOKUP(Main3WData[[#This Row],[Admin Unit Name]],AdminUnits[],2,FALSE)</f>
        <v>GIN005003</v>
      </c>
      <c r="I282" s="57">
        <v>0</v>
      </c>
      <c r="J282" s="67" t="str">
        <f>Main3WData[[#This Row],[Acronym]]&amp;Main3WData[[#This Row],[Sector]]&amp;Main3WData[[#This Row],[Activity Type]]&amp;Main3WData[[#This Row],[Pcode]]</f>
        <v>Columbia UnivSurveillance &amp; suiviOngoingGIN005003</v>
      </c>
      <c r="K282" s="69">
        <f>COUNTIF(Main3WData[Concatenate],Main3WData[[#This Row],[Concatenate]])</f>
        <v>1</v>
      </c>
      <c r="L282" s="61" t="str">
        <f>Main3WData[[#This Row],[Sector]]&amp;Main3WData[[#This Row],[Pcode]]</f>
        <v>Surveillance &amp; suiviGIN005003</v>
      </c>
      <c r="M282" s="71">
        <f>COUNTIF($L$5:L282,Main3WData[[#This Row],[PT.Concat]])</f>
        <v>5</v>
      </c>
      <c r="N282" s="70">
        <f>MATCH(Main3WData[[#This Row],[PT.Concat]],$L$5:L282,0)</f>
        <v>274</v>
      </c>
      <c r="O282" s="62" t="b">
        <f>Main3WData[[#This Row],[Count PT.Concat]]=1</f>
        <v>0</v>
      </c>
      <c r="P282" s="62">
        <f t="array" ref="P282">MAX(($N$4:N281=Main3WData[[#This Row],[PT.ID]])*ROW($N$4:N281))</f>
        <v>281</v>
      </c>
      <c r="Q282" s="62" t="str">
        <f>IF(Main3WData[[#This Row],[PT.FirstID]],Main3WData[[#This Row],[Acronym]],INDEX($Q$4:Q281,Main3WData[[#This Row],[PT.LastID.Row]]-ROW($Q$4)+1) &amp; ", "&amp;Main3WData[[#This Row],[Acronym]])</f>
        <v>USAID/JHPIEGO, UNFPA, PLAN, OMS, Columbia Univ</v>
      </c>
      <c r="R282" s="62" t="b">
        <f t="array" ref="R282">MAX(IF(Main3WData[PT.ID]=Main3WData[[#This Row],[PT.ID]],Main3WData[PT.LastID.Row]))=Main3WData[[#This Row],[PT.LastID.Row]]</f>
        <v>0</v>
      </c>
    </row>
    <row r="283" spans="2:18" ht="16.5" customHeight="1" x14ac:dyDescent="0.2">
      <c r="B283" s="55" t="s">
        <v>64</v>
      </c>
      <c r="C283" s="27" t="str">
        <f>INDEX(Organizations[],MATCH(Main3WData[[#This Row],[Acronym]],AcronymList,0),1)</f>
        <v>CDC</v>
      </c>
      <c r="D283" s="27" t="str">
        <f>INDEX(Organizations[],MATCH(Main3WData[[#This Row],[Acronym]],AcronymList,0),3)</f>
        <v>International NGO</v>
      </c>
      <c r="E283" s="54" t="s">
        <v>351</v>
      </c>
      <c r="F283" s="53" t="s">
        <v>82</v>
      </c>
      <c r="G283" s="54" t="s">
        <v>400</v>
      </c>
      <c r="H283" s="28" t="str">
        <f>VLOOKUP(Main3WData[[#This Row],[Admin Unit Name]],AdminUnits[],2,FALSE)</f>
        <v>GIN005003</v>
      </c>
      <c r="I283" s="57">
        <v>0</v>
      </c>
      <c r="J283" s="67" t="str">
        <f>Main3WData[[#This Row],[Acronym]]&amp;Main3WData[[#This Row],[Sector]]&amp;Main3WData[[#This Row],[Activity Type]]&amp;Main3WData[[#This Row],[Pcode]]</f>
        <v>CDCSurveillance &amp; suiviOngoingGIN005003</v>
      </c>
      <c r="K283" s="69">
        <f>COUNTIF(Main3WData[Concatenate],Main3WData[[#This Row],[Concatenate]])</f>
        <v>1</v>
      </c>
      <c r="L283" s="61" t="str">
        <f>Main3WData[[#This Row],[Sector]]&amp;Main3WData[[#This Row],[Pcode]]</f>
        <v>Surveillance &amp; suiviGIN005003</v>
      </c>
      <c r="M283" s="71">
        <f>COUNTIF($L$5:L283,Main3WData[[#This Row],[PT.Concat]])</f>
        <v>6</v>
      </c>
      <c r="N283" s="70">
        <f>MATCH(Main3WData[[#This Row],[PT.Concat]],$L$5:L283,0)</f>
        <v>274</v>
      </c>
      <c r="O283" s="62" t="b">
        <f>Main3WData[[#This Row],[Count PT.Concat]]=1</f>
        <v>0</v>
      </c>
      <c r="P283" s="62">
        <f t="array" ref="P283">MAX(($N$4:N282=Main3WData[[#This Row],[PT.ID]])*ROW($N$4:N282))</f>
        <v>282</v>
      </c>
      <c r="Q283" s="62" t="str">
        <f>IF(Main3WData[[#This Row],[PT.FirstID]],Main3WData[[#This Row],[Acronym]],INDEX($Q$4:Q282,Main3WData[[#This Row],[PT.LastID.Row]]-ROW($Q$4)+1) &amp; ", "&amp;Main3WData[[#This Row],[Acronym]])</f>
        <v>USAID/JHPIEGO, UNFPA, PLAN, OMS, Columbia Univ, CDC</v>
      </c>
      <c r="R283" s="62" t="b">
        <f t="array" ref="R283">MAX(IF(Main3WData[PT.ID]=Main3WData[[#This Row],[PT.ID]],Main3WData[PT.LastID.Row]))=Main3WData[[#This Row],[PT.LastID.Row]]</f>
        <v>0</v>
      </c>
    </row>
    <row r="284" spans="2:18" ht="16.5" customHeight="1" x14ac:dyDescent="0.2">
      <c r="B284" s="55" t="s">
        <v>437</v>
      </c>
      <c r="C284" s="27" t="str">
        <f>INDEX(Organizations[],MATCH(Main3WData[[#This Row],[Acronym]],AcronymList,0),1)</f>
        <v>Action Contre la Faim Espagne</v>
      </c>
      <c r="D284" s="27" t="str">
        <f>INDEX(Organizations[],MATCH(Main3WData[[#This Row],[Acronym]],AcronymList,0),3)</f>
        <v>International NGO</v>
      </c>
      <c r="E284" s="54" t="s">
        <v>351</v>
      </c>
      <c r="F284" s="53" t="s">
        <v>82</v>
      </c>
      <c r="G284" s="54" t="s">
        <v>400</v>
      </c>
      <c r="H284" s="28" t="str">
        <f>VLOOKUP(Main3WData[[#This Row],[Admin Unit Name]],AdminUnits[],2,FALSE)</f>
        <v>GIN005003</v>
      </c>
      <c r="I284" s="57">
        <v>0</v>
      </c>
      <c r="J284" s="67" t="str">
        <f>Main3WData[[#This Row],[Acronym]]&amp;Main3WData[[#This Row],[Sector]]&amp;Main3WData[[#This Row],[Activity Type]]&amp;Main3WData[[#This Row],[Pcode]]</f>
        <v>ACF-ESurveillance &amp; suiviOngoingGIN005003</v>
      </c>
      <c r="K284" s="69">
        <f>COUNTIF(Main3WData[Concatenate],Main3WData[[#This Row],[Concatenate]])</f>
        <v>1</v>
      </c>
      <c r="L284" s="61" t="str">
        <f>Main3WData[[#This Row],[Sector]]&amp;Main3WData[[#This Row],[Pcode]]</f>
        <v>Surveillance &amp; suiviGIN005003</v>
      </c>
      <c r="M284" s="71">
        <f>COUNTIF($L$5:L284,Main3WData[[#This Row],[PT.Concat]])</f>
        <v>7</v>
      </c>
      <c r="N284" s="70">
        <f>MATCH(Main3WData[[#This Row],[PT.Concat]],$L$5:L284,0)</f>
        <v>274</v>
      </c>
      <c r="O284" s="62" t="b">
        <f>Main3WData[[#This Row],[Count PT.Concat]]=1</f>
        <v>0</v>
      </c>
      <c r="P284" s="62">
        <f t="array" ref="P284">MAX(($N$4:N283=Main3WData[[#This Row],[PT.ID]])*ROW($N$4:N283))</f>
        <v>283</v>
      </c>
      <c r="Q284" s="62" t="str">
        <f>IF(Main3WData[[#This Row],[PT.FirstID]],Main3WData[[#This Row],[Acronym]],INDEX($Q$4:Q283,Main3WData[[#This Row],[PT.LastID.Row]]-ROW($Q$4)+1) &amp; ", "&amp;Main3WData[[#This Row],[Acronym]])</f>
        <v>USAID/JHPIEGO, UNFPA, PLAN, OMS, Columbia Univ, CDC, ACF-E</v>
      </c>
      <c r="R284" s="62" t="b">
        <f t="array" ref="R284">MAX(IF(Main3WData[PT.ID]=Main3WData[[#This Row],[PT.ID]],Main3WData[PT.LastID.Row]))=Main3WData[[#This Row],[PT.LastID.Row]]</f>
        <v>1</v>
      </c>
    </row>
    <row r="285" spans="2:18" ht="16.5" customHeight="1" x14ac:dyDescent="0.2">
      <c r="B285" s="55" t="s">
        <v>77</v>
      </c>
      <c r="C285" s="27" t="str">
        <f>INDEX(Organizations[],MATCH(Main3WData[[#This Row],[Acronym]],AcronymList,0),1)</f>
        <v>United Nations Children's Fund</v>
      </c>
      <c r="D285" s="27" t="str">
        <f>INDEX(Organizations[],MATCH(Main3WData[[#This Row],[Acronym]],AcronymList,0),3)</f>
        <v>UN Agency</v>
      </c>
      <c r="E285" s="54" t="s">
        <v>350</v>
      </c>
      <c r="F285" s="53" t="s">
        <v>82</v>
      </c>
      <c r="G285" s="54" t="s">
        <v>402</v>
      </c>
      <c r="H285" s="28" t="str">
        <f>VLOOKUP(Main3WData[[#This Row],[Admin Unit Name]],AdminUnits[],2,FALSE)</f>
        <v>GIN005004</v>
      </c>
      <c r="I285" s="57">
        <v>0</v>
      </c>
      <c r="J285" s="67" t="str">
        <f>Main3WData[[#This Row],[Acronym]]&amp;Main3WData[[#This Row],[Sector]]&amp;Main3WData[[#This Row],[Activity Type]]&amp;Main3WData[[#This Row],[Pcode]]</f>
        <v>UNICEFCommunication/Mobilisation socialeOngoingGIN005004</v>
      </c>
      <c r="K285" s="69">
        <f>COUNTIF(Main3WData[Concatenate],Main3WData[[#This Row],[Concatenate]])</f>
        <v>1</v>
      </c>
      <c r="L285" s="61" t="str">
        <f>Main3WData[[#This Row],[Sector]]&amp;Main3WData[[#This Row],[Pcode]]</f>
        <v>Communication/Mobilisation socialeGIN005004</v>
      </c>
      <c r="M285" s="71">
        <f>COUNTIF($L$5:L285,Main3WData[[#This Row],[PT.Concat]])</f>
        <v>1</v>
      </c>
      <c r="N285" s="70">
        <f>MATCH(Main3WData[[#This Row],[PT.Concat]],$L$5:L285,0)</f>
        <v>281</v>
      </c>
      <c r="O285" s="62" t="b">
        <f>Main3WData[[#This Row],[Count PT.Concat]]=1</f>
        <v>1</v>
      </c>
      <c r="P285" s="62">
        <f t="array" ref="P285">MAX(($N$4:N284=Main3WData[[#This Row],[PT.ID]])*ROW($N$4:N284))</f>
        <v>0</v>
      </c>
      <c r="Q285" s="62" t="str">
        <f>IF(Main3WData[[#This Row],[PT.FirstID]],Main3WData[[#This Row],[Acronym]],INDEX($Q$4:Q284,Main3WData[[#This Row],[PT.LastID.Row]]-ROW($Q$4)+1) &amp; ", "&amp;Main3WData[[#This Row],[Acronym]])</f>
        <v>UNICEF</v>
      </c>
      <c r="R285" s="62" t="b">
        <f t="array" ref="R285">MAX(IF(Main3WData[PT.ID]=Main3WData[[#This Row],[PT.ID]],Main3WData[PT.LastID.Row]))=Main3WData[[#This Row],[PT.LastID.Row]]</f>
        <v>0</v>
      </c>
    </row>
    <row r="286" spans="2:18" ht="16.5" customHeight="1" x14ac:dyDescent="0.2">
      <c r="B286" s="55" t="s">
        <v>72</v>
      </c>
      <c r="C286" s="27" t="str">
        <f>INDEX(Organizations[],MATCH(Main3WData[[#This Row],[Acronym]],AcronymList,0),1)</f>
        <v>PLAN</v>
      </c>
      <c r="D286" s="27" t="str">
        <f>INDEX(Organizations[],MATCH(Main3WData[[#This Row],[Acronym]],AcronymList,0),3)</f>
        <v>International Organization</v>
      </c>
      <c r="E286" s="54" t="s">
        <v>350</v>
      </c>
      <c r="F286" s="53" t="s">
        <v>82</v>
      </c>
      <c r="G286" s="54" t="s">
        <v>402</v>
      </c>
      <c r="H286" s="28" t="str">
        <f>VLOOKUP(Main3WData[[#This Row],[Admin Unit Name]],AdminUnits[],2,FALSE)</f>
        <v>GIN005004</v>
      </c>
      <c r="I286" s="57">
        <v>0</v>
      </c>
      <c r="J286" s="67" t="str">
        <f>Main3WData[[#This Row],[Acronym]]&amp;Main3WData[[#This Row],[Sector]]&amp;Main3WData[[#This Row],[Activity Type]]&amp;Main3WData[[#This Row],[Pcode]]</f>
        <v>PLANCommunication/Mobilisation socialeOngoingGIN005004</v>
      </c>
      <c r="K286" s="69">
        <f>COUNTIF(Main3WData[Concatenate],Main3WData[[#This Row],[Concatenate]])</f>
        <v>1</v>
      </c>
      <c r="L286" s="61" t="str">
        <f>Main3WData[[#This Row],[Sector]]&amp;Main3WData[[#This Row],[Pcode]]</f>
        <v>Communication/Mobilisation socialeGIN005004</v>
      </c>
      <c r="M286" s="71">
        <f>COUNTIF($L$5:L286,Main3WData[[#This Row],[PT.Concat]])</f>
        <v>2</v>
      </c>
      <c r="N286" s="70">
        <f>MATCH(Main3WData[[#This Row],[PT.Concat]],$L$5:L286,0)</f>
        <v>281</v>
      </c>
      <c r="O286" s="62" t="b">
        <f>Main3WData[[#This Row],[Count PT.Concat]]=1</f>
        <v>0</v>
      </c>
      <c r="P286" s="62">
        <f t="array" ref="P286">MAX(($N$4:N285=Main3WData[[#This Row],[PT.ID]])*ROW($N$4:N285))</f>
        <v>285</v>
      </c>
      <c r="Q286" s="62" t="str">
        <f>IF(Main3WData[[#This Row],[PT.FirstID]],Main3WData[[#This Row],[Acronym]],INDEX($Q$4:Q285,Main3WData[[#This Row],[PT.LastID.Row]]-ROW($Q$4)+1) &amp; ", "&amp;Main3WData[[#This Row],[Acronym]])</f>
        <v>UNICEF, PLAN</v>
      </c>
      <c r="R286" s="62" t="b">
        <f t="array" ref="R286">MAX(IF(Main3WData[PT.ID]=Main3WData[[#This Row],[PT.ID]],Main3WData[PT.LastID.Row]))=Main3WData[[#This Row],[PT.LastID.Row]]</f>
        <v>1</v>
      </c>
    </row>
    <row r="287" spans="2:18" ht="16.5" customHeight="1" x14ac:dyDescent="0.2">
      <c r="B287" s="55" t="s">
        <v>516</v>
      </c>
      <c r="C287" s="27" t="str">
        <f>INDEX(Organizations[],MATCH(Main3WData[[#This Row],[Acronym]],AcronymList,0),1)</f>
        <v>UNITED NATION MISSION FOR EBOLA  EMERGENCY RESPONSE</v>
      </c>
      <c r="D287" s="27" t="str">
        <f>INDEX(Organizations[],MATCH(Main3WData[[#This Row],[Acronym]],AcronymList,0),3)</f>
        <v>UN Agency</v>
      </c>
      <c r="E287" s="54" t="s">
        <v>360</v>
      </c>
      <c r="F287" s="53" t="s">
        <v>82</v>
      </c>
      <c r="G287" s="54" t="s">
        <v>402</v>
      </c>
      <c r="H287" s="28" t="str">
        <f>VLOOKUP(Main3WData[[#This Row],[Admin Unit Name]],AdminUnits[],2,FALSE)</f>
        <v>GIN005004</v>
      </c>
      <c r="I287" s="57">
        <v>0</v>
      </c>
      <c r="J287" s="67" t="str">
        <f>Main3WData[[#This Row],[Acronym]]&amp;Main3WData[[#This Row],[Sector]]&amp;Main3WData[[#This Row],[Activity Type]]&amp;Main3WData[[#This Row],[Pcode]]</f>
        <v>UNMEERCoordinationOngoingGIN005004</v>
      </c>
      <c r="K287" s="69">
        <f>COUNTIF(Main3WData[Concatenate],Main3WData[[#This Row],[Concatenate]])</f>
        <v>1</v>
      </c>
      <c r="L287" s="61" t="str">
        <f>Main3WData[[#This Row],[Sector]]&amp;Main3WData[[#This Row],[Pcode]]</f>
        <v>CoordinationGIN005004</v>
      </c>
      <c r="M287" s="71">
        <f>COUNTIF($L$5:L287,Main3WData[[#This Row],[PT.Concat]])</f>
        <v>1</v>
      </c>
      <c r="N287" s="70">
        <f>MATCH(Main3WData[[#This Row],[PT.Concat]],$L$5:L287,0)</f>
        <v>283</v>
      </c>
      <c r="O287" s="62" t="b">
        <f>Main3WData[[#This Row],[Count PT.Concat]]=1</f>
        <v>1</v>
      </c>
      <c r="P287" s="62">
        <f t="array" ref="P287">MAX(($N$4:N286=Main3WData[[#This Row],[PT.ID]])*ROW($N$4:N286))</f>
        <v>0</v>
      </c>
      <c r="Q287" s="62" t="str">
        <f>IF(Main3WData[[#This Row],[PT.FirstID]],Main3WData[[#This Row],[Acronym]],INDEX($Q$4:Q286,Main3WData[[#This Row],[PT.LastID.Row]]-ROW($Q$4)+1) &amp; ", "&amp;Main3WData[[#This Row],[Acronym]])</f>
        <v>UNMEER</v>
      </c>
      <c r="R287" s="62" t="b">
        <f t="array" ref="R287">MAX(IF(Main3WData[PT.ID]=Main3WData[[#This Row],[PT.ID]],Main3WData[PT.LastID.Row]))=Main3WData[[#This Row],[PT.LastID.Row]]</f>
        <v>0</v>
      </c>
    </row>
    <row r="288" spans="2:18" ht="16.5" customHeight="1" x14ac:dyDescent="0.2">
      <c r="B288" s="55" t="s">
        <v>75</v>
      </c>
      <c r="C288" s="27" t="str">
        <f>INDEX(Organizations[],MATCH(Main3WData[[#This Row],[Acronym]],AcronymList,0),1)</f>
        <v>United Nations Population Fund</v>
      </c>
      <c r="D288" s="27" t="str">
        <f>INDEX(Organizations[],MATCH(Main3WData[[#This Row],[Acronym]],AcronymList,0),3)</f>
        <v>UN Agency</v>
      </c>
      <c r="E288" s="54" t="s">
        <v>360</v>
      </c>
      <c r="F288" s="53" t="s">
        <v>82</v>
      </c>
      <c r="G288" s="54" t="s">
        <v>402</v>
      </c>
      <c r="H288" s="28" t="str">
        <f>VLOOKUP(Main3WData[[#This Row],[Admin Unit Name]],AdminUnits[],2,FALSE)</f>
        <v>GIN005004</v>
      </c>
      <c r="I288" s="57">
        <v>0</v>
      </c>
      <c r="J288" s="67" t="str">
        <f>Main3WData[[#This Row],[Acronym]]&amp;Main3WData[[#This Row],[Sector]]&amp;Main3WData[[#This Row],[Activity Type]]&amp;Main3WData[[#This Row],[Pcode]]</f>
        <v>UNFPACoordinationOngoingGIN005004</v>
      </c>
      <c r="K288" s="69">
        <f>COUNTIF(Main3WData[Concatenate],Main3WData[[#This Row],[Concatenate]])</f>
        <v>1</v>
      </c>
      <c r="L288" s="61" t="str">
        <f>Main3WData[[#This Row],[Sector]]&amp;Main3WData[[#This Row],[Pcode]]</f>
        <v>CoordinationGIN005004</v>
      </c>
      <c r="M288" s="71">
        <f>COUNTIF($L$5:L288,Main3WData[[#This Row],[PT.Concat]])</f>
        <v>2</v>
      </c>
      <c r="N288" s="70">
        <f>MATCH(Main3WData[[#This Row],[PT.Concat]],$L$5:L288,0)</f>
        <v>283</v>
      </c>
      <c r="O288" s="62" t="b">
        <f>Main3WData[[#This Row],[Count PT.Concat]]=1</f>
        <v>0</v>
      </c>
      <c r="P288" s="62">
        <f t="array" ref="P288">MAX(($N$4:N287=Main3WData[[#This Row],[PT.ID]])*ROW($N$4:N287))</f>
        <v>287</v>
      </c>
      <c r="Q288" s="62" t="str">
        <f>IF(Main3WData[[#This Row],[PT.FirstID]],Main3WData[[#This Row],[Acronym]],INDEX($Q$4:Q287,Main3WData[[#This Row],[PT.LastID.Row]]-ROW($Q$4)+1) &amp; ", "&amp;Main3WData[[#This Row],[Acronym]])</f>
        <v>UNMEER, UNFPA</v>
      </c>
      <c r="R288" s="62" t="b">
        <f t="array" ref="R288">MAX(IF(Main3WData[PT.ID]=Main3WData[[#This Row],[PT.ID]],Main3WData[PT.LastID.Row]))=Main3WData[[#This Row],[PT.LastID.Row]]</f>
        <v>0</v>
      </c>
    </row>
    <row r="289" spans="2:18" ht="16.5" customHeight="1" x14ac:dyDescent="0.2">
      <c r="B289" s="55" t="s">
        <v>473</v>
      </c>
      <c r="C289" s="27" t="str">
        <f>INDEX(Organizations[],MATCH(Main3WData[[#This Row],[Acronym]],AcronymList,0),1)</f>
        <v>United Nations Development Programme</v>
      </c>
      <c r="D289" s="27" t="str">
        <f>INDEX(Organizations[],MATCH(Main3WData[[#This Row],[Acronym]],AcronymList,0),3)</f>
        <v>UN Agency</v>
      </c>
      <c r="E289" s="54" t="s">
        <v>360</v>
      </c>
      <c r="F289" s="53" t="s">
        <v>82</v>
      </c>
      <c r="G289" s="54" t="s">
        <v>402</v>
      </c>
      <c r="H289" s="28" t="str">
        <f>VLOOKUP(Main3WData[[#This Row],[Admin Unit Name]],AdminUnits[],2,FALSE)</f>
        <v>GIN005004</v>
      </c>
      <c r="I289" s="57">
        <v>0</v>
      </c>
      <c r="J289" s="67" t="str">
        <f>Main3WData[[#This Row],[Acronym]]&amp;Main3WData[[#This Row],[Sector]]&amp;Main3WData[[#This Row],[Activity Type]]&amp;Main3WData[[#This Row],[Pcode]]</f>
        <v>UNDPCoordinationOngoingGIN005004</v>
      </c>
      <c r="K289" s="69">
        <f>COUNTIF(Main3WData[Concatenate],Main3WData[[#This Row],[Concatenate]])</f>
        <v>1</v>
      </c>
      <c r="L289" s="61" t="str">
        <f>Main3WData[[#This Row],[Sector]]&amp;Main3WData[[#This Row],[Pcode]]</f>
        <v>CoordinationGIN005004</v>
      </c>
      <c r="M289" s="71">
        <f>COUNTIF($L$5:L289,Main3WData[[#This Row],[PT.Concat]])</f>
        <v>3</v>
      </c>
      <c r="N289" s="70">
        <f>MATCH(Main3WData[[#This Row],[PT.Concat]],$L$5:L289,0)</f>
        <v>283</v>
      </c>
      <c r="O289" s="62" t="b">
        <f>Main3WData[[#This Row],[Count PT.Concat]]=1</f>
        <v>0</v>
      </c>
      <c r="P289" s="62">
        <f t="array" ref="P289">MAX(($N$4:N288=Main3WData[[#This Row],[PT.ID]])*ROW($N$4:N288))</f>
        <v>288</v>
      </c>
      <c r="Q289" s="62" t="str">
        <f>IF(Main3WData[[#This Row],[PT.FirstID]],Main3WData[[#This Row],[Acronym]],INDEX($Q$4:Q288,Main3WData[[#This Row],[PT.LastID.Row]]-ROW($Q$4)+1) &amp; ", "&amp;Main3WData[[#This Row],[Acronym]])</f>
        <v>UNMEER, UNFPA, UNDP</v>
      </c>
      <c r="R289" s="62" t="b">
        <f t="array" ref="R289">MAX(IF(Main3WData[PT.ID]=Main3WData[[#This Row],[PT.ID]],Main3WData[PT.LastID.Row]))=Main3WData[[#This Row],[PT.LastID.Row]]</f>
        <v>0</v>
      </c>
    </row>
    <row r="290" spans="2:18" ht="16.5" customHeight="1" x14ac:dyDescent="0.2">
      <c r="B290" s="55" t="s">
        <v>512</v>
      </c>
      <c r="C290" s="27" t="str">
        <f>INDEX(Organizations[],MATCH(Main3WData[[#This Row],[Acronym]],AcronymList,0),1)</f>
        <v>World Health Organization</v>
      </c>
      <c r="D290" s="27" t="str">
        <f>INDEX(Organizations[],MATCH(Main3WData[[#This Row],[Acronym]],AcronymList,0),3)</f>
        <v>UN Agency</v>
      </c>
      <c r="E290" s="54" t="s">
        <v>360</v>
      </c>
      <c r="F290" s="53" t="s">
        <v>82</v>
      </c>
      <c r="G290" s="54" t="s">
        <v>402</v>
      </c>
      <c r="H290" s="28" t="str">
        <f>VLOOKUP(Main3WData[[#This Row],[Admin Unit Name]],AdminUnits[],2,FALSE)</f>
        <v>GIN005004</v>
      </c>
      <c r="I290" s="57">
        <v>0</v>
      </c>
      <c r="J290" s="67" t="str">
        <f>Main3WData[[#This Row],[Acronym]]&amp;Main3WData[[#This Row],[Sector]]&amp;Main3WData[[#This Row],[Activity Type]]&amp;Main3WData[[#This Row],[Pcode]]</f>
        <v>OMSCoordinationOngoingGIN005004</v>
      </c>
      <c r="K290" s="69">
        <f>COUNTIF(Main3WData[Concatenate],Main3WData[[#This Row],[Concatenate]])</f>
        <v>1</v>
      </c>
      <c r="L290" s="61" t="str">
        <f>Main3WData[[#This Row],[Sector]]&amp;Main3WData[[#This Row],[Pcode]]</f>
        <v>CoordinationGIN005004</v>
      </c>
      <c r="M290" s="71">
        <f>COUNTIF($L$5:L290,Main3WData[[#This Row],[PT.Concat]])</f>
        <v>4</v>
      </c>
      <c r="N290" s="70">
        <f>MATCH(Main3WData[[#This Row],[PT.Concat]],$L$5:L290,0)</f>
        <v>283</v>
      </c>
      <c r="O290" s="62" t="b">
        <f>Main3WData[[#This Row],[Count PT.Concat]]=1</f>
        <v>0</v>
      </c>
      <c r="P290" s="62">
        <f t="array" ref="P290">MAX(($N$4:N289=Main3WData[[#This Row],[PT.ID]])*ROW($N$4:N289))</f>
        <v>289</v>
      </c>
      <c r="Q290" s="62" t="str">
        <f>IF(Main3WData[[#This Row],[PT.FirstID]],Main3WData[[#This Row],[Acronym]],INDEX($Q$4:Q289,Main3WData[[#This Row],[PT.LastID.Row]]-ROW($Q$4)+1) &amp; ", "&amp;Main3WData[[#This Row],[Acronym]])</f>
        <v>UNMEER, UNFPA, UNDP, OMS</v>
      </c>
      <c r="R290" s="62" t="b">
        <f t="array" ref="R290">MAX(IF(Main3WData[PT.ID]=Main3WData[[#This Row],[PT.ID]],Main3WData[PT.LastID.Row]))=Main3WData[[#This Row],[PT.LastID.Row]]</f>
        <v>0</v>
      </c>
    </row>
    <row r="291" spans="2:18" ht="16.5" customHeight="1" x14ac:dyDescent="0.2">
      <c r="B291" s="55" t="s">
        <v>71</v>
      </c>
      <c r="C291" s="27" t="str">
        <f>INDEX(Organizations[],MATCH(Main3WData[[#This Row],[Acronym]],AcronymList,0),1)</f>
        <v>Medecins sans Frontieres</v>
      </c>
      <c r="D291" s="27" t="str">
        <f>INDEX(Organizations[],MATCH(Main3WData[[#This Row],[Acronym]],AcronymList,0),3)</f>
        <v>International NGO</v>
      </c>
      <c r="E291" s="54" t="s">
        <v>360</v>
      </c>
      <c r="F291" s="53" t="s">
        <v>82</v>
      </c>
      <c r="G291" s="54" t="s">
        <v>402</v>
      </c>
      <c r="H291" s="28" t="str">
        <f>VLOOKUP(Main3WData[[#This Row],[Admin Unit Name]],AdminUnits[],2,FALSE)</f>
        <v>GIN005004</v>
      </c>
      <c r="I291" s="57">
        <v>0</v>
      </c>
      <c r="J291" s="67" t="str">
        <f>Main3WData[[#This Row],[Acronym]]&amp;Main3WData[[#This Row],[Sector]]&amp;Main3WData[[#This Row],[Activity Type]]&amp;Main3WData[[#This Row],[Pcode]]</f>
        <v>MSFCoordinationOngoingGIN005004</v>
      </c>
      <c r="K291" s="69">
        <f>COUNTIF(Main3WData[Concatenate],Main3WData[[#This Row],[Concatenate]])</f>
        <v>1</v>
      </c>
      <c r="L291" s="61" t="str">
        <f>Main3WData[[#This Row],[Sector]]&amp;Main3WData[[#This Row],[Pcode]]</f>
        <v>CoordinationGIN005004</v>
      </c>
      <c r="M291" s="71">
        <f>COUNTIF($L$5:L291,Main3WData[[#This Row],[PT.Concat]])</f>
        <v>5</v>
      </c>
      <c r="N291" s="70">
        <f>MATCH(Main3WData[[#This Row],[PT.Concat]],$L$5:L291,0)</f>
        <v>283</v>
      </c>
      <c r="O291" s="62" t="b">
        <f>Main3WData[[#This Row],[Count PT.Concat]]=1</f>
        <v>0</v>
      </c>
      <c r="P291" s="62">
        <f t="array" ref="P291">MAX(($N$4:N290=Main3WData[[#This Row],[PT.ID]])*ROW($N$4:N290))</f>
        <v>290</v>
      </c>
      <c r="Q291" s="62" t="str">
        <f>IF(Main3WData[[#This Row],[PT.FirstID]],Main3WData[[#This Row],[Acronym]],INDEX($Q$4:Q290,Main3WData[[#This Row],[PT.LastID.Row]]-ROW($Q$4)+1) &amp; ", "&amp;Main3WData[[#This Row],[Acronym]])</f>
        <v>UNMEER, UNFPA, UNDP, OMS, MSF</v>
      </c>
      <c r="R291" s="62" t="b">
        <f t="array" ref="R291">MAX(IF(Main3WData[PT.ID]=Main3WData[[#This Row],[PT.ID]],Main3WData[PT.LastID.Row]))=Main3WData[[#This Row],[PT.LastID.Row]]</f>
        <v>0</v>
      </c>
    </row>
    <row r="292" spans="2:18" ht="16.5" customHeight="1" x14ac:dyDescent="0.2">
      <c r="B292" s="55" t="s">
        <v>507</v>
      </c>
      <c r="C292" s="27" t="str">
        <f>INDEX(Organizations[],MATCH(Main3WData[[#This Row],[Acronym]],AcronymList,0),1)</f>
        <v>eHealth Africa</v>
      </c>
      <c r="D292" s="27" t="str">
        <f>INDEX(Organizations[],MATCH(Main3WData[[#This Row],[Acronym]],AcronymList,0),3)</f>
        <v>International Organization</v>
      </c>
      <c r="E292" s="54" t="s">
        <v>360</v>
      </c>
      <c r="F292" s="53" t="s">
        <v>82</v>
      </c>
      <c r="G292" s="54" t="s">
        <v>402</v>
      </c>
      <c r="H292" s="28" t="str">
        <f>VLOOKUP(Main3WData[[#This Row],[Admin Unit Name]],AdminUnits[],2,FALSE)</f>
        <v>GIN005004</v>
      </c>
      <c r="I292" s="57">
        <v>0</v>
      </c>
      <c r="J292" s="67" t="str">
        <f>Main3WData[[#This Row],[Acronym]]&amp;Main3WData[[#This Row],[Sector]]&amp;Main3WData[[#This Row],[Activity Type]]&amp;Main3WData[[#This Row],[Pcode]]</f>
        <v>eHealth AfricaCoordinationOngoingGIN005004</v>
      </c>
      <c r="K292" s="69">
        <f>COUNTIF(Main3WData[Concatenate],Main3WData[[#This Row],[Concatenate]])</f>
        <v>1</v>
      </c>
      <c r="L292" s="61" t="str">
        <f>Main3WData[[#This Row],[Sector]]&amp;Main3WData[[#This Row],[Pcode]]</f>
        <v>CoordinationGIN005004</v>
      </c>
      <c r="M292" s="71">
        <f>COUNTIF($L$5:L292,Main3WData[[#This Row],[PT.Concat]])</f>
        <v>6</v>
      </c>
      <c r="N292" s="70">
        <f>MATCH(Main3WData[[#This Row],[PT.Concat]],$L$5:L292,0)</f>
        <v>283</v>
      </c>
      <c r="O292" s="62" t="b">
        <f>Main3WData[[#This Row],[Count PT.Concat]]=1</f>
        <v>0</v>
      </c>
      <c r="P292" s="62">
        <f t="array" ref="P292">MAX(($N$4:N291=Main3WData[[#This Row],[PT.ID]])*ROW($N$4:N291))</f>
        <v>291</v>
      </c>
      <c r="Q292" s="62" t="str">
        <f>IF(Main3WData[[#This Row],[PT.FirstID]],Main3WData[[#This Row],[Acronym]],INDEX($Q$4:Q291,Main3WData[[#This Row],[PT.LastID.Row]]-ROW($Q$4)+1) &amp; ", "&amp;Main3WData[[#This Row],[Acronym]])</f>
        <v>UNMEER, UNFPA, UNDP, OMS, MSF, eHealth Africa</v>
      </c>
      <c r="R292" s="62" t="b">
        <f t="array" ref="R292">MAX(IF(Main3WData[PT.ID]=Main3WData[[#This Row],[PT.ID]],Main3WData[PT.LastID.Row]))=Main3WData[[#This Row],[PT.LastID.Row]]</f>
        <v>1</v>
      </c>
    </row>
    <row r="293" spans="2:18" ht="16.5" customHeight="1" x14ac:dyDescent="0.2">
      <c r="B293" s="55" t="s">
        <v>473</v>
      </c>
      <c r="C293" s="27" t="str">
        <f>INDEX(Organizations[],MATCH(Main3WData[[#This Row],[Acronym]],AcronymList,0),1)</f>
        <v>United Nations Development Programme</v>
      </c>
      <c r="D293" s="27" t="str">
        <f>INDEX(Organizations[],MATCH(Main3WData[[#This Row],[Acronym]],AcronymList,0),3)</f>
        <v>UN Agency</v>
      </c>
      <c r="E293" s="54" t="s">
        <v>359</v>
      </c>
      <c r="F293" s="53" t="s">
        <v>82</v>
      </c>
      <c r="G293" s="54" t="s">
        <v>402</v>
      </c>
      <c r="H293" s="28" t="str">
        <f>VLOOKUP(Main3WData[[#This Row],[Admin Unit Name]],AdminUnits[],2,FALSE)</f>
        <v>GIN005004</v>
      </c>
      <c r="I293" s="57">
        <v>0</v>
      </c>
      <c r="J293" s="67" t="str">
        <f>Main3WData[[#This Row],[Acronym]]&amp;Main3WData[[#This Row],[Sector]]&amp;Main3WData[[#This Row],[Activity Type]]&amp;Main3WData[[#This Row],[Pcode]]</f>
        <v>UNDPFinanceOngoingGIN005004</v>
      </c>
      <c r="K293" s="69">
        <f>COUNTIF(Main3WData[Concatenate],Main3WData[[#This Row],[Concatenate]])</f>
        <v>1</v>
      </c>
      <c r="L293" s="61" t="str">
        <f>Main3WData[[#This Row],[Sector]]&amp;Main3WData[[#This Row],[Pcode]]</f>
        <v>FinanceGIN005004</v>
      </c>
      <c r="M293" s="71">
        <f>COUNTIF($L$5:L293,Main3WData[[#This Row],[PT.Concat]])</f>
        <v>1</v>
      </c>
      <c r="N293" s="70">
        <f>MATCH(Main3WData[[#This Row],[PT.Concat]],$L$5:L293,0)</f>
        <v>289</v>
      </c>
      <c r="O293" s="62" t="b">
        <f>Main3WData[[#This Row],[Count PT.Concat]]=1</f>
        <v>1</v>
      </c>
      <c r="P293" s="62">
        <f t="array" ref="P293">MAX(($N$4:N292=Main3WData[[#This Row],[PT.ID]])*ROW($N$4:N292))</f>
        <v>0</v>
      </c>
      <c r="Q293" s="62" t="str">
        <f>IF(Main3WData[[#This Row],[PT.FirstID]],Main3WData[[#This Row],[Acronym]],INDEX($Q$4:Q292,Main3WData[[#This Row],[PT.LastID.Row]]-ROW($Q$4)+1) &amp; ", "&amp;Main3WData[[#This Row],[Acronym]])</f>
        <v>UNDP</v>
      </c>
      <c r="R293" s="62" t="b">
        <f t="array" ref="R293">MAX(IF(Main3WData[PT.ID]=Main3WData[[#This Row],[PT.ID]],Main3WData[PT.LastID.Row]))=Main3WData[[#This Row],[PT.LastID.Row]]</f>
        <v>1</v>
      </c>
    </row>
    <row r="294" spans="2:18" ht="16.5" customHeight="1" x14ac:dyDescent="0.2">
      <c r="B294" s="55" t="s">
        <v>451</v>
      </c>
      <c r="C294" s="27" t="str">
        <f>INDEX(Organizations[],MATCH(Main3WData[[#This Row],[Acronym]],AcronymList,0),1)</f>
        <v>Croix-Rouge Guinée</v>
      </c>
      <c r="D294" s="27" t="str">
        <f>INDEX(Organizations[],MATCH(Main3WData[[#This Row],[Acronym]],AcronymList,0),3)</f>
        <v>Red Cross Movement</v>
      </c>
      <c r="E294" s="54" t="s">
        <v>354</v>
      </c>
      <c r="F294" s="53" t="s">
        <v>82</v>
      </c>
      <c r="G294" s="54" t="s">
        <v>402</v>
      </c>
      <c r="H294" s="28" t="str">
        <f>VLOOKUP(Main3WData[[#This Row],[Admin Unit Name]],AdminUnits[],2,FALSE)</f>
        <v>GIN005004</v>
      </c>
      <c r="I294" s="57">
        <v>0</v>
      </c>
      <c r="J294" s="67" t="str">
        <f>Main3WData[[#This Row],[Acronym]]&amp;Main3WData[[#This Row],[Sector]]&amp;Main3WData[[#This Row],[Activity Type]]&amp;Main3WData[[#This Row],[Pcode]]</f>
        <v>CRGGestion des corps et desinfectionOngoingGIN005004</v>
      </c>
      <c r="K294" s="69">
        <f>COUNTIF(Main3WData[Concatenate],Main3WData[[#This Row],[Concatenate]])</f>
        <v>1</v>
      </c>
      <c r="L294" s="61" t="str">
        <f>Main3WData[[#This Row],[Sector]]&amp;Main3WData[[#This Row],[Pcode]]</f>
        <v>Gestion des corps et desinfectionGIN005004</v>
      </c>
      <c r="M294" s="71">
        <f>COUNTIF($L$5:L294,Main3WData[[#This Row],[PT.Concat]])</f>
        <v>1</v>
      </c>
      <c r="N294" s="70">
        <f>MATCH(Main3WData[[#This Row],[PT.Concat]],$L$5:L294,0)</f>
        <v>290</v>
      </c>
      <c r="O294" s="62" t="b">
        <f>Main3WData[[#This Row],[Count PT.Concat]]=1</f>
        <v>1</v>
      </c>
      <c r="P294" s="62">
        <f t="array" ref="P294">MAX(($N$4:N293=Main3WData[[#This Row],[PT.ID]])*ROW($N$4:N293))</f>
        <v>0</v>
      </c>
      <c r="Q294" s="62" t="str">
        <f>IF(Main3WData[[#This Row],[PT.FirstID]],Main3WData[[#This Row],[Acronym]],INDEX($Q$4:Q293,Main3WData[[#This Row],[PT.LastID.Row]]-ROW($Q$4)+1) &amp; ", "&amp;Main3WData[[#This Row],[Acronym]])</f>
        <v>CRG</v>
      </c>
      <c r="R294" s="62" t="b">
        <f t="array" ref="R294">MAX(IF(Main3WData[PT.ID]=Main3WData[[#This Row],[PT.ID]],Main3WData[PT.LastID.Row]))=Main3WData[[#This Row],[PT.LastID.Row]]</f>
        <v>1</v>
      </c>
    </row>
    <row r="295" spans="2:18" ht="16.5" customHeight="1" x14ac:dyDescent="0.2">
      <c r="B295" s="55" t="s">
        <v>516</v>
      </c>
      <c r="C295" s="27" t="str">
        <f>INDEX(Organizations[],MATCH(Main3WData[[#This Row],[Acronym]],AcronymList,0),1)</f>
        <v>UNITED NATION MISSION FOR EBOLA  EMERGENCY RESPONSE</v>
      </c>
      <c r="D295" s="27" t="str">
        <f>INDEX(Organizations[],MATCH(Main3WData[[#This Row],[Acronym]],AcronymList,0),3)</f>
        <v>UN Agency</v>
      </c>
      <c r="E295" s="54" t="s">
        <v>356</v>
      </c>
      <c r="F295" s="53" t="s">
        <v>82</v>
      </c>
      <c r="G295" s="54" t="s">
        <v>402</v>
      </c>
      <c r="H295" s="28" t="str">
        <f>VLOOKUP(Main3WData[[#This Row],[Admin Unit Name]],AdminUnits[],2,FALSE)</f>
        <v>GIN005004</v>
      </c>
      <c r="I295" s="57">
        <v>0</v>
      </c>
      <c r="J295" s="67" t="str">
        <f>Main3WData[[#This Row],[Acronym]]&amp;Main3WData[[#This Row],[Sector]]&amp;Main3WData[[#This Row],[Activity Type]]&amp;Main3WData[[#This Row],[Pcode]]</f>
        <v>UNMEERGestion des donnéesOngoingGIN005004</v>
      </c>
      <c r="K295" s="69">
        <f>COUNTIF(Main3WData[Concatenate],Main3WData[[#This Row],[Concatenate]])</f>
        <v>1</v>
      </c>
      <c r="L295" s="61" t="str">
        <f>Main3WData[[#This Row],[Sector]]&amp;Main3WData[[#This Row],[Pcode]]</f>
        <v>Gestion des donnéesGIN005004</v>
      </c>
      <c r="M295" s="71">
        <f>COUNTIF($L$5:L295,Main3WData[[#This Row],[PT.Concat]])</f>
        <v>1</v>
      </c>
      <c r="N295" s="70">
        <f>MATCH(Main3WData[[#This Row],[PT.Concat]],$L$5:L295,0)</f>
        <v>291</v>
      </c>
      <c r="O295" s="62" t="b">
        <f>Main3WData[[#This Row],[Count PT.Concat]]=1</f>
        <v>1</v>
      </c>
      <c r="P295" s="62">
        <f t="array" ref="P295">MAX(($N$4:N294=Main3WData[[#This Row],[PT.ID]])*ROW($N$4:N294))</f>
        <v>0</v>
      </c>
      <c r="Q295" s="62" t="str">
        <f>IF(Main3WData[[#This Row],[PT.FirstID]],Main3WData[[#This Row],[Acronym]],INDEX($Q$4:Q294,Main3WData[[#This Row],[PT.LastID.Row]]-ROW($Q$4)+1) &amp; ", "&amp;Main3WData[[#This Row],[Acronym]])</f>
        <v>UNMEER</v>
      </c>
      <c r="R295" s="62" t="b">
        <f t="array" ref="R295">MAX(IF(Main3WData[PT.ID]=Main3WData[[#This Row],[PT.ID]],Main3WData[PT.LastID.Row]))=Main3WData[[#This Row],[PT.LastID.Row]]</f>
        <v>0</v>
      </c>
    </row>
    <row r="296" spans="2:18" ht="16.5" customHeight="1" x14ac:dyDescent="0.2">
      <c r="B296" s="55" t="s">
        <v>512</v>
      </c>
      <c r="C296" s="27" t="str">
        <f>INDEX(Organizations[],MATCH(Main3WData[[#This Row],[Acronym]],AcronymList,0),1)</f>
        <v>World Health Organization</v>
      </c>
      <c r="D296" s="27" t="str">
        <f>INDEX(Organizations[],MATCH(Main3WData[[#This Row],[Acronym]],AcronymList,0),3)</f>
        <v>UN Agency</v>
      </c>
      <c r="E296" s="54" t="s">
        <v>356</v>
      </c>
      <c r="F296" s="53" t="s">
        <v>82</v>
      </c>
      <c r="G296" s="54" t="s">
        <v>402</v>
      </c>
      <c r="H296" s="28" t="str">
        <f>VLOOKUP(Main3WData[[#This Row],[Admin Unit Name]],AdminUnits[],2,FALSE)</f>
        <v>GIN005004</v>
      </c>
      <c r="I296" s="57">
        <v>0</v>
      </c>
      <c r="J296" s="67" t="str">
        <f>Main3WData[[#This Row],[Acronym]]&amp;Main3WData[[#This Row],[Sector]]&amp;Main3WData[[#This Row],[Activity Type]]&amp;Main3WData[[#This Row],[Pcode]]</f>
        <v>OMSGestion des donnéesOngoingGIN005004</v>
      </c>
      <c r="K296" s="69">
        <f>COUNTIF(Main3WData[Concatenate],Main3WData[[#This Row],[Concatenate]])</f>
        <v>1</v>
      </c>
      <c r="L296" s="61" t="str">
        <f>Main3WData[[#This Row],[Sector]]&amp;Main3WData[[#This Row],[Pcode]]</f>
        <v>Gestion des donnéesGIN005004</v>
      </c>
      <c r="M296" s="71">
        <f>COUNTIF($L$5:L296,Main3WData[[#This Row],[PT.Concat]])</f>
        <v>2</v>
      </c>
      <c r="N296" s="70">
        <f>MATCH(Main3WData[[#This Row],[PT.Concat]],$L$5:L296,0)</f>
        <v>291</v>
      </c>
      <c r="O296" s="62" t="b">
        <f>Main3WData[[#This Row],[Count PT.Concat]]=1</f>
        <v>0</v>
      </c>
      <c r="P296" s="62">
        <f t="array" ref="P296">MAX(($N$4:N295=Main3WData[[#This Row],[PT.ID]])*ROW($N$4:N295))</f>
        <v>295</v>
      </c>
      <c r="Q296" s="62" t="str">
        <f>IF(Main3WData[[#This Row],[PT.FirstID]],Main3WData[[#This Row],[Acronym]],INDEX($Q$4:Q295,Main3WData[[#This Row],[PT.LastID.Row]]-ROW($Q$4)+1) &amp; ", "&amp;Main3WData[[#This Row],[Acronym]])</f>
        <v>UNMEER, OMS</v>
      </c>
      <c r="R296" s="62" t="b">
        <f t="array" ref="R296">MAX(IF(Main3WData[PT.ID]=Main3WData[[#This Row],[PT.ID]],Main3WData[PT.LastID.Row]))=Main3WData[[#This Row],[PT.LastID.Row]]</f>
        <v>1</v>
      </c>
    </row>
    <row r="297" spans="2:18" ht="16.5" customHeight="1" x14ac:dyDescent="0.2">
      <c r="B297" s="55" t="s">
        <v>64</v>
      </c>
      <c r="C297" s="27" t="str">
        <f>INDEX(Organizations[],MATCH(Main3WData[[#This Row],[Acronym]],AcronymList,0),1)</f>
        <v>CDC</v>
      </c>
      <c r="D297" s="27" t="str">
        <f>INDEX(Organizations[],MATCH(Main3WData[[#This Row],[Acronym]],AcronymList,0),3)</f>
        <v>International NGO</v>
      </c>
      <c r="E297" s="54" t="s">
        <v>351</v>
      </c>
      <c r="F297" s="53" t="s">
        <v>82</v>
      </c>
      <c r="G297" s="54" t="s">
        <v>402</v>
      </c>
      <c r="H297" s="28" t="str">
        <f>VLOOKUP(Main3WData[[#This Row],[Admin Unit Name]],AdminUnits[],2,FALSE)</f>
        <v>GIN005004</v>
      </c>
      <c r="I297" s="57">
        <v>0</v>
      </c>
      <c r="J297" s="67" t="str">
        <f>Main3WData[[#This Row],[Acronym]]&amp;Main3WData[[#This Row],[Sector]]&amp;Main3WData[[#This Row],[Activity Type]]&amp;Main3WData[[#This Row],[Pcode]]</f>
        <v>CDCSurveillance &amp; suiviOngoingGIN005004</v>
      </c>
      <c r="K297" s="69">
        <f>COUNTIF(Main3WData[Concatenate],Main3WData[[#This Row],[Concatenate]])</f>
        <v>1</v>
      </c>
      <c r="L297" s="61" t="str">
        <f>Main3WData[[#This Row],[Sector]]&amp;Main3WData[[#This Row],[Pcode]]</f>
        <v>Surveillance &amp; suiviGIN005004</v>
      </c>
      <c r="M297" s="71">
        <f>COUNTIF($L$5:L297,Main3WData[[#This Row],[PT.Concat]])</f>
        <v>1</v>
      </c>
      <c r="N297" s="70">
        <f>MATCH(Main3WData[[#This Row],[PT.Concat]],$L$5:L297,0)</f>
        <v>293</v>
      </c>
      <c r="O297" s="62" t="b">
        <f>Main3WData[[#This Row],[Count PT.Concat]]=1</f>
        <v>1</v>
      </c>
      <c r="P297" s="62">
        <f t="array" ref="P297">MAX(($N$4:N296=Main3WData[[#This Row],[PT.ID]])*ROW($N$4:N296))</f>
        <v>0</v>
      </c>
      <c r="Q297" s="62" t="str">
        <f>IF(Main3WData[[#This Row],[PT.FirstID]],Main3WData[[#This Row],[Acronym]],INDEX($Q$4:Q296,Main3WData[[#This Row],[PT.LastID.Row]]-ROW($Q$4)+1) &amp; ", "&amp;Main3WData[[#This Row],[Acronym]])</f>
        <v>CDC</v>
      </c>
      <c r="R297" s="62" t="b">
        <f t="array" ref="R297">MAX(IF(Main3WData[PT.ID]=Main3WData[[#This Row],[PT.ID]],Main3WData[PT.LastID.Row]))=Main3WData[[#This Row],[PT.LastID.Row]]</f>
        <v>1</v>
      </c>
    </row>
    <row r="298" spans="2:18" ht="16.5" customHeight="1" x14ac:dyDescent="0.2">
      <c r="B298" s="55" t="s">
        <v>77</v>
      </c>
      <c r="C298" s="27" t="str">
        <f>INDEX(Organizations[],MATCH(Main3WData[[#This Row],[Acronym]],AcronymList,0),1)</f>
        <v>United Nations Children's Fund</v>
      </c>
      <c r="D298" s="27" t="str">
        <f>INDEX(Organizations[],MATCH(Main3WData[[#This Row],[Acronym]],AcronymList,0),3)</f>
        <v>UN Agency</v>
      </c>
      <c r="E298" s="54" t="s">
        <v>350</v>
      </c>
      <c r="F298" s="53" t="s">
        <v>82</v>
      </c>
      <c r="G298" s="54" t="s">
        <v>372</v>
      </c>
      <c r="H298" s="28" t="str">
        <f>VLOOKUP(Main3WData[[#This Row],[Admin Unit Name]],AdminUnits[],2,FALSE)</f>
        <v>GIN001003</v>
      </c>
      <c r="I298" s="57">
        <v>0</v>
      </c>
      <c r="J298" s="67" t="str">
        <f>Main3WData[[#This Row],[Acronym]]&amp;Main3WData[[#This Row],[Sector]]&amp;Main3WData[[#This Row],[Activity Type]]&amp;Main3WData[[#This Row],[Pcode]]</f>
        <v>UNICEFCommunication/Mobilisation socialeOngoingGIN001003</v>
      </c>
      <c r="K298" s="69">
        <f>COUNTIF(Main3WData[Concatenate],Main3WData[[#This Row],[Concatenate]])</f>
        <v>1</v>
      </c>
      <c r="L298" s="61" t="str">
        <f>Main3WData[[#This Row],[Sector]]&amp;Main3WData[[#This Row],[Pcode]]</f>
        <v>Communication/Mobilisation socialeGIN001003</v>
      </c>
      <c r="M298" s="71">
        <f>COUNTIF($L$5:L298,Main3WData[[#This Row],[PT.Concat]])</f>
        <v>1</v>
      </c>
      <c r="N298" s="70">
        <f>MATCH(Main3WData[[#This Row],[PT.Concat]],$L$5:L298,0)</f>
        <v>294</v>
      </c>
      <c r="O298" s="62" t="b">
        <f>Main3WData[[#This Row],[Count PT.Concat]]=1</f>
        <v>1</v>
      </c>
      <c r="P298" s="62">
        <f t="array" ref="P298">MAX(($N$4:N297=Main3WData[[#This Row],[PT.ID]])*ROW($N$4:N297))</f>
        <v>0</v>
      </c>
      <c r="Q298" s="62" t="str">
        <f>IF(Main3WData[[#This Row],[PT.FirstID]],Main3WData[[#This Row],[Acronym]],INDEX($Q$4:Q297,Main3WData[[#This Row],[PT.LastID.Row]]-ROW($Q$4)+1) &amp; ", "&amp;Main3WData[[#This Row],[Acronym]])</f>
        <v>UNICEF</v>
      </c>
      <c r="R298" s="62" t="b">
        <f t="array" ref="R298">MAX(IF(Main3WData[PT.ID]=Main3WData[[#This Row],[PT.ID]],Main3WData[PT.LastID.Row]))=Main3WData[[#This Row],[PT.LastID.Row]]</f>
        <v>0</v>
      </c>
    </row>
    <row r="299" spans="2:18" ht="16.5" customHeight="1" x14ac:dyDescent="0.2">
      <c r="B299" s="55" t="s">
        <v>75</v>
      </c>
      <c r="C299" s="27" t="str">
        <f>INDEX(Organizations[],MATCH(Main3WData[[#This Row],[Acronym]],AcronymList,0),1)</f>
        <v>United Nations Population Fund</v>
      </c>
      <c r="D299" s="27" t="str">
        <f>INDEX(Organizations[],MATCH(Main3WData[[#This Row],[Acronym]],AcronymList,0),3)</f>
        <v>UN Agency</v>
      </c>
      <c r="E299" s="54" t="s">
        <v>350</v>
      </c>
      <c r="F299" s="53" t="s">
        <v>82</v>
      </c>
      <c r="G299" s="54" t="s">
        <v>372</v>
      </c>
      <c r="H299" s="28" t="str">
        <f>VLOOKUP(Main3WData[[#This Row],[Admin Unit Name]],AdminUnits[],2,FALSE)</f>
        <v>GIN001003</v>
      </c>
      <c r="I299" s="57">
        <v>0</v>
      </c>
      <c r="J299" s="67" t="str">
        <f>Main3WData[[#This Row],[Acronym]]&amp;Main3WData[[#This Row],[Sector]]&amp;Main3WData[[#This Row],[Activity Type]]&amp;Main3WData[[#This Row],[Pcode]]</f>
        <v>UNFPACommunication/Mobilisation socialeOngoingGIN001003</v>
      </c>
      <c r="K299" s="69">
        <f>COUNTIF(Main3WData[Concatenate],Main3WData[[#This Row],[Concatenate]])</f>
        <v>1</v>
      </c>
      <c r="L299" s="61" t="str">
        <f>Main3WData[[#This Row],[Sector]]&amp;Main3WData[[#This Row],[Pcode]]</f>
        <v>Communication/Mobilisation socialeGIN001003</v>
      </c>
      <c r="M299" s="71">
        <f>COUNTIF($L$5:L299,Main3WData[[#This Row],[PT.Concat]])</f>
        <v>2</v>
      </c>
      <c r="N299" s="70">
        <f>MATCH(Main3WData[[#This Row],[PT.Concat]],$L$5:L299,0)</f>
        <v>294</v>
      </c>
      <c r="O299" s="62" t="b">
        <f>Main3WData[[#This Row],[Count PT.Concat]]=1</f>
        <v>0</v>
      </c>
      <c r="P299" s="62">
        <f t="array" ref="P299">MAX(($N$4:N298=Main3WData[[#This Row],[PT.ID]])*ROW($N$4:N298))</f>
        <v>298</v>
      </c>
      <c r="Q299" s="62" t="str">
        <f>IF(Main3WData[[#This Row],[PT.FirstID]],Main3WData[[#This Row],[Acronym]],INDEX($Q$4:Q298,Main3WData[[#This Row],[PT.LastID.Row]]-ROW($Q$4)+1) &amp; ", "&amp;Main3WData[[#This Row],[Acronym]])</f>
        <v>UNICEF, UNFPA</v>
      </c>
      <c r="R299" s="62" t="b">
        <f t="array" ref="R299">MAX(IF(Main3WData[PT.ID]=Main3WData[[#This Row],[PT.ID]],Main3WData[PT.LastID.Row]))=Main3WData[[#This Row],[PT.LastID.Row]]</f>
        <v>0</v>
      </c>
    </row>
    <row r="300" spans="2:18" ht="16.5" customHeight="1" x14ac:dyDescent="0.2">
      <c r="B300" s="55" t="s">
        <v>72</v>
      </c>
      <c r="C300" s="27" t="str">
        <f>INDEX(Organizations[],MATCH(Main3WData[[#This Row],[Acronym]],AcronymList,0),1)</f>
        <v>PLAN</v>
      </c>
      <c r="D300" s="27" t="str">
        <f>INDEX(Organizations[],MATCH(Main3WData[[#This Row],[Acronym]],AcronymList,0),3)</f>
        <v>International Organization</v>
      </c>
      <c r="E300" s="54" t="s">
        <v>350</v>
      </c>
      <c r="F300" s="53" t="s">
        <v>82</v>
      </c>
      <c r="G300" s="54" t="s">
        <v>372</v>
      </c>
      <c r="H300" s="28" t="str">
        <f>VLOOKUP(Main3WData[[#This Row],[Admin Unit Name]],AdminUnits[],2,FALSE)</f>
        <v>GIN001003</v>
      </c>
      <c r="I300" s="57">
        <v>0</v>
      </c>
      <c r="J300" s="67" t="str">
        <f>Main3WData[[#This Row],[Acronym]]&amp;Main3WData[[#This Row],[Sector]]&amp;Main3WData[[#This Row],[Activity Type]]&amp;Main3WData[[#This Row],[Pcode]]</f>
        <v>PLANCommunication/Mobilisation socialeOngoingGIN001003</v>
      </c>
      <c r="K300" s="69">
        <f>COUNTIF(Main3WData[Concatenate],Main3WData[[#This Row],[Concatenate]])</f>
        <v>1</v>
      </c>
      <c r="L300" s="61" t="str">
        <f>Main3WData[[#This Row],[Sector]]&amp;Main3WData[[#This Row],[Pcode]]</f>
        <v>Communication/Mobilisation socialeGIN001003</v>
      </c>
      <c r="M300" s="71">
        <f>COUNTIF($L$5:L300,Main3WData[[#This Row],[PT.Concat]])</f>
        <v>3</v>
      </c>
      <c r="N300" s="70">
        <f>MATCH(Main3WData[[#This Row],[PT.Concat]],$L$5:L300,0)</f>
        <v>294</v>
      </c>
      <c r="O300" s="62" t="b">
        <f>Main3WData[[#This Row],[Count PT.Concat]]=1</f>
        <v>0</v>
      </c>
      <c r="P300" s="62">
        <f t="array" ref="P300">MAX(($N$4:N299=Main3WData[[#This Row],[PT.ID]])*ROW($N$4:N299))</f>
        <v>299</v>
      </c>
      <c r="Q300" s="62" t="str">
        <f>IF(Main3WData[[#This Row],[PT.FirstID]],Main3WData[[#This Row],[Acronym]],INDEX($Q$4:Q299,Main3WData[[#This Row],[PT.LastID.Row]]-ROW($Q$4)+1) &amp; ", "&amp;Main3WData[[#This Row],[Acronym]])</f>
        <v>UNICEF, UNFPA, PLAN</v>
      </c>
      <c r="R300" s="62" t="b">
        <f t="array" ref="R300">MAX(IF(Main3WData[PT.ID]=Main3WData[[#This Row],[PT.ID]],Main3WData[PT.LastID.Row]))=Main3WData[[#This Row],[PT.LastID.Row]]</f>
        <v>0</v>
      </c>
    </row>
    <row r="301" spans="2:18" ht="16.5" customHeight="1" x14ac:dyDescent="0.2">
      <c r="B301" s="55" t="s">
        <v>512</v>
      </c>
      <c r="C301" s="27" t="str">
        <f>INDEX(Organizations[],MATCH(Main3WData[[#This Row],[Acronym]],AcronymList,0),1)</f>
        <v>World Health Organization</v>
      </c>
      <c r="D301" s="27" t="str">
        <f>INDEX(Organizations[],MATCH(Main3WData[[#This Row],[Acronym]],AcronymList,0),3)</f>
        <v>UN Agency</v>
      </c>
      <c r="E301" s="54" t="s">
        <v>350</v>
      </c>
      <c r="F301" s="53" t="s">
        <v>82</v>
      </c>
      <c r="G301" s="54" t="s">
        <v>372</v>
      </c>
      <c r="H301" s="28" t="str">
        <f>VLOOKUP(Main3WData[[#This Row],[Admin Unit Name]],AdminUnits[],2,FALSE)</f>
        <v>GIN001003</v>
      </c>
      <c r="I301" s="57">
        <v>0</v>
      </c>
      <c r="J301" s="67" t="str">
        <f>Main3WData[[#This Row],[Acronym]]&amp;Main3WData[[#This Row],[Sector]]&amp;Main3WData[[#This Row],[Activity Type]]&amp;Main3WData[[#This Row],[Pcode]]</f>
        <v>OMSCommunication/Mobilisation socialeOngoingGIN001003</v>
      </c>
      <c r="K301" s="69">
        <f>COUNTIF(Main3WData[Concatenate],Main3WData[[#This Row],[Concatenate]])</f>
        <v>1</v>
      </c>
      <c r="L301" s="61" t="str">
        <f>Main3WData[[#This Row],[Sector]]&amp;Main3WData[[#This Row],[Pcode]]</f>
        <v>Communication/Mobilisation socialeGIN001003</v>
      </c>
      <c r="M301" s="71">
        <f>COUNTIF($L$5:L301,Main3WData[[#This Row],[PT.Concat]])</f>
        <v>4</v>
      </c>
      <c r="N301" s="70">
        <f>MATCH(Main3WData[[#This Row],[PT.Concat]],$L$5:L301,0)</f>
        <v>294</v>
      </c>
      <c r="O301" s="62" t="b">
        <f>Main3WData[[#This Row],[Count PT.Concat]]=1</f>
        <v>0</v>
      </c>
      <c r="P301" s="62">
        <f t="array" ref="P301">MAX(($N$4:N300=Main3WData[[#This Row],[PT.ID]])*ROW($N$4:N300))</f>
        <v>300</v>
      </c>
      <c r="Q301" s="62" t="str">
        <f>IF(Main3WData[[#This Row],[PT.FirstID]],Main3WData[[#This Row],[Acronym]],INDEX($Q$4:Q300,Main3WData[[#This Row],[PT.LastID.Row]]-ROW($Q$4)+1) &amp; ", "&amp;Main3WData[[#This Row],[Acronym]])</f>
        <v>UNICEF, UNFPA, PLAN, OMS</v>
      </c>
      <c r="R301" s="62" t="b">
        <f t="array" ref="R301">MAX(IF(Main3WData[PT.ID]=Main3WData[[#This Row],[PT.ID]],Main3WData[PT.LastID.Row]))=Main3WData[[#This Row],[PT.LastID.Row]]</f>
        <v>0</v>
      </c>
    </row>
    <row r="302" spans="2:18" ht="16.5" customHeight="1" x14ac:dyDescent="0.2">
      <c r="B302" s="55" t="s">
        <v>509</v>
      </c>
      <c r="C302" s="27" t="str">
        <f>INDEX(Organizations[],MATCH(Main3WData[[#This Row],[Acronym]],AcronymList,0),1)</f>
        <v>Internews</v>
      </c>
      <c r="D302" s="27" t="str">
        <f>INDEX(Organizations[],MATCH(Main3WData[[#This Row],[Acronym]],AcronymList,0),3)</f>
        <v>Media</v>
      </c>
      <c r="E302" s="54" t="s">
        <v>350</v>
      </c>
      <c r="F302" s="53" t="s">
        <v>82</v>
      </c>
      <c r="G302" s="54" t="s">
        <v>372</v>
      </c>
      <c r="H302" s="28" t="str">
        <f>VLOOKUP(Main3WData[[#This Row],[Admin Unit Name]],AdminUnits[],2,FALSE)</f>
        <v>GIN001003</v>
      </c>
      <c r="I302" s="57">
        <v>0</v>
      </c>
      <c r="J302" s="67" t="str">
        <f>Main3WData[[#This Row],[Acronym]]&amp;Main3WData[[#This Row],[Sector]]&amp;Main3WData[[#This Row],[Activity Type]]&amp;Main3WData[[#This Row],[Pcode]]</f>
        <v>InternewsCommunication/Mobilisation socialeOngoingGIN001003</v>
      </c>
      <c r="K302" s="69">
        <f>COUNTIF(Main3WData[Concatenate],Main3WData[[#This Row],[Concatenate]])</f>
        <v>1</v>
      </c>
      <c r="L302" s="61" t="str">
        <f>Main3WData[[#This Row],[Sector]]&amp;Main3WData[[#This Row],[Pcode]]</f>
        <v>Communication/Mobilisation socialeGIN001003</v>
      </c>
      <c r="M302" s="71">
        <f>COUNTIF($L$5:L302,Main3WData[[#This Row],[PT.Concat]])</f>
        <v>5</v>
      </c>
      <c r="N302" s="70">
        <f>MATCH(Main3WData[[#This Row],[PT.Concat]],$L$5:L302,0)</f>
        <v>294</v>
      </c>
      <c r="O302" s="62" t="b">
        <f>Main3WData[[#This Row],[Count PT.Concat]]=1</f>
        <v>0</v>
      </c>
      <c r="P302" s="62">
        <f t="array" ref="P302">MAX(($N$4:N301=Main3WData[[#This Row],[PT.ID]])*ROW($N$4:N301))</f>
        <v>301</v>
      </c>
      <c r="Q302" s="62" t="str">
        <f>IF(Main3WData[[#This Row],[PT.FirstID]],Main3WData[[#This Row],[Acronym]],INDEX($Q$4:Q301,Main3WData[[#This Row],[PT.LastID.Row]]-ROW($Q$4)+1) &amp; ", "&amp;Main3WData[[#This Row],[Acronym]])</f>
        <v>UNICEF, UNFPA, PLAN, OMS, Internews</v>
      </c>
      <c r="R302" s="62" t="b">
        <f t="array" ref="R302">MAX(IF(Main3WData[PT.ID]=Main3WData[[#This Row],[PT.ID]],Main3WData[PT.LastID.Row]))=Main3WData[[#This Row],[PT.LastID.Row]]</f>
        <v>1</v>
      </c>
    </row>
    <row r="303" spans="2:18" ht="16.5" customHeight="1" x14ac:dyDescent="0.2">
      <c r="B303" s="55" t="s">
        <v>516</v>
      </c>
      <c r="C303" s="27" t="str">
        <f>INDEX(Organizations[],MATCH(Main3WData[[#This Row],[Acronym]],AcronymList,0),1)</f>
        <v>UNITED NATION MISSION FOR EBOLA  EMERGENCY RESPONSE</v>
      </c>
      <c r="D303" s="27" t="str">
        <f>INDEX(Organizations[],MATCH(Main3WData[[#This Row],[Acronym]],AcronymList,0),3)</f>
        <v>UN Agency</v>
      </c>
      <c r="E303" s="54" t="s">
        <v>360</v>
      </c>
      <c r="F303" s="53" t="s">
        <v>82</v>
      </c>
      <c r="G303" s="54" t="s">
        <v>372</v>
      </c>
      <c r="H303" s="28" t="str">
        <f>VLOOKUP(Main3WData[[#This Row],[Admin Unit Name]],AdminUnits[],2,FALSE)</f>
        <v>GIN001003</v>
      </c>
      <c r="I303" s="57">
        <v>0</v>
      </c>
      <c r="J303" s="67" t="str">
        <f>Main3WData[[#This Row],[Acronym]]&amp;Main3WData[[#This Row],[Sector]]&amp;Main3WData[[#This Row],[Activity Type]]&amp;Main3WData[[#This Row],[Pcode]]</f>
        <v>UNMEERCoordinationOngoingGIN001003</v>
      </c>
      <c r="K303" s="69">
        <f>COUNTIF(Main3WData[Concatenate],Main3WData[[#This Row],[Concatenate]])</f>
        <v>1</v>
      </c>
      <c r="L303" s="61" t="str">
        <f>Main3WData[[#This Row],[Sector]]&amp;Main3WData[[#This Row],[Pcode]]</f>
        <v>CoordinationGIN001003</v>
      </c>
      <c r="M303" s="71">
        <f>COUNTIF($L$5:L303,Main3WData[[#This Row],[PT.Concat]])</f>
        <v>1</v>
      </c>
      <c r="N303" s="70">
        <f>MATCH(Main3WData[[#This Row],[PT.Concat]],$L$5:L303,0)</f>
        <v>299</v>
      </c>
      <c r="O303" s="62" t="b">
        <f>Main3WData[[#This Row],[Count PT.Concat]]=1</f>
        <v>1</v>
      </c>
      <c r="P303" s="62">
        <f t="array" ref="P303">MAX(($N$4:N302=Main3WData[[#This Row],[PT.ID]])*ROW($N$4:N302))</f>
        <v>0</v>
      </c>
      <c r="Q303" s="62" t="str">
        <f>IF(Main3WData[[#This Row],[PT.FirstID]],Main3WData[[#This Row],[Acronym]],INDEX($Q$4:Q302,Main3WData[[#This Row],[PT.LastID.Row]]-ROW($Q$4)+1) &amp; ", "&amp;Main3WData[[#This Row],[Acronym]])</f>
        <v>UNMEER</v>
      </c>
      <c r="R303" s="62" t="b">
        <f t="array" ref="R303">MAX(IF(Main3WData[PT.ID]=Main3WData[[#This Row],[PT.ID]],Main3WData[PT.LastID.Row]))=Main3WData[[#This Row],[PT.LastID.Row]]</f>
        <v>0</v>
      </c>
    </row>
    <row r="304" spans="2:18" ht="16.5" customHeight="1" x14ac:dyDescent="0.2">
      <c r="B304" s="55" t="s">
        <v>75</v>
      </c>
      <c r="C304" s="27" t="str">
        <f>INDEX(Organizations[],MATCH(Main3WData[[#This Row],[Acronym]],AcronymList,0),1)</f>
        <v>United Nations Population Fund</v>
      </c>
      <c r="D304" s="27" t="str">
        <f>INDEX(Organizations[],MATCH(Main3WData[[#This Row],[Acronym]],AcronymList,0),3)</f>
        <v>UN Agency</v>
      </c>
      <c r="E304" s="54" t="s">
        <v>360</v>
      </c>
      <c r="F304" s="53" t="s">
        <v>82</v>
      </c>
      <c r="G304" s="54" t="s">
        <v>372</v>
      </c>
      <c r="H304" s="28" t="str">
        <f>VLOOKUP(Main3WData[[#This Row],[Admin Unit Name]],AdminUnits[],2,FALSE)</f>
        <v>GIN001003</v>
      </c>
      <c r="I304" s="57">
        <v>0</v>
      </c>
      <c r="J304" s="67" t="str">
        <f>Main3WData[[#This Row],[Acronym]]&amp;Main3WData[[#This Row],[Sector]]&amp;Main3WData[[#This Row],[Activity Type]]&amp;Main3WData[[#This Row],[Pcode]]</f>
        <v>UNFPACoordinationOngoingGIN001003</v>
      </c>
      <c r="K304" s="69">
        <f>COUNTIF(Main3WData[Concatenate],Main3WData[[#This Row],[Concatenate]])</f>
        <v>1</v>
      </c>
      <c r="L304" s="61" t="str">
        <f>Main3WData[[#This Row],[Sector]]&amp;Main3WData[[#This Row],[Pcode]]</f>
        <v>CoordinationGIN001003</v>
      </c>
      <c r="M304" s="71">
        <f>COUNTIF($L$5:L304,Main3WData[[#This Row],[PT.Concat]])</f>
        <v>2</v>
      </c>
      <c r="N304" s="70">
        <f>MATCH(Main3WData[[#This Row],[PT.Concat]],$L$5:L304,0)</f>
        <v>299</v>
      </c>
      <c r="O304" s="62" t="b">
        <f>Main3WData[[#This Row],[Count PT.Concat]]=1</f>
        <v>0</v>
      </c>
      <c r="P304" s="62">
        <f t="array" ref="P304">MAX(($N$4:N303=Main3WData[[#This Row],[PT.ID]])*ROW($N$4:N303))</f>
        <v>303</v>
      </c>
      <c r="Q304" s="62" t="str">
        <f>IF(Main3WData[[#This Row],[PT.FirstID]],Main3WData[[#This Row],[Acronym]],INDEX($Q$4:Q303,Main3WData[[#This Row],[PT.LastID.Row]]-ROW($Q$4)+1) &amp; ", "&amp;Main3WData[[#This Row],[Acronym]])</f>
        <v>UNMEER, UNFPA</v>
      </c>
      <c r="R304" s="62" t="b">
        <f t="array" ref="R304">MAX(IF(Main3WData[PT.ID]=Main3WData[[#This Row],[PT.ID]],Main3WData[PT.LastID.Row]))=Main3WData[[#This Row],[PT.LastID.Row]]</f>
        <v>0</v>
      </c>
    </row>
    <row r="305" spans="2:18" ht="16.5" customHeight="1" x14ac:dyDescent="0.2">
      <c r="B305" s="55" t="s">
        <v>473</v>
      </c>
      <c r="C305" s="27" t="str">
        <f>INDEX(Organizations[],MATCH(Main3WData[[#This Row],[Acronym]],AcronymList,0),1)</f>
        <v>United Nations Development Programme</v>
      </c>
      <c r="D305" s="27" t="str">
        <f>INDEX(Organizations[],MATCH(Main3WData[[#This Row],[Acronym]],AcronymList,0),3)</f>
        <v>UN Agency</v>
      </c>
      <c r="E305" s="54" t="s">
        <v>360</v>
      </c>
      <c r="F305" s="53" t="s">
        <v>82</v>
      </c>
      <c r="G305" s="54" t="s">
        <v>372</v>
      </c>
      <c r="H305" s="28" t="str">
        <f>VLOOKUP(Main3WData[[#This Row],[Admin Unit Name]],AdminUnits[],2,FALSE)</f>
        <v>GIN001003</v>
      </c>
      <c r="I305" s="57">
        <v>0</v>
      </c>
      <c r="J305" s="67" t="str">
        <f>Main3WData[[#This Row],[Acronym]]&amp;Main3WData[[#This Row],[Sector]]&amp;Main3WData[[#This Row],[Activity Type]]&amp;Main3WData[[#This Row],[Pcode]]</f>
        <v>UNDPCoordinationOngoingGIN001003</v>
      </c>
      <c r="K305" s="69">
        <f>COUNTIF(Main3WData[Concatenate],Main3WData[[#This Row],[Concatenate]])</f>
        <v>1</v>
      </c>
      <c r="L305" s="61" t="str">
        <f>Main3WData[[#This Row],[Sector]]&amp;Main3WData[[#This Row],[Pcode]]</f>
        <v>CoordinationGIN001003</v>
      </c>
      <c r="M305" s="71">
        <f>COUNTIF($L$5:L305,Main3WData[[#This Row],[PT.Concat]])</f>
        <v>3</v>
      </c>
      <c r="N305" s="70">
        <f>MATCH(Main3WData[[#This Row],[PT.Concat]],$L$5:L305,0)</f>
        <v>299</v>
      </c>
      <c r="O305" s="62" t="b">
        <f>Main3WData[[#This Row],[Count PT.Concat]]=1</f>
        <v>0</v>
      </c>
      <c r="P305" s="62">
        <f t="array" ref="P305">MAX(($N$4:N304=Main3WData[[#This Row],[PT.ID]])*ROW($N$4:N304))</f>
        <v>304</v>
      </c>
      <c r="Q305" s="62" t="str">
        <f>IF(Main3WData[[#This Row],[PT.FirstID]],Main3WData[[#This Row],[Acronym]],INDEX($Q$4:Q304,Main3WData[[#This Row],[PT.LastID.Row]]-ROW($Q$4)+1) &amp; ", "&amp;Main3WData[[#This Row],[Acronym]])</f>
        <v>UNMEER, UNFPA, UNDP</v>
      </c>
      <c r="R305" s="62" t="b">
        <f t="array" ref="R305">MAX(IF(Main3WData[PT.ID]=Main3WData[[#This Row],[PT.ID]],Main3WData[PT.LastID.Row]))=Main3WData[[#This Row],[PT.LastID.Row]]</f>
        <v>0</v>
      </c>
    </row>
    <row r="306" spans="2:18" ht="16.5" customHeight="1" x14ac:dyDescent="0.2">
      <c r="B306" s="55" t="s">
        <v>512</v>
      </c>
      <c r="C306" s="27" t="str">
        <f>INDEX(Organizations[],MATCH(Main3WData[[#This Row],[Acronym]],AcronymList,0),1)</f>
        <v>World Health Organization</v>
      </c>
      <c r="D306" s="27" t="str">
        <f>INDEX(Organizations[],MATCH(Main3WData[[#This Row],[Acronym]],AcronymList,0),3)</f>
        <v>UN Agency</v>
      </c>
      <c r="E306" s="54" t="s">
        <v>360</v>
      </c>
      <c r="F306" s="53" t="s">
        <v>82</v>
      </c>
      <c r="G306" s="54" t="s">
        <v>372</v>
      </c>
      <c r="H306" s="28" t="str">
        <f>VLOOKUP(Main3WData[[#This Row],[Admin Unit Name]],AdminUnits[],2,FALSE)</f>
        <v>GIN001003</v>
      </c>
      <c r="I306" s="57">
        <v>0</v>
      </c>
      <c r="J306" s="67" t="str">
        <f>Main3WData[[#This Row],[Acronym]]&amp;Main3WData[[#This Row],[Sector]]&amp;Main3WData[[#This Row],[Activity Type]]&amp;Main3WData[[#This Row],[Pcode]]</f>
        <v>OMSCoordinationOngoingGIN001003</v>
      </c>
      <c r="K306" s="69">
        <f>COUNTIF(Main3WData[Concatenate],Main3WData[[#This Row],[Concatenate]])</f>
        <v>1</v>
      </c>
      <c r="L306" s="61" t="str">
        <f>Main3WData[[#This Row],[Sector]]&amp;Main3WData[[#This Row],[Pcode]]</f>
        <v>CoordinationGIN001003</v>
      </c>
      <c r="M306" s="71">
        <f>COUNTIF($L$5:L306,Main3WData[[#This Row],[PT.Concat]])</f>
        <v>4</v>
      </c>
      <c r="N306" s="70">
        <f>MATCH(Main3WData[[#This Row],[PT.Concat]],$L$5:L306,0)</f>
        <v>299</v>
      </c>
      <c r="O306" s="62" t="b">
        <f>Main3WData[[#This Row],[Count PT.Concat]]=1</f>
        <v>0</v>
      </c>
      <c r="P306" s="62">
        <f t="array" ref="P306">MAX(($N$4:N305=Main3WData[[#This Row],[PT.ID]])*ROW($N$4:N305))</f>
        <v>305</v>
      </c>
      <c r="Q306" s="62" t="str">
        <f>IF(Main3WData[[#This Row],[PT.FirstID]],Main3WData[[#This Row],[Acronym]],INDEX($Q$4:Q305,Main3WData[[#This Row],[PT.LastID.Row]]-ROW($Q$4)+1) &amp; ", "&amp;Main3WData[[#This Row],[Acronym]])</f>
        <v>UNMEER, UNFPA, UNDP, OMS</v>
      </c>
      <c r="R306" s="62" t="b">
        <f t="array" ref="R306">MAX(IF(Main3WData[PT.ID]=Main3WData[[#This Row],[PT.ID]],Main3WData[PT.LastID.Row]))=Main3WData[[#This Row],[PT.LastID.Row]]</f>
        <v>0</v>
      </c>
    </row>
    <row r="307" spans="2:18" ht="16.5" customHeight="1" x14ac:dyDescent="0.2">
      <c r="B307" s="55" t="s">
        <v>71</v>
      </c>
      <c r="C307" s="27" t="str">
        <f>INDEX(Organizations[],MATCH(Main3WData[[#This Row],[Acronym]],AcronymList,0),1)</f>
        <v>Medecins sans Frontieres</v>
      </c>
      <c r="D307" s="27" t="str">
        <f>INDEX(Organizations[],MATCH(Main3WData[[#This Row],[Acronym]],AcronymList,0),3)</f>
        <v>International NGO</v>
      </c>
      <c r="E307" s="54" t="s">
        <v>360</v>
      </c>
      <c r="F307" s="53" t="s">
        <v>82</v>
      </c>
      <c r="G307" s="54" t="s">
        <v>372</v>
      </c>
      <c r="H307" s="28" t="str">
        <f>VLOOKUP(Main3WData[[#This Row],[Admin Unit Name]],AdminUnits[],2,FALSE)</f>
        <v>GIN001003</v>
      </c>
      <c r="I307" s="57">
        <v>0</v>
      </c>
      <c r="J307" s="67" t="str">
        <f>Main3WData[[#This Row],[Acronym]]&amp;Main3WData[[#This Row],[Sector]]&amp;Main3WData[[#This Row],[Activity Type]]&amp;Main3WData[[#This Row],[Pcode]]</f>
        <v>MSFCoordinationOngoingGIN001003</v>
      </c>
      <c r="K307" s="69">
        <f>COUNTIF(Main3WData[Concatenate],Main3WData[[#This Row],[Concatenate]])</f>
        <v>1</v>
      </c>
      <c r="L307" s="61" t="str">
        <f>Main3WData[[#This Row],[Sector]]&amp;Main3WData[[#This Row],[Pcode]]</f>
        <v>CoordinationGIN001003</v>
      </c>
      <c r="M307" s="71">
        <f>COUNTIF($L$5:L307,Main3WData[[#This Row],[PT.Concat]])</f>
        <v>5</v>
      </c>
      <c r="N307" s="70">
        <f>MATCH(Main3WData[[#This Row],[PT.Concat]],$L$5:L307,0)</f>
        <v>299</v>
      </c>
      <c r="O307" s="62" t="b">
        <f>Main3WData[[#This Row],[Count PT.Concat]]=1</f>
        <v>0</v>
      </c>
      <c r="P307" s="62">
        <f t="array" ref="P307">MAX(($N$4:N306=Main3WData[[#This Row],[PT.ID]])*ROW($N$4:N306))</f>
        <v>306</v>
      </c>
      <c r="Q307" s="62" t="str">
        <f>IF(Main3WData[[#This Row],[PT.FirstID]],Main3WData[[#This Row],[Acronym]],INDEX($Q$4:Q306,Main3WData[[#This Row],[PT.LastID.Row]]-ROW($Q$4)+1) &amp; ", "&amp;Main3WData[[#This Row],[Acronym]])</f>
        <v>UNMEER, UNFPA, UNDP, OMS, MSF</v>
      </c>
      <c r="R307" s="62" t="b">
        <f t="array" ref="R307">MAX(IF(Main3WData[PT.ID]=Main3WData[[#This Row],[PT.ID]],Main3WData[PT.LastID.Row]))=Main3WData[[#This Row],[PT.LastID.Row]]</f>
        <v>0</v>
      </c>
    </row>
    <row r="308" spans="2:18" ht="16.5" customHeight="1" x14ac:dyDescent="0.2">
      <c r="B308" s="55" t="s">
        <v>507</v>
      </c>
      <c r="C308" s="27" t="str">
        <f>INDEX(Organizations[],MATCH(Main3WData[[#This Row],[Acronym]],AcronymList,0),1)</f>
        <v>eHealth Africa</v>
      </c>
      <c r="D308" s="27" t="str">
        <f>INDEX(Organizations[],MATCH(Main3WData[[#This Row],[Acronym]],AcronymList,0),3)</f>
        <v>International Organization</v>
      </c>
      <c r="E308" s="54" t="s">
        <v>360</v>
      </c>
      <c r="F308" s="53" t="s">
        <v>82</v>
      </c>
      <c r="G308" s="54" t="s">
        <v>372</v>
      </c>
      <c r="H308" s="28" t="str">
        <f>VLOOKUP(Main3WData[[#This Row],[Admin Unit Name]],AdminUnits[],2,FALSE)</f>
        <v>GIN001003</v>
      </c>
      <c r="I308" s="57">
        <v>0</v>
      </c>
      <c r="J308" s="67" t="str">
        <f>Main3WData[[#This Row],[Acronym]]&amp;Main3WData[[#This Row],[Sector]]&amp;Main3WData[[#This Row],[Activity Type]]&amp;Main3WData[[#This Row],[Pcode]]</f>
        <v>eHealth AfricaCoordinationOngoingGIN001003</v>
      </c>
      <c r="K308" s="69">
        <f>COUNTIF(Main3WData[Concatenate],Main3WData[[#This Row],[Concatenate]])</f>
        <v>1</v>
      </c>
      <c r="L308" s="61" t="str">
        <f>Main3WData[[#This Row],[Sector]]&amp;Main3WData[[#This Row],[Pcode]]</f>
        <v>CoordinationGIN001003</v>
      </c>
      <c r="M308" s="71">
        <f>COUNTIF($L$5:L308,Main3WData[[#This Row],[PT.Concat]])</f>
        <v>6</v>
      </c>
      <c r="N308" s="70">
        <f>MATCH(Main3WData[[#This Row],[PT.Concat]],$L$5:L308,0)</f>
        <v>299</v>
      </c>
      <c r="O308" s="62" t="b">
        <f>Main3WData[[#This Row],[Count PT.Concat]]=1</f>
        <v>0</v>
      </c>
      <c r="P308" s="62">
        <f t="array" ref="P308">MAX(($N$4:N307=Main3WData[[#This Row],[PT.ID]])*ROW($N$4:N307))</f>
        <v>307</v>
      </c>
      <c r="Q308" s="62" t="str">
        <f>IF(Main3WData[[#This Row],[PT.FirstID]],Main3WData[[#This Row],[Acronym]],INDEX($Q$4:Q307,Main3WData[[#This Row],[PT.LastID.Row]]-ROW($Q$4)+1) &amp; ", "&amp;Main3WData[[#This Row],[Acronym]])</f>
        <v>UNMEER, UNFPA, UNDP, OMS, MSF, eHealth Africa</v>
      </c>
      <c r="R308" s="62" t="b">
        <f t="array" ref="R308">MAX(IF(Main3WData[PT.ID]=Main3WData[[#This Row],[PT.ID]],Main3WData[PT.LastID.Row]))=Main3WData[[#This Row],[PT.LastID.Row]]</f>
        <v>1</v>
      </c>
    </row>
    <row r="309" spans="2:18" ht="16.5" customHeight="1" x14ac:dyDescent="0.2">
      <c r="B309" s="55" t="s">
        <v>473</v>
      </c>
      <c r="C309" s="27" t="str">
        <f>INDEX(Organizations[],MATCH(Main3WData[[#This Row],[Acronym]],AcronymList,0),1)</f>
        <v>United Nations Development Programme</v>
      </c>
      <c r="D309" s="27" t="str">
        <f>INDEX(Organizations[],MATCH(Main3WData[[#This Row],[Acronym]],AcronymList,0),3)</f>
        <v>UN Agency</v>
      </c>
      <c r="E309" s="54" t="s">
        <v>359</v>
      </c>
      <c r="F309" s="53" t="s">
        <v>82</v>
      </c>
      <c r="G309" s="54" t="s">
        <v>372</v>
      </c>
      <c r="H309" s="28" t="str">
        <f>VLOOKUP(Main3WData[[#This Row],[Admin Unit Name]],AdminUnits[],2,FALSE)</f>
        <v>GIN001003</v>
      </c>
      <c r="I309" s="57">
        <v>0</v>
      </c>
      <c r="J309" s="67" t="str">
        <f>Main3WData[[#This Row],[Acronym]]&amp;Main3WData[[#This Row],[Sector]]&amp;Main3WData[[#This Row],[Activity Type]]&amp;Main3WData[[#This Row],[Pcode]]</f>
        <v>UNDPFinanceOngoingGIN001003</v>
      </c>
      <c r="K309" s="69">
        <f>COUNTIF(Main3WData[Concatenate],Main3WData[[#This Row],[Concatenate]])</f>
        <v>1</v>
      </c>
      <c r="L309" s="61" t="str">
        <f>Main3WData[[#This Row],[Sector]]&amp;Main3WData[[#This Row],[Pcode]]</f>
        <v>FinanceGIN001003</v>
      </c>
      <c r="M309" s="71">
        <f>COUNTIF($L$5:L309,Main3WData[[#This Row],[PT.Concat]])</f>
        <v>1</v>
      </c>
      <c r="N309" s="70">
        <f>MATCH(Main3WData[[#This Row],[PT.Concat]],$L$5:L309,0)</f>
        <v>305</v>
      </c>
      <c r="O309" s="62" t="b">
        <f>Main3WData[[#This Row],[Count PT.Concat]]=1</f>
        <v>1</v>
      </c>
      <c r="P309" s="62">
        <f t="array" ref="P309">MAX(($N$4:N308=Main3WData[[#This Row],[PT.ID]])*ROW($N$4:N308))</f>
        <v>0</v>
      </c>
      <c r="Q309" s="62" t="str">
        <f>IF(Main3WData[[#This Row],[PT.FirstID]],Main3WData[[#This Row],[Acronym]],INDEX($Q$4:Q308,Main3WData[[#This Row],[PT.LastID.Row]]-ROW($Q$4)+1) &amp; ", "&amp;Main3WData[[#This Row],[Acronym]])</f>
        <v>UNDP</v>
      </c>
      <c r="R309" s="62" t="b">
        <f t="array" ref="R309">MAX(IF(Main3WData[PT.ID]=Main3WData[[#This Row],[PT.ID]],Main3WData[PT.LastID.Row]))=Main3WData[[#This Row],[PT.LastID.Row]]</f>
        <v>1</v>
      </c>
    </row>
    <row r="310" spans="2:18" ht="16.5" customHeight="1" x14ac:dyDescent="0.2">
      <c r="B310" s="55" t="s">
        <v>451</v>
      </c>
      <c r="C310" s="27" t="str">
        <f>INDEX(Organizations[],MATCH(Main3WData[[#This Row],[Acronym]],AcronymList,0),1)</f>
        <v>Croix-Rouge Guinée</v>
      </c>
      <c r="D310" s="27" t="str">
        <f>INDEX(Organizations[],MATCH(Main3WData[[#This Row],[Acronym]],AcronymList,0),3)</f>
        <v>Red Cross Movement</v>
      </c>
      <c r="E310" s="54" t="s">
        <v>354</v>
      </c>
      <c r="F310" s="53" t="s">
        <v>82</v>
      </c>
      <c r="G310" s="54" t="s">
        <v>372</v>
      </c>
      <c r="H310" s="28" t="str">
        <f>VLOOKUP(Main3WData[[#This Row],[Admin Unit Name]],AdminUnits[],2,FALSE)</f>
        <v>GIN001003</v>
      </c>
      <c r="I310" s="57">
        <v>0</v>
      </c>
      <c r="J310" s="67" t="str">
        <f>Main3WData[[#This Row],[Acronym]]&amp;Main3WData[[#This Row],[Sector]]&amp;Main3WData[[#This Row],[Activity Type]]&amp;Main3WData[[#This Row],[Pcode]]</f>
        <v>CRGGestion des corps et desinfectionOngoingGIN001003</v>
      </c>
      <c r="K310" s="69">
        <f>COUNTIF(Main3WData[Concatenate],Main3WData[[#This Row],[Concatenate]])</f>
        <v>1</v>
      </c>
      <c r="L310" s="61" t="str">
        <f>Main3WData[[#This Row],[Sector]]&amp;Main3WData[[#This Row],[Pcode]]</f>
        <v>Gestion des corps et desinfectionGIN001003</v>
      </c>
      <c r="M310" s="71">
        <f>COUNTIF($L$5:L310,Main3WData[[#This Row],[PT.Concat]])</f>
        <v>1</v>
      </c>
      <c r="N310" s="70">
        <f>MATCH(Main3WData[[#This Row],[PT.Concat]],$L$5:L310,0)</f>
        <v>306</v>
      </c>
      <c r="O310" s="62" t="b">
        <f>Main3WData[[#This Row],[Count PT.Concat]]=1</f>
        <v>1</v>
      </c>
      <c r="P310" s="62">
        <f t="array" ref="P310">MAX(($N$4:N309=Main3WData[[#This Row],[PT.ID]])*ROW($N$4:N309))</f>
        <v>0</v>
      </c>
      <c r="Q310" s="62" t="str">
        <f>IF(Main3WData[[#This Row],[PT.FirstID]],Main3WData[[#This Row],[Acronym]],INDEX($Q$4:Q309,Main3WData[[#This Row],[PT.LastID.Row]]-ROW($Q$4)+1) &amp; ", "&amp;Main3WData[[#This Row],[Acronym]])</f>
        <v>CRG</v>
      </c>
      <c r="R310" s="62" t="b">
        <f t="array" ref="R310">MAX(IF(Main3WData[PT.ID]=Main3WData[[#This Row],[PT.ID]],Main3WData[PT.LastID.Row]))=Main3WData[[#This Row],[PT.LastID.Row]]</f>
        <v>1</v>
      </c>
    </row>
    <row r="311" spans="2:18" ht="16.5" customHeight="1" x14ac:dyDescent="0.2">
      <c r="B311" s="55" t="s">
        <v>516</v>
      </c>
      <c r="C311" s="27" t="str">
        <f>INDEX(Organizations[],MATCH(Main3WData[[#This Row],[Acronym]],AcronymList,0),1)</f>
        <v>UNITED NATION MISSION FOR EBOLA  EMERGENCY RESPONSE</v>
      </c>
      <c r="D311" s="27" t="str">
        <f>INDEX(Organizations[],MATCH(Main3WData[[#This Row],[Acronym]],AcronymList,0),3)</f>
        <v>UN Agency</v>
      </c>
      <c r="E311" s="54" t="s">
        <v>356</v>
      </c>
      <c r="F311" s="53" t="s">
        <v>82</v>
      </c>
      <c r="G311" s="54" t="s">
        <v>372</v>
      </c>
      <c r="H311" s="28" t="str">
        <f>VLOOKUP(Main3WData[[#This Row],[Admin Unit Name]],AdminUnits[],2,FALSE)</f>
        <v>GIN001003</v>
      </c>
      <c r="I311" s="57">
        <v>0</v>
      </c>
      <c r="J311" s="67" t="str">
        <f>Main3WData[[#This Row],[Acronym]]&amp;Main3WData[[#This Row],[Sector]]&amp;Main3WData[[#This Row],[Activity Type]]&amp;Main3WData[[#This Row],[Pcode]]</f>
        <v>UNMEERGestion des donnéesOngoingGIN001003</v>
      </c>
      <c r="K311" s="69">
        <f>COUNTIF(Main3WData[Concatenate],Main3WData[[#This Row],[Concatenate]])</f>
        <v>1</v>
      </c>
      <c r="L311" s="61" t="str">
        <f>Main3WData[[#This Row],[Sector]]&amp;Main3WData[[#This Row],[Pcode]]</f>
        <v>Gestion des donnéesGIN001003</v>
      </c>
      <c r="M311" s="71">
        <f>COUNTIF($L$5:L311,Main3WData[[#This Row],[PT.Concat]])</f>
        <v>1</v>
      </c>
      <c r="N311" s="70">
        <f>MATCH(Main3WData[[#This Row],[PT.Concat]],$L$5:L311,0)</f>
        <v>307</v>
      </c>
      <c r="O311" s="62" t="b">
        <f>Main3WData[[#This Row],[Count PT.Concat]]=1</f>
        <v>1</v>
      </c>
      <c r="P311" s="62">
        <f t="array" ref="P311">MAX(($N$4:N310=Main3WData[[#This Row],[PT.ID]])*ROW($N$4:N310))</f>
        <v>0</v>
      </c>
      <c r="Q311" s="62" t="str">
        <f>IF(Main3WData[[#This Row],[PT.FirstID]],Main3WData[[#This Row],[Acronym]],INDEX($Q$4:Q310,Main3WData[[#This Row],[PT.LastID.Row]]-ROW($Q$4)+1) &amp; ", "&amp;Main3WData[[#This Row],[Acronym]])</f>
        <v>UNMEER</v>
      </c>
      <c r="R311" s="62" t="b">
        <f t="array" ref="R311">MAX(IF(Main3WData[PT.ID]=Main3WData[[#This Row],[PT.ID]],Main3WData[PT.LastID.Row]))=Main3WData[[#This Row],[PT.LastID.Row]]</f>
        <v>0</v>
      </c>
    </row>
    <row r="312" spans="2:18" ht="16.5" customHeight="1" x14ac:dyDescent="0.2">
      <c r="B312" s="55" t="s">
        <v>512</v>
      </c>
      <c r="C312" s="27" t="str">
        <f>INDEX(Organizations[],MATCH(Main3WData[[#This Row],[Acronym]],AcronymList,0),1)</f>
        <v>World Health Organization</v>
      </c>
      <c r="D312" s="27" t="str">
        <f>INDEX(Organizations[],MATCH(Main3WData[[#This Row],[Acronym]],AcronymList,0),3)</f>
        <v>UN Agency</v>
      </c>
      <c r="E312" s="54" t="s">
        <v>356</v>
      </c>
      <c r="F312" s="53" t="s">
        <v>82</v>
      </c>
      <c r="G312" s="54" t="s">
        <v>372</v>
      </c>
      <c r="H312" s="28" t="str">
        <f>VLOOKUP(Main3WData[[#This Row],[Admin Unit Name]],AdminUnits[],2,FALSE)</f>
        <v>GIN001003</v>
      </c>
      <c r="I312" s="57">
        <v>0</v>
      </c>
      <c r="J312" s="67" t="str">
        <f>Main3WData[[#This Row],[Acronym]]&amp;Main3WData[[#This Row],[Sector]]&amp;Main3WData[[#This Row],[Activity Type]]&amp;Main3WData[[#This Row],[Pcode]]</f>
        <v>OMSGestion des donnéesOngoingGIN001003</v>
      </c>
      <c r="K312" s="69">
        <f>COUNTIF(Main3WData[Concatenate],Main3WData[[#This Row],[Concatenate]])</f>
        <v>1</v>
      </c>
      <c r="L312" s="61" t="str">
        <f>Main3WData[[#This Row],[Sector]]&amp;Main3WData[[#This Row],[Pcode]]</f>
        <v>Gestion des donnéesGIN001003</v>
      </c>
      <c r="M312" s="71">
        <f>COUNTIF($L$5:L312,Main3WData[[#This Row],[PT.Concat]])</f>
        <v>2</v>
      </c>
      <c r="N312" s="70">
        <f>MATCH(Main3WData[[#This Row],[PT.Concat]],$L$5:L312,0)</f>
        <v>307</v>
      </c>
      <c r="O312" s="62" t="b">
        <f>Main3WData[[#This Row],[Count PT.Concat]]=1</f>
        <v>0</v>
      </c>
      <c r="P312" s="62">
        <f t="array" ref="P312">MAX(($N$4:N311=Main3WData[[#This Row],[PT.ID]])*ROW($N$4:N311))</f>
        <v>311</v>
      </c>
      <c r="Q312" s="62" t="str">
        <f>IF(Main3WData[[#This Row],[PT.FirstID]],Main3WData[[#This Row],[Acronym]],INDEX($Q$4:Q311,Main3WData[[#This Row],[PT.LastID.Row]]-ROW($Q$4)+1) &amp; ", "&amp;Main3WData[[#This Row],[Acronym]])</f>
        <v>UNMEER, OMS</v>
      </c>
      <c r="R312" s="62" t="b">
        <f t="array" ref="R312">MAX(IF(Main3WData[PT.ID]=Main3WData[[#This Row],[PT.ID]],Main3WData[PT.LastID.Row]))=Main3WData[[#This Row],[PT.LastID.Row]]</f>
        <v>1</v>
      </c>
    </row>
    <row r="313" spans="2:18" ht="16.5" customHeight="1" x14ac:dyDescent="0.2">
      <c r="B313" s="55" t="s">
        <v>64</v>
      </c>
      <c r="C313" s="27" t="str">
        <f>INDEX(Organizations[],MATCH(Main3WData[[#This Row],[Acronym]],AcronymList,0),1)</f>
        <v>CDC</v>
      </c>
      <c r="D313" s="27" t="str">
        <f>INDEX(Organizations[],MATCH(Main3WData[[#This Row],[Acronym]],AcronymList,0),3)</f>
        <v>International NGO</v>
      </c>
      <c r="E313" s="54" t="s">
        <v>351</v>
      </c>
      <c r="F313" s="53" t="s">
        <v>82</v>
      </c>
      <c r="G313" s="54" t="s">
        <v>372</v>
      </c>
      <c r="H313" s="28" t="str">
        <f>VLOOKUP(Main3WData[[#This Row],[Admin Unit Name]],AdminUnits[],2,FALSE)</f>
        <v>GIN001003</v>
      </c>
      <c r="I313" s="57">
        <v>0</v>
      </c>
      <c r="J313" s="67" t="str">
        <f>Main3WData[[#This Row],[Acronym]]&amp;Main3WData[[#This Row],[Sector]]&amp;Main3WData[[#This Row],[Activity Type]]&amp;Main3WData[[#This Row],[Pcode]]</f>
        <v>CDCSurveillance &amp; suiviOngoingGIN001003</v>
      </c>
      <c r="K313" s="69">
        <f>COUNTIF(Main3WData[Concatenate],Main3WData[[#This Row],[Concatenate]])</f>
        <v>1</v>
      </c>
      <c r="L313" s="61" t="str">
        <f>Main3WData[[#This Row],[Sector]]&amp;Main3WData[[#This Row],[Pcode]]</f>
        <v>Surveillance &amp; suiviGIN001003</v>
      </c>
      <c r="M313" s="71">
        <f>COUNTIF($L$5:L313,Main3WData[[#This Row],[PT.Concat]])</f>
        <v>1</v>
      </c>
      <c r="N313" s="70">
        <f>MATCH(Main3WData[[#This Row],[PT.Concat]],$L$5:L313,0)</f>
        <v>309</v>
      </c>
      <c r="O313" s="62" t="b">
        <f>Main3WData[[#This Row],[Count PT.Concat]]=1</f>
        <v>1</v>
      </c>
      <c r="P313" s="62">
        <f t="array" ref="P313">MAX(($N$4:N312=Main3WData[[#This Row],[PT.ID]])*ROW($N$4:N312))</f>
        <v>0</v>
      </c>
      <c r="Q313" s="62" t="str">
        <f>IF(Main3WData[[#This Row],[PT.FirstID]],Main3WData[[#This Row],[Acronym]],INDEX($Q$4:Q312,Main3WData[[#This Row],[PT.LastID.Row]]-ROW($Q$4)+1) &amp; ", "&amp;Main3WData[[#This Row],[Acronym]])</f>
        <v>CDC</v>
      </c>
      <c r="R313" s="62" t="b">
        <f t="array" ref="R313">MAX(IF(Main3WData[PT.ID]=Main3WData[[#This Row],[PT.ID]],Main3WData[PT.LastID.Row]))=Main3WData[[#This Row],[PT.LastID.Row]]</f>
        <v>1</v>
      </c>
    </row>
    <row r="314" spans="2:18" ht="16.5" customHeight="1" x14ac:dyDescent="0.2">
      <c r="B314" s="55" t="s">
        <v>77</v>
      </c>
      <c r="C314" s="27" t="str">
        <f>INDEX(Organizations[],MATCH(Main3WData[[#This Row],[Acronym]],AcronymList,0),1)</f>
        <v>United Nations Children's Fund</v>
      </c>
      <c r="D314" s="27" t="str">
        <f>INDEX(Organizations[],MATCH(Main3WData[[#This Row],[Acronym]],AcronymList,0),3)</f>
        <v>UN Agency</v>
      </c>
      <c r="E314" s="54" t="s">
        <v>350</v>
      </c>
      <c r="F314" s="53" t="s">
        <v>82</v>
      </c>
      <c r="G314" s="54" t="s">
        <v>426</v>
      </c>
      <c r="H314" s="28" t="str">
        <f>VLOOKUP(Main3WData[[#This Row],[Admin Unit Name]],AdminUnits[],2,FALSE)</f>
        <v>GIN008002</v>
      </c>
      <c r="I314" s="57">
        <v>0</v>
      </c>
      <c r="J314" s="67" t="str">
        <f>Main3WData[[#This Row],[Acronym]]&amp;Main3WData[[#This Row],[Sector]]&amp;Main3WData[[#This Row],[Activity Type]]&amp;Main3WData[[#This Row],[Pcode]]</f>
        <v>UNICEFCommunication/Mobilisation socialeOngoingGIN008002</v>
      </c>
      <c r="K314" s="69">
        <f>COUNTIF(Main3WData[Concatenate],Main3WData[[#This Row],[Concatenate]])</f>
        <v>1</v>
      </c>
      <c r="L314" s="61" t="str">
        <f>Main3WData[[#This Row],[Sector]]&amp;Main3WData[[#This Row],[Pcode]]</f>
        <v>Communication/Mobilisation socialeGIN008002</v>
      </c>
      <c r="M314" s="71">
        <f>COUNTIF($L$5:L314,Main3WData[[#This Row],[PT.Concat]])</f>
        <v>1</v>
      </c>
      <c r="N314" s="70">
        <f>MATCH(Main3WData[[#This Row],[PT.Concat]],$L$5:L314,0)</f>
        <v>310</v>
      </c>
      <c r="O314" s="62" t="b">
        <f>Main3WData[[#This Row],[Count PT.Concat]]=1</f>
        <v>1</v>
      </c>
      <c r="P314" s="62">
        <f t="array" ref="P314">MAX(($N$4:N313=Main3WData[[#This Row],[PT.ID]])*ROW($N$4:N313))</f>
        <v>0</v>
      </c>
      <c r="Q314" s="62" t="str">
        <f>IF(Main3WData[[#This Row],[PT.FirstID]],Main3WData[[#This Row],[Acronym]],INDEX($Q$4:Q313,Main3WData[[#This Row],[PT.LastID.Row]]-ROW($Q$4)+1) &amp; ", "&amp;Main3WData[[#This Row],[Acronym]])</f>
        <v>UNICEF</v>
      </c>
      <c r="R314" s="62" t="b">
        <f t="array" ref="R314">MAX(IF(Main3WData[PT.ID]=Main3WData[[#This Row],[PT.ID]],Main3WData[PT.LastID.Row]))=Main3WData[[#This Row],[PT.LastID.Row]]</f>
        <v>0</v>
      </c>
    </row>
    <row r="315" spans="2:18" ht="16.5" customHeight="1" x14ac:dyDescent="0.2">
      <c r="B315" s="55" t="s">
        <v>75</v>
      </c>
      <c r="C315" s="27" t="str">
        <f>INDEX(Organizations[],MATCH(Main3WData[[#This Row],[Acronym]],AcronymList,0),1)</f>
        <v>United Nations Population Fund</v>
      </c>
      <c r="D315" s="27" t="str">
        <f>INDEX(Organizations[],MATCH(Main3WData[[#This Row],[Acronym]],AcronymList,0),3)</f>
        <v>UN Agency</v>
      </c>
      <c r="E315" s="54" t="s">
        <v>350</v>
      </c>
      <c r="F315" s="53" t="s">
        <v>82</v>
      </c>
      <c r="G315" s="54" t="s">
        <v>426</v>
      </c>
      <c r="H315" s="28" t="str">
        <f>VLOOKUP(Main3WData[[#This Row],[Admin Unit Name]],AdminUnits[],2,FALSE)</f>
        <v>GIN008002</v>
      </c>
      <c r="I315" s="57">
        <v>0</v>
      </c>
      <c r="J315" s="67" t="str">
        <f>Main3WData[[#This Row],[Acronym]]&amp;Main3WData[[#This Row],[Sector]]&amp;Main3WData[[#This Row],[Activity Type]]&amp;Main3WData[[#This Row],[Pcode]]</f>
        <v>UNFPACommunication/Mobilisation socialeOngoingGIN008002</v>
      </c>
      <c r="K315" s="69">
        <f>COUNTIF(Main3WData[Concatenate],Main3WData[[#This Row],[Concatenate]])</f>
        <v>1</v>
      </c>
      <c r="L315" s="61" t="str">
        <f>Main3WData[[#This Row],[Sector]]&amp;Main3WData[[#This Row],[Pcode]]</f>
        <v>Communication/Mobilisation socialeGIN008002</v>
      </c>
      <c r="M315" s="71">
        <f>COUNTIF($L$5:L315,Main3WData[[#This Row],[PT.Concat]])</f>
        <v>2</v>
      </c>
      <c r="N315" s="70">
        <f>MATCH(Main3WData[[#This Row],[PT.Concat]],$L$5:L315,0)</f>
        <v>310</v>
      </c>
      <c r="O315" s="62" t="b">
        <f>Main3WData[[#This Row],[Count PT.Concat]]=1</f>
        <v>0</v>
      </c>
      <c r="P315" s="62">
        <f t="array" ref="P315">MAX(($N$4:N314=Main3WData[[#This Row],[PT.ID]])*ROW($N$4:N314))</f>
        <v>314</v>
      </c>
      <c r="Q315" s="62" t="str">
        <f>IF(Main3WData[[#This Row],[PT.FirstID]],Main3WData[[#This Row],[Acronym]],INDEX($Q$4:Q314,Main3WData[[#This Row],[PT.LastID.Row]]-ROW($Q$4)+1) &amp; ", "&amp;Main3WData[[#This Row],[Acronym]])</f>
        <v>UNICEF, UNFPA</v>
      </c>
      <c r="R315" s="62" t="b">
        <f t="array" ref="R315">MAX(IF(Main3WData[PT.ID]=Main3WData[[#This Row],[PT.ID]],Main3WData[PT.LastID.Row]))=Main3WData[[#This Row],[PT.LastID.Row]]</f>
        <v>0</v>
      </c>
    </row>
    <row r="316" spans="2:18" ht="16.5" customHeight="1" x14ac:dyDescent="0.2">
      <c r="B316" s="55" t="s">
        <v>473</v>
      </c>
      <c r="C316" s="27" t="str">
        <f>INDEX(Organizations[],MATCH(Main3WData[[#This Row],[Acronym]],AcronymList,0),1)</f>
        <v>United Nations Development Programme</v>
      </c>
      <c r="D316" s="27" t="str">
        <f>INDEX(Organizations[],MATCH(Main3WData[[#This Row],[Acronym]],AcronymList,0),3)</f>
        <v>UN Agency</v>
      </c>
      <c r="E316" s="54" t="s">
        <v>350</v>
      </c>
      <c r="F316" s="53" t="s">
        <v>82</v>
      </c>
      <c r="G316" s="54" t="s">
        <v>426</v>
      </c>
      <c r="H316" s="28" t="str">
        <f>VLOOKUP(Main3WData[[#This Row],[Admin Unit Name]],AdminUnits[],2,FALSE)</f>
        <v>GIN008002</v>
      </c>
      <c r="I316" s="57">
        <v>0</v>
      </c>
      <c r="J316" s="67" t="str">
        <f>Main3WData[[#This Row],[Acronym]]&amp;Main3WData[[#This Row],[Sector]]&amp;Main3WData[[#This Row],[Activity Type]]&amp;Main3WData[[#This Row],[Pcode]]</f>
        <v>UNDPCommunication/Mobilisation socialeOngoingGIN008002</v>
      </c>
      <c r="K316" s="69">
        <f>COUNTIF(Main3WData[Concatenate],Main3WData[[#This Row],[Concatenate]])</f>
        <v>1</v>
      </c>
      <c r="L316" s="61" t="str">
        <f>Main3WData[[#This Row],[Sector]]&amp;Main3WData[[#This Row],[Pcode]]</f>
        <v>Communication/Mobilisation socialeGIN008002</v>
      </c>
      <c r="M316" s="71">
        <f>COUNTIF($L$5:L316,Main3WData[[#This Row],[PT.Concat]])</f>
        <v>3</v>
      </c>
      <c r="N316" s="70">
        <f>MATCH(Main3WData[[#This Row],[PT.Concat]],$L$5:L316,0)</f>
        <v>310</v>
      </c>
      <c r="O316" s="62" t="b">
        <f>Main3WData[[#This Row],[Count PT.Concat]]=1</f>
        <v>0</v>
      </c>
      <c r="P316" s="62">
        <f t="array" ref="P316">MAX(($N$4:N315=Main3WData[[#This Row],[PT.ID]])*ROW($N$4:N315))</f>
        <v>315</v>
      </c>
      <c r="Q316" s="62" t="str">
        <f>IF(Main3WData[[#This Row],[PT.FirstID]],Main3WData[[#This Row],[Acronym]],INDEX($Q$4:Q315,Main3WData[[#This Row],[PT.LastID.Row]]-ROW($Q$4)+1) &amp; ", "&amp;Main3WData[[#This Row],[Acronym]])</f>
        <v>UNICEF, UNFPA, UNDP</v>
      </c>
      <c r="R316" s="62" t="b">
        <f t="array" ref="R316">MAX(IF(Main3WData[PT.ID]=Main3WData[[#This Row],[PT.ID]],Main3WData[PT.LastID.Row]))=Main3WData[[#This Row],[PT.LastID.Row]]</f>
        <v>0</v>
      </c>
    </row>
    <row r="317" spans="2:18" ht="16.5" customHeight="1" x14ac:dyDescent="0.2">
      <c r="B317" s="55" t="s">
        <v>72</v>
      </c>
      <c r="C317" s="27" t="str">
        <f>INDEX(Organizations[],MATCH(Main3WData[[#This Row],[Acronym]],AcronymList,0),1)</f>
        <v>PLAN</v>
      </c>
      <c r="D317" s="27" t="str">
        <f>INDEX(Organizations[],MATCH(Main3WData[[#This Row],[Acronym]],AcronymList,0),3)</f>
        <v>International Organization</v>
      </c>
      <c r="E317" s="54" t="s">
        <v>350</v>
      </c>
      <c r="F317" s="53" t="s">
        <v>82</v>
      </c>
      <c r="G317" s="54" t="s">
        <v>426</v>
      </c>
      <c r="H317" s="28" t="str">
        <f>VLOOKUP(Main3WData[[#This Row],[Admin Unit Name]],AdminUnits[],2,FALSE)</f>
        <v>GIN008002</v>
      </c>
      <c r="I317" s="57">
        <v>0</v>
      </c>
      <c r="J317" s="67" t="str">
        <f>Main3WData[[#This Row],[Acronym]]&amp;Main3WData[[#This Row],[Sector]]&amp;Main3WData[[#This Row],[Activity Type]]&amp;Main3WData[[#This Row],[Pcode]]</f>
        <v>PLANCommunication/Mobilisation socialeOngoingGIN008002</v>
      </c>
      <c r="K317" s="69">
        <f>COUNTIF(Main3WData[Concatenate],Main3WData[[#This Row],[Concatenate]])</f>
        <v>1</v>
      </c>
      <c r="L317" s="61" t="str">
        <f>Main3WData[[#This Row],[Sector]]&amp;Main3WData[[#This Row],[Pcode]]</f>
        <v>Communication/Mobilisation socialeGIN008002</v>
      </c>
      <c r="M317" s="71">
        <f>COUNTIF($L$5:L317,Main3WData[[#This Row],[PT.Concat]])</f>
        <v>4</v>
      </c>
      <c r="N317" s="70">
        <f>MATCH(Main3WData[[#This Row],[PT.Concat]],$L$5:L317,0)</f>
        <v>310</v>
      </c>
      <c r="O317" s="62" t="b">
        <f>Main3WData[[#This Row],[Count PT.Concat]]=1</f>
        <v>0</v>
      </c>
      <c r="P317" s="62">
        <f t="array" ref="P317">MAX(($N$4:N316=Main3WData[[#This Row],[PT.ID]])*ROW($N$4:N316))</f>
        <v>316</v>
      </c>
      <c r="Q317" s="62" t="str">
        <f>IF(Main3WData[[#This Row],[PT.FirstID]],Main3WData[[#This Row],[Acronym]],INDEX($Q$4:Q316,Main3WData[[#This Row],[PT.LastID.Row]]-ROW($Q$4)+1) &amp; ", "&amp;Main3WData[[#This Row],[Acronym]])</f>
        <v>UNICEF, UNFPA, UNDP, PLAN</v>
      </c>
      <c r="R317" s="62" t="b">
        <f t="array" ref="R317">MAX(IF(Main3WData[PT.ID]=Main3WData[[#This Row],[PT.ID]],Main3WData[PT.LastID.Row]))=Main3WData[[#This Row],[PT.LastID.Row]]</f>
        <v>0</v>
      </c>
    </row>
    <row r="318" spans="2:18" ht="16.5" customHeight="1" x14ac:dyDescent="0.2">
      <c r="B318" s="55" t="s">
        <v>512</v>
      </c>
      <c r="C318" s="27" t="str">
        <f>INDEX(Organizations[],MATCH(Main3WData[[#This Row],[Acronym]],AcronymList,0),1)</f>
        <v>World Health Organization</v>
      </c>
      <c r="D318" s="27" t="str">
        <f>INDEX(Organizations[],MATCH(Main3WData[[#This Row],[Acronym]],AcronymList,0),3)</f>
        <v>UN Agency</v>
      </c>
      <c r="E318" s="54" t="s">
        <v>350</v>
      </c>
      <c r="F318" s="53" t="s">
        <v>82</v>
      </c>
      <c r="G318" s="54" t="s">
        <v>426</v>
      </c>
      <c r="H318" s="28" t="str">
        <f>VLOOKUP(Main3WData[[#This Row],[Admin Unit Name]],AdminUnits[],2,FALSE)</f>
        <v>GIN008002</v>
      </c>
      <c r="I318" s="57">
        <v>0</v>
      </c>
      <c r="J318" s="67" t="str">
        <f>Main3WData[[#This Row],[Acronym]]&amp;Main3WData[[#This Row],[Sector]]&amp;Main3WData[[#This Row],[Activity Type]]&amp;Main3WData[[#This Row],[Pcode]]</f>
        <v>OMSCommunication/Mobilisation socialeOngoingGIN008002</v>
      </c>
      <c r="K318" s="69">
        <f>COUNTIF(Main3WData[Concatenate],Main3WData[[#This Row],[Concatenate]])</f>
        <v>1</v>
      </c>
      <c r="L318" s="61" t="str">
        <f>Main3WData[[#This Row],[Sector]]&amp;Main3WData[[#This Row],[Pcode]]</f>
        <v>Communication/Mobilisation socialeGIN008002</v>
      </c>
      <c r="M318" s="71">
        <f>COUNTIF($L$5:L318,Main3WData[[#This Row],[PT.Concat]])</f>
        <v>5</v>
      </c>
      <c r="N318" s="70">
        <f>MATCH(Main3WData[[#This Row],[PT.Concat]],$L$5:L318,0)</f>
        <v>310</v>
      </c>
      <c r="O318" s="62" t="b">
        <f>Main3WData[[#This Row],[Count PT.Concat]]=1</f>
        <v>0</v>
      </c>
      <c r="P318" s="62">
        <f t="array" ref="P318">MAX(($N$4:N317=Main3WData[[#This Row],[PT.ID]])*ROW($N$4:N317))</f>
        <v>317</v>
      </c>
      <c r="Q318" s="62" t="str">
        <f>IF(Main3WData[[#This Row],[PT.FirstID]],Main3WData[[#This Row],[Acronym]],INDEX($Q$4:Q317,Main3WData[[#This Row],[PT.LastID.Row]]-ROW($Q$4)+1) &amp; ", "&amp;Main3WData[[#This Row],[Acronym]])</f>
        <v>UNICEF, UNFPA, UNDP, PLAN, OMS</v>
      </c>
      <c r="R318" s="62" t="b">
        <f t="array" ref="R318">MAX(IF(Main3WData[PT.ID]=Main3WData[[#This Row],[PT.ID]],Main3WData[PT.LastID.Row]))=Main3WData[[#This Row],[PT.LastID.Row]]</f>
        <v>0</v>
      </c>
    </row>
    <row r="319" spans="2:18" ht="16.5" customHeight="1" x14ac:dyDescent="0.2">
      <c r="B319" s="55" t="s">
        <v>499</v>
      </c>
      <c r="C319" s="27" t="str">
        <f>INDEX(Organizations[],MATCH(Main3WData[[#This Row],[Acronym]],AcronymList,0),1)</f>
        <v>Croix-Rouge Guinée/Fédération internationale de la Croix-Rouge</v>
      </c>
      <c r="D319" s="27" t="str">
        <f>INDEX(Organizations[],MATCH(Main3WData[[#This Row],[Acronym]],AcronymList,0),3)</f>
        <v>International Organization</v>
      </c>
      <c r="E319" s="54" t="s">
        <v>350</v>
      </c>
      <c r="F319" s="53" t="s">
        <v>82</v>
      </c>
      <c r="G319" s="54" t="s">
        <v>426</v>
      </c>
      <c r="H319" s="28" t="str">
        <f>VLOOKUP(Main3WData[[#This Row],[Admin Unit Name]],AdminUnits[],2,FALSE)</f>
        <v>GIN008002</v>
      </c>
      <c r="I319" s="57">
        <v>0</v>
      </c>
      <c r="J319" s="67" t="str">
        <f>Main3WData[[#This Row],[Acronym]]&amp;Main3WData[[#This Row],[Sector]]&amp;Main3WData[[#This Row],[Activity Type]]&amp;Main3WData[[#This Row],[Pcode]]</f>
        <v>CRG/FICRCommunication/Mobilisation socialeOngoingGIN008002</v>
      </c>
      <c r="K319" s="69">
        <f>COUNTIF(Main3WData[Concatenate],Main3WData[[#This Row],[Concatenate]])</f>
        <v>1</v>
      </c>
      <c r="L319" s="61" t="str">
        <f>Main3WData[[#This Row],[Sector]]&amp;Main3WData[[#This Row],[Pcode]]</f>
        <v>Communication/Mobilisation socialeGIN008002</v>
      </c>
      <c r="M319" s="71">
        <f>COUNTIF($L$5:L319,Main3WData[[#This Row],[PT.Concat]])</f>
        <v>6</v>
      </c>
      <c r="N319" s="70">
        <f>MATCH(Main3WData[[#This Row],[PT.Concat]],$L$5:L319,0)</f>
        <v>310</v>
      </c>
      <c r="O319" s="62" t="b">
        <f>Main3WData[[#This Row],[Count PT.Concat]]=1</f>
        <v>0</v>
      </c>
      <c r="P319" s="62">
        <f t="array" ref="P319">MAX(($N$4:N318=Main3WData[[#This Row],[PT.ID]])*ROW($N$4:N318))</f>
        <v>318</v>
      </c>
      <c r="Q319" s="62" t="str">
        <f>IF(Main3WData[[#This Row],[PT.FirstID]],Main3WData[[#This Row],[Acronym]],INDEX($Q$4:Q318,Main3WData[[#This Row],[PT.LastID.Row]]-ROW($Q$4)+1) &amp; ", "&amp;Main3WData[[#This Row],[Acronym]])</f>
        <v>UNICEF, UNFPA, UNDP, PLAN, OMS, CRG/FICR</v>
      </c>
      <c r="R319" s="62" t="b">
        <f t="array" ref="R319">MAX(IF(Main3WData[PT.ID]=Main3WData[[#This Row],[PT.ID]],Main3WData[PT.LastID.Row]))=Main3WData[[#This Row],[PT.LastID.Row]]</f>
        <v>1</v>
      </c>
    </row>
    <row r="320" spans="2:18" ht="16.5" customHeight="1" x14ac:dyDescent="0.2">
      <c r="B320" s="55" t="s">
        <v>516</v>
      </c>
      <c r="C320" s="27" t="str">
        <f>INDEX(Organizations[],MATCH(Main3WData[[#This Row],[Acronym]],AcronymList,0),1)</f>
        <v>UNITED NATION MISSION FOR EBOLA  EMERGENCY RESPONSE</v>
      </c>
      <c r="D320" s="27" t="str">
        <f>INDEX(Organizations[],MATCH(Main3WData[[#This Row],[Acronym]],AcronymList,0),3)</f>
        <v>UN Agency</v>
      </c>
      <c r="E320" s="54" t="s">
        <v>360</v>
      </c>
      <c r="F320" s="53" t="s">
        <v>82</v>
      </c>
      <c r="G320" s="54" t="s">
        <v>426</v>
      </c>
      <c r="H320" s="28" t="str">
        <f>VLOOKUP(Main3WData[[#This Row],[Admin Unit Name]],AdminUnits[],2,FALSE)</f>
        <v>GIN008002</v>
      </c>
      <c r="I320" s="57">
        <v>0</v>
      </c>
      <c r="J320" s="67" t="str">
        <f>Main3WData[[#This Row],[Acronym]]&amp;Main3WData[[#This Row],[Sector]]&amp;Main3WData[[#This Row],[Activity Type]]&amp;Main3WData[[#This Row],[Pcode]]</f>
        <v>UNMEERCoordinationOngoingGIN008002</v>
      </c>
      <c r="K320" s="69">
        <f>COUNTIF(Main3WData[Concatenate],Main3WData[[#This Row],[Concatenate]])</f>
        <v>1</v>
      </c>
      <c r="L320" s="61" t="str">
        <f>Main3WData[[#This Row],[Sector]]&amp;Main3WData[[#This Row],[Pcode]]</f>
        <v>CoordinationGIN008002</v>
      </c>
      <c r="M320" s="71">
        <f>COUNTIF($L$5:L320,Main3WData[[#This Row],[PT.Concat]])</f>
        <v>1</v>
      </c>
      <c r="N320" s="70">
        <f>MATCH(Main3WData[[#This Row],[PT.Concat]],$L$5:L320,0)</f>
        <v>316</v>
      </c>
      <c r="O320" s="62" t="b">
        <f>Main3WData[[#This Row],[Count PT.Concat]]=1</f>
        <v>1</v>
      </c>
      <c r="P320" s="62">
        <f t="array" ref="P320">MAX(($N$4:N319=Main3WData[[#This Row],[PT.ID]])*ROW($N$4:N319))</f>
        <v>0</v>
      </c>
      <c r="Q320" s="62" t="str">
        <f>IF(Main3WData[[#This Row],[PT.FirstID]],Main3WData[[#This Row],[Acronym]],INDEX($Q$4:Q319,Main3WData[[#This Row],[PT.LastID.Row]]-ROW($Q$4)+1) &amp; ", "&amp;Main3WData[[#This Row],[Acronym]])</f>
        <v>UNMEER</v>
      </c>
      <c r="R320" s="62" t="b">
        <f t="array" ref="R320">MAX(IF(Main3WData[PT.ID]=Main3WData[[#This Row],[PT.ID]],Main3WData[PT.LastID.Row]))=Main3WData[[#This Row],[PT.LastID.Row]]</f>
        <v>0</v>
      </c>
    </row>
    <row r="321" spans="2:18" ht="16.5" customHeight="1" x14ac:dyDescent="0.2">
      <c r="B321" s="55" t="s">
        <v>75</v>
      </c>
      <c r="C321" s="27" t="str">
        <f>INDEX(Organizations[],MATCH(Main3WData[[#This Row],[Acronym]],AcronymList,0),1)</f>
        <v>United Nations Population Fund</v>
      </c>
      <c r="D321" s="27" t="str">
        <f>INDEX(Organizations[],MATCH(Main3WData[[#This Row],[Acronym]],AcronymList,0),3)</f>
        <v>UN Agency</v>
      </c>
      <c r="E321" s="54" t="s">
        <v>360</v>
      </c>
      <c r="F321" s="53" t="s">
        <v>82</v>
      </c>
      <c r="G321" s="54" t="s">
        <v>426</v>
      </c>
      <c r="H321" s="28" t="str">
        <f>VLOOKUP(Main3WData[[#This Row],[Admin Unit Name]],AdminUnits[],2,FALSE)</f>
        <v>GIN008002</v>
      </c>
      <c r="I321" s="57">
        <v>0</v>
      </c>
      <c r="J321" s="67" t="str">
        <f>Main3WData[[#This Row],[Acronym]]&amp;Main3WData[[#This Row],[Sector]]&amp;Main3WData[[#This Row],[Activity Type]]&amp;Main3WData[[#This Row],[Pcode]]</f>
        <v>UNFPACoordinationOngoingGIN008002</v>
      </c>
      <c r="K321" s="69">
        <f>COUNTIF(Main3WData[Concatenate],Main3WData[[#This Row],[Concatenate]])</f>
        <v>1</v>
      </c>
      <c r="L321" s="61" t="str">
        <f>Main3WData[[#This Row],[Sector]]&amp;Main3WData[[#This Row],[Pcode]]</f>
        <v>CoordinationGIN008002</v>
      </c>
      <c r="M321" s="71">
        <f>COUNTIF($L$5:L321,Main3WData[[#This Row],[PT.Concat]])</f>
        <v>2</v>
      </c>
      <c r="N321" s="70">
        <f>MATCH(Main3WData[[#This Row],[PT.Concat]],$L$5:L321,0)</f>
        <v>316</v>
      </c>
      <c r="O321" s="62" t="b">
        <f>Main3WData[[#This Row],[Count PT.Concat]]=1</f>
        <v>0</v>
      </c>
      <c r="P321" s="62">
        <f t="array" ref="P321">MAX(($N$4:N320=Main3WData[[#This Row],[PT.ID]])*ROW($N$4:N320))</f>
        <v>320</v>
      </c>
      <c r="Q321" s="62" t="str">
        <f>IF(Main3WData[[#This Row],[PT.FirstID]],Main3WData[[#This Row],[Acronym]],INDEX($Q$4:Q320,Main3WData[[#This Row],[PT.LastID.Row]]-ROW($Q$4)+1) &amp; ", "&amp;Main3WData[[#This Row],[Acronym]])</f>
        <v>UNMEER, UNFPA</v>
      </c>
      <c r="R321" s="62" t="b">
        <f t="array" ref="R321">MAX(IF(Main3WData[PT.ID]=Main3WData[[#This Row],[PT.ID]],Main3WData[PT.LastID.Row]))=Main3WData[[#This Row],[PT.LastID.Row]]</f>
        <v>0</v>
      </c>
    </row>
    <row r="322" spans="2:18" ht="16.5" customHeight="1" x14ac:dyDescent="0.2">
      <c r="B322" s="55" t="s">
        <v>473</v>
      </c>
      <c r="C322" s="27" t="str">
        <f>INDEX(Organizations[],MATCH(Main3WData[[#This Row],[Acronym]],AcronymList,0),1)</f>
        <v>United Nations Development Programme</v>
      </c>
      <c r="D322" s="27" t="str">
        <f>INDEX(Organizations[],MATCH(Main3WData[[#This Row],[Acronym]],AcronymList,0),3)</f>
        <v>UN Agency</v>
      </c>
      <c r="E322" s="54" t="s">
        <v>360</v>
      </c>
      <c r="F322" s="53" t="s">
        <v>82</v>
      </c>
      <c r="G322" s="54" t="s">
        <v>426</v>
      </c>
      <c r="H322" s="28" t="str">
        <f>VLOOKUP(Main3WData[[#This Row],[Admin Unit Name]],AdminUnits[],2,FALSE)</f>
        <v>GIN008002</v>
      </c>
      <c r="I322" s="57">
        <v>0</v>
      </c>
      <c r="J322" s="67" t="str">
        <f>Main3WData[[#This Row],[Acronym]]&amp;Main3WData[[#This Row],[Sector]]&amp;Main3WData[[#This Row],[Activity Type]]&amp;Main3WData[[#This Row],[Pcode]]</f>
        <v>UNDPCoordinationOngoingGIN008002</v>
      </c>
      <c r="K322" s="69">
        <f>COUNTIF(Main3WData[Concatenate],Main3WData[[#This Row],[Concatenate]])</f>
        <v>1</v>
      </c>
      <c r="L322" s="61" t="str">
        <f>Main3WData[[#This Row],[Sector]]&amp;Main3WData[[#This Row],[Pcode]]</f>
        <v>CoordinationGIN008002</v>
      </c>
      <c r="M322" s="71">
        <f>COUNTIF($L$5:L322,Main3WData[[#This Row],[PT.Concat]])</f>
        <v>3</v>
      </c>
      <c r="N322" s="70">
        <f>MATCH(Main3WData[[#This Row],[PT.Concat]],$L$5:L322,0)</f>
        <v>316</v>
      </c>
      <c r="O322" s="62" t="b">
        <f>Main3WData[[#This Row],[Count PT.Concat]]=1</f>
        <v>0</v>
      </c>
      <c r="P322" s="62">
        <f t="array" ref="P322">MAX(($N$4:N321=Main3WData[[#This Row],[PT.ID]])*ROW($N$4:N321))</f>
        <v>321</v>
      </c>
      <c r="Q322" s="62" t="str">
        <f>IF(Main3WData[[#This Row],[PT.FirstID]],Main3WData[[#This Row],[Acronym]],INDEX($Q$4:Q321,Main3WData[[#This Row],[PT.LastID.Row]]-ROW($Q$4)+1) &amp; ", "&amp;Main3WData[[#This Row],[Acronym]])</f>
        <v>UNMEER, UNFPA, UNDP</v>
      </c>
      <c r="R322" s="62" t="b">
        <f t="array" ref="R322">MAX(IF(Main3WData[PT.ID]=Main3WData[[#This Row],[PT.ID]],Main3WData[PT.LastID.Row]))=Main3WData[[#This Row],[PT.LastID.Row]]</f>
        <v>0</v>
      </c>
    </row>
    <row r="323" spans="2:18" ht="16.5" customHeight="1" x14ac:dyDescent="0.2">
      <c r="B323" s="55" t="s">
        <v>512</v>
      </c>
      <c r="C323" s="27" t="str">
        <f>INDEX(Organizations[],MATCH(Main3WData[[#This Row],[Acronym]],AcronymList,0),1)</f>
        <v>World Health Organization</v>
      </c>
      <c r="D323" s="27" t="str">
        <f>INDEX(Organizations[],MATCH(Main3WData[[#This Row],[Acronym]],AcronymList,0),3)</f>
        <v>UN Agency</v>
      </c>
      <c r="E323" s="54" t="s">
        <v>360</v>
      </c>
      <c r="F323" s="53" t="s">
        <v>82</v>
      </c>
      <c r="G323" s="54" t="s">
        <v>426</v>
      </c>
      <c r="H323" s="28" t="str">
        <f>VLOOKUP(Main3WData[[#This Row],[Admin Unit Name]],AdminUnits[],2,FALSE)</f>
        <v>GIN008002</v>
      </c>
      <c r="I323" s="57">
        <v>0</v>
      </c>
      <c r="J323" s="67" t="str">
        <f>Main3WData[[#This Row],[Acronym]]&amp;Main3WData[[#This Row],[Sector]]&amp;Main3WData[[#This Row],[Activity Type]]&amp;Main3WData[[#This Row],[Pcode]]</f>
        <v>OMSCoordinationOngoingGIN008002</v>
      </c>
      <c r="K323" s="69">
        <f>COUNTIF(Main3WData[Concatenate],Main3WData[[#This Row],[Concatenate]])</f>
        <v>1</v>
      </c>
      <c r="L323" s="61" t="str">
        <f>Main3WData[[#This Row],[Sector]]&amp;Main3WData[[#This Row],[Pcode]]</f>
        <v>CoordinationGIN008002</v>
      </c>
      <c r="M323" s="71">
        <f>COUNTIF($L$5:L323,Main3WData[[#This Row],[PT.Concat]])</f>
        <v>4</v>
      </c>
      <c r="N323" s="70">
        <f>MATCH(Main3WData[[#This Row],[PT.Concat]],$L$5:L323,0)</f>
        <v>316</v>
      </c>
      <c r="O323" s="62" t="b">
        <f>Main3WData[[#This Row],[Count PT.Concat]]=1</f>
        <v>0</v>
      </c>
      <c r="P323" s="62">
        <f t="array" ref="P323">MAX(($N$4:N322=Main3WData[[#This Row],[PT.ID]])*ROW($N$4:N322))</f>
        <v>322</v>
      </c>
      <c r="Q323" s="62" t="str">
        <f>IF(Main3WData[[#This Row],[PT.FirstID]],Main3WData[[#This Row],[Acronym]],INDEX($Q$4:Q322,Main3WData[[#This Row],[PT.LastID.Row]]-ROW($Q$4)+1) &amp; ", "&amp;Main3WData[[#This Row],[Acronym]])</f>
        <v>UNMEER, UNFPA, UNDP, OMS</v>
      </c>
      <c r="R323" s="62" t="b">
        <f t="array" ref="R323">MAX(IF(Main3WData[PT.ID]=Main3WData[[#This Row],[PT.ID]],Main3WData[PT.LastID.Row]))=Main3WData[[#This Row],[PT.LastID.Row]]</f>
        <v>0</v>
      </c>
    </row>
    <row r="324" spans="2:18" ht="16.5" customHeight="1" x14ac:dyDescent="0.2">
      <c r="B324" s="55" t="s">
        <v>71</v>
      </c>
      <c r="C324" s="27" t="str">
        <f>INDEX(Organizations[],MATCH(Main3WData[[#This Row],[Acronym]],AcronymList,0),1)</f>
        <v>Medecins sans Frontieres</v>
      </c>
      <c r="D324" s="27" t="str">
        <f>INDEX(Organizations[],MATCH(Main3WData[[#This Row],[Acronym]],AcronymList,0),3)</f>
        <v>International NGO</v>
      </c>
      <c r="E324" s="54" t="s">
        <v>360</v>
      </c>
      <c r="F324" s="53" t="s">
        <v>82</v>
      </c>
      <c r="G324" s="54" t="s">
        <v>426</v>
      </c>
      <c r="H324" s="28" t="str">
        <f>VLOOKUP(Main3WData[[#This Row],[Admin Unit Name]],AdminUnits[],2,FALSE)</f>
        <v>GIN008002</v>
      </c>
      <c r="I324" s="57">
        <v>0</v>
      </c>
      <c r="J324" s="67" t="str">
        <f>Main3WData[[#This Row],[Acronym]]&amp;Main3WData[[#This Row],[Sector]]&amp;Main3WData[[#This Row],[Activity Type]]&amp;Main3WData[[#This Row],[Pcode]]</f>
        <v>MSFCoordinationOngoingGIN008002</v>
      </c>
      <c r="K324" s="69">
        <f>COUNTIF(Main3WData[Concatenate],Main3WData[[#This Row],[Concatenate]])</f>
        <v>1</v>
      </c>
      <c r="L324" s="61" t="str">
        <f>Main3WData[[#This Row],[Sector]]&amp;Main3WData[[#This Row],[Pcode]]</f>
        <v>CoordinationGIN008002</v>
      </c>
      <c r="M324" s="71">
        <f>COUNTIF($L$5:L324,Main3WData[[#This Row],[PT.Concat]])</f>
        <v>5</v>
      </c>
      <c r="N324" s="70">
        <f>MATCH(Main3WData[[#This Row],[PT.Concat]],$L$5:L324,0)</f>
        <v>316</v>
      </c>
      <c r="O324" s="62" t="b">
        <f>Main3WData[[#This Row],[Count PT.Concat]]=1</f>
        <v>0</v>
      </c>
      <c r="P324" s="62">
        <f t="array" ref="P324">MAX(($N$4:N323=Main3WData[[#This Row],[PT.ID]])*ROW($N$4:N323))</f>
        <v>323</v>
      </c>
      <c r="Q324" s="62" t="str">
        <f>IF(Main3WData[[#This Row],[PT.FirstID]],Main3WData[[#This Row],[Acronym]],INDEX($Q$4:Q323,Main3WData[[#This Row],[PT.LastID.Row]]-ROW($Q$4)+1) &amp; ", "&amp;Main3WData[[#This Row],[Acronym]])</f>
        <v>UNMEER, UNFPA, UNDP, OMS, MSF</v>
      </c>
      <c r="R324" s="62" t="b">
        <f t="array" ref="R324">MAX(IF(Main3WData[PT.ID]=Main3WData[[#This Row],[PT.ID]],Main3WData[PT.LastID.Row]))=Main3WData[[#This Row],[PT.LastID.Row]]</f>
        <v>0</v>
      </c>
    </row>
    <row r="325" spans="2:18" ht="16.5" customHeight="1" x14ac:dyDescent="0.2">
      <c r="B325" s="55" t="s">
        <v>507</v>
      </c>
      <c r="C325" s="27" t="str">
        <f>INDEX(Organizations[],MATCH(Main3WData[[#This Row],[Acronym]],AcronymList,0),1)</f>
        <v>eHealth Africa</v>
      </c>
      <c r="D325" s="27" t="str">
        <f>INDEX(Organizations[],MATCH(Main3WData[[#This Row],[Acronym]],AcronymList,0),3)</f>
        <v>International Organization</v>
      </c>
      <c r="E325" s="54" t="s">
        <v>360</v>
      </c>
      <c r="F325" s="53" t="s">
        <v>82</v>
      </c>
      <c r="G325" s="54" t="s">
        <v>426</v>
      </c>
      <c r="H325" s="28" t="str">
        <f>VLOOKUP(Main3WData[[#This Row],[Admin Unit Name]],AdminUnits[],2,FALSE)</f>
        <v>GIN008002</v>
      </c>
      <c r="I325" s="57">
        <v>0</v>
      </c>
      <c r="J325" s="67" t="str">
        <f>Main3WData[[#This Row],[Acronym]]&amp;Main3WData[[#This Row],[Sector]]&amp;Main3WData[[#This Row],[Activity Type]]&amp;Main3WData[[#This Row],[Pcode]]</f>
        <v>eHealth AfricaCoordinationOngoingGIN008002</v>
      </c>
      <c r="K325" s="69">
        <f>COUNTIF(Main3WData[Concatenate],Main3WData[[#This Row],[Concatenate]])</f>
        <v>1</v>
      </c>
      <c r="L325" s="61" t="str">
        <f>Main3WData[[#This Row],[Sector]]&amp;Main3WData[[#This Row],[Pcode]]</f>
        <v>CoordinationGIN008002</v>
      </c>
      <c r="M325" s="71">
        <f>COUNTIF($L$5:L325,Main3WData[[#This Row],[PT.Concat]])</f>
        <v>6</v>
      </c>
      <c r="N325" s="70">
        <f>MATCH(Main3WData[[#This Row],[PT.Concat]],$L$5:L325,0)</f>
        <v>316</v>
      </c>
      <c r="O325" s="62" t="b">
        <f>Main3WData[[#This Row],[Count PT.Concat]]=1</f>
        <v>0</v>
      </c>
      <c r="P325" s="62">
        <f t="array" ref="P325">MAX(($N$4:N324=Main3WData[[#This Row],[PT.ID]])*ROW($N$4:N324))</f>
        <v>324</v>
      </c>
      <c r="Q325" s="62" t="str">
        <f>IF(Main3WData[[#This Row],[PT.FirstID]],Main3WData[[#This Row],[Acronym]],INDEX($Q$4:Q324,Main3WData[[#This Row],[PT.LastID.Row]]-ROW($Q$4)+1) &amp; ", "&amp;Main3WData[[#This Row],[Acronym]])</f>
        <v>UNMEER, UNFPA, UNDP, OMS, MSF, eHealth Africa</v>
      </c>
      <c r="R325" s="62" t="b">
        <f t="array" ref="R325">MAX(IF(Main3WData[PT.ID]=Main3WData[[#This Row],[PT.ID]],Main3WData[PT.LastID.Row]))=Main3WData[[#This Row],[PT.LastID.Row]]</f>
        <v>1</v>
      </c>
    </row>
    <row r="326" spans="2:18" ht="16.5" customHeight="1" x14ac:dyDescent="0.2">
      <c r="B326" s="55" t="s">
        <v>473</v>
      </c>
      <c r="C326" s="27" t="str">
        <f>INDEX(Organizations[],MATCH(Main3WData[[#This Row],[Acronym]],AcronymList,0),1)</f>
        <v>United Nations Development Programme</v>
      </c>
      <c r="D326" s="27" t="str">
        <f>INDEX(Organizations[],MATCH(Main3WData[[#This Row],[Acronym]],AcronymList,0),3)</f>
        <v>UN Agency</v>
      </c>
      <c r="E326" s="54" t="s">
        <v>359</v>
      </c>
      <c r="F326" s="53" t="s">
        <v>82</v>
      </c>
      <c r="G326" s="54" t="s">
        <v>426</v>
      </c>
      <c r="H326" s="28" t="str">
        <f>VLOOKUP(Main3WData[[#This Row],[Admin Unit Name]],AdminUnits[],2,FALSE)</f>
        <v>GIN008002</v>
      </c>
      <c r="I326" s="57">
        <v>0</v>
      </c>
      <c r="J326" s="67" t="str">
        <f>Main3WData[[#This Row],[Acronym]]&amp;Main3WData[[#This Row],[Sector]]&amp;Main3WData[[#This Row],[Activity Type]]&amp;Main3WData[[#This Row],[Pcode]]</f>
        <v>UNDPFinanceOngoingGIN008002</v>
      </c>
      <c r="K326" s="69">
        <f>COUNTIF(Main3WData[Concatenate],Main3WData[[#This Row],[Concatenate]])</f>
        <v>1</v>
      </c>
      <c r="L326" s="61" t="str">
        <f>Main3WData[[#This Row],[Sector]]&amp;Main3WData[[#This Row],[Pcode]]</f>
        <v>FinanceGIN008002</v>
      </c>
      <c r="M326" s="71">
        <f>COUNTIF($L$5:L326,Main3WData[[#This Row],[PT.Concat]])</f>
        <v>1</v>
      </c>
      <c r="N326" s="70">
        <f>MATCH(Main3WData[[#This Row],[PT.Concat]],$L$5:L326,0)</f>
        <v>322</v>
      </c>
      <c r="O326" s="62" t="b">
        <f>Main3WData[[#This Row],[Count PT.Concat]]=1</f>
        <v>1</v>
      </c>
      <c r="P326" s="62">
        <f t="array" ref="P326">MAX(($N$4:N325=Main3WData[[#This Row],[PT.ID]])*ROW($N$4:N325))</f>
        <v>0</v>
      </c>
      <c r="Q326" s="62" t="str">
        <f>IF(Main3WData[[#This Row],[PT.FirstID]],Main3WData[[#This Row],[Acronym]],INDEX($Q$4:Q325,Main3WData[[#This Row],[PT.LastID.Row]]-ROW($Q$4)+1) &amp; ", "&amp;Main3WData[[#This Row],[Acronym]])</f>
        <v>UNDP</v>
      </c>
      <c r="R326" s="62" t="b">
        <f t="array" ref="R326">MAX(IF(Main3WData[PT.ID]=Main3WData[[#This Row],[PT.ID]],Main3WData[PT.LastID.Row]))=Main3WData[[#This Row],[PT.LastID.Row]]</f>
        <v>1</v>
      </c>
    </row>
    <row r="327" spans="2:18" ht="16.5" customHeight="1" x14ac:dyDescent="0.2">
      <c r="B327" s="55" t="s">
        <v>451</v>
      </c>
      <c r="C327" s="27" t="str">
        <f>INDEX(Organizations[],MATCH(Main3WData[[#This Row],[Acronym]],AcronymList,0),1)</f>
        <v>Croix-Rouge Guinée</v>
      </c>
      <c r="D327" s="27" t="str">
        <f>INDEX(Organizations[],MATCH(Main3WData[[#This Row],[Acronym]],AcronymList,0),3)</f>
        <v>Red Cross Movement</v>
      </c>
      <c r="E327" s="54" t="s">
        <v>354</v>
      </c>
      <c r="F327" s="53" t="s">
        <v>82</v>
      </c>
      <c r="G327" s="54" t="s">
        <v>426</v>
      </c>
      <c r="H327" s="28" t="str">
        <f>VLOOKUP(Main3WData[[#This Row],[Admin Unit Name]],AdminUnits[],2,FALSE)</f>
        <v>GIN008002</v>
      </c>
      <c r="I327" s="57">
        <v>0</v>
      </c>
      <c r="J327" s="67" t="str">
        <f>Main3WData[[#This Row],[Acronym]]&amp;Main3WData[[#This Row],[Sector]]&amp;Main3WData[[#This Row],[Activity Type]]&amp;Main3WData[[#This Row],[Pcode]]</f>
        <v>CRGGestion des corps et desinfectionOngoingGIN008002</v>
      </c>
      <c r="K327" s="69">
        <f>COUNTIF(Main3WData[Concatenate],Main3WData[[#This Row],[Concatenate]])</f>
        <v>1</v>
      </c>
      <c r="L327" s="61" t="str">
        <f>Main3WData[[#This Row],[Sector]]&amp;Main3WData[[#This Row],[Pcode]]</f>
        <v>Gestion des corps et desinfectionGIN008002</v>
      </c>
      <c r="M327" s="71">
        <f>COUNTIF($L$5:L327,Main3WData[[#This Row],[PT.Concat]])</f>
        <v>1</v>
      </c>
      <c r="N327" s="70">
        <f>MATCH(Main3WData[[#This Row],[PT.Concat]],$L$5:L327,0)</f>
        <v>323</v>
      </c>
      <c r="O327" s="62" t="b">
        <f>Main3WData[[#This Row],[Count PT.Concat]]=1</f>
        <v>1</v>
      </c>
      <c r="P327" s="62">
        <f t="array" ref="P327">MAX(($N$4:N326=Main3WData[[#This Row],[PT.ID]])*ROW($N$4:N326))</f>
        <v>0</v>
      </c>
      <c r="Q327" s="62" t="str">
        <f>IF(Main3WData[[#This Row],[PT.FirstID]],Main3WData[[#This Row],[Acronym]],INDEX($Q$4:Q326,Main3WData[[#This Row],[PT.LastID.Row]]-ROW($Q$4)+1) &amp; ", "&amp;Main3WData[[#This Row],[Acronym]])</f>
        <v>CRG</v>
      </c>
      <c r="R327" s="62" t="b">
        <f t="array" ref="R327">MAX(IF(Main3WData[PT.ID]=Main3WData[[#This Row],[PT.ID]],Main3WData[PT.LastID.Row]))=Main3WData[[#This Row],[PT.LastID.Row]]</f>
        <v>1</v>
      </c>
    </row>
    <row r="328" spans="2:18" ht="16.5" customHeight="1" x14ac:dyDescent="0.2">
      <c r="B328" s="55" t="s">
        <v>516</v>
      </c>
      <c r="C328" s="27" t="str">
        <f>INDEX(Organizations[],MATCH(Main3WData[[#This Row],[Acronym]],AcronymList,0),1)</f>
        <v>UNITED NATION MISSION FOR EBOLA  EMERGENCY RESPONSE</v>
      </c>
      <c r="D328" s="27" t="str">
        <f>INDEX(Organizations[],MATCH(Main3WData[[#This Row],[Acronym]],AcronymList,0),3)</f>
        <v>UN Agency</v>
      </c>
      <c r="E328" s="54" t="s">
        <v>356</v>
      </c>
      <c r="F328" s="53" t="s">
        <v>82</v>
      </c>
      <c r="G328" s="54" t="s">
        <v>426</v>
      </c>
      <c r="H328" s="28" t="str">
        <f>VLOOKUP(Main3WData[[#This Row],[Admin Unit Name]],AdminUnits[],2,FALSE)</f>
        <v>GIN008002</v>
      </c>
      <c r="I328" s="57">
        <v>0</v>
      </c>
      <c r="J328" s="67" t="str">
        <f>Main3WData[[#This Row],[Acronym]]&amp;Main3WData[[#This Row],[Sector]]&amp;Main3WData[[#This Row],[Activity Type]]&amp;Main3WData[[#This Row],[Pcode]]</f>
        <v>UNMEERGestion des donnéesOngoingGIN008002</v>
      </c>
      <c r="K328" s="69">
        <f>COUNTIF(Main3WData[Concatenate],Main3WData[[#This Row],[Concatenate]])</f>
        <v>1</v>
      </c>
      <c r="L328" s="61" t="str">
        <f>Main3WData[[#This Row],[Sector]]&amp;Main3WData[[#This Row],[Pcode]]</f>
        <v>Gestion des donnéesGIN008002</v>
      </c>
      <c r="M328" s="71">
        <f>COUNTIF($L$5:L328,Main3WData[[#This Row],[PT.Concat]])</f>
        <v>1</v>
      </c>
      <c r="N328" s="70">
        <f>MATCH(Main3WData[[#This Row],[PT.Concat]],$L$5:L328,0)</f>
        <v>324</v>
      </c>
      <c r="O328" s="62" t="b">
        <f>Main3WData[[#This Row],[Count PT.Concat]]=1</f>
        <v>1</v>
      </c>
      <c r="P328" s="62">
        <f t="array" ref="P328">MAX(($N$4:N327=Main3WData[[#This Row],[PT.ID]])*ROW($N$4:N327))</f>
        <v>0</v>
      </c>
      <c r="Q328" s="62" t="str">
        <f>IF(Main3WData[[#This Row],[PT.FirstID]],Main3WData[[#This Row],[Acronym]],INDEX($Q$4:Q327,Main3WData[[#This Row],[PT.LastID.Row]]-ROW($Q$4)+1) &amp; ", "&amp;Main3WData[[#This Row],[Acronym]])</f>
        <v>UNMEER</v>
      </c>
      <c r="R328" s="62" t="b">
        <f t="array" ref="R328">MAX(IF(Main3WData[PT.ID]=Main3WData[[#This Row],[PT.ID]],Main3WData[PT.LastID.Row]))=Main3WData[[#This Row],[PT.LastID.Row]]</f>
        <v>0</v>
      </c>
    </row>
    <row r="329" spans="2:18" ht="16.5" customHeight="1" x14ac:dyDescent="0.2">
      <c r="B329" s="55" t="s">
        <v>473</v>
      </c>
      <c r="C329" s="27" t="str">
        <f>INDEX(Organizations[],MATCH(Main3WData[[#This Row],[Acronym]],AcronymList,0),1)</f>
        <v>United Nations Development Programme</v>
      </c>
      <c r="D329" s="27" t="str">
        <f>INDEX(Organizations[],MATCH(Main3WData[[#This Row],[Acronym]],AcronymList,0),3)</f>
        <v>UN Agency</v>
      </c>
      <c r="E329" s="54" t="s">
        <v>356</v>
      </c>
      <c r="F329" s="53" t="s">
        <v>82</v>
      </c>
      <c r="G329" s="54" t="s">
        <v>426</v>
      </c>
      <c r="H329" s="28" t="str">
        <f>VLOOKUP(Main3WData[[#This Row],[Admin Unit Name]],AdminUnits[],2,FALSE)</f>
        <v>GIN008002</v>
      </c>
      <c r="I329" s="57">
        <v>0</v>
      </c>
      <c r="J329" s="67" t="str">
        <f>Main3WData[[#This Row],[Acronym]]&amp;Main3WData[[#This Row],[Sector]]&amp;Main3WData[[#This Row],[Activity Type]]&amp;Main3WData[[#This Row],[Pcode]]</f>
        <v>UNDPGestion des donnéesOngoingGIN008002</v>
      </c>
      <c r="K329" s="69">
        <f>COUNTIF(Main3WData[Concatenate],Main3WData[[#This Row],[Concatenate]])</f>
        <v>1</v>
      </c>
      <c r="L329" s="61" t="str">
        <f>Main3WData[[#This Row],[Sector]]&amp;Main3WData[[#This Row],[Pcode]]</f>
        <v>Gestion des donnéesGIN008002</v>
      </c>
      <c r="M329" s="71">
        <f>COUNTIF($L$5:L329,Main3WData[[#This Row],[PT.Concat]])</f>
        <v>2</v>
      </c>
      <c r="N329" s="70">
        <f>MATCH(Main3WData[[#This Row],[PT.Concat]],$L$5:L329,0)</f>
        <v>324</v>
      </c>
      <c r="O329" s="62" t="b">
        <f>Main3WData[[#This Row],[Count PT.Concat]]=1</f>
        <v>0</v>
      </c>
      <c r="P329" s="62">
        <f t="array" ref="P329">MAX(($N$4:N328=Main3WData[[#This Row],[PT.ID]])*ROW($N$4:N328))</f>
        <v>328</v>
      </c>
      <c r="Q329" s="62" t="str">
        <f>IF(Main3WData[[#This Row],[PT.FirstID]],Main3WData[[#This Row],[Acronym]],INDEX($Q$4:Q328,Main3WData[[#This Row],[PT.LastID.Row]]-ROW($Q$4)+1) &amp; ", "&amp;Main3WData[[#This Row],[Acronym]])</f>
        <v>UNMEER, UNDP</v>
      </c>
      <c r="R329" s="62" t="b">
        <f t="array" ref="R329">MAX(IF(Main3WData[PT.ID]=Main3WData[[#This Row],[PT.ID]],Main3WData[PT.LastID.Row]))=Main3WData[[#This Row],[PT.LastID.Row]]</f>
        <v>0</v>
      </c>
    </row>
    <row r="330" spans="2:18" ht="16.5" customHeight="1" x14ac:dyDescent="0.2">
      <c r="B330" s="55" t="s">
        <v>72</v>
      </c>
      <c r="C330" s="27" t="str">
        <f>INDEX(Organizations[],MATCH(Main3WData[[#This Row],[Acronym]],AcronymList,0),1)</f>
        <v>PLAN</v>
      </c>
      <c r="D330" s="27" t="str">
        <f>INDEX(Organizations[],MATCH(Main3WData[[#This Row],[Acronym]],AcronymList,0),3)</f>
        <v>International Organization</v>
      </c>
      <c r="E330" s="54" t="s">
        <v>356</v>
      </c>
      <c r="F330" s="53" t="s">
        <v>82</v>
      </c>
      <c r="G330" s="54" t="s">
        <v>426</v>
      </c>
      <c r="H330" s="28" t="str">
        <f>VLOOKUP(Main3WData[[#This Row],[Admin Unit Name]],AdminUnits[],2,FALSE)</f>
        <v>GIN008002</v>
      </c>
      <c r="I330" s="57">
        <v>0</v>
      </c>
      <c r="J330" s="67" t="str">
        <f>Main3WData[[#This Row],[Acronym]]&amp;Main3WData[[#This Row],[Sector]]&amp;Main3WData[[#This Row],[Activity Type]]&amp;Main3WData[[#This Row],[Pcode]]</f>
        <v>PLANGestion des donnéesOngoingGIN008002</v>
      </c>
      <c r="K330" s="69">
        <f>COUNTIF(Main3WData[Concatenate],Main3WData[[#This Row],[Concatenate]])</f>
        <v>1</v>
      </c>
      <c r="L330" s="61" t="str">
        <f>Main3WData[[#This Row],[Sector]]&amp;Main3WData[[#This Row],[Pcode]]</f>
        <v>Gestion des donnéesGIN008002</v>
      </c>
      <c r="M330" s="71">
        <f>COUNTIF($L$5:L330,Main3WData[[#This Row],[PT.Concat]])</f>
        <v>3</v>
      </c>
      <c r="N330" s="70">
        <f>MATCH(Main3WData[[#This Row],[PT.Concat]],$L$5:L330,0)</f>
        <v>324</v>
      </c>
      <c r="O330" s="62" t="b">
        <f>Main3WData[[#This Row],[Count PT.Concat]]=1</f>
        <v>0</v>
      </c>
      <c r="P330" s="62">
        <f t="array" ref="P330">MAX(($N$4:N329=Main3WData[[#This Row],[PT.ID]])*ROW($N$4:N329))</f>
        <v>329</v>
      </c>
      <c r="Q330" s="62" t="str">
        <f>IF(Main3WData[[#This Row],[PT.FirstID]],Main3WData[[#This Row],[Acronym]],INDEX($Q$4:Q329,Main3WData[[#This Row],[PT.LastID.Row]]-ROW($Q$4)+1) &amp; ", "&amp;Main3WData[[#This Row],[Acronym]])</f>
        <v>UNMEER, UNDP, PLAN</v>
      </c>
      <c r="R330" s="62" t="b">
        <f t="array" ref="R330">MAX(IF(Main3WData[PT.ID]=Main3WData[[#This Row],[PT.ID]],Main3WData[PT.LastID.Row]))=Main3WData[[#This Row],[PT.LastID.Row]]</f>
        <v>0</v>
      </c>
    </row>
    <row r="331" spans="2:18" ht="16.5" customHeight="1" x14ac:dyDescent="0.2">
      <c r="B331" s="55" t="s">
        <v>512</v>
      </c>
      <c r="C331" s="27" t="str">
        <f>INDEX(Organizations[],MATCH(Main3WData[[#This Row],[Acronym]],AcronymList,0),1)</f>
        <v>World Health Organization</v>
      </c>
      <c r="D331" s="27" t="str">
        <f>INDEX(Organizations[],MATCH(Main3WData[[#This Row],[Acronym]],AcronymList,0),3)</f>
        <v>UN Agency</v>
      </c>
      <c r="E331" s="54" t="s">
        <v>356</v>
      </c>
      <c r="F331" s="53" t="s">
        <v>82</v>
      </c>
      <c r="G331" s="54" t="s">
        <v>426</v>
      </c>
      <c r="H331" s="28" t="str">
        <f>VLOOKUP(Main3WData[[#This Row],[Admin Unit Name]],AdminUnits[],2,FALSE)</f>
        <v>GIN008002</v>
      </c>
      <c r="I331" s="57">
        <v>0</v>
      </c>
      <c r="J331" s="67" t="str">
        <f>Main3WData[[#This Row],[Acronym]]&amp;Main3WData[[#This Row],[Sector]]&amp;Main3WData[[#This Row],[Activity Type]]&amp;Main3WData[[#This Row],[Pcode]]</f>
        <v>OMSGestion des donnéesOngoingGIN008002</v>
      </c>
      <c r="K331" s="69">
        <f>COUNTIF(Main3WData[Concatenate],Main3WData[[#This Row],[Concatenate]])</f>
        <v>1</v>
      </c>
      <c r="L331" s="61" t="str">
        <f>Main3WData[[#This Row],[Sector]]&amp;Main3WData[[#This Row],[Pcode]]</f>
        <v>Gestion des donnéesGIN008002</v>
      </c>
      <c r="M331" s="71">
        <f>COUNTIF($L$5:L331,Main3WData[[#This Row],[PT.Concat]])</f>
        <v>4</v>
      </c>
      <c r="N331" s="70">
        <f>MATCH(Main3WData[[#This Row],[PT.Concat]],$L$5:L331,0)</f>
        <v>324</v>
      </c>
      <c r="O331" s="62" t="b">
        <f>Main3WData[[#This Row],[Count PT.Concat]]=1</f>
        <v>0</v>
      </c>
      <c r="P331" s="62">
        <f t="array" ref="P331">MAX(($N$4:N330=Main3WData[[#This Row],[PT.ID]])*ROW($N$4:N330))</f>
        <v>330</v>
      </c>
      <c r="Q331" s="62" t="str">
        <f>IF(Main3WData[[#This Row],[PT.FirstID]],Main3WData[[#This Row],[Acronym]],INDEX($Q$4:Q330,Main3WData[[#This Row],[PT.LastID.Row]]-ROW($Q$4)+1) &amp; ", "&amp;Main3WData[[#This Row],[Acronym]])</f>
        <v>UNMEER, UNDP, PLAN, OMS</v>
      </c>
      <c r="R331" s="62" t="b">
        <f t="array" ref="R331">MAX(IF(Main3WData[PT.ID]=Main3WData[[#This Row],[PT.ID]],Main3WData[PT.LastID.Row]))=Main3WData[[#This Row],[PT.LastID.Row]]</f>
        <v>1</v>
      </c>
    </row>
    <row r="332" spans="2:18" ht="16.5" customHeight="1" x14ac:dyDescent="0.2">
      <c r="B332" s="55" t="s">
        <v>516</v>
      </c>
      <c r="C332" s="27" t="str">
        <f>INDEX(Organizations[],MATCH(Main3WData[[#This Row],[Acronym]],AcronymList,0),1)</f>
        <v>UNITED NATION MISSION FOR EBOLA  EMERGENCY RESPONSE</v>
      </c>
      <c r="D332" s="27" t="str">
        <f>INDEX(Organizations[],MATCH(Main3WData[[#This Row],[Acronym]],AcronymList,0),3)</f>
        <v>UN Agency</v>
      </c>
      <c r="E332" s="54" t="s">
        <v>358</v>
      </c>
      <c r="F332" s="53" t="s">
        <v>82</v>
      </c>
      <c r="G332" s="54" t="s">
        <v>426</v>
      </c>
      <c r="H332" s="28" t="str">
        <f>VLOOKUP(Main3WData[[#This Row],[Admin Unit Name]],AdminUnits[],2,FALSE)</f>
        <v>GIN008002</v>
      </c>
      <c r="I332" s="57">
        <v>0</v>
      </c>
      <c r="J332" s="67" t="str">
        <f>Main3WData[[#This Row],[Acronym]]&amp;Main3WData[[#This Row],[Sector]]&amp;Main3WData[[#This Row],[Activity Type]]&amp;Main3WData[[#This Row],[Pcode]]</f>
        <v>UNMEERLogistiquesOngoingGIN008002</v>
      </c>
      <c r="K332" s="69">
        <f>COUNTIF(Main3WData[Concatenate],Main3WData[[#This Row],[Concatenate]])</f>
        <v>1</v>
      </c>
      <c r="L332" s="61" t="str">
        <f>Main3WData[[#This Row],[Sector]]&amp;Main3WData[[#This Row],[Pcode]]</f>
        <v>LogistiquesGIN008002</v>
      </c>
      <c r="M332" s="71">
        <f>COUNTIF($L$5:L332,Main3WData[[#This Row],[PT.Concat]])</f>
        <v>1</v>
      </c>
      <c r="N332" s="70">
        <f>MATCH(Main3WData[[#This Row],[PT.Concat]],$L$5:L332,0)</f>
        <v>328</v>
      </c>
      <c r="O332" s="62" t="b">
        <f>Main3WData[[#This Row],[Count PT.Concat]]=1</f>
        <v>1</v>
      </c>
      <c r="P332" s="62">
        <f t="array" ref="P332">MAX(($N$4:N331=Main3WData[[#This Row],[PT.ID]])*ROW($N$4:N331))</f>
        <v>0</v>
      </c>
      <c r="Q332" s="62" t="str">
        <f>IF(Main3WData[[#This Row],[PT.FirstID]],Main3WData[[#This Row],[Acronym]],INDEX($Q$4:Q331,Main3WData[[#This Row],[PT.LastID.Row]]-ROW($Q$4)+1) &amp; ", "&amp;Main3WData[[#This Row],[Acronym]])</f>
        <v>UNMEER</v>
      </c>
      <c r="R332" s="62" t="b">
        <f t="array" ref="R332">MAX(IF(Main3WData[PT.ID]=Main3WData[[#This Row],[PT.ID]],Main3WData[PT.LastID.Row]))=Main3WData[[#This Row],[PT.LastID.Row]]</f>
        <v>0</v>
      </c>
    </row>
    <row r="333" spans="2:18" ht="16.5" customHeight="1" x14ac:dyDescent="0.2">
      <c r="B333" s="55" t="s">
        <v>512</v>
      </c>
      <c r="C333" s="27" t="str">
        <f>INDEX(Organizations[],MATCH(Main3WData[[#This Row],[Acronym]],AcronymList,0),1)</f>
        <v>World Health Organization</v>
      </c>
      <c r="D333" s="27" t="str">
        <f>INDEX(Organizations[],MATCH(Main3WData[[#This Row],[Acronym]],AcronymList,0),3)</f>
        <v>UN Agency</v>
      </c>
      <c r="E333" s="54" t="s">
        <v>358</v>
      </c>
      <c r="F333" s="53" t="s">
        <v>82</v>
      </c>
      <c r="G333" s="54" t="s">
        <v>426</v>
      </c>
      <c r="H333" s="28" t="str">
        <f>VLOOKUP(Main3WData[[#This Row],[Admin Unit Name]],AdminUnits[],2,FALSE)</f>
        <v>GIN008002</v>
      </c>
      <c r="I333" s="57">
        <v>0</v>
      </c>
      <c r="J333" s="67" t="str">
        <f>Main3WData[[#This Row],[Acronym]]&amp;Main3WData[[#This Row],[Sector]]&amp;Main3WData[[#This Row],[Activity Type]]&amp;Main3WData[[#This Row],[Pcode]]</f>
        <v>OMSLogistiquesOngoingGIN008002</v>
      </c>
      <c r="K333" s="69">
        <f>COUNTIF(Main3WData[Concatenate],Main3WData[[#This Row],[Concatenate]])</f>
        <v>1</v>
      </c>
      <c r="L333" s="61" t="str">
        <f>Main3WData[[#This Row],[Sector]]&amp;Main3WData[[#This Row],[Pcode]]</f>
        <v>LogistiquesGIN008002</v>
      </c>
      <c r="M333" s="71">
        <f>COUNTIF($L$5:L333,Main3WData[[#This Row],[PT.Concat]])</f>
        <v>2</v>
      </c>
      <c r="N333" s="70">
        <f>MATCH(Main3WData[[#This Row],[PT.Concat]],$L$5:L333,0)</f>
        <v>328</v>
      </c>
      <c r="O333" s="62" t="b">
        <f>Main3WData[[#This Row],[Count PT.Concat]]=1</f>
        <v>0</v>
      </c>
      <c r="P333" s="62">
        <f t="array" ref="P333">MAX(($N$4:N332=Main3WData[[#This Row],[PT.ID]])*ROW($N$4:N332))</f>
        <v>332</v>
      </c>
      <c r="Q333" s="62" t="str">
        <f>IF(Main3WData[[#This Row],[PT.FirstID]],Main3WData[[#This Row],[Acronym]],INDEX($Q$4:Q332,Main3WData[[#This Row],[PT.LastID.Row]]-ROW($Q$4)+1) &amp; ", "&amp;Main3WData[[#This Row],[Acronym]])</f>
        <v>UNMEER, OMS</v>
      </c>
      <c r="R333" s="62" t="b">
        <f t="array" ref="R333">MAX(IF(Main3WData[PT.ID]=Main3WData[[#This Row],[PT.ID]],Main3WData[PT.LastID.Row]))=Main3WData[[#This Row],[PT.LastID.Row]]</f>
        <v>1</v>
      </c>
    </row>
    <row r="334" spans="2:18" ht="16.5" customHeight="1" x14ac:dyDescent="0.2">
      <c r="B334" s="55" t="s">
        <v>71</v>
      </c>
      <c r="C334" s="27" t="str">
        <f>INDEX(Organizations[],MATCH(Main3WData[[#This Row],[Acronym]],AcronymList,0),1)</f>
        <v>Medecins sans Frontieres</v>
      </c>
      <c r="D334" s="27" t="str">
        <f>INDEX(Organizations[],MATCH(Main3WData[[#This Row],[Acronym]],AcronymList,0),3)</f>
        <v>International NGO</v>
      </c>
      <c r="E334" s="54" t="s">
        <v>353</v>
      </c>
      <c r="F334" s="53" t="s">
        <v>82</v>
      </c>
      <c r="G334" s="54" t="s">
        <v>426</v>
      </c>
      <c r="H334" s="28" t="str">
        <f>VLOOKUP(Main3WData[[#This Row],[Admin Unit Name]],AdminUnits[],2,FALSE)</f>
        <v>GIN008002</v>
      </c>
      <c r="I334" s="57">
        <v>0</v>
      </c>
      <c r="J334" s="67" t="str">
        <f>Main3WData[[#This Row],[Acronym]]&amp;Main3WData[[#This Row],[Sector]]&amp;Main3WData[[#This Row],[Activity Type]]&amp;Main3WData[[#This Row],[Pcode]]</f>
        <v>MSFPrise en chargeOngoingGIN008002</v>
      </c>
      <c r="K334" s="69">
        <f>COUNTIF(Main3WData[Concatenate],Main3WData[[#This Row],[Concatenate]])</f>
        <v>1</v>
      </c>
      <c r="L334" s="61" t="str">
        <f>Main3WData[[#This Row],[Sector]]&amp;Main3WData[[#This Row],[Pcode]]</f>
        <v>Prise en chargeGIN008002</v>
      </c>
      <c r="M334" s="71">
        <f>COUNTIF($L$5:L334,Main3WData[[#This Row],[PT.Concat]])</f>
        <v>1</v>
      </c>
      <c r="N334" s="70">
        <f>MATCH(Main3WData[[#This Row],[PT.Concat]],$L$5:L334,0)</f>
        <v>330</v>
      </c>
      <c r="O334" s="62" t="b">
        <f>Main3WData[[#This Row],[Count PT.Concat]]=1</f>
        <v>1</v>
      </c>
      <c r="P334" s="62">
        <f t="array" ref="P334">MAX(($N$4:N333=Main3WData[[#This Row],[PT.ID]])*ROW($N$4:N333))</f>
        <v>0</v>
      </c>
      <c r="Q334" s="62" t="str">
        <f>IF(Main3WData[[#This Row],[PT.FirstID]],Main3WData[[#This Row],[Acronym]],INDEX($Q$4:Q333,Main3WData[[#This Row],[PT.LastID.Row]]-ROW($Q$4)+1) &amp; ", "&amp;Main3WData[[#This Row],[Acronym]])</f>
        <v>MSF</v>
      </c>
      <c r="R334" s="62" t="b">
        <f t="array" ref="R334">MAX(IF(Main3WData[PT.ID]=Main3WData[[#This Row],[PT.ID]],Main3WData[PT.LastID.Row]))=Main3WData[[#This Row],[PT.LastID.Row]]</f>
        <v>0</v>
      </c>
    </row>
    <row r="335" spans="2:18" ht="16.5" customHeight="1" x14ac:dyDescent="0.2">
      <c r="B335" s="55" t="s">
        <v>501</v>
      </c>
      <c r="C335" s="27" t="str">
        <f>INDEX(Organizations[],MATCH(Main3WData[[#This Row],[Acronym]],AcronymList,0),1)</f>
        <v>Divers Bailleurs</v>
      </c>
      <c r="D335" s="27" t="str">
        <f>INDEX(Organizations[],MATCH(Main3WData[[#This Row],[Acronym]],AcronymList,0),3)</f>
        <v>Donors</v>
      </c>
      <c r="E335" s="54" t="s">
        <v>353</v>
      </c>
      <c r="F335" s="53" t="s">
        <v>82</v>
      </c>
      <c r="G335" s="54" t="s">
        <v>426</v>
      </c>
      <c r="H335" s="28" t="str">
        <f>VLOOKUP(Main3WData[[#This Row],[Admin Unit Name]],AdminUnits[],2,FALSE)</f>
        <v>GIN008002</v>
      </c>
      <c r="I335" s="57">
        <v>0</v>
      </c>
      <c r="J335" s="67" t="str">
        <f>Main3WData[[#This Row],[Acronym]]&amp;Main3WData[[#This Row],[Sector]]&amp;Main3WData[[#This Row],[Activity Type]]&amp;Main3WData[[#This Row],[Pcode]]</f>
        <v>Divers BailleursPrise en chargeOngoingGIN008002</v>
      </c>
      <c r="K335" s="69">
        <f>COUNTIF(Main3WData[Concatenate],Main3WData[[#This Row],[Concatenate]])</f>
        <v>1</v>
      </c>
      <c r="L335" s="61" t="str">
        <f>Main3WData[[#This Row],[Sector]]&amp;Main3WData[[#This Row],[Pcode]]</f>
        <v>Prise en chargeGIN008002</v>
      </c>
      <c r="M335" s="71">
        <f>COUNTIF($L$5:L335,Main3WData[[#This Row],[PT.Concat]])</f>
        <v>2</v>
      </c>
      <c r="N335" s="70">
        <f>MATCH(Main3WData[[#This Row],[PT.Concat]],$L$5:L335,0)</f>
        <v>330</v>
      </c>
      <c r="O335" s="62" t="b">
        <f>Main3WData[[#This Row],[Count PT.Concat]]=1</f>
        <v>0</v>
      </c>
      <c r="P335" s="62">
        <f t="array" ref="P335">MAX(($N$4:N334=Main3WData[[#This Row],[PT.ID]])*ROW($N$4:N334))</f>
        <v>334</v>
      </c>
      <c r="Q335" s="62" t="str">
        <f>IF(Main3WData[[#This Row],[PT.FirstID]],Main3WData[[#This Row],[Acronym]],INDEX($Q$4:Q334,Main3WData[[#This Row],[PT.LastID.Row]]-ROW($Q$4)+1) &amp; ", "&amp;Main3WData[[#This Row],[Acronym]])</f>
        <v>MSF, Divers Bailleurs</v>
      </c>
      <c r="R335" s="62" t="b">
        <f t="array" ref="R335">MAX(IF(Main3WData[PT.ID]=Main3WData[[#This Row],[PT.ID]],Main3WData[PT.LastID.Row]))=Main3WData[[#This Row],[PT.LastID.Row]]</f>
        <v>0</v>
      </c>
    </row>
    <row r="336" spans="2:18" ht="16.5" customHeight="1" x14ac:dyDescent="0.2">
      <c r="B336" s="55" t="s">
        <v>66</v>
      </c>
      <c r="C336" s="27" t="str">
        <f>INDEX(Organizations[],MATCH(Main3WData[[#This Row],[Acronym]],AcronymList,0),1)</f>
        <v>Catholic Relief Services</v>
      </c>
      <c r="D336" s="27" t="str">
        <f>INDEX(Organizations[],MATCH(Main3WData[[#This Row],[Acronym]],AcronymList,0),3)</f>
        <v>International NGO</v>
      </c>
      <c r="E336" s="54" t="s">
        <v>353</v>
      </c>
      <c r="F336" s="53" t="s">
        <v>82</v>
      </c>
      <c r="G336" s="54" t="s">
        <v>426</v>
      </c>
      <c r="H336" s="28" t="str">
        <f>VLOOKUP(Main3WData[[#This Row],[Admin Unit Name]],AdminUnits[],2,FALSE)</f>
        <v>GIN008002</v>
      </c>
      <c r="I336" s="57">
        <v>0</v>
      </c>
      <c r="J336" s="67" t="str">
        <f>Main3WData[[#This Row],[Acronym]]&amp;Main3WData[[#This Row],[Sector]]&amp;Main3WData[[#This Row],[Activity Type]]&amp;Main3WData[[#This Row],[Pcode]]</f>
        <v>CRSPrise en chargeOngoingGIN008002</v>
      </c>
      <c r="K336" s="69">
        <f>COUNTIF(Main3WData[Concatenate],Main3WData[[#This Row],[Concatenate]])</f>
        <v>1</v>
      </c>
      <c r="L336" s="61" t="str">
        <f>Main3WData[[#This Row],[Sector]]&amp;Main3WData[[#This Row],[Pcode]]</f>
        <v>Prise en chargeGIN008002</v>
      </c>
      <c r="M336" s="71">
        <f>COUNTIF($L$5:L336,Main3WData[[#This Row],[PT.Concat]])</f>
        <v>3</v>
      </c>
      <c r="N336" s="70">
        <f>MATCH(Main3WData[[#This Row],[PT.Concat]],$L$5:L336,0)</f>
        <v>330</v>
      </c>
      <c r="O336" s="62" t="b">
        <f>Main3WData[[#This Row],[Count PT.Concat]]=1</f>
        <v>0</v>
      </c>
      <c r="P336" s="62">
        <f t="array" ref="P336">MAX(($N$4:N335=Main3WData[[#This Row],[PT.ID]])*ROW($N$4:N335))</f>
        <v>335</v>
      </c>
      <c r="Q336" s="62" t="str">
        <f>IF(Main3WData[[#This Row],[PT.FirstID]],Main3WData[[#This Row],[Acronym]],INDEX($Q$4:Q335,Main3WData[[#This Row],[PT.LastID.Row]]-ROW($Q$4)+1) &amp; ", "&amp;Main3WData[[#This Row],[Acronym]])</f>
        <v>MSF, Divers Bailleurs, CRS</v>
      </c>
      <c r="R336" s="62" t="b">
        <f t="array" ref="R336">MAX(IF(Main3WData[PT.ID]=Main3WData[[#This Row],[PT.ID]],Main3WData[PT.LastID.Row]))=Main3WData[[#This Row],[PT.LastID.Row]]</f>
        <v>1</v>
      </c>
    </row>
    <row r="337" spans="2:18" ht="16.5" customHeight="1" x14ac:dyDescent="0.2">
      <c r="B337" s="55" t="s">
        <v>78</v>
      </c>
      <c r="C337" s="27" t="str">
        <f>INDEX(Organizations[],MATCH(Main3WData[[#This Row],[Acronym]],AcronymList,0),1)</f>
        <v>World Food Programme</v>
      </c>
      <c r="D337" s="27" t="str">
        <f>INDEX(Organizations[],MATCH(Main3WData[[#This Row],[Acronym]],AcronymList,0),3)</f>
        <v>UN Agency</v>
      </c>
      <c r="E337" s="54" t="s">
        <v>355</v>
      </c>
      <c r="F337" s="53" t="s">
        <v>82</v>
      </c>
      <c r="G337" s="54" t="s">
        <v>426</v>
      </c>
      <c r="H337" s="28" t="str">
        <f>VLOOKUP(Main3WData[[#This Row],[Admin Unit Name]],AdminUnits[],2,FALSE)</f>
        <v>GIN008002</v>
      </c>
      <c r="I337" s="57">
        <v>0</v>
      </c>
      <c r="J337" s="67" t="str">
        <f>Main3WData[[#This Row],[Acronym]]&amp;Main3WData[[#This Row],[Sector]]&amp;Main3WData[[#This Row],[Activity Type]]&amp;Main3WData[[#This Row],[Pcode]]</f>
        <v>WFPSoutien nutritionnel et socialOngoingGIN008002</v>
      </c>
      <c r="K337" s="69">
        <f>COUNTIF(Main3WData[Concatenate],Main3WData[[#This Row],[Concatenate]])</f>
        <v>1</v>
      </c>
      <c r="L337" s="61" t="str">
        <f>Main3WData[[#This Row],[Sector]]&amp;Main3WData[[#This Row],[Pcode]]</f>
        <v>Soutien nutritionnel et socialGIN008002</v>
      </c>
      <c r="M337" s="71">
        <f>COUNTIF($L$5:L337,Main3WData[[#This Row],[PT.Concat]])</f>
        <v>1</v>
      </c>
      <c r="N337" s="70">
        <f>MATCH(Main3WData[[#This Row],[PT.Concat]],$L$5:L337,0)</f>
        <v>333</v>
      </c>
      <c r="O337" s="62" t="b">
        <f>Main3WData[[#This Row],[Count PT.Concat]]=1</f>
        <v>1</v>
      </c>
      <c r="P337" s="62">
        <f t="array" ref="P337">MAX(($N$4:N336=Main3WData[[#This Row],[PT.ID]])*ROW($N$4:N336))</f>
        <v>0</v>
      </c>
      <c r="Q337" s="62" t="str">
        <f>IF(Main3WData[[#This Row],[PT.FirstID]],Main3WData[[#This Row],[Acronym]],INDEX($Q$4:Q336,Main3WData[[#This Row],[PT.LastID.Row]]-ROW($Q$4)+1) &amp; ", "&amp;Main3WData[[#This Row],[Acronym]])</f>
        <v>WFP</v>
      </c>
      <c r="R337" s="62" t="b">
        <f t="array" ref="R337">MAX(IF(Main3WData[PT.ID]=Main3WData[[#This Row],[PT.ID]],Main3WData[PT.LastID.Row]))=Main3WData[[#This Row],[PT.LastID.Row]]</f>
        <v>0</v>
      </c>
    </row>
    <row r="338" spans="2:18" ht="16.5" customHeight="1" x14ac:dyDescent="0.2">
      <c r="B338" s="55" t="s">
        <v>72</v>
      </c>
      <c r="C338" s="27" t="str">
        <f>INDEX(Organizations[],MATCH(Main3WData[[#This Row],[Acronym]],AcronymList,0),1)</f>
        <v>PLAN</v>
      </c>
      <c r="D338" s="27" t="str">
        <f>INDEX(Organizations[],MATCH(Main3WData[[#This Row],[Acronym]],AcronymList,0),3)</f>
        <v>International Organization</v>
      </c>
      <c r="E338" s="54" t="s">
        <v>355</v>
      </c>
      <c r="F338" s="53" t="s">
        <v>82</v>
      </c>
      <c r="G338" s="54" t="s">
        <v>426</v>
      </c>
      <c r="H338" s="28" t="str">
        <f>VLOOKUP(Main3WData[[#This Row],[Admin Unit Name]],AdminUnits[],2,FALSE)</f>
        <v>GIN008002</v>
      </c>
      <c r="I338" s="57">
        <v>0</v>
      </c>
      <c r="J338" s="67" t="str">
        <f>Main3WData[[#This Row],[Acronym]]&amp;Main3WData[[#This Row],[Sector]]&amp;Main3WData[[#This Row],[Activity Type]]&amp;Main3WData[[#This Row],[Pcode]]</f>
        <v>PLANSoutien nutritionnel et socialOngoingGIN008002</v>
      </c>
      <c r="K338" s="69">
        <f>COUNTIF(Main3WData[Concatenate],Main3WData[[#This Row],[Concatenate]])</f>
        <v>1</v>
      </c>
      <c r="L338" s="61" t="str">
        <f>Main3WData[[#This Row],[Sector]]&amp;Main3WData[[#This Row],[Pcode]]</f>
        <v>Soutien nutritionnel et socialGIN008002</v>
      </c>
      <c r="M338" s="71">
        <f>COUNTIF($L$5:L338,Main3WData[[#This Row],[PT.Concat]])</f>
        <v>2</v>
      </c>
      <c r="N338" s="70">
        <f>MATCH(Main3WData[[#This Row],[PT.Concat]],$L$5:L338,0)</f>
        <v>333</v>
      </c>
      <c r="O338" s="62" t="b">
        <f>Main3WData[[#This Row],[Count PT.Concat]]=1</f>
        <v>0</v>
      </c>
      <c r="P338" s="62">
        <f t="array" ref="P338">MAX(($N$4:N337=Main3WData[[#This Row],[PT.ID]])*ROW($N$4:N337))</f>
        <v>337</v>
      </c>
      <c r="Q338" s="62" t="str">
        <f>IF(Main3WData[[#This Row],[PT.FirstID]],Main3WData[[#This Row],[Acronym]],INDEX($Q$4:Q337,Main3WData[[#This Row],[PT.LastID.Row]]-ROW($Q$4)+1) &amp; ", "&amp;Main3WData[[#This Row],[Acronym]])</f>
        <v>WFP, PLAN</v>
      </c>
      <c r="R338" s="62" t="b">
        <f t="array" ref="R338">MAX(IF(Main3WData[PT.ID]=Main3WData[[#This Row],[PT.ID]],Main3WData[PT.LastID.Row]))=Main3WData[[#This Row],[PT.LastID.Row]]</f>
        <v>1</v>
      </c>
    </row>
    <row r="339" spans="2:18" ht="16.5" customHeight="1" x14ac:dyDescent="0.2">
      <c r="B339" s="55" t="s">
        <v>75</v>
      </c>
      <c r="C339" s="27" t="str">
        <f>INDEX(Organizations[],MATCH(Main3WData[[#This Row],[Acronym]],AcronymList,0),1)</f>
        <v>United Nations Population Fund</v>
      </c>
      <c r="D339" s="27" t="str">
        <f>INDEX(Organizations[],MATCH(Main3WData[[#This Row],[Acronym]],AcronymList,0),3)</f>
        <v>UN Agency</v>
      </c>
      <c r="E339" s="54" t="s">
        <v>351</v>
      </c>
      <c r="F339" s="53" t="s">
        <v>82</v>
      </c>
      <c r="G339" s="54" t="s">
        <v>426</v>
      </c>
      <c r="H339" s="28" t="str">
        <f>VLOOKUP(Main3WData[[#This Row],[Admin Unit Name]],AdminUnits[],2,FALSE)</f>
        <v>GIN008002</v>
      </c>
      <c r="I339" s="57">
        <v>0</v>
      </c>
      <c r="J339" s="67" t="str">
        <f>Main3WData[[#This Row],[Acronym]]&amp;Main3WData[[#This Row],[Sector]]&amp;Main3WData[[#This Row],[Activity Type]]&amp;Main3WData[[#This Row],[Pcode]]</f>
        <v>UNFPASurveillance &amp; suiviOngoingGIN008002</v>
      </c>
      <c r="K339" s="69">
        <f>COUNTIF(Main3WData[Concatenate],Main3WData[[#This Row],[Concatenate]])</f>
        <v>1</v>
      </c>
      <c r="L339" s="61" t="str">
        <f>Main3WData[[#This Row],[Sector]]&amp;Main3WData[[#This Row],[Pcode]]</f>
        <v>Surveillance &amp; suiviGIN008002</v>
      </c>
      <c r="M339" s="71">
        <f>COUNTIF($L$5:L339,Main3WData[[#This Row],[PT.Concat]])</f>
        <v>1</v>
      </c>
      <c r="N339" s="70">
        <f>MATCH(Main3WData[[#This Row],[PT.Concat]],$L$5:L339,0)</f>
        <v>335</v>
      </c>
      <c r="O339" s="62" t="b">
        <f>Main3WData[[#This Row],[Count PT.Concat]]=1</f>
        <v>1</v>
      </c>
      <c r="P339" s="62">
        <f t="array" ref="P339">MAX(($N$4:N338=Main3WData[[#This Row],[PT.ID]])*ROW($N$4:N338))</f>
        <v>0</v>
      </c>
      <c r="Q339" s="62" t="str">
        <f>IF(Main3WData[[#This Row],[PT.FirstID]],Main3WData[[#This Row],[Acronym]],INDEX($Q$4:Q338,Main3WData[[#This Row],[PT.LastID.Row]]-ROW($Q$4)+1) &amp; ", "&amp;Main3WData[[#This Row],[Acronym]])</f>
        <v>UNFPA</v>
      </c>
      <c r="R339" s="62" t="b">
        <f t="array" ref="R339">MAX(IF(Main3WData[PT.ID]=Main3WData[[#This Row],[PT.ID]],Main3WData[PT.LastID.Row]))=Main3WData[[#This Row],[PT.LastID.Row]]</f>
        <v>0</v>
      </c>
    </row>
    <row r="340" spans="2:18" ht="16.5" customHeight="1" x14ac:dyDescent="0.2">
      <c r="B340" s="55" t="s">
        <v>72</v>
      </c>
      <c r="C340" s="27" t="str">
        <f>INDEX(Organizations[],MATCH(Main3WData[[#This Row],[Acronym]],AcronymList,0),1)</f>
        <v>PLAN</v>
      </c>
      <c r="D340" s="27" t="str">
        <f>INDEX(Organizations[],MATCH(Main3WData[[#This Row],[Acronym]],AcronymList,0),3)</f>
        <v>International Organization</v>
      </c>
      <c r="E340" s="54" t="s">
        <v>351</v>
      </c>
      <c r="F340" s="53" t="s">
        <v>82</v>
      </c>
      <c r="G340" s="54" t="s">
        <v>426</v>
      </c>
      <c r="H340" s="28" t="str">
        <f>VLOOKUP(Main3WData[[#This Row],[Admin Unit Name]],AdminUnits[],2,FALSE)</f>
        <v>GIN008002</v>
      </c>
      <c r="I340" s="57">
        <v>0</v>
      </c>
      <c r="J340" s="67" t="str">
        <f>Main3WData[[#This Row],[Acronym]]&amp;Main3WData[[#This Row],[Sector]]&amp;Main3WData[[#This Row],[Activity Type]]&amp;Main3WData[[#This Row],[Pcode]]</f>
        <v>PLANSurveillance &amp; suiviOngoingGIN008002</v>
      </c>
      <c r="K340" s="69">
        <f>COUNTIF(Main3WData[Concatenate],Main3WData[[#This Row],[Concatenate]])</f>
        <v>1</v>
      </c>
      <c r="L340" s="61" t="str">
        <f>Main3WData[[#This Row],[Sector]]&amp;Main3WData[[#This Row],[Pcode]]</f>
        <v>Surveillance &amp; suiviGIN008002</v>
      </c>
      <c r="M340" s="71">
        <f>COUNTIF($L$5:L340,Main3WData[[#This Row],[PT.Concat]])</f>
        <v>2</v>
      </c>
      <c r="N340" s="70">
        <f>MATCH(Main3WData[[#This Row],[PT.Concat]],$L$5:L340,0)</f>
        <v>335</v>
      </c>
      <c r="O340" s="62" t="b">
        <f>Main3WData[[#This Row],[Count PT.Concat]]=1</f>
        <v>0</v>
      </c>
      <c r="P340" s="62">
        <f t="array" ref="P340">MAX(($N$4:N339=Main3WData[[#This Row],[PT.ID]])*ROW($N$4:N339))</f>
        <v>339</v>
      </c>
      <c r="Q340" s="62" t="str">
        <f>IF(Main3WData[[#This Row],[PT.FirstID]],Main3WData[[#This Row],[Acronym]],INDEX($Q$4:Q339,Main3WData[[#This Row],[PT.LastID.Row]]-ROW($Q$4)+1) &amp; ", "&amp;Main3WData[[#This Row],[Acronym]])</f>
        <v>UNFPA, PLAN</v>
      </c>
      <c r="R340" s="62" t="b">
        <f t="array" ref="R340">MAX(IF(Main3WData[PT.ID]=Main3WData[[#This Row],[PT.ID]],Main3WData[PT.LastID.Row]))=Main3WData[[#This Row],[PT.LastID.Row]]</f>
        <v>0</v>
      </c>
    </row>
    <row r="341" spans="2:18" ht="16.5" customHeight="1" x14ac:dyDescent="0.2">
      <c r="B341" s="55" t="s">
        <v>512</v>
      </c>
      <c r="C341" s="27" t="str">
        <f>INDEX(Organizations[],MATCH(Main3WData[[#This Row],[Acronym]],AcronymList,0),1)</f>
        <v>World Health Organization</v>
      </c>
      <c r="D341" s="27" t="str">
        <f>INDEX(Organizations[],MATCH(Main3WData[[#This Row],[Acronym]],AcronymList,0),3)</f>
        <v>UN Agency</v>
      </c>
      <c r="E341" s="54" t="s">
        <v>351</v>
      </c>
      <c r="F341" s="53" t="s">
        <v>82</v>
      </c>
      <c r="G341" s="54" t="s">
        <v>426</v>
      </c>
      <c r="H341" s="28" t="str">
        <f>VLOOKUP(Main3WData[[#This Row],[Admin Unit Name]],AdminUnits[],2,FALSE)</f>
        <v>GIN008002</v>
      </c>
      <c r="I341" s="57">
        <v>0</v>
      </c>
      <c r="J341" s="67" t="str">
        <f>Main3WData[[#This Row],[Acronym]]&amp;Main3WData[[#This Row],[Sector]]&amp;Main3WData[[#This Row],[Activity Type]]&amp;Main3WData[[#This Row],[Pcode]]</f>
        <v>OMSSurveillance &amp; suiviOngoingGIN008002</v>
      </c>
      <c r="K341" s="69">
        <f>COUNTIF(Main3WData[Concatenate],Main3WData[[#This Row],[Concatenate]])</f>
        <v>1</v>
      </c>
      <c r="L341" s="61" t="str">
        <f>Main3WData[[#This Row],[Sector]]&amp;Main3WData[[#This Row],[Pcode]]</f>
        <v>Surveillance &amp; suiviGIN008002</v>
      </c>
      <c r="M341" s="71">
        <f>COUNTIF($L$5:L341,Main3WData[[#This Row],[PT.Concat]])</f>
        <v>3</v>
      </c>
      <c r="N341" s="70">
        <f>MATCH(Main3WData[[#This Row],[PT.Concat]],$L$5:L341,0)</f>
        <v>335</v>
      </c>
      <c r="O341" s="62" t="b">
        <f>Main3WData[[#This Row],[Count PT.Concat]]=1</f>
        <v>0</v>
      </c>
      <c r="P341" s="62">
        <f t="array" ref="P341">MAX(($N$4:N340=Main3WData[[#This Row],[PT.ID]])*ROW($N$4:N340))</f>
        <v>340</v>
      </c>
      <c r="Q341" s="62" t="str">
        <f>IF(Main3WData[[#This Row],[PT.FirstID]],Main3WData[[#This Row],[Acronym]],INDEX($Q$4:Q340,Main3WData[[#This Row],[PT.LastID.Row]]-ROW($Q$4)+1) &amp; ", "&amp;Main3WData[[#This Row],[Acronym]])</f>
        <v>UNFPA, PLAN, OMS</v>
      </c>
      <c r="R341" s="62" t="b">
        <f t="array" ref="R341">MAX(IF(Main3WData[PT.ID]=Main3WData[[#This Row],[PT.ID]],Main3WData[PT.LastID.Row]))=Main3WData[[#This Row],[PT.LastID.Row]]</f>
        <v>0</v>
      </c>
    </row>
    <row r="342" spans="2:18" ht="16.5" customHeight="1" x14ac:dyDescent="0.2">
      <c r="B342" s="55" t="s">
        <v>71</v>
      </c>
      <c r="C342" s="27" t="str">
        <f>INDEX(Organizations[],MATCH(Main3WData[[#This Row],[Acronym]],AcronymList,0),1)</f>
        <v>Medecins sans Frontieres</v>
      </c>
      <c r="D342" s="27" t="str">
        <f>INDEX(Organizations[],MATCH(Main3WData[[#This Row],[Acronym]],AcronymList,0),3)</f>
        <v>International NGO</v>
      </c>
      <c r="E342" s="54" t="s">
        <v>351</v>
      </c>
      <c r="F342" s="53" t="s">
        <v>82</v>
      </c>
      <c r="G342" s="54" t="s">
        <v>426</v>
      </c>
      <c r="H342" s="28" t="str">
        <f>VLOOKUP(Main3WData[[#This Row],[Admin Unit Name]],AdminUnits[],2,FALSE)</f>
        <v>GIN008002</v>
      </c>
      <c r="I342" s="57">
        <v>0</v>
      </c>
      <c r="J342" s="67" t="str">
        <f>Main3WData[[#This Row],[Acronym]]&amp;Main3WData[[#This Row],[Sector]]&amp;Main3WData[[#This Row],[Activity Type]]&amp;Main3WData[[#This Row],[Pcode]]</f>
        <v>MSFSurveillance &amp; suiviOngoingGIN008002</v>
      </c>
      <c r="K342" s="69">
        <f>COUNTIF(Main3WData[Concatenate],Main3WData[[#This Row],[Concatenate]])</f>
        <v>1</v>
      </c>
      <c r="L342" s="61" t="str">
        <f>Main3WData[[#This Row],[Sector]]&amp;Main3WData[[#This Row],[Pcode]]</f>
        <v>Surveillance &amp; suiviGIN008002</v>
      </c>
      <c r="M342" s="71">
        <f>COUNTIF($L$5:L342,Main3WData[[#This Row],[PT.Concat]])</f>
        <v>4</v>
      </c>
      <c r="N342" s="70">
        <f>MATCH(Main3WData[[#This Row],[PT.Concat]],$L$5:L342,0)</f>
        <v>335</v>
      </c>
      <c r="O342" s="62" t="b">
        <f>Main3WData[[#This Row],[Count PT.Concat]]=1</f>
        <v>0</v>
      </c>
      <c r="P342" s="62">
        <f t="array" ref="P342">MAX(($N$4:N341=Main3WData[[#This Row],[PT.ID]])*ROW($N$4:N341))</f>
        <v>341</v>
      </c>
      <c r="Q342" s="62" t="str">
        <f>IF(Main3WData[[#This Row],[PT.FirstID]],Main3WData[[#This Row],[Acronym]],INDEX($Q$4:Q341,Main3WData[[#This Row],[PT.LastID.Row]]-ROW($Q$4)+1) &amp; ", "&amp;Main3WData[[#This Row],[Acronym]])</f>
        <v>UNFPA, PLAN, OMS, MSF</v>
      </c>
      <c r="R342" s="62" t="b">
        <f t="array" ref="R342">MAX(IF(Main3WData[PT.ID]=Main3WData[[#This Row],[PT.ID]],Main3WData[PT.LastID.Row]))=Main3WData[[#This Row],[PT.LastID.Row]]</f>
        <v>0</v>
      </c>
    </row>
    <row r="343" spans="2:18" ht="16.5" customHeight="1" x14ac:dyDescent="0.2">
      <c r="B343" s="55" t="s">
        <v>496</v>
      </c>
      <c r="C343" s="27" t="str">
        <f>INDEX(Organizations[],MATCH(Main3WData[[#This Row],[Acronym]],AcronymList,0),1)</f>
        <v>Columbia University</v>
      </c>
      <c r="D343" s="27" t="str">
        <f>INDEX(Organizations[],MATCH(Main3WData[[#This Row],[Acronym]],AcronymList,0),3)</f>
        <v>Education</v>
      </c>
      <c r="E343" s="54" t="s">
        <v>351</v>
      </c>
      <c r="F343" s="53" t="s">
        <v>82</v>
      </c>
      <c r="G343" s="54" t="s">
        <v>426</v>
      </c>
      <c r="H343" s="28" t="str">
        <f>VLOOKUP(Main3WData[[#This Row],[Admin Unit Name]],AdminUnits[],2,FALSE)</f>
        <v>GIN008002</v>
      </c>
      <c r="I343" s="57">
        <v>0</v>
      </c>
      <c r="J343" s="67" t="str">
        <f>Main3WData[[#This Row],[Acronym]]&amp;Main3WData[[#This Row],[Sector]]&amp;Main3WData[[#This Row],[Activity Type]]&amp;Main3WData[[#This Row],[Pcode]]</f>
        <v>Columbia UnivSurveillance &amp; suiviOngoingGIN008002</v>
      </c>
      <c r="K343" s="69">
        <f>COUNTIF(Main3WData[Concatenate],Main3WData[[#This Row],[Concatenate]])</f>
        <v>1</v>
      </c>
      <c r="L343" s="61" t="str">
        <f>Main3WData[[#This Row],[Sector]]&amp;Main3WData[[#This Row],[Pcode]]</f>
        <v>Surveillance &amp; suiviGIN008002</v>
      </c>
      <c r="M343" s="71">
        <f>COUNTIF($L$5:L343,Main3WData[[#This Row],[PT.Concat]])</f>
        <v>5</v>
      </c>
      <c r="N343" s="70">
        <f>MATCH(Main3WData[[#This Row],[PT.Concat]],$L$5:L343,0)</f>
        <v>335</v>
      </c>
      <c r="O343" s="62" t="b">
        <f>Main3WData[[#This Row],[Count PT.Concat]]=1</f>
        <v>0</v>
      </c>
      <c r="P343" s="62">
        <f t="array" ref="P343">MAX(($N$4:N342=Main3WData[[#This Row],[PT.ID]])*ROW($N$4:N342))</f>
        <v>342</v>
      </c>
      <c r="Q343" s="62" t="str">
        <f>IF(Main3WData[[#This Row],[PT.FirstID]],Main3WData[[#This Row],[Acronym]],INDEX($Q$4:Q342,Main3WData[[#This Row],[PT.LastID.Row]]-ROW($Q$4)+1) &amp; ", "&amp;Main3WData[[#This Row],[Acronym]])</f>
        <v>UNFPA, PLAN, OMS, MSF, Columbia Univ</v>
      </c>
      <c r="R343" s="62" t="b">
        <f t="array" ref="R343">MAX(IF(Main3WData[PT.ID]=Main3WData[[#This Row],[PT.ID]],Main3WData[PT.LastID.Row]))=Main3WData[[#This Row],[PT.LastID.Row]]</f>
        <v>0</v>
      </c>
    </row>
    <row r="344" spans="2:18" ht="16.5" customHeight="1" x14ac:dyDescent="0.2">
      <c r="B344" s="55" t="s">
        <v>64</v>
      </c>
      <c r="C344" s="27" t="str">
        <f>INDEX(Organizations[],MATCH(Main3WData[[#This Row],[Acronym]],AcronymList,0),1)</f>
        <v>CDC</v>
      </c>
      <c r="D344" s="27" t="str">
        <f>INDEX(Organizations[],MATCH(Main3WData[[#This Row],[Acronym]],AcronymList,0),3)</f>
        <v>International NGO</v>
      </c>
      <c r="E344" s="54" t="s">
        <v>351</v>
      </c>
      <c r="F344" s="53" t="s">
        <v>82</v>
      </c>
      <c r="G344" s="54" t="s">
        <v>426</v>
      </c>
      <c r="H344" s="28" t="str">
        <f>VLOOKUP(Main3WData[[#This Row],[Admin Unit Name]],AdminUnits[],2,FALSE)</f>
        <v>GIN008002</v>
      </c>
      <c r="I344" s="57">
        <v>0</v>
      </c>
      <c r="J344" s="67" t="str">
        <f>Main3WData[[#This Row],[Acronym]]&amp;Main3WData[[#This Row],[Sector]]&amp;Main3WData[[#This Row],[Activity Type]]&amp;Main3WData[[#This Row],[Pcode]]</f>
        <v>CDCSurveillance &amp; suiviOngoingGIN008002</v>
      </c>
      <c r="K344" s="69">
        <f>COUNTIF(Main3WData[Concatenate],Main3WData[[#This Row],[Concatenate]])</f>
        <v>1</v>
      </c>
      <c r="L344" s="61" t="str">
        <f>Main3WData[[#This Row],[Sector]]&amp;Main3WData[[#This Row],[Pcode]]</f>
        <v>Surveillance &amp; suiviGIN008002</v>
      </c>
      <c r="M344" s="71">
        <f>COUNTIF($L$5:L344,Main3WData[[#This Row],[PT.Concat]])</f>
        <v>6</v>
      </c>
      <c r="N344" s="70">
        <f>MATCH(Main3WData[[#This Row],[PT.Concat]],$L$5:L344,0)</f>
        <v>335</v>
      </c>
      <c r="O344" s="62" t="b">
        <f>Main3WData[[#This Row],[Count PT.Concat]]=1</f>
        <v>0</v>
      </c>
      <c r="P344" s="62">
        <f t="array" ref="P344">MAX(($N$4:N343=Main3WData[[#This Row],[PT.ID]])*ROW($N$4:N343))</f>
        <v>343</v>
      </c>
      <c r="Q344" s="62" t="str">
        <f>IF(Main3WData[[#This Row],[PT.FirstID]],Main3WData[[#This Row],[Acronym]],INDEX($Q$4:Q343,Main3WData[[#This Row],[PT.LastID.Row]]-ROW($Q$4)+1) &amp; ", "&amp;Main3WData[[#This Row],[Acronym]])</f>
        <v>UNFPA, PLAN, OMS, MSF, Columbia Univ, CDC</v>
      </c>
      <c r="R344" s="62" t="b">
        <f t="array" ref="R344">MAX(IF(Main3WData[PT.ID]=Main3WData[[#This Row],[PT.ID]],Main3WData[PT.LastID.Row]))=Main3WData[[#This Row],[PT.LastID.Row]]</f>
        <v>1</v>
      </c>
    </row>
    <row r="345" spans="2:18" ht="16.5" customHeight="1" x14ac:dyDescent="0.2">
      <c r="B345" s="55" t="s">
        <v>71</v>
      </c>
      <c r="C345" s="27" t="str">
        <f>INDEX(Organizations[],MATCH(Main3WData[[#This Row],[Acronym]],AcronymList,0),1)</f>
        <v>Medecins sans Frontieres</v>
      </c>
      <c r="D345" s="27" t="str">
        <f>INDEX(Organizations[],MATCH(Main3WData[[#This Row],[Acronym]],AcronymList,0),3)</f>
        <v>International NGO</v>
      </c>
      <c r="E345" s="54" t="s">
        <v>352</v>
      </c>
      <c r="F345" s="53" t="s">
        <v>82</v>
      </c>
      <c r="G345" s="54" t="s">
        <v>426</v>
      </c>
      <c r="H345" s="28" t="str">
        <f>VLOOKUP(Main3WData[[#This Row],[Admin Unit Name]],AdminUnits[],2,FALSE)</f>
        <v>GIN008002</v>
      </c>
      <c r="I345" s="57">
        <v>0</v>
      </c>
      <c r="J345" s="67" t="str">
        <f>Main3WData[[#This Row],[Acronym]]&amp;Main3WData[[#This Row],[Sector]]&amp;Main3WData[[#This Row],[Activity Type]]&amp;Main3WData[[#This Row],[Pcode]]</f>
        <v>MSFTransport &amp; diagnostiquesOngoingGIN008002</v>
      </c>
      <c r="K345" s="69">
        <f>COUNTIF(Main3WData[Concatenate],Main3WData[[#This Row],[Concatenate]])</f>
        <v>1</v>
      </c>
      <c r="L345" s="61" t="str">
        <f>Main3WData[[#This Row],[Sector]]&amp;Main3WData[[#This Row],[Pcode]]</f>
        <v>Transport &amp; diagnostiquesGIN008002</v>
      </c>
      <c r="M345" s="71">
        <f>COUNTIF($L$5:L345,Main3WData[[#This Row],[PT.Concat]])</f>
        <v>1</v>
      </c>
      <c r="N345" s="70">
        <f>MATCH(Main3WData[[#This Row],[PT.Concat]],$L$5:L345,0)</f>
        <v>341</v>
      </c>
      <c r="O345" s="62" t="b">
        <f>Main3WData[[#This Row],[Count PT.Concat]]=1</f>
        <v>1</v>
      </c>
      <c r="P345" s="62">
        <f t="array" ref="P345">MAX(($N$4:N344=Main3WData[[#This Row],[PT.ID]])*ROW($N$4:N344))</f>
        <v>0</v>
      </c>
      <c r="Q345" s="62" t="str">
        <f>IF(Main3WData[[#This Row],[PT.FirstID]],Main3WData[[#This Row],[Acronym]],INDEX($Q$4:Q344,Main3WData[[#This Row],[PT.LastID.Row]]-ROW($Q$4)+1) &amp; ", "&amp;Main3WData[[#This Row],[Acronym]])</f>
        <v>MSF</v>
      </c>
      <c r="R345" s="62" t="b">
        <f t="array" ref="R345">MAX(IF(Main3WData[PT.ID]=Main3WData[[#This Row],[PT.ID]],Main3WData[PT.LastID.Row]))=Main3WData[[#This Row],[PT.LastID.Row]]</f>
        <v>0</v>
      </c>
    </row>
    <row r="346" spans="2:18" ht="16.5" customHeight="1" x14ac:dyDescent="0.2">
      <c r="B346" s="55" t="s">
        <v>453</v>
      </c>
      <c r="C346" s="27" t="str">
        <f>INDEX(Organizations[],MATCH(Main3WData[[#This Row],[Acronym]],AcronymList,0),1)</f>
        <v>European Union</v>
      </c>
      <c r="D346" s="27" t="str">
        <f>INDEX(Organizations[],MATCH(Main3WData[[#This Row],[Acronym]],AcronymList,0),3)</f>
        <v>Donors</v>
      </c>
      <c r="E346" s="54" t="s">
        <v>352</v>
      </c>
      <c r="F346" s="53" t="s">
        <v>82</v>
      </c>
      <c r="G346" s="54" t="s">
        <v>426</v>
      </c>
      <c r="H346" s="28" t="str">
        <f>VLOOKUP(Main3WData[[#This Row],[Admin Unit Name]],AdminUnits[],2,FALSE)</f>
        <v>GIN008002</v>
      </c>
      <c r="I346" s="57">
        <v>0</v>
      </c>
      <c r="J346" s="67" t="str">
        <f>Main3WData[[#This Row],[Acronym]]&amp;Main3WData[[#This Row],[Sector]]&amp;Main3WData[[#This Row],[Activity Type]]&amp;Main3WData[[#This Row],[Pcode]]</f>
        <v>EUTransport &amp; diagnostiquesOngoingGIN008002</v>
      </c>
      <c r="K346" s="69">
        <f>COUNTIF(Main3WData[Concatenate],Main3WData[[#This Row],[Concatenate]])</f>
        <v>1</v>
      </c>
      <c r="L346" s="61" t="str">
        <f>Main3WData[[#This Row],[Sector]]&amp;Main3WData[[#This Row],[Pcode]]</f>
        <v>Transport &amp; diagnostiquesGIN008002</v>
      </c>
      <c r="M346" s="71">
        <f>COUNTIF($L$5:L346,Main3WData[[#This Row],[PT.Concat]])</f>
        <v>2</v>
      </c>
      <c r="N346" s="70">
        <f>MATCH(Main3WData[[#This Row],[PT.Concat]],$L$5:L346,0)</f>
        <v>341</v>
      </c>
      <c r="O346" s="62" t="b">
        <f>Main3WData[[#This Row],[Count PT.Concat]]=1</f>
        <v>0</v>
      </c>
      <c r="P346" s="62">
        <f t="array" ref="P346">MAX(($N$4:N345=Main3WData[[#This Row],[PT.ID]])*ROW($N$4:N345))</f>
        <v>345</v>
      </c>
      <c r="Q346" s="62" t="str">
        <f>IF(Main3WData[[#This Row],[PT.FirstID]],Main3WData[[#This Row],[Acronym]],INDEX($Q$4:Q345,Main3WData[[#This Row],[PT.LastID.Row]]-ROW($Q$4)+1) &amp; ", "&amp;Main3WData[[#This Row],[Acronym]])</f>
        <v>MSF, EU</v>
      </c>
      <c r="R346" s="62" t="b">
        <f t="array" ref="R346">MAX(IF(Main3WData[PT.ID]=Main3WData[[#This Row],[PT.ID]],Main3WData[PT.LastID.Row]))=Main3WData[[#This Row],[PT.LastID.Row]]</f>
        <v>1</v>
      </c>
    </row>
    <row r="347" spans="2:18" ht="16.5" customHeight="1" x14ac:dyDescent="0.2">
      <c r="B347" s="55" t="s">
        <v>477</v>
      </c>
      <c r="C347" s="27" t="str">
        <f>INDEX(Organizations[],MATCH(Main3WData[[#This Row],[Acronym]],AcronymList,0),1)</f>
        <v>United States Agency for International Development</v>
      </c>
      <c r="D347" s="27" t="str">
        <f>INDEX(Organizations[],MATCH(Main3WData[[#This Row],[Acronym]],AcronymList,0),3)</f>
        <v>Donors</v>
      </c>
      <c r="E347" s="54" t="s">
        <v>350</v>
      </c>
      <c r="F347" s="53" t="s">
        <v>82</v>
      </c>
      <c r="G347" s="54" t="s">
        <v>386</v>
      </c>
      <c r="H347" s="28" t="str">
        <f>VLOOKUP(Main3WData[[#This Row],[Admin Unit Name]],AdminUnits[],2,FALSE)</f>
        <v>GIN004001</v>
      </c>
      <c r="I347" s="57">
        <v>0</v>
      </c>
      <c r="J347" s="67" t="str">
        <f>Main3WData[[#This Row],[Acronym]]&amp;Main3WData[[#This Row],[Sector]]&amp;Main3WData[[#This Row],[Activity Type]]&amp;Main3WData[[#This Row],[Pcode]]</f>
        <v>USAIDCommunication/Mobilisation socialeOngoingGIN004001</v>
      </c>
      <c r="K347" s="69">
        <f>COUNTIF(Main3WData[Concatenate],Main3WData[[#This Row],[Concatenate]])</f>
        <v>1</v>
      </c>
      <c r="L347" s="61" t="str">
        <f>Main3WData[[#This Row],[Sector]]&amp;Main3WData[[#This Row],[Pcode]]</f>
        <v>Communication/Mobilisation socialeGIN004001</v>
      </c>
      <c r="M347" s="71">
        <f>COUNTIF($L$5:L347,Main3WData[[#This Row],[PT.Concat]])</f>
        <v>1</v>
      </c>
      <c r="N347" s="70">
        <f>MATCH(Main3WData[[#This Row],[PT.Concat]],$L$5:L347,0)</f>
        <v>343</v>
      </c>
      <c r="O347" s="62" t="b">
        <f>Main3WData[[#This Row],[Count PT.Concat]]=1</f>
        <v>1</v>
      </c>
      <c r="P347" s="62">
        <f t="array" ref="P347">MAX(($N$4:N346=Main3WData[[#This Row],[PT.ID]])*ROW($N$4:N346))</f>
        <v>0</v>
      </c>
      <c r="Q347" s="62" t="str">
        <f>IF(Main3WData[[#This Row],[PT.FirstID]],Main3WData[[#This Row],[Acronym]],INDEX($Q$4:Q346,Main3WData[[#This Row],[PT.LastID.Row]]-ROW($Q$4)+1) &amp; ", "&amp;Main3WData[[#This Row],[Acronym]])</f>
        <v>USAID</v>
      </c>
      <c r="R347" s="62" t="b">
        <f t="array" ref="R347">MAX(IF(Main3WData[PT.ID]=Main3WData[[#This Row],[PT.ID]],Main3WData[PT.LastID.Row]))=Main3WData[[#This Row],[PT.LastID.Row]]</f>
        <v>0</v>
      </c>
    </row>
    <row r="348" spans="2:18" ht="16.5" customHeight="1" x14ac:dyDescent="0.2">
      <c r="B348" s="55" t="s">
        <v>77</v>
      </c>
      <c r="C348" s="27" t="str">
        <f>INDEX(Organizations[],MATCH(Main3WData[[#This Row],[Acronym]],AcronymList,0),1)</f>
        <v>United Nations Children's Fund</v>
      </c>
      <c r="D348" s="27" t="str">
        <f>INDEX(Organizations[],MATCH(Main3WData[[#This Row],[Acronym]],AcronymList,0),3)</f>
        <v>UN Agency</v>
      </c>
      <c r="E348" s="54" t="s">
        <v>350</v>
      </c>
      <c r="F348" s="53" t="s">
        <v>82</v>
      </c>
      <c r="G348" s="54" t="s">
        <v>386</v>
      </c>
      <c r="H348" s="28" t="str">
        <f>VLOOKUP(Main3WData[[#This Row],[Admin Unit Name]],AdminUnits[],2,FALSE)</f>
        <v>GIN004001</v>
      </c>
      <c r="I348" s="57">
        <v>0</v>
      </c>
      <c r="J348" s="67" t="str">
        <f>Main3WData[[#This Row],[Acronym]]&amp;Main3WData[[#This Row],[Sector]]&amp;Main3WData[[#This Row],[Activity Type]]&amp;Main3WData[[#This Row],[Pcode]]</f>
        <v>UNICEFCommunication/Mobilisation socialeOngoingGIN004001</v>
      </c>
      <c r="K348" s="69">
        <f>COUNTIF(Main3WData[Concatenate],Main3WData[[#This Row],[Concatenate]])</f>
        <v>1</v>
      </c>
      <c r="L348" s="61" t="str">
        <f>Main3WData[[#This Row],[Sector]]&amp;Main3WData[[#This Row],[Pcode]]</f>
        <v>Communication/Mobilisation socialeGIN004001</v>
      </c>
      <c r="M348" s="71">
        <f>COUNTIF($L$5:L348,Main3WData[[#This Row],[PT.Concat]])</f>
        <v>2</v>
      </c>
      <c r="N348" s="70">
        <f>MATCH(Main3WData[[#This Row],[PT.Concat]],$L$5:L348,0)</f>
        <v>343</v>
      </c>
      <c r="O348" s="62" t="b">
        <f>Main3WData[[#This Row],[Count PT.Concat]]=1</f>
        <v>0</v>
      </c>
      <c r="P348" s="62">
        <f t="array" ref="P348">MAX(($N$4:N347=Main3WData[[#This Row],[PT.ID]])*ROW($N$4:N347))</f>
        <v>347</v>
      </c>
      <c r="Q348" s="62" t="str">
        <f>IF(Main3WData[[#This Row],[PT.FirstID]],Main3WData[[#This Row],[Acronym]],INDEX($Q$4:Q347,Main3WData[[#This Row],[PT.LastID.Row]]-ROW($Q$4)+1) &amp; ", "&amp;Main3WData[[#This Row],[Acronym]])</f>
        <v>USAID, UNICEF</v>
      </c>
      <c r="R348" s="62" t="b">
        <f t="array" ref="R348">MAX(IF(Main3WData[PT.ID]=Main3WData[[#This Row],[PT.ID]],Main3WData[PT.LastID.Row]))=Main3WData[[#This Row],[PT.LastID.Row]]</f>
        <v>0</v>
      </c>
    </row>
    <row r="349" spans="2:18" ht="16.5" customHeight="1" x14ac:dyDescent="0.2">
      <c r="B349" s="55" t="s">
        <v>75</v>
      </c>
      <c r="C349" s="27" t="str">
        <f>INDEX(Organizations[],MATCH(Main3WData[[#This Row],[Acronym]],AcronymList,0),1)</f>
        <v>United Nations Population Fund</v>
      </c>
      <c r="D349" s="27" t="str">
        <f>INDEX(Organizations[],MATCH(Main3WData[[#This Row],[Acronym]],AcronymList,0),3)</f>
        <v>UN Agency</v>
      </c>
      <c r="E349" s="54" t="s">
        <v>350</v>
      </c>
      <c r="F349" s="53" t="s">
        <v>82</v>
      </c>
      <c r="G349" s="54" t="s">
        <v>386</v>
      </c>
      <c r="H349" s="28" t="str">
        <f>VLOOKUP(Main3WData[[#This Row],[Admin Unit Name]],AdminUnits[],2,FALSE)</f>
        <v>GIN004001</v>
      </c>
      <c r="I349" s="57">
        <v>0</v>
      </c>
      <c r="J349" s="67" t="str">
        <f>Main3WData[[#This Row],[Acronym]]&amp;Main3WData[[#This Row],[Sector]]&amp;Main3WData[[#This Row],[Activity Type]]&amp;Main3WData[[#This Row],[Pcode]]</f>
        <v>UNFPACommunication/Mobilisation socialeOngoingGIN004001</v>
      </c>
      <c r="K349" s="69">
        <f>COUNTIF(Main3WData[Concatenate],Main3WData[[#This Row],[Concatenate]])</f>
        <v>1</v>
      </c>
      <c r="L349" s="61" t="str">
        <f>Main3WData[[#This Row],[Sector]]&amp;Main3WData[[#This Row],[Pcode]]</f>
        <v>Communication/Mobilisation socialeGIN004001</v>
      </c>
      <c r="M349" s="71">
        <f>COUNTIF($L$5:L349,Main3WData[[#This Row],[PT.Concat]])</f>
        <v>3</v>
      </c>
      <c r="N349" s="70">
        <f>MATCH(Main3WData[[#This Row],[PT.Concat]],$L$5:L349,0)</f>
        <v>343</v>
      </c>
      <c r="O349" s="62" t="b">
        <f>Main3WData[[#This Row],[Count PT.Concat]]=1</f>
        <v>0</v>
      </c>
      <c r="P349" s="62">
        <f t="array" ref="P349">MAX(($N$4:N348=Main3WData[[#This Row],[PT.ID]])*ROW($N$4:N348))</f>
        <v>348</v>
      </c>
      <c r="Q349" s="62" t="str">
        <f>IF(Main3WData[[#This Row],[PT.FirstID]],Main3WData[[#This Row],[Acronym]],INDEX($Q$4:Q348,Main3WData[[#This Row],[PT.LastID.Row]]-ROW($Q$4)+1) &amp; ", "&amp;Main3WData[[#This Row],[Acronym]])</f>
        <v>USAID, UNICEF, UNFPA</v>
      </c>
      <c r="R349" s="62" t="b">
        <f t="array" ref="R349">MAX(IF(Main3WData[PT.ID]=Main3WData[[#This Row],[PT.ID]],Main3WData[PT.LastID.Row]))=Main3WData[[#This Row],[PT.LastID.Row]]</f>
        <v>0</v>
      </c>
    </row>
    <row r="350" spans="2:18" ht="16.5" customHeight="1" x14ac:dyDescent="0.2">
      <c r="B350" s="55" t="s">
        <v>73</v>
      </c>
      <c r="C350" s="27" t="str">
        <f>INDEX(Organizations[],MATCH(Main3WData[[#This Row],[Acronym]],AcronymList,0),1)</f>
        <v>Save the Children</v>
      </c>
      <c r="D350" s="27" t="str">
        <f>INDEX(Organizations[],MATCH(Main3WData[[#This Row],[Acronym]],AcronymList,0),3)</f>
        <v>International NGO</v>
      </c>
      <c r="E350" s="54" t="s">
        <v>350</v>
      </c>
      <c r="F350" s="53" t="s">
        <v>82</v>
      </c>
      <c r="G350" s="54" t="s">
        <v>386</v>
      </c>
      <c r="H350" s="28" t="str">
        <f>VLOOKUP(Main3WData[[#This Row],[Admin Unit Name]],AdminUnits[],2,FALSE)</f>
        <v>GIN004001</v>
      </c>
      <c r="I350" s="57">
        <v>0</v>
      </c>
      <c r="J350" s="67" t="str">
        <f>Main3WData[[#This Row],[Acronym]]&amp;Main3WData[[#This Row],[Sector]]&amp;Main3WData[[#This Row],[Activity Type]]&amp;Main3WData[[#This Row],[Pcode]]</f>
        <v>Save the ChildrenCommunication/Mobilisation socialeOngoingGIN004001</v>
      </c>
      <c r="K350" s="69">
        <f>COUNTIF(Main3WData[Concatenate],Main3WData[[#This Row],[Concatenate]])</f>
        <v>1</v>
      </c>
      <c r="L350" s="61" t="str">
        <f>Main3WData[[#This Row],[Sector]]&amp;Main3WData[[#This Row],[Pcode]]</f>
        <v>Communication/Mobilisation socialeGIN004001</v>
      </c>
      <c r="M350" s="71">
        <f>COUNTIF($L$5:L350,Main3WData[[#This Row],[PT.Concat]])</f>
        <v>4</v>
      </c>
      <c r="N350" s="70">
        <f>MATCH(Main3WData[[#This Row],[PT.Concat]],$L$5:L350,0)</f>
        <v>343</v>
      </c>
      <c r="O350" s="62" t="b">
        <f>Main3WData[[#This Row],[Count PT.Concat]]=1</f>
        <v>0</v>
      </c>
      <c r="P350" s="62">
        <f t="array" ref="P350">MAX(($N$4:N349=Main3WData[[#This Row],[PT.ID]])*ROW($N$4:N349))</f>
        <v>349</v>
      </c>
      <c r="Q350" s="62" t="str">
        <f>IF(Main3WData[[#This Row],[PT.FirstID]],Main3WData[[#This Row],[Acronym]],INDEX($Q$4:Q349,Main3WData[[#This Row],[PT.LastID.Row]]-ROW($Q$4)+1) &amp; ", "&amp;Main3WData[[#This Row],[Acronym]])</f>
        <v>USAID, UNICEF, UNFPA, Save the Children</v>
      </c>
      <c r="R350" s="62" t="b">
        <f t="array" ref="R350">MAX(IF(Main3WData[PT.ID]=Main3WData[[#This Row],[PT.ID]],Main3WData[PT.LastID.Row]))=Main3WData[[#This Row],[PT.LastID.Row]]</f>
        <v>0</v>
      </c>
    </row>
    <row r="351" spans="2:18" ht="16.5" customHeight="1" x14ac:dyDescent="0.2">
      <c r="B351" s="55" t="s">
        <v>72</v>
      </c>
      <c r="C351" s="27" t="str">
        <f>INDEX(Organizations[],MATCH(Main3WData[[#This Row],[Acronym]],AcronymList,0),1)</f>
        <v>PLAN</v>
      </c>
      <c r="D351" s="27" t="str">
        <f>INDEX(Organizations[],MATCH(Main3WData[[#This Row],[Acronym]],AcronymList,0),3)</f>
        <v>International Organization</v>
      </c>
      <c r="E351" s="54" t="s">
        <v>350</v>
      </c>
      <c r="F351" s="53" t="s">
        <v>82</v>
      </c>
      <c r="G351" s="54" t="s">
        <v>386</v>
      </c>
      <c r="H351" s="28" t="str">
        <f>VLOOKUP(Main3WData[[#This Row],[Admin Unit Name]],AdminUnits[],2,FALSE)</f>
        <v>GIN004001</v>
      </c>
      <c r="I351" s="57">
        <v>0</v>
      </c>
      <c r="J351" s="67" t="str">
        <f>Main3WData[[#This Row],[Acronym]]&amp;Main3WData[[#This Row],[Sector]]&amp;Main3WData[[#This Row],[Activity Type]]&amp;Main3WData[[#This Row],[Pcode]]</f>
        <v>PLANCommunication/Mobilisation socialeOngoingGIN004001</v>
      </c>
      <c r="K351" s="69">
        <f>COUNTIF(Main3WData[Concatenate],Main3WData[[#This Row],[Concatenate]])</f>
        <v>1</v>
      </c>
      <c r="L351" s="61" t="str">
        <f>Main3WData[[#This Row],[Sector]]&amp;Main3WData[[#This Row],[Pcode]]</f>
        <v>Communication/Mobilisation socialeGIN004001</v>
      </c>
      <c r="M351" s="71">
        <f>COUNTIF($L$5:L351,Main3WData[[#This Row],[PT.Concat]])</f>
        <v>5</v>
      </c>
      <c r="N351" s="70">
        <f>MATCH(Main3WData[[#This Row],[PT.Concat]],$L$5:L351,0)</f>
        <v>343</v>
      </c>
      <c r="O351" s="62" t="b">
        <f>Main3WData[[#This Row],[Count PT.Concat]]=1</f>
        <v>0</v>
      </c>
      <c r="P351" s="62">
        <f t="array" ref="P351">MAX(($N$4:N350=Main3WData[[#This Row],[PT.ID]])*ROW($N$4:N350))</f>
        <v>350</v>
      </c>
      <c r="Q351" s="62" t="str">
        <f>IF(Main3WData[[#This Row],[PT.FirstID]],Main3WData[[#This Row],[Acronym]],INDEX($Q$4:Q350,Main3WData[[#This Row],[PT.LastID.Row]]-ROW($Q$4)+1) &amp; ", "&amp;Main3WData[[#This Row],[Acronym]])</f>
        <v>USAID, UNICEF, UNFPA, Save the Children, PLAN</v>
      </c>
      <c r="R351" s="62" t="b">
        <f t="array" ref="R351">MAX(IF(Main3WData[PT.ID]=Main3WData[[#This Row],[PT.ID]],Main3WData[PT.LastID.Row]))=Main3WData[[#This Row],[PT.LastID.Row]]</f>
        <v>0</v>
      </c>
    </row>
    <row r="352" spans="2:18" ht="16.5" customHeight="1" x14ac:dyDescent="0.2">
      <c r="B352" s="55" t="s">
        <v>512</v>
      </c>
      <c r="C352" s="27" t="str">
        <f>INDEX(Organizations[],MATCH(Main3WData[[#This Row],[Acronym]],AcronymList,0),1)</f>
        <v>World Health Organization</v>
      </c>
      <c r="D352" s="27" t="str">
        <f>INDEX(Organizations[],MATCH(Main3WData[[#This Row],[Acronym]],AcronymList,0),3)</f>
        <v>UN Agency</v>
      </c>
      <c r="E352" s="54" t="s">
        <v>350</v>
      </c>
      <c r="F352" s="53" t="s">
        <v>82</v>
      </c>
      <c r="G352" s="54" t="s">
        <v>386</v>
      </c>
      <c r="H352" s="28" t="str">
        <f>VLOOKUP(Main3WData[[#This Row],[Admin Unit Name]],AdminUnits[],2,FALSE)</f>
        <v>GIN004001</v>
      </c>
      <c r="I352" s="57">
        <v>0</v>
      </c>
      <c r="J352" s="67" t="str">
        <f>Main3WData[[#This Row],[Acronym]]&amp;Main3WData[[#This Row],[Sector]]&amp;Main3WData[[#This Row],[Activity Type]]&amp;Main3WData[[#This Row],[Pcode]]</f>
        <v>OMSCommunication/Mobilisation socialeOngoingGIN004001</v>
      </c>
      <c r="K352" s="69">
        <f>COUNTIF(Main3WData[Concatenate],Main3WData[[#This Row],[Concatenate]])</f>
        <v>1</v>
      </c>
      <c r="L352" s="61" t="str">
        <f>Main3WData[[#This Row],[Sector]]&amp;Main3WData[[#This Row],[Pcode]]</f>
        <v>Communication/Mobilisation socialeGIN004001</v>
      </c>
      <c r="M352" s="71">
        <f>COUNTIF($L$5:L352,Main3WData[[#This Row],[PT.Concat]])</f>
        <v>6</v>
      </c>
      <c r="N352" s="70">
        <f>MATCH(Main3WData[[#This Row],[PT.Concat]],$L$5:L352,0)</f>
        <v>343</v>
      </c>
      <c r="O352" s="62" t="b">
        <f>Main3WData[[#This Row],[Count PT.Concat]]=1</f>
        <v>0</v>
      </c>
      <c r="P352" s="62">
        <f t="array" ref="P352">MAX(($N$4:N351=Main3WData[[#This Row],[PT.ID]])*ROW($N$4:N351))</f>
        <v>351</v>
      </c>
      <c r="Q352" s="62" t="str">
        <f>IF(Main3WData[[#This Row],[PT.FirstID]],Main3WData[[#This Row],[Acronym]],INDEX($Q$4:Q351,Main3WData[[#This Row],[PT.LastID.Row]]-ROW($Q$4)+1) &amp; ", "&amp;Main3WData[[#This Row],[Acronym]])</f>
        <v>USAID, UNICEF, UNFPA, Save the Children, PLAN, OMS</v>
      </c>
      <c r="R352" s="62" t="b">
        <f t="array" ref="R352">MAX(IF(Main3WData[PT.ID]=Main3WData[[#This Row],[PT.ID]],Main3WData[PT.LastID.Row]))=Main3WData[[#This Row],[PT.LastID.Row]]</f>
        <v>0</v>
      </c>
    </row>
    <row r="353" spans="2:18" ht="16.5" customHeight="1" x14ac:dyDescent="0.2">
      <c r="B353" s="55" t="s">
        <v>509</v>
      </c>
      <c r="C353" s="27" t="str">
        <f>INDEX(Organizations[],MATCH(Main3WData[[#This Row],[Acronym]],AcronymList,0),1)</f>
        <v>Internews</v>
      </c>
      <c r="D353" s="27" t="str">
        <f>INDEX(Organizations[],MATCH(Main3WData[[#This Row],[Acronym]],AcronymList,0),3)</f>
        <v>Media</v>
      </c>
      <c r="E353" s="54" t="s">
        <v>350</v>
      </c>
      <c r="F353" s="53" t="s">
        <v>82</v>
      </c>
      <c r="G353" s="54" t="s">
        <v>386</v>
      </c>
      <c r="H353" s="28" t="str">
        <f>VLOOKUP(Main3WData[[#This Row],[Admin Unit Name]],AdminUnits[],2,FALSE)</f>
        <v>GIN004001</v>
      </c>
      <c r="I353" s="57">
        <v>0</v>
      </c>
      <c r="J353" s="67" t="str">
        <f>Main3WData[[#This Row],[Acronym]]&amp;Main3WData[[#This Row],[Sector]]&amp;Main3WData[[#This Row],[Activity Type]]&amp;Main3WData[[#This Row],[Pcode]]</f>
        <v>InternewsCommunication/Mobilisation socialeOngoingGIN004001</v>
      </c>
      <c r="K353" s="69">
        <f>COUNTIF(Main3WData[Concatenate],Main3WData[[#This Row],[Concatenate]])</f>
        <v>1</v>
      </c>
      <c r="L353" s="61" t="str">
        <f>Main3WData[[#This Row],[Sector]]&amp;Main3WData[[#This Row],[Pcode]]</f>
        <v>Communication/Mobilisation socialeGIN004001</v>
      </c>
      <c r="M353" s="71">
        <f>COUNTIF($L$5:L353,Main3WData[[#This Row],[PT.Concat]])</f>
        <v>7</v>
      </c>
      <c r="N353" s="70">
        <f>MATCH(Main3WData[[#This Row],[PT.Concat]],$L$5:L353,0)</f>
        <v>343</v>
      </c>
      <c r="O353" s="62" t="b">
        <f>Main3WData[[#This Row],[Count PT.Concat]]=1</f>
        <v>0</v>
      </c>
      <c r="P353" s="62">
        <f t="array" ref="P353">MAX(($N$4:N352=Main3WData[[#This Row],[PT.ID]])*ROW($N$4:N352))</f>
        <v>352</v>
      </c>
      <c r="Q353" s="62" t="str">
        <f>IF(Main3WData[[#This Row],[PT.FirstID]],Main3WData[[#This Row],[Acronym]],INDEX($Q$4:Q352,Main3WData[[#This Row],[PT.LastID.Row]]-ROW($Q$4)+1) &amp; ", "&amp;Main3WData[[#This Row],[Acronym]])</f>
        <v>USAID, UNICEF, UNFPA, Save the Children, PLAN, OMS, Internews</v>
      </c>
      <c r="R353" s="62" t="b">
        <f t="array" ref="R353">MAX(IF(Main3WData[PT.ID]=Main3WData[[#This Row],[PT.ID]],Main3WData[PT.LastID.Row]))=Main3WData[[#This Row],[PT.LastID.Row]]</f>
        <v>0</v>
      </c>
    </row>
    <row r="354" spans="2:18" ht="16.5" customHeight="1" x14ac:dyDescent="0.2">
      <c r="B354" s="55" t="s">
        <v>499</v>
      </c>
      <c r="C354" s="27" t="str">
        <f>INDEX(Organizations[],MATCH(Main3WData[[#This Row],[Acronym]],AcronymList,0),1)</f>
        <v>Croix-Rouge Guinée/Fédération internationale de la Croix-Rouge</v>
      </c>
      <c r="D354" s="27" t="str">
        <f>INDEX(Organizations[],MATCH(Main3WData[[#This Row],[Acronym]],AcronymList,0),3)</f>
        <v>International Organization</v>
      </c>
      <c r="E354" s="54" t="s">
        <v>350</v>
      </c>
      <c r="F354" s="53" t="s">
        <v>82</v>
      </c>
      <c r="G354" s="54" t="s">
        <v>386</v>
      </c>
      <c r="H354" s="28" t="str">
        <f>VLOOKUP(Main3WData[[#This Row],[Admin Unit Name]],AdminUnits[],2,FALSE)</f>
        <v>GIN004001</v>
      </c>
      <c r="I354" s="57">
        <v>0</v>
      </c>
      <c r="J354" s="67" t="str">
        <f>Main3WData[[#This Row],[Acronym]]&amp;Main3WData[[#This Row],[Sector]]&amp;Main3WData[[#This Row],[Activity Type]]&amp;Main3WData[[#This Row],[Pcode]]</f>
        <v>CRG/FICRCommunication/Mobilisation socialeOngoingGIN004001</v>
      </c>
      <c r="K354" s="69">
        <f>COUNTIF(Main3WData[Concatenate],Main3WData[[#This Row],[Concatenate]])</f>
        <v>1</v>
      </c>
      <c r="L354" s="61" t="str">
        <f>Main3WData[[#This Row],[Sector]]&amp;Main3WData[[#This Row],[Pcode]]</f>
        <v>Communication/Mobilisation socialeGIN004001</v>
      </c>
      <c r="M354" s="71">
        <f>COUNTIF($L$5:L354,Main3WData[[#This Row],[PT.Concat]])</f>
        <v>8</v>
      </c>
      <c r="N354" s="70">
        <f>MATCH(Main3WData[[#This Row],[PT.Concat]],$L$5:L354,0)</f>
        <v>343</v>
      </c>
      <c r="O354" s="62" t="b">
        <f>Main3WData[[#This Row],[Count PT.Concat]]=1</f>
        <v>0</v>
      </c>
      <c r="P354" s="62">
        <f t="array" ref="P354">MAX(($N$4:N353=Main3WData[[#This Row],[PT.ID]])*ROW($N$4:N353))</f>
        <v>353</v>
      </c>
      <c r="Q354" s="62" t="str">
        <f>IF(Main3WData[[#This Row],[PT.FirstID]],Main3WData[[#This Row],[Acronym]],INDEX($Q$4:Q353,Main3WData[[#This Row],[PT.LastID.Row]]-ROW($Q$4)+1) &amp; ", "&amp;Main3WData[[#This Row],[Acronym]])</f>
        <v>USAID, UNICEF, UNFPA, Save the Children, PLAN, OMS, Internews, CRG/FICR</v>
      </c>
      <c r="R354" s="62" t="b">
        <f t="array" ref="R354">MAX(IF(Main3WData[PT.ID]=Main3WData[[#This Row],[PT.ID]],Main3WData[PT.LastID.Row]))=Main3WData[[#This Row],[PT.LastID.Row]]</f>
        <v>1</v>
      </c>
    </row>
    <row r="355" spans="2:18" ht="16.5" customHeight="1" x14ac:dyDescent="0.2">
      <c r="B355" s="55" t="s">
        <v>477</v>
      </c>
      <c r="C355" s="27" t="str">
        <f>INDEX(Organizations[],MATCH(Main3WData[[#This Row],[Acronym]],AcronymList,0),1)</f>
        <v>United States Agency for International Development</v>
      </c>
      <c r="D355" s="27" t="str">
        <f>INDEX(Organizations[],MATCH(Main3WData[[#This Row],[Acronym]],AcronymList,0),3)</f>
        <v>Donors</v>
      </c>
      <c r="E355" s="54" t="s">
        <v>360</v>
      </c>
      <c r="F355" s="53" t="s">
        <v>82</v>
      </c>
      <c r="G355" s="54" t="s">
        <v>386</v>
      </c>
      <c r="H355" s="28" t="str">
        <f>VLOOKUP(Main3WData[[#This Row],[Admin Unit Name]],AdminUnits[],2,FALSE)</f>
        <v>GIN004001</v>
      </c>
      <c r="I355" s="57">
        <v>0</v>
      </c>
      <c r="J355" s="67" t="str">
        <f>Main3WData[[#This Row],[Acronym]]&amp;Main3WData[[#This Row],[Sector]]&amp;Main3WData[[#This Row],[Activity Type]]&amp;Main3WData[[#This Row],[Pcode]]</f>
        <v>USAIDCoordinationOngoingGIN004001</v>
      </c>
      <c r="K355" s="69">
        <f>COUNTIF(Main3WData[Concatenate],Main3WData[[#This Row],[Concatenate]])</f>
        <v>1</v>
      </c>
      <c r="L355" s="61" t="str">
        <f>Main3WData[[#This Row],[Sector]]&amp;Main3WData[[#This Row],[Pcode]]</f>
        <v>CoordinationGIN004001</v>
      </c>
      <c r="M355" s="71">
        <f>COUNTIF($L$5:L355,Main3WData[[#This Row],[PT.Concat]])</f>
        <v>1</v>
      </c>
      <c r="N355" s="70">
        <f>MATCH(Main3WData[[#This Row],[PT.Concat]],$L$5:L355,0)</f>
        <v>351</v>
      </c>
      <c r="O355" s="62" t="b">
        <f>Main3WData[[#This Row],[Count PT.Concat]]=1</f>
        <v>1</v>
      </c>
      <c r="P355" s="62">
        <f t="array" ref="P355">MAX(($N$4:N354=Main3WData[[#This Row],[PT.ID]])*ROW($N$4:N354))</f>
        <v>0</v>
      </c>
      <c r="Q355" s="62" t="str">
        <f>IF(Main3WData[[#This Row],[PT.FirstID]],Main3WData[[#This Row],[Acronym]],INDEX($Q$4:Q354,Main3WData[[#This Row],[PT.LastID.Row]]-ROW($Q$4)+1) &amp; ", "&amp;Main3WData[[#This Row],[Acronym]])</f>
        <v>USAID</v>
      </c>
      <c r="R355" s="62" t="b">
        <f t="array" ref="R355">MAX(IF(Main3WData[PT.ID]=Main3WData[[#This Row],[PT.ID]],Main3WData[PT.LastID.Row]))=Main3WData[[#This Row],[PT.LastID.Row]]</f>
        <v>0</v>
      </c>
    </row>
    <row r="356" spans="2:18" ht="16.5" customHeight="1" x14ac:dyDescent="0.2">
      <c r="B356" s="55" t="s">
        <v>516</v>
      </c>
      <c r="C356" s="27" t="str">
        <f>INDEX(Organizations[],MATCH(Main3WData[[#This Row],[Acronym]],AcronymList,0),1)</f>
        <v>UNITED NATION MISSION FOR EBOLA  EMERGENCY RESPONSE</v>
      </c>
      <c r="D356" s="27" t="str">
        <f>INDEX(Organizations[],MATCH(Main3WData[[#This Row],[Acronym]],AcronymList,0),3)</f>
        <v>UN Agency</v>
      </c>
      <c r="E356" s="54" t="s">
        <v>360</v>
      </c>
      <c r="F356" s="53" t="s">
        <v>82</v>
      </c>
      <c r="G356" s="54" t="s">
        <v>386</v>
      </c>
      <c r="H356" s="28" t="str">
        <f>VLOOKUP(Main3WData[[#This Row],[Admin Unit Name]],AdminUnits[],2,FALSE)</f>
        <v>GIN004001</v>
      </c>
      <c r="I356" s="57">
        <v>0</v>
      </c>
      <c r="J356" s="67" t="str">
        <f>Main3WData[[#This Row],[Acronym]]&amp;Main3WData[[#This Row],[Sector]]&amp;Main3WData[[#This Row],[Activity Type]]&amp;Main3WData[[#This Row],[Pcode]]</f>
        <v>UNMEERCoordinationOngoingGIN004001</v>
      </c>
      <c r="K356" s="69">
        <f>COUNTIF(Main3WData[Concatenate],Main3WData[[#This Row],[Concatenate]])</f>
        <v>1</v>
      </c>
      <c r="L356" s="61" t="str">
        <f>Main3WData[[#This Row],[Sector]]&amp;Main3WData[[#This Row],[Pcode]]</f>
        <v>CoordinationGIN004001</v>
      </c>
      <c r="M356" s="71">
        <f>COUNTIF($L$5:L356,Main3WData[[#This Row],[PT.Concat]])</f>
        <v>2</v>
      </c>
      <c r="N356" s="70">
        <f>MATCH(Main3WData[[#This Row],[PT.Concat]],$L$5:L356,0)</f>
        <v>351</v>
      </c>
      <c r="O356" s="62" t="b">
        <f>Main3WData[[#This Row],[Count PT.Concat]]=1</f>
        <v>0</v>
      </c>
      <c r="P356" s="62">
        <f t="array" ref="P356">MAX(($N$4:N355=Main3WData[[#This Row],[PT.ID]])*ROW($N$4:N355))</f>
        <v>355</v>
      </c>
      <c r="Q356" s="62" t="str">
        <f>IF(Main3WData[[#This Row],[PT.FirstID]],Main3WData[[#This Row],[Acronym]],INDEX($Q$4:Q355,Main3WData[[#This Row],[PT.LastID.Row]]-ROW($Q$4)+1) &amp; ", "&amp;Main3WData[[#This Row],[Acronym]])</f>
        <v>USAID, UNMEER</v>
      </c>
      <c r="R356" s="62" t="b">
        <f t="array" ref="R356">MAX(IF(Main3WData[PT.ID]=Main3WData[[#This Row],[PT.ID]],Main3WData[PT.LastID.Row]))=Main3WData[[#This Row],[PT.LastID.Row]]</f>
        <v>0</v>
      </c>
    </row>
    <row r="357" spans="2:18" ht="16.5" customHeight="1" x14ac:dyDescent="0.2">
      <c r="B357" s="55" t="s">
        <v>75</v>
      </c>
      <c r="C357" s="27" t="str">
        <f>INDEX(Organizations[],MATCH(Main3WData[[#This Row],[Acronym]],AcronymList,0),1)</f>
        <v>United Nations Population Fund</v>
      </c>
      <c r="D357" s="27" t="str">
        <f>INDEX(Organizations[],MATCH(Main3WData[[#This Row],[Acronym]],AcronymList,0),3)</f>
        <v>UN Agency</v>
      </c>
      <c r="E357" s="54" t="s">
        <v>360</v>
      </c>
      <c r="F357" s="53" t="s">
        <v>82</v>
      </c>
      <c r="G357" s="54" t="s">
        <v>386</v>
      </c>
      <c r="H357" s="28" t="str">
        <f>VLOOKUP(Main3WData[[#This Row],[Admin Unit Name]],AdminUnits[],2,FALSE)</f>
        <v>GIN004001</v>
      </c>
      <c r="I357" s="57">
        <v>0</v>
      </c>
      <c r="J357" s="67" t="str">
        <f>Main3WData[[#This Row],[Acronym]]&amp;Main3WData[[#This Row],[Sector]]&amp;Main3WData[[#This Row],[Activity Type]]&amp;Main3WData[[#This Row],[Pcode]]</f>
        <v>UNFPACoordinationOngoingGIN004001</v>
      </c>
      <c r="K357" s="69">
        <f>COUNTIF(Main3WData[Concatenate],Main3WData[[#This Row],[Concatenate]])</f>
        <v>1</v>
      </c>
      <c r="L357" s="61" t="str">
        <f>Main3WData[[#This Row],[Sector]]&amp;Main3WData[[#This Row],[Pcode]]</f>
        <v>CoordinationGIN004001</v>
      </c>
      <c r="M357" s="71">
        <f>COUNTIF($L$5:L357,Main3WData[[#This Row],[PT.Concat]])</f>
        <v>3</v>
      </c>
      <c r="N357" s="70">
        <f>MATCH(Main3WData[[#This Row],[PT.Concat]],$L$5:L357,0)</f>
        <v>351</v>
      </c>
      <c r="O357" s="62" t="b">
        <f>Main3WData[[#This Row],[Count PT.Concat]]=1</f>
        <v>0</v>
      </c>
      <c r="P357" s="62">
        <f t="array" ref="P357">MAX(($N$4:N356=Main3WData[[#This Row],[PT.ID]])*ROW($N$4:N356))</f>
        <v>356</v>
      </c>
      <c r="Q357" s="62" t="str">
        <f>IF(Main3WData[[#This Row],[PT.FirstID]],Main3WData[[#This Row],[Acronym]],INDEX($Q$4:Q356,Main3WData[[#This Row],[PT.LastID.Row]]-ROW($Q$4)+1) &amp; ", "&amp;Main3WData[[#This Row],[Acronym]])</f>
        <v>USAID, UNMEER, UNFPA</v>
      </c>
      <c r="R357" s="62" t="b">
        <f t="array" ref="R357">MAX(IF(Main3WData[PT.ID]=Main3WData[[#This Row],[PT.ID]],Main3WData[PT.LastID.Row]))=Main3WData[[#This Row],[PT.LastID.Row]]</f>
        <v>0</v>
      </c>
    </row>
    <row r="358" spans="2:18" ht="16.5" customHeight="1" x14ac:dyDescent="0.2">
      <c r="B358" s="55" t="s">
        <v>473</v>
      </c>
      <c r="C358" s="27" t="str">
        <f>INDEX(Organizations[],MATCH(Main3WData[[#This Row],[Acronym]],AcronymList,0),1)</f>
        <v>United Nations Development Programme</v>
      </c>
      <c r="D358" s="27" t="str">
        <f>INDEX(Organizations[],MATCH(Main3WData[[#This Row],[Acronym]],AcronymList,0),3)</f>
        <v>UN Agency</v>
      </c>
      <c r="E358" s="54" t="s">
        <v>360</v>
      </c>
      <c r="F358" s="53" t="s">
        <v>82</v>
      </c>
      <c r="G358" s="54" t="s">
        <v>386</v>
      </c>
      <c r="H358" s="28" t="str">
        <f>VLOOKUP(Main3WData[[#This Row],[Admin Unit Name]],AdminUnits[],2,FALSE)</f>
        <v>GIN004001</v>
      </c>
      <c r="I358" s="57">
        <v>0</v>
      </c>
      <c r="J358" s="67" t="str">
        <f>Main3WData[[#This Row],[Acronym]]&amp;Main3WData[[#This Row],[Sector]]&amp;Main3WData[[#This Row],[Activity Type]]&amp;Main3WData[[#This Row],[Pcode]]</f>
        <v>UNDPCoordinationOngoingGIN004001</v>
      </c>
      <c r="K358" s="69">
        <f>COUNTIF(Main3WData[Concatenate],Main3WData[[#This Row],[Concatenate]])</f>
        <v>1</v>
      </c>
      <c r="L358" s="61" t="str">
        <f>Main3WData[[#This Row],[Sector]]&amp;Main3WData[[#This Row],[Pcode]]</f>
        <v>CoordinationGIN004001</v>
      </c>
      <c r="M358" s="71">
        <f>COUNTIF($L$5:L358,Main3WData[[#This Row],[PT.Concat]])</f>
        <v>4</v>
      </c>
      <c r="N358" s="70">
        <f>MATCH(Main3WData[[#This Row],[PT.Concat]],$L$5:L358,0)</f>
        <v>351</v>
      </c>
      <c r="O358" s="62" t="b">
        <f>Main3WData[[#This Row],[Count PT.Concat]]=1</f>
        <v>0</v>
      </c>
      <c r="P358" s="62">
        <f t="array" ref="P358">MAX(($N$4:N357=Main3WData[[#This Row],[PT.ID]])*ROW($N$4:N357))</f>
        <v>357</v>
      </c>
      <c r="Q358" s="62" t="str">
        <f>IF(Main3WData[[#This Row],[PT.FirstID]],Main3WData[[#This Row],[Acronym]],INDEX($Q$4:Q357,Main3WData[[#This Row],[PT.LastID.Row]]-ROW($Q$4)+1) &amp; ", "&amp;Main3WData[[#This Row],[Acronym]])</f>
        <v>USAID, UNMEER, UNFPA, UNDP</v>
      </c>
      <c r="R358" s="62" t="b">
        <f t="array" ref="R358">MAX(IF(Main3WData[PT.ID]=Main3WData[[#This Row],[PT.ID]],Main3WData[PT.LastID.Row]))=Main3WData[[#This Row],[PT.LastID.Row]]</f>
        <v>0</v>
      </c>
    </row>
    <row r="359" spans="2:18" ht="16.5" customHeight="1" x14ac:dyDescent="0.2">
      <c r="B359" s="55" t="s">
        <v>523</v>
      </c>
      <c r="C359" s="27" t="str">
        <f>INDEX(Organizations[],MATCH(Main3WData[[#This Row],[Acronym]],AcronymList,0),1)</f>
        <v>Save the Children</v>
      </c>
      <c r="D359" s="27" t="str">
        <f>INDEX(Organizations[],MATCH(Main3WData[[#This Row],[Acronym]],AcronymList,0),3)</f>
        <v>International NGO</v>
      </c>
      <c r="E359" s="54" t="s">
        <v>360</v>
      </c>
      <c r="F359" s="53" t="s">
        <v>82</v>
      </c>
      <c r="G359" s="54" t="s">
        <v>386</v>
      </c>
      <c r="H359" s="28" t="str">
        <f>VLOOKUP(Main3WData[[#This Row],[Admin Unit Name]],AdminUnits[],2,FALSE)</f>
        <v>GIN004001</v>
      </c>
      <c r="I359" s="57">
        <v>0</v>
      </c>
      <c r="J359" s="67" t="str">
        <f>Main3WData[[#This Row],[Acronym]]&amp;Main3WData[[#This Row],[Sector]]&amp;Main3WData[[#This Row],[Activity Type]]&amp;Main3WData[[#This Row],[Pcode]]</f>
        <v>save the childrenCoordinationOngoingGIN004001</v>
      </c>
      <c r="K359" s="69">
        <f>COUNTIF(Main3WData[Concatenate],Main3WData[[#This Row],[Concatenate]])</f>
        <v>1</v>
      </c>
      <c r="L359" s="61" t="str">
        <f>Main3WData[[#This Row],[Sector]]&amp;Main3WData[[#This Row],[Pcode]]</f>
        <v>CoordinationGIN004001</v>
      </c>
      <c r="M359" s="71">
        <f>COUNTIF($L$5:L359,Main3WData[[#This Row],[PT.Concat]])</f>
        <v>5</v>
      </c>
      <c r="N359" s="70">
        <f>MATCH(Main3WData[[#This Row],[PT.Concat]],$L$5:L359,0)</f>
        <v>351</v>
      </c>
      <c r="O359" s="62" t="b">
        <f>Main3WData[[#This Row],[Count PT.Concat]]=1</f>
        <v>0</v>
      </c>
      <c r="P359" s="62">
        <f t="array" ref="P359">MAX(($N$4:N358=Main3WData[[#This Row],[PT.ID]])*ROW($N$4:N358))</f>
        <v>358</v>
      </c>
      <c r="Q359" s="62" t="str">
        <f>IF(Main3WData[[#This Row],[PT.FirstID]],Main3WData[[#This Row],[Acronym]],INDEX($Q$4:Q358,Main3WData[[#This Row],[PT.LastID.Row]]-ROW($Q$4)+1) &amp; ", "&amp;Main3WData[[#This Row],[Acronym]])</f>
        <v>USAID, UNMEER, UNFPA, UNDP, save the children</v>
      </c>
      <c r="R359" s="62" t="b">
        <f t="array" ref="R359">MAX(IF(Main3WData[PT.ID]=Main3WData[[#This Row],[PT.ID]],Main3WData[PT.LastID.Row]))=Main3WData[[#This Row],[PT.LastID.Row]]</f>
        <v>0</v>
      </c>
    </row>
    <row r="360" spans="2:18" ht="16.5" customHeight="1" x14ac:dyDescent="0.2">
      <c r="B360" s="55" t="s">
        <v>512</v>
      </c>
      <c r="C360" s="27" t="str">
        <f>INDEX(Organizations[],MATCH(Main3WData[[#This Row],[Acronym]],AcronymList,0),1)</f>
        <v>World Health Organization</v>
      </c>
      <c r="D360" s="27" t="str">
        <f>INDEX(Organizations[],MATCH(Main3WData[[#This Row],[Acronym]],AcronymList,0),3)</f>
        <v>UN Agency</v>
      </c>
      <c r="E360" s="54" t="s">
        <v>360</v>
      </c>
      <c r="F360" s="53" t="s">
        <v>82</v>
      </c>
      <c r="G360" s="54" t="s">
        <v>386</v>
      </c>
      <c r="H360" s="28" t="str">
        <f>VLOOKUP(Main3WData[[#This Row],[Admin Unit Name]],AdminUnits[],2,FALSE)</f>
        <v>GIN004001</v>
      </c>
      <c r="I360" s="57">
        <v>0</v>
      </c>
      <c r="J360" s="67" t="str">
        <f>Main3WData[[#This Row],[Acronym]]&amp;Main3WData[[#This Row],[Sector]]&amp;Main3WData[[#This Row],[Activity Type]]&amp;Main3WData[[#This Row],[Pcode]]</f>
        <v>OMSCoordinationOngoingGIN004001</v>
      </c>
      <c r="K360" s="69">
        <f>COUNTIF(Main3WData[Concatenate],Main3WData[[#This Row],[Concatenate]])</f>
        <v>1</v>
      </c>
      <c r="L360" s="61" t="str">
        <f>Main3WData[[#This Row],[Sector]]&amp;Main3WData[[#This Row],[Pcode]]</f>
        <v>CoordinationGIN004001</v>
      </c>
      <c r="M360" s="71">
        <f>COUNTIF($L$5:L360,Main3WData[[#This Row],[PT.Concat]])</f>
        <v>6</v>
      </c>
      <c r="N360" s="70">
        <f>MATCH(Main3WData[[#This Row],[PT.Concat]],$L$5:L360,0)</f>
        <v>351</v>
      </c>
      <c r="O360" s="62" t="b">
        <f>Main3WData[[#This Row],[Count PT.Concat]]=1</f>
        <v>0</v>
      </c>
      <c r="P360" s="62">
        <f t="array" ref="P360">MAX(($N$4:N359=Main3WData[[#This Row],[PT.ID]])*ROW($N$4:N359))</f>
        <v>359</v>
      </c>
      <c r="Q360" s="62" t="str">
        <f>IF(Main3WData[[#This Row],[PT.FirstID]],Main3WData[[#This Row],[Acronym]],INDEX($Q$4:Q359,Main3WData[[#This Row],[PT.LastID.Row]]-ROW($Q$4)+1) &amp; ", "&amp;Main3WData[[#This Row],[Acronym]])</f>
        <v>USAID, UNMEER, UNFPA, UNDP, save the children, OMS</v>
      </c>
      <c r="R360" s="62" t="b">
        <f t="array" ref="R360">MAX(IF(Main3WData[PT.ID]=Main3WData[[#This Row],[PT.ID]],Main3WData[PT.LastID.Row]))=Main3WData[[#This Row],[PT.LastID.Row]]</f>
        <v>0</v>
      </c>
    </row>
    <row r="361" spans="2:18" ht="16.5" customHeight="1" x14ac:dyDescent="0.2">
      <c r="B361" s="55" t="s">
        <v>71</v>
      </c>
      <c r="C361" s="27" t="str">
        <f>INDEX(Organizations[],MATCH(Main3WData[[#This Row],[Acronym]],AcronymList,0),1)</f>
        <v>Medecins sans Frontieres</v>
      </c>
      <c r="D361" s="27" t="str">
        <f>INDEX(Organizations[],MATCH(Main3WData[[#This Row],[Acronym]],AcronymList,0),3)</f>
        <v>International NGO</v>
      </c>
      <c r="E361" s="54" t="s">
        <v>360</v>
      </c>
      <c r="F361" s="53" t="s">
        <v>82</v>
      </c>
      <c r="G361" s="54" t="s">
        <v>386</v>
      </c>
      <c r="H361" s="28" t="str">
        <f>VLOOKUP(Main3WData[[#This Row],[Admin Unit Name]],AdminUnits[],2,FALSE)</f>
        <v>GIN004001</v>
      </c>
      <c r="I361" s="57">
        <v>0</v>
      </c>
      <c r="J361" s="67" t="str">
        <f>Main3WData[[#This Row],[Acronym]]&amp;Main3WData[[#This Row],[Sector]]&amp;Main3WData[[#This Row],[Activity Type]]&amp;Main3WData[[#This Row],[Pcode]]</f>
        <v>MSFCoordinationOngoingGIN004001</v>
      </c>
      <c r="K361" s="69">
        <f>COUNTIF(Main3WData[Concatenate],Main3WData[[#This Row],[Concatenate]])</f>
        <v>1</v>
      </c>
      <c r="L361" s="61" t="str">
        <f>Main3WData[[#This Row],[Sector]]&amp;Main3WData[[#This Row],[Pcode]]</f>
        <v>CoordinationGIN004001</v>
      </c>
      <c r="M361" s="71">
        <f>COUNTIF($L$5:L361,Main3WData[[#This Row],[PT.Concat]])</f>
        <v>7</v>
      </c>
      <c r="N361" s="70">
        <f>MATCH(Main3WData[[#This Row],[PT.Concat]],$L$5:L361,0)</f>
        <v>351</v>
      </c>
      <c r="O361" s="62" t="b">
        <f>Main3WData[[#This Row],[Count PT.Concat]]=1</f>
        <v>0</v>
      </c>
      <c r="P361" s="62">
        <f t="array" ref="P361">MAX(($N$4:N360=Main3WData[[#This Row],[PT.ID]])*ROW($N$4:N360))</f>
        <v>360</v>
      </c>
      <c r="Q361" s="62" t="str">
        <f>IF(Main3WData[[#This Row],[PT.FirstID]],Main3WData[[#This Row],[Acronym]],INDEX($Q$4:Q360,Main3WData[[#This Row],[PT.LastID.Row]]-ROW($Q$4)+1) &amp; ", "&amp;Main3WData[[#This Row],[Acronym]])</f>
        <v>USAID, UNMEER, UNFPA, UNDP, save the children, OMS, MSF</v>
      </c>
      <c r="R361" s="62" t="b">
        <f t="array" ref="R361">MAX(IF(Main3WData[PT.ID]=Main3WData[[#This Row],[PT.ID]],Main3WData[PT.LastID.Row]))=Main3WData[[#This Row],[PT.LastID.Row]]</f>
        <v>0</v>
      </c>
    </row>
    <row r="362" spans="2:18" ht="16.5" customHeight="1" x14ac:dyDescent="0.2">
      <c r="B362" s="55" t="s">
        <v>507</v>
      </c>
      <c r="C362" s="27" t="str">
        <f>INDEX(Organizations[],MATCH(Main3WData[[#This Row],[Acronym]],AcronymList,0),1)</f>
        <v>eHealth Africa</v>
      </c>
      <c r="D362" s="27" t="str">
        <f>INDEX(Organizations[],MATCH(Main3WData[[#This Row],[Acronym]],AcronymList,0),3)</f>
        <v>International Organization</v>
      </c>
      <c r="E362" s="54" t="s">
        <v>360</v>
      </c>
      <c r="F362" s="53" t="s">
        <v>82</v>
      </c>
      <c r="G362" s="54" t="s">
        <v>386</v>
      </c>
      <c r="H362" s="28" t="str">
        <f>VLOOKUP(Main3WData[[#This Row],[Admin Unit Name]],AdminUnits[],2,FALSE)</f>
        <v>GIN004001</v>
      </c>
      <c r="I362" s="57">
        <v>0</v>
      </c>
      <c r="J362" s="67" t="str">
        <f>Main3WData[[#This Row],[Acronym]]&amp;Main3WData[[#This Row],[Sector]]&amp;Main3WData[[#This Row],[Activity Type]]&amp;Main3WData[[#This Row],[Pcode]]</f>
        <v>eHealth AfricaCoordinationOngoingGIN004001</v>
      </c>
      <c r="K362" s="69">
        <f>COUNTIF(Main3WData[Concatenate],Main3WData[[#This Row],[Concatenate]])</f>
        <v>1</v>
      </c>
      <c r="L362" s="61" t="str">
        <f>Main3WData[[#This Row],[Sector]]&amp;Main3WData[[#This Row],[Pcode]]</f>
        <v>CoordinationGIN004001</v>
      </c>
      <c r="M362" s="71">
        <f>COUNTIF($L$5:L362,Main3WData[[#This Row],[PT.Concat]])</f>
        <v>8</v>
      </c>
      <c r="N362" s="70">
        <f>MATCH(Main3WData[[#This Row],[PT.Concat]],$L$5:L362,0)</f>
        <v>351</v>
      </c>
      <c r="O362" s="62" t="b">
        <f>Main3WData[[#This Row],[Count PT.Concat]]=1</f>
        <v>0</v>
      </c>
      <c r="P362" s="62">
        <f t="array" ref="P362">MAX(($N$4:N361=Main3WData[[#This Row],[PT.ID]])*ROW($N$4:N361))</f>
        <v>361</v>
      </c>
      <c r="Q362" s="62" t="str">
        <f>IF(Main3WData[[#This Row],[PT.FirstID]],Main3WData[[#This Row],[Acronym]],INDEX($Q$4:Q361,Main3WData[[#This Row],[PT.LastID.Row]]-ROW($Q$4)+1) &amp; ", "&amp;Main3WData[[#This Row],[Acronym]])</f>
        <v>USAID, UNMEER, UNFPA, UNDP, save the children, OMS, MSF, eHealth Africa</v>
      </c>
      <c r="R362" s="62" t="b">
        <f t="array" ref="R362">MAX(IF(Main3WData[PT.ID]=Main3WData[[#This Row],[PT.ID]],Main3WData[PT.LastID.Row]))=Main3WData[[#This Row],[PT.LastID.Row]]</f>
        <v>1</v>
      </c>
    </row>
    <row r="363" spans="2:18" ht="16.5" customHeight="1" x14ac:dyDescent="0.2">
      <c r="B363" s="55" t="s">
        <v>473</v>
      </c>
      <c r="C363" s="27" t="str">
        <f>INDEX(Organizations[],MATCH(Main3WData[[#This Row],[Acronym]],AcronymList,0),1)</f>
        <v>United Nations Development Programme</v>
      </c>
      <c r="D363" s="27" t="str">
        <f>INDEX(Organizations[],MATCH(Main3WData[[#This Row],[Acronym]],AcronymList,0),3)</f>
        <v>UN Agency</v>
      </c>
      <c r="E363" s="54" t="s">
        <v>359</v>
      </c>
      <c r="F363" s="53" t="s">
        <v>82</v>
      </c>
      <c r="G363" s="54" t="s">
        <v>386</v>
      </c>
      <c r="H363" s="28" t="str">
        <f>VLOOKUP(Main3WData[[#This Row],[Admin Unit Name]],AdminUnits[],2,FALSE)</f>
        <v>GIN004001</v>
      </c>
      <c r="I363" s="57">
        <v>0</v>
      </c>
      <c r="J363" s="67" t="str">
        <f>Main3WData[[#This Row],[Acronym]]&amp;Main3WData[[#This Row],[Sector]]&amp;Main3WData[[#This Row],[Activity Type]]&amp;Main3WData[[#This Row],[Pcode]]</f>
        <v>UNDPFinanceOngoingGIN004001</v>
      </c>
      <c r="K363" s="69">
        <f>COUNTIF(Main3WData[Concatenate],Main3WData[[#This Row],[Concatenate]])</f>
        <v>1</v>
      </c>
      <c r="L363" s="61" t="str">
        <f>Main3WData[[#This Row],[Sector]]&amp;Main3WData[[#This Row],[Pcode]]</f>
        <v>FinanceGIN004001</v>
      </c>
      <c r="M363" s="71">
        <f>COUNTIF($L$5:L363,Main3WData[[#This Row],[PT.Concat]])</f>
        <v>1</v>
      </c>
      <c r="N363" s="70">
        <f>MATCH(Main3WData[[#This Row],[PT.Concat]],$L$5:L363,0)</f>
        <v>359</v>
      </c>
      <c r="O363" s="62" t="b">
        <f>Main3WData[[#This Row],[Count PT.Concat]]=1</f>
        <v>1</v>
      </c>
      <c r="P363" s="62">
        <f t="array" ref="P363">MAX(($N$4:N362=Main3WData[[#This Row],[PT.ID]])*ROW($N$4:N362))</f>
        <v>0</v>
      </c>
      <c r="Q363" s="62" t="str">
        <f>IF(Main3WData[[#This Row],[PT.FirstID]],Main3WData[[#This Row],[Acronym]],INDEX($Q$4:Q362,Main3WData[[#This Row],[PT.LastID.Row]]-ROW($Q$4)+1) &amp; ", "&amp;Main3WData[[#This Row],[Acronym]])</f>
        <v>UNDP</v>
      </c>
      <c r="R363" s="62" t="b">
        <f t="array" ref="R363">MAX(IF(Main3WData[PT.ID]=Main3WData[[#This Row],[PT.ID]],Main3WData[PT.LastID.Row]))=Main3WData[[#This Row],[PT.LastID.Row]]</f>
        <v>1</v>
      </c>
    </row>
    <row r="364" spans="2:18" ht="16.5" customHeight="1" x14ac:dyDescent="0.2">
      <c r="B364" s="55" t="s">
        <v>451</v>
      </c>
      <c r="C364" s="27" t="str">
        <f>INDEX(Organizations[],MATCH(Main3WData[[#This Row],[Acronym]],AcronymList,0),1)</f>
        <v>Croix-Rouge Guinée</v>
      </c>
      <c r="D364" s="27" t="str">
        <f>INDEX(Organizations[],MATCH(Main3WData[[#This Row],[Acronym]],AcronymList,0),3)</f>
        <v>Red Cross Movement</v>
      </c>
      <c r="E364" s="54" t="s">
        <v>354</v>
      </c>
      <c r="F364" s="53" t="s">
        <v>82</v>
      </c>
      <c r="G364" s="54" t="s">
        <v>386</v>
      </c>
      <c r="H364" s="28" t="str">
        <f>VLOOKUP(Main3WData[[#This Row],[Admin Unit Name]],AdminUnits[],2,FALSE)</f>
        <v>GIN004001</v>
      </c>
      <c r="I364" s="57">
        <v>0</v>
      </c>
      <c r="J364" s="67" t="str">
        <f>Main3WData[[#This Row],[Acronym]]&amp;Main3WData[[#This Row],[Sector]]&amp;Main3WData[[#This Row],[Activity Type]]&amp;Main3WData[[#This Row],[Pcode]]</f>
        <v>CRGGestion des corps et desinfectionOngoingGIN004001</v>
      </c>
      <c r="K364" s="69">
        <f>COUNTIF(Main3WData[Concatenate],Main3WData[[#This Row],[Concatenate]])</f>
        <v>1</v>
      </c>
      <c r="L364" s="61" t="str">
        <f>Main3WData[[#This Row],[Sector]]&amp;Main3WData[[#This Row],[Pcode]]</f>
        <v>Gestion des corps et desinfectionGIN004001</v>
      </c>
      <c r="M364" s="71">
        <f>COUNTIF($L$5:L364,Main3WData[[#This Row],[PT.Concat]])</f>
        <v>1</v>
      </c>
      <c r="N364" s="70">
        <f>MATCH(Main3WData[[#This Row],[PT.Concat]],$L$5:L364,0)</f>
        <v>360</v>
      </c>
      <c r="O364" s="62" t="b">
        <f>Main3WData[[#This Row],[Count PT.Concat]]=1</f>
        <v>1</v>
      </c>
      <c r="P364" s="62">
        <f t="array" ref="P364">MAX(($N$4:N363=Main3WData[[#This Row],[PT.ID]])*ROW($N$4:N363))</f>
        <v>0</v>
      </c>
      <c r="Q364" s="62" t="str">
        <f>IF(Main3WData[[#This Row],[PT.FirstID]],Main3WData[[#This Row],[Acronym]],INDEX($Q$4:Q363,Main3WData[[#This Row],[PT.LastID.Row]]-ROW($Q$4)+1) &amp; ", "&amp;Main3WData[[#This Row],[Acronym]])</f>
        <v>CRG</v>
      </c>
      <c r="R364" s="62" t="b">
        <f t="array" ref="R364">MAX(IF(Main3WData[PT.ID]=Main3WData[[#This Row],[PT.ID]],Main3WData[PT.LastID.Row]))=Main3WData[[#This Row],[PT.LastID.Row]]</f>
        <v>1</v>
      </c>
    </row>
    <row r="365" spans="2:18" ht="16.5" customHeight="1" x14ac:dyDescent="0.2">
      <c r="B365" s="55" t="s">
        <v>516</v>
      </c>
      <c r="C365" s="27" t="str">
        <f>INDEX(Organizations[],MATCH(Main3WData[[#This Row],[Acronym]],AcronymList,0),1)</f>
        <v>UNITED NATION MISSION FOR EBOLA  EMERGENCY RESPONSE</v>
      </c>
      <c r="D365" s="27" t="str">
        <f>INDEX(Organizations[],MATCH(Main3WData[[#This Row],[Acronym]],AcronymList,0),3)</f>
        <v>UN Agency</v>
      </c>
      <c r="E365" s="54" t="s">
        <v>356</v>
      </c>
      <c r="F365" s="53" t="s">
        <v>82</v>
      </c>
      <c r="G365" s="54" t="s">
        <v>386</v>
      </c>
      <c r="H365" s="28" t="str">
        <f>VLOOKUP(Main3WData[[#This Row],[Admin Unit Name]],AdminUnits[],2,FALSE)</f>
        <v>GIN004001</v>
      </c>
      <c r="I365" s="57">
        <v>0</v>
      </c>
      <c r="J365" s="67" t="str">
        <f>Main3WData[[#This Row],[Acronym]]&amp;Main3WData[[#This Row],[Sector]]&amp;Main3WData[[#This Row],[Activity Type]]&amp;Main3WData[[#This Row],[Pcode]]</f>
        <v>UNMEERGestion des donnéesOngoingGIN004001</v>
      </c>
      <c r="K365" s="69">
        <f>COUNTIF(Main3WData[Concatenate],Main3WData[[#This Row],[Concatenate]])</f>
        <v>1</v>
      </c>
      <c r="L365" s="61" t="str">
        <f>Main3WData[[#This Row],[Sector]]&amp;Main3WData[[#This Row],[Pcode]]</f>
        <v>Gestion des donnéesGIN004001</v>
      </c>
      <c r="M365" s="71">
        <f>COUNTIF($L$5:L365,Main3WData[[#This Row],[PT.Concat]])</f>
        <v>1</v>
      </c>
      <c r="N365" s="70">
        <f>MATCH(Main3WData[[#This Row],[PT.Concat]],$L$5:L365,0)</f>
        <v>361</v>
      </c>
      <c r="O365" s="62" t="b">
        <f>Main3WData[[#This Row],[Count PT.Concat]]=1</f>
        <v>1</v>
      </c>
      <c r="P365" s="62">
        <f t="array" ref="P365">MAX(($N$4:N364=Main3WData[[#This Row],[PT.ID]])*ROW($N$4:N364))</f>
        <v>0</v>
      </c>
      <c r="Q365" s="62" t="str">
        <f>IF(Main3WData[[#This Row],[PT.FirstID]],Main3WData[[#This Row],[Acronym]],INDEX($Q$4:Q364,Main3WData[[#This Row],[PT.LastID.Row]]-ROW($Q$4)+1) &amp; ", "&amp;Main3WData[[#This Row],[Acronym]])</f>
        <v>UNMEER</v>
      </c>
      <c r="R365" s="62" t="b">
        <f t="array" ref="R365">MAX(IF(Main3WData[PT.ID]=Main3WData[[#This Row],[PT.ID]],Main3WData[PT.LastID.Row]))=Main3WData[[#This Row],[PT.LastID.Row]]</f>
        <v>0</v>
      </c>
    </row>
    <row r="366" spans="2:18" ht="16.5" customHeight="1" x14ac:dyDescent="0.2">
      <c r="B366" s="55" t="s">
        <v>473</v>
      </c>
      <c r="C366" s="27" t="str">
        <f>INDEX(Organizations[],MATCH(Main3WData[[#This Row],[Acronym]],AcronymList,0),1)</f>
        <v>United Nations Development Programme</v>
      </c>
      <c r="D366" s="27" t="str">
        <f>INDEX(Organizations[],MATCH(Main3WData[[#This Row],[Acronym]],AcronymList,0),3)</f>
        <v>UN Agency</v>
      </c>
      <c r="E366" s="54" t="s">
        <v>356</v>
      </c>
      <c r="F366" s="53" t="s">
        <v>82</v>
      </c>
      <c r="G366" s="54" t="s">
        <v>386</v>
      </c>
      <c r="H366" s="28" t="str">
        <f>VLOOKUP(Main3WData[[#This Row],[Admin Unit Name]],AdminUnits[],2,FALSE)</f>
        <v>GIN004001</v>
      </c>
      <c r="I366" s="57">
        <v>0</v>
      </c>
      <c r="J366" s="67" t="str">
        <f>Main3WData[[#This Row],[Acronym]]&amp;Main3WData[[#This Row],[Sector]]&amp;Main3WData[[#This Row],[Activity Type]]&amp;Main3WData[[#This Row],[Pcode]]</f>
        <v>UNDPGestion des donnéesOngoingGIN004001</v>
      </c>
      <c r="K366" s="69">
        <f>COUNTIF(Main3WData[Concatenate],Main3WData[[#This Row],[Concatenate]])</f>
        <v>1</v>
      </c>
      <c r="L366" s="61" t="str">
        <f>Main3WData[[#This Row],[Sector]]&amp;Main3WData[[#This Row],[Pcode]]</f>
        <v>Gestion des donnéesGIN004001</v>
      </c>
      <c r="M366" s="71">
        <f>COUNTIF($L$5:L366,Main3WData[[#This Row],[PT.Concat]])</f>
        <v>2</v>
      </c>
      <c r="N366" s="70">
        <f>MATCH(Main3WData[[#This Row],[PT.Concat]],$L$5:L366,0)</f>
        <v>361</v>
      </c>
      <c r="O366" s="62" t="b">
        <f>Main3WData[[#This Row],[Count PT.Concat]]=1</f>
        <v>0</v>
      </c>
      <c r="P366" s="62">
        <f t="array" ref="P366">MAX(($N$4:N365=Main3WData[[#This Row],[PT.ID]])*ROW($N$4:N365))</f>
        <v>365</v>
      </c>
      <c r="Q366" s="62" t="str">
        <f>IF(Main3WData[[#This Row],[PT.FirstID]],Main3WData[[#This Row],[Acronym]],INDEX($Q$4:Q365,Main3WData[[#This Row],[PT.LastID.Row]]-ROW($Q$4)+1) &amp; ", "&amp;Main3WData[[#This Row],[Acronym]])</f>
        <v>UNMEER, UNDP</v>
      </c>
      <c r="R366" s="62" t="b">
        <f t="array" ref="R366">MAX(IF(Main3WData[PT.ID]=Main3WData[[#This Row],[PT.ID]],Main3WData[PT.LastID.Row]))=Main3WData[[#This Row],[PT.LastID.Row]]</f>
        <v>0</v>
      </c>
    </row>
    <row r="367" spans="2:18" ht="16.5" customHeight="1" x14ac:dyDescent="0.2">
      <c r="B367" s="55" t="s">
        <v>512</v>
      </c>
      <c r="C367" s="27" t="str">
        <f>INDEX(Organizations[],MATCH(Main3WData[[#This Row],[Acronym]],AcronymList,0),1)</f>
        <v>World Health Organization</v>
      </c>
      <c r="D367" s="27" t="str">
        <f>INDEX(Organizations[],MATCH(Main3WData[[#This Row],[Acronym]],AcronymList,0),3)</f>
        <v>UN Agency</v>
      </c>
      <c r="E367" s="54" t="s">
        <v>356</v>
      </c>
      <c r="F367" s="53" t="s">
        <v>82</v>
      </c>
      <c r="G367" s="54" t="s">
        <v>386</v>
      </c>
      <c r="H367" s="28" t="str">
        <f>VLOOKUP(Main3WData[[#This Row],[Admin Unit Name]],AdminUnits[],2,FALSE)</f>
        <v>GIN004001</v>
      </c>
      <c r="I367" s="57">
        <v>0</v>
      </c>
      <c r="J367" s="67" t="str">
        <f>Main3WData[[#This Row],[Acronym]]&amp;Main3WData[[#This Row],[Sector]]&amp;Main3WData[[#This Row],[Activity Type]]&amp;Main3WData[[#This Row],[Pcode]]</f>
        <v>OMSGestion des donnéesOngoingGIN004001</v>
      </c>
      <c r="K367" s="69">
        <f>COUNTIF(Main3WData[Concatenate],Main3WData[[#This Row],[Concatenate]])</f>
        <v>1</v>
      </c>
      <c r="L367" s="61" t="str">
        <f>Main3WData[[#This Row],[Sector]]&amp;Main3WData[[#This Row],[Pcode]]</f>
        <v>Gestion des donnéesGIN004001</v>
      </c>
      <c r="M367" s="71">
        <f>COUNTIF($L$5:L367,Main3WData[[#This Row],[PT.Concat]])</f>
        <v>3</v>
      </c>
      <c r="N367" s="70">
        <f>MATCH(Main3WData[[#This Row],[PT.Concat]],$L$5:L367,0)</f>
        <v>361</v>
      </c>
      <c r="O367" s="62" t="b">
        <f>Main3WData[[#This Row],[Count PT.Concat]]=1</f>
        <v>0</v>
      </c>
      <c r="P367" s="62">
        <f t="array" ref="P367">MAX(($N$4:N366=Main3WData[[#This Row],[PT.ID]])*ROW($N$4:N366))</f>
        <v>366</v>
      </c>
      <c r="Q367" s="62" t="str">
        <f>IF(Main3WData[[#This Row],[PT.FirstID]],Main3WData[[#This Row],[Acronym]],INDEX($Q$4:Q366,Main3WData[[#This Row],[PT.LastID.Row]]-ROW($Q$4)+1) &amp; ", "&amp;Main3WData[[#This Row],[Acronym]])</f>
        <v>UNMEER, UNDP, OMS</v>
      </c>
      <c r="R367" s="62" t="b">
        <f t="array" ref="R367">MAX(IF(Main3WData[PT.ID]=Main3WData[[#This Row],[PT.ID]],Main3WData[PT.LastID.Row]))=Main3WData[[#This Row],[PT.LastID.Row]]</f>
        <v>1</v>
      </c>
    </row>
    <row r="368" spans="2:18" ht="16.5" customHeight="1" x14ac:dyDescent="0.2">
      <c r="B368" s="55" t="s">
        <v>516</v>
      </c>
      <c r="C368" s="27" t="str">
        <f>INDEX(Organizations[],MATCH(Main3WData[[#This Row],[Acronym]],AcronymList,0),1)</f>
        <v>UNITED NATION MISSION FOR EBOLA  EMERGENCY RESPONSE</v>
      </c>
      <c r="D368" s="27" t="str">
        <f>INDEX(Organizations[],MATCH(Main3WData[[#This Row],[Acronym]],AcronymList,0),3)</f>
        <v>UN Agency</v>
      </c>
      <c r="E368" s="54" t="s">
        <v>358</v>
      </c>
      <c r="F368" s="53" t="s">
        <v>82</v>
      </c>
      <c r="G368" s="54" t="s">
        <v>386</v>
      </c>
      <c r="H368" s="28" t="str">
        <f>VLOOKUP(Main3WData[[#This Row],[Admin Unit Name]],AdminUnits[],2,FALSE)</f>
        <v>GIN004001</v>
      </c>
      <c r="I368" s="57">
        <v>0</v>
      </c>
      <c r="J368" s="67" t="str">
        <f>Main3WData[[#This Row],[Acronym]]&amp;Main3WData[[#This Row],[Sector]]&amp;Main3WData[[#This Row],[Activity Type]]&amp;Main3WData[[#This Row],[Pcode]]</f>
        <v>UNMEERLogistiquesOngoingGIN004001</v>
      </c>
      <c r="K368" s="69">
        <f>COUNTIF(Main3WData[Concatenate],Main3WData[[#This Row],[Concatenate]])</f>
        <v>1</v>
      </c>
      <c r="L368" s="61" t="str">
        <f>Main3WData[[#This Row],[Sector]]&amp;Main3WData[[#This Row],[Pcode]]</f>
        <v>LogistiquesGIN004001</v>
      </c>
      <c r="M368" s="71">
        <f>COUNTIF($L$5:L368,Main3WData[[#This Row],[PT.Concat]])</f>
        <v>1</v>
      </c>
      <c r="N368" s="70">
        <f>MATCH(Main3WData[[#This Row],[PT.Concat]],$L$5:L368,0)</f>
        <v>364</v>
      </c>
      <c r="O368" s="62" t="b">
        <f>Main3WData[[#This Row],[Count PT.Concat]]=1</f>
        <v>1</v>
      </c>
      <c r="P368" s="62">
        <f t="array" ref="P368">MAX(($N$4:N367=Main3WData[[#This Row],[PT.ID]])*ROW($N$4:N367))</f>
        <v>0</v>
      </c>
      <c r="Q368" s="62" t="str">
        <f>IF(Main3WData[[#This Row],[PT.FirstID]],Main3WData[[#This Row],[Acronym]],INDEX($Q$4:Q367,Main3WData[[#This Row],[PT.LastID.Row]]-ROW($Q$4)+1) &amp; ", "&amp;Main3WData[[#This Row],[Acronym]])</f>
        <v>UNMEER</v>
      </c>
      <c r="R368" s="62" t="b">
        <f t="array" ref="R368">MAX(IF(Main3WData[PT.ID]=Main3WData[[#This Row],[PT.ID]],Main3WData[PT.LastID.Row]))=Main3WData[[#This Row],[PT.LastID.Row]]</f>
        <v>0</v>
      </c>
    </row>
    <row r="369" spans="2:18" ht="16.5" customHeight="1" x14ac:dyDescent="0.2">
      <c r="B369" s="55" t="s">
        <v>512</v>
      </c>
      <c r="C369" s="27" t="str">
        <f>INDEX(Organizations[],MATCH(Main3WData[[#This Row],[Acronym]],AcronymList,0),1)</f>
        <v>World Health Organization</v>
      </c>
      <c r="D369" s="27" t="str">
        <f>INDEX(Organizations[],MATCH(Main3WData[[#This Row],[Acronym]],AcronymList,0),3)</f>
        <v>UN Agency</v>
      </c>
      <c r="E369" s="54" t="s">
        <v>358</v>
      </c>
      <c r="F369" s="53" t="s">
        <v>82</v>
      </c>
      <c r="G369" s="54" t="s">
        <v>386</v>
      </c>
      <c r="H369" s="28" t="str">
        <f>VLOOKUP(Main3WData[[#This Row],[Admin Unit Name]],AdminUnits[],2,FALSE)</f>
        <v>GIN004001</v>
      </c>
      <c r="I369" s="57">
        <v>0</v>
      </c>
      <c r="J369" s="67" t="str">
        <f>Main3WData[[#This Row],[Acronym]]&amp;Main3WData[[#This Row],[Sector]]&amp;Main3WData[[#This Row],[Activity Type]]&amp;Main3WData[[#This Row],[Pcode]]</f>
        <v>OMSLogistiquesOngoingGIN004001</v>
      </c>
      <c r="K369" s="69">
        <f>COUNTIF(Main3WData[Concatenate],Main3WData[[#This Row],[Concatenate]])</f>
        <v>1</v>
      </c>
      <c r="L369" s="61" t="str">
        <f>Main3WData[[#This Row],[Sector]]&amp;Main3WData[[#This Row],[Pcode]]</f>
        <v>LogistiquesGIN004001</v>
      </c>
      <c r="M369" s="71">
        <f>COUNTIF($L$5:L369,Main3WData[[#This Row],[PT.Concat]])</f>
        <v>2</v>
      </c>
      <c r="N369" s="70">
        <f>MATCH(Main3WData[[#This Row],[PT.Concat]],$L$5:L369,0)</f>
        <v>364</v>
      </c>
      <c r="O369" s="62" t="b">
        <f>Main3WData[[#This Row],[Count PT.Concat]]=1</f>
        <v>0</v>
      </c>
      <c r="P369" s="62">
        <f t="array" ref="P369">MAX(($N$4:N368=Main3WData[[#This Row],[PT.ID]])*ROW($N$4:N368))</f>
        <v>368</v>
      </c>
      <c r="Q369" s="62" t="str">
        <f>IF(Main3WData[[#This Row],[PT.FirstID]],Main3WData[[#This Row],[Acronym]],INDEX($Q$4:Q368,Main3WData[[#This Row],[PT.LastID.Row]]-ROW($Q$4)+1) &amp; ", "&amp;Main3WData[[#This Row],[Acronym]])</f>
        <v>UNMEER, OMS</v>
      </c>
      <c r="R369" s="62" t="b">
        <f t="array" ref="R369">MAX(IF(Main3WData[PT.ID]=Main3WData[[#This Row],[PT.ID]],Main3WData[PT.LastID.Row]))=Main3WData[[#This Row],[PT.LastID.Row]]</f>
        <v>1</v>
      </c>
    </row>
    <row r="370" spans="2:18" ht="16.5" customHeight="1" x14ac:dyDescent="0.2">
      <c r="B370" s="55" t="s">
        <v>71</v>
      </c>
      <c r="C370" s="27" t="str">
        <f>INDEX(Organizations[],MATCH(Main3WData[[#This Row],[Acronym]],AcronymList,0),1)</f>
        <v>Medecins sans Frontieres</v>
      </c>
      <c r="D370" s="27" t="str">
        <f>INDEX(Organizations[],MATCH(Main3WData[[#This Row],[Acronym]],AcronymList,0),3)</f>
        <v>International NGO</v>
      </c>
      <c r="E370" s="54" t="s">
        <v>353</v>
      </c>
      <c r="F370" s="53" t="s">
        <v>82</v>
      </c>
      <c r="G370" s="54" t="s">
        <v>386</v>
      </c>
      <c r="H370" s="28" t="str">
        <f>VLOOKUP(Main3WData[[#This Row],[Admin Unit Name]],AdminUnits[],2,FALSE)</f>
        <v>GIN004001</v>
      </c>
      <c r="I370" s="57">
        <v>0</v>
      </c>
      <c r="J370" s="67" t="str">
        <f>Main3WData[[#This Row],[Acronym]]&amp;Main3WData[[#This Row],[Sector]]&amp;Main3WData[[#This Row],[Activity Type]]&amp;Main3WData[[#This Row],[Pcode]]</f>
        <v>MSFPrise en chargeOngoingGIN004001</v>
      </c>
      <c r="K370" s="69">
        <f>COUNTIF(Main3WData[Concatenate],Main3WData[[#This Row],[Concatenate]])</f>
        <v>1</v>
      </c>
      <c r="L370" s="61" t="str">
        <f>Main3WData[[#This Row],[Sector]]&amp;Main3WData[[#This Row],[Pcode]]</f>
        <v>Prise en chargeGIN004001</v>
      </c>
      <c r="M370" s="71">
        <f>COUNTIF($L$5:L370,Main3WData[[#This Row],[PT.Concat]])</f>
        <v>1</v>
      </c>
      <c r="N370" s="70">
        <f>MATCH(Main3WData[[#This Row],[PT.Concat]],$L$5:L370,0)</f>
        <v>366</v>
      </c>
      <c r="O370" s="62" t="b">
        <f>Main3WData[[#This Row],[Count PT.Concat]]=1</f>
        <v>1</v>
      </c>
      <c r="P370" s="62">
        <f t="array" ref="P370">MAX(($N$4:N369=Main3WData[[#This Row],[PT.ID]])*ROW($N$4:N369))</f>
        <v>0</v>
      </c>
      <c r="Q370" s="62" t="str">
        <f>IF(Main3WData[[#This Row],[PT.FirstID]],Main3WData[[#This Row],[Acronym]],INDEX($Q$4:Q369,Main3WData[[#This Row],[PT.LastID.Row]]-ROW($Q$4)+1) &amp; ", "&amp;Main3WData[[#This Row],[Acronym]])</f>
        <v>MSF</v>
      </c>
      <c r="R370" s="62" t="b">
        <f t="array" ref="R370">MAX(IF(Main3WData[PT.ID]=Main3WData[[#This Row],[PT.ID]],Main3WData[PT.LastID.Row]))=Main3WData[[#This Row],[PT.LastID.Row]]</f>
        <v>0</v>
      </c>
    </row>
    <row r="371" spans="2:18" ht="16.5" customHeight="1" x14ac:dyDescent="0.2">
      <c r="B371" s="55" t="s">
        <v>454</v>
      </c>
      <c r="C371" s="27" t="str">
        <f>INDEX(Organizations[],MATCH(Main3WData[[#This Row],[Acronym]],AcronymList,0),1)</f>
        <v>France</v>
      </c>
      <c r="D371" s="27" t="str">
        <f>INDEX(Organizations[],MATCH(Main3WData[[#This Row],[Acronym]],AcronymList,0),3)</f>
        <v>Donors</v>
      </c>
      <c r="E371" s="54" t="s">
        <v>353</v>
      </c>
      <c r="F371" s="53" t="s">
        <v>82</v>
      </c>
      <c r="G371" s="54" t="s">
        <v>386</v>
      </c>
      <c r="H371" s="28" t="str">
        <f>VLOOKUP(Main3WData[[#This Row],[Admin Unit Name]],AdminUnits[],2,FALSE)</f>
        <v>GIN004001</v>
      </c>
      <c r="I371" s="57">
        <v>0</v>
      </c>
      <c r="J371" s="67" t="str">
        <f>Main3WData[[#This Row],[Acronym]]&amp;Main3WData[[#This Row],[Sector]]&amp;Main3WData[[#This Row],[Activity Type]]&amp;Main3WData[[#This Row],[Pcode]]</f>
        <v>FrancePrise en chargeOngoingGIN004001</v>
      </c>
      <c r="K371" s="69">
        <f>COUNTIF(Main3WData[Concatenate],Main3WData[[#This Row],[Concatenate]])</f>
        <v>1</v>
      </c>
      <c r="L371" s="61" t="str">
        <f>Main3WData[[#This Row],[Sector]]&amp;Main3WData[[#This Row],[Pcode]]</f>
        <v>Prise en chargeGIN004001</v>
      </c>
      <c r="M371" s="71">
        <f>COUNTIF($L$5:L371,Main3WData[[#This Row],[PT.Concat]])</f>
        <v>2</v>
      </c>
      <c r="N371" s="70">
        <f>MATCH(Main3WData[[#This Row],[PT.Concat]],$L$5:L371,0)</f>
        <v>366</v>
      </c>
      <c r="O371" s="62" t="b">
        <f>Main3WData[[#This Row],[Count PT.Concat]]=1</f>
        <v>0</v>
      </c>
      <c r="P371" s="62">
        <f t="array" ref="P371">MAX(($N$4:N370=Main3WData[[#This Row],[PT.ID]])*ROW($N$4:N370))</f>
        <v>370</v>
      </c>
      <c r="Q371" s="62" t="str">
        <f>IF(Main3WData[[#This Row],[PT.FirstID]],Main3WData[[#This Row],[Acronym]],INDEX($Q$4:Q370,Main3WData[[#This Row],[PT.LastID.Row]]-ROW($Q$4)+1) &amp; ", "&amp;Main3WData[[#This Row],[Acronym]])</f>
        <v>MSF, France</v>
      </c>
      <c r="R371" s="62" t="b">
        <f t="array" ref="R371">MAX(IF(Main3WData[PT.ID]=Main3WData[[#This Row],[PT.ID]],Main3WData[PT.LastID.Row]))=Main3WData[[#This Row],[PT.LastID.Row]]</f>
        <v>1</v>
      </c>
    </row>
    <row r="372" spans="2:18" ht="16.5" customHeight="1" x14ac:dyDescent="0.2">
      <c r="B372" s="55" t="s">
        <v>78</v>
      </c>
      <c r="C372" s="27" t="str">
        <f>INDEX(Organizations[],MATCH(Main3WData[[#This Row],[Acronym]],AcronymList,0),1)</f>
        <v>World Food Programme</v>
      </c>
      <c r="D372" s="27" t="str">
        <f>INDEX(Organizations[],MATCH(Main3WData[[#This Row],[Acronym]],AcronymList,0),3)</f>
        <v>UN Agency</v>
      </c>
      <c r="E372" s="54" t="s">
        <v>355</v>
      </c>
      <c r="F372" s="53" t="s">
        <v>82</v>
      </c>
      <c r="G372" s="54" t="s">
        <v>386</v>
      </c>
      <c r="H372" s="28" t="str">
        <f>VLOOKUP(Main3WData[[#This Row],[Admin Unit Name]],AdminUnits[],2,FALSE)</f>
        <v>GIN004001</v>
      </c>
      <c r="I372" s="57">
        <v>0</v>
      </c>
      <c r="J372" s="67" t="str">
        <f>Main3WData[[#This Row],[Acronym]]&amp;Main3WData[[#This Row],[Sector]]&amp;Main3WData[[#This Row],[Activity Type]]&amp;Main3WData[[#This Row],[Pcode]]</f>
        <v>WFPSoutien nutritionnel et socialOngoingGIN004001</v>
      </c>
      <c r="K372" s="69">
        <f>COUNTIF(Main3WData[Concatenate],Main3WData[[#This Row],[Concatenate]])</f>
        <v>1</v>
      </c>
      <c r="L372" s="61" t="str">
        <f>Main3WData[[#This Row],[Sector]]&amp;Main3WData[[#This Row],[Pcode]]</f>
        <v>Soutien nutritionnel et socialGIN004001</v>
      </c>
      <c r="M372" s="71">
        <f>COUNTIF($L$5:L372,Main3WData[[#This Row],[PT.Concat]])</f>
        <v>1</v>
      </c>
      <c r="N372" s="70">
        <f>MATCH(Main3WData[[#This Row],[PT.Concat]],$L$5:L372,0)</f>
        <v>368</v>
      </c>
      <c r="O372" s="62" t="b">
        <f>Main3WData[[#This Row],[Count PT.Concat]]=1</f>
        <v>1</v>
      </c>
      <c r="P372" s="62">
        <f t="array" ref="P372">MAX(($N$4:N371=Main3WData[[#This Row],[PT.ID]])*ROW($N$4:N371))</f>
        <v>0</v>
      </c>
      <c r="Q372" s="62" t="str">
        <f>IF(Main3WData[[#This Row],[PT.FirstID]],Main3WData[[#This Row],[Acronym]],INDEX($Q$4:Q371,Main3WData[[#This Row],[PT.LastID.Row]]-ROW($Q$4)+1) &amp; ", "&amp;Main3WData[[#This Row],[Acronym]])</f>
        <v>WFP</v>
      </c>
      <c r="R372" s="62" t="b">
        <f t="array" ref="R372">MAX(IF(Main3WData[PT.ID]=Main3WData[[#This Row],[PT.ID]],Main3WData[PT.LastID.Row]))=Main3WData[[#This Row],[PT.LastID.Row]]</f>
        <v>0</v>
      </c>
    </row>
    <row r="373" spans="2:18" ht="16.5" customHeight="1" x14ac:dyDescent="0.2">
      <c r="B373" s="55" t="s">
        <v>523</v>
      </c>
      <c r="C373" s="27" t="str">
        <f>INDEX(Organizations[],MATCH(Main3WData[[#This Row],[Acronym]],AcronymList,0),1)</f>
        <v>Save the Children</v>
      </c>
      <c r="D373" s="27" t="str">
        <f>INDEX(Organizations[],MATCH(Main3WData[[#This Row],[Acronym]],AcronymList,0),3)</f>
        <v>International NGO</v>
      </c>
      <c r="E373" s="54" t="s">
        <v>355</v>
      </c>
      <c r="F373" s="53" t="s">
        <v>82</v>
      </c>
      <c r="G373" s="54" t="s">
        <v>386</v>
      </c>
      <c r="H373" s="28" t="str">
        <f>VLOOKUP(Main3WData[[#This Row],[Admin Unit Name]],AdminUnits[],2,FALSE)</f>
        <v>GIN004001</v>
      </c>
      <c r="I373" s="57">
        <v>0</v>
      </c>
      <c r="J373" s="67" t="str">
        <f>Main3WData[[#This Row],[Acronym]]&amp;Main3WData[[#This Row],[Sector]]&amp;Main3WData[[#This Row],[Activity Type]]&amp;Main3WData[[#This Row],[Pcode]]</f>
        <v>save the childrenSoutien nutritionnel et socialOngoingGIN004001</v>
      </c>
      <c r="K373" s="69">
        <f>COUNTIF(Main3WData[Concatenate],Main3WData[[#This Row],[Concatenate]])</f>
        <v>1</v>
      </c>
      <c r="L373" s="61" t="str">
        <f>Main3WData[[#This Row],[Sector]]&amp;Main3WData[[#This Row],[Pcode]]</f>
        <v>Soutien nutritionnel et socialGIN004001</v>
      </c>
      <c r="M373" s="71">
        <f>COUNTIF($L$5:L373,Main3WData[[#This Row],[PT.Concat]])</f>
        <v>2</v>
      </c>
      <c r="N373" s="70">
        <f>MATCH(Main3WData[[#This Row],[PT.Concat]],$L$5:L373,0)</f>
        <v>368</v>
      </c>
      <c r="O373" s="62" t="b">
        <f>Main3WData[[#This Row],[Count PT.Concat]]=1</f>
        <v>0</v>
      </c>
      <c r="P373" s="62">
        <f t="array" ref="P373">MAX(($N$4:N372=Main3WData[[#This Row],[PT.ID]])*ROW($N$4:N372))</f>
        <v>372</v>
      </c>
      <c r="Q373" s="62" t="str">
        <f>IF(Main3WData[[#This Row],[PT.FirstID]],Main3WData[[#This Row],[Acronym]],INDEX($Q$4:Q372,Main3WData[[#This Row],[PT.LastID.Row]]-ROW($Q$4)+1) &amp; ", "&amp;Main3WData[[#This Row],[Acronym]])</f>
        <v>WFP, save the children</v>
      </c>
      <c r="R373" s="62" t="b">
        <f t="array" ref="R373">MAX(IF(Main3WData[PT.ID]=Main3WData[[#This Row],[PT.ID]],Main3WData[PT.LastID.Row]))=Main3WData[[#This Row],[PT.LastID.Row]]</f>
        <v>1</v>
      </c>
    </row>
    <row r="374" spans="2:18" ht="16.5" customHeight="1" x14ac:dyDescent="0.2">
      <c r="B374" s="55" t="s">
        <v>477</v>
      </c>
      <c r="C374" s="27" t="str">
        <f>INDEX(Organizations[],MATCH(Main3WData[[#This Row],[Acronym]],AcronymList,0),1)</f>
        <v>United States Agency for International Development</v>
      </c>
      <c r="D374" s="27" t="str">
        <f>INDEX(Organizations[],MATCH(Main3WData[[#This Row],[Acronym]],AcronymList,0),3)</f>
        <v>Donors</v>
      </c>
      <c r="E374" s="54" t="s">
        <v>351</v>
      </c>
      <c r="F374" s="53" t="s">
        <v>82</v>
      </c>
      <c r="G374" s="54" t="s">
        <v>386</v>
      </c>
      <c r="H374" s="28" t="str">
        <f>VLOOKUP(Main3WData[[#This Row],[Admin Unit Name]],AdminUnits[],2,FALSE)</f>
        <v>GIN004001</v>
      </c>
      <c r="I374" s="57">
        <v>0</v>
      </c>
      <c r="J374" s="67" t="str">
        <f>Main3WData[[#This Row],[Acronym]]&amp;Main3WData[[#This Row],[Sector]]&amp;Main3WData[[#This Row],[Activity Type]]&amp;Main3WData[[#This Row],[Pcode]]</f>
        <v>USAIDSurveillance &amp; suiviOngoingGIN004001</v>
      </c>
      <c r="K374" s="69">
        <f>COUNTIF(Main3WData[Concatenate],Main3WData[[#This Row],[Concatenate]])</f>
        <v>1</v>
      </c>
      <c r="L374" s="61" t="str">
        <f>Main3WData[[#This Row],[Sector]]&amp;Main3WData[[#This Row],[Pcode]]</f>
        <v>Surveillance &amp; suiviGIN004001</v>
      </c>
      <c r="M374" s="71">
        <f>COUNTIF($L$5:L374,Main3WData[[#This Row],[PT.Concat]])</f>
        <v>1</v>
      </c>
      <c r="N374" s="70">
        <f>MATCH(Main3WData[[#This Row],[PT.Concat]],$L$5:L374,0)</f>
        <v>370</v>
      </c>
      <c r="O374" s="62" t="b">
        <f>Main3WData[[#This Row],[Count PT.Concat]]=1</f>
        <v>1</v>
      </c>
      <c r="P374" s="62">
        <f t="array" ref="P374">MAX(($N$4:N373=Main3WData[[#This Row],[PT.ID]])*ROW($N$4:N373))</f>
        <v>0</v>
      </c>
      <c r="Q374" s="62" t="str">
        <f>IF(Main3WData[[#This Row],[PT.FirstID]],Main3WData[[#This Row],[Acronym]],INDEX($Q$4:Q373,Main3WData[[#This Row],[PT.LastID.Row]]-ROW($Q$4)+1) &amp; ", "&amp;Main3WData[[#This Row],[Acronym]])</f>
        <v>USAID</v>
      </c>
      <c r="R374" s="62" t="b">
        <f t="array" ref="R374">MAX(IF(Main3WData[PT.ID]=Main3WData[[#This Row],[PT.ID]],Main3WData[PT.LastID.Row]))=Main3WData[[#This Row],[PT.LastID.Row]]</f>
        <v>0</v>
      </c>
    </row>
    <row r="375" spans="2:18" ht="16.5" customHeight="1" x14ac:dyDescent="0.2">
      <c r="B375" s="55" t="s">
        <v>75</v>
      </c>
      <c r="C375" s="27" t="str">
        <f>INDEX(Organizations[],MATCH(Main3WData[[#This Row],[Acronym]],AcronymList,0),1)</f>
        <v>United Nations Population Fund</v>
      </c>
      <c r="D375" s="27" t="str">
        <f>INDEX(Organizations[],MATCH(Main3WData[[#This Row],[Acronym]],AcronymList,0),3)</f>
        <v>UN Agency</v>
      </c>
      <c r="E375" s="54" t="s">
        <v>351</v>
      </c>
      <c r="F375" s="53" t="s">
        <v>82</v>
      </c>
      <c r="G375" s="54" t="s">
        <v>386</v>
      </c>
      <c r="H375" s="28" t="str">
        <f>VLOOKUP(Main3WData[[#This Row],[Admin Unit Name]],AdminUnits[],2,FALSE)</f>
        <v>GIN004001</v>
      </c>
      <c r="I375" s="57">
        <v>0</v>
      </c>
      <c r="J375" s="67" t="str">
        <f>Main3WData[[#This Row],[Acronym]]&amp;Main3WData[[#This Row],[Sector]]&amp;Main3WData[[#This Row],[Activity Type]]&amp;Main3WData[[#This Row],[Pcode]]</f>
        <v>UNFPASurveillance &amp; suiviOngoingGIN004001</v>
      </c>
      <c r="K375" s="69">
        <f>COUNTIF(Main3WData[Concatenate],Main3WData[[#This Row],[Concatenate]])</f>
        <v>1</v>
      </c>
      <c r="L375" s="61" t="str">
        <f>Main3WData[[#This Row],[Sector]]&amp;Main3WData[[#This Row],[Pcode]]</f>
        <v>Surveillance &amp; suiviGIN004001</v>
      </c>
      <c r="M375" s="71">
        <f>COUNTIF($L$5:L375,Main3WData[[#This Row],[PT.Concat]])</f>
        <v>2</v>
      </c>
      <c r="N375" s="70">
        <f>MATCH(Main3WData[[#This Row],[PT.Concat]],$L$5:L375,0)</f>
        <v>370</v>
      </c>
      <c r="O375" s="62" t="b">
        <f>Main3WData[[#This Row],[Count PT.Concat]]=1</f>
        <v>0</v>
      </c>
      <c r="P375" s="62">
        <f t="array" ref="P375">MAX(($N$4:N374=Main3WData[[#This Row],[PT.ID]])*ROW($N$4:N374))</f>
        <v>374</v>
      </c>
      <c r="Q375" s="62" t="str">
        <f>IF(Main3WData[[#This Row],[PT.FirstID]],Main3WData[[#This Row],[Acronym]],INDEX($Q$4:Q374,Main3WData[[#This Row],[PT.LastID.Row]]-ROW($Q$4)+1) &amp; ", "&amp;Main3WData[[#This Row],[Acronym]])</f>
        <v>USAID, UNFPA</v>
      </c>
      <c r="R375" s="62" t="b">
        <f t="array" ref="R375">MAX(IF(Main3WData[PT.ID]=Main3WData[[#This Row],[PT.ID]],Main3WData[PT.LastID.Row]))=Main3WData[[#This Row],[PT.LastID.Row]]</f>
        <v>0</v>
      </c>
    </row>
    <row r="376" spans="2:18" ht="16.5" customHeight="1" x14ac:dyDescent="0.2">
      <c r="B376" s="55" t="s">
        <v>524</v>
      </c>
      <c r="C376" s="27" t="str">
        <f>INDEX(Organizations[],MATCH(Main3WData[[#This Row],[Acronym]],AcronymList,0),1)</f>
        <v>Save the Children</v>
      </c>
      <c r="D376" s="27" t="str">
        <f>INDEX(Organizations[],MATCH(Main3WData[[#This Row],[Acronym]],AcronymList,0),3)</f>
        <v>International NGO</v>
      </c>
      <c r="E376" s="54" t="s">
        <v>351</v>
      </c>
      <c r="F376" s="53" t="s">
        <v>82</v>
      </c>
      <c r="G376" s="54" t="s">
        <v>386</v>
      </c>
      <c r="H376" s="28" t="str">
        <f>VLOOKUP(Main3WData[[#This Row],[Admin Unit Name]],AdminUnits[],2,FALSE)</f>
        <v>GIN004001</v>
      </c>
      <c r="I376" s="57">
        <v>0</v>
      </c>
      <c r="J376" s="67" t="str">
        <f>Main3WData[[#This Row],[Acronym]]&amp;Main3WData[[#This Row],[Sector]]&amp;Main3WData[[#This Row],[Activity Type]]&amp;Main3WData[[#This Row],[Pcode]]</f>
        <v>save the ChildrenSurveillance &amp; suiviOngoingGIN004001</v>
      </c>
      <c r="K376" s="69">
        <f>COUNTIF(Main3WData[Concatenate],Main3WData[[#This Row],[Concatenate]])</f>
        <v>1</v>
      </c>
      <c r="L376" s="61" t="str">
        <f>Main3WData[[#This Row],[Sector]]&amp;Main3WData[[#This Row],[Pcode]]</f>
        <v>Surveillance &amp; suiviGIN004001</v>
      </c>
      <c r="M376" s="71">
        <f>COUNTIF($L$5:L376,Main3WData[[#This Row],[PT.Concat]])</f>
        <v>3</v>
      </c>
      <c r="N376" s="70">
        <f>MATCH(Main3WData[[#This Row],[PT.Concat]],$L$5:L376,0)</f>
        <v>370</v>
      </c>
      <c r="O376" s="62" t="b">
        <f>Main3WData[[#This Row],[Count PT.Concat]]=1</f>
        <v>0</v>
      </c>
      <c r="P376" s="62">
        <f t="array" ref="P376">MAX(($N$4:N375=Main3WData[[#This Row],[PT.ID]])*ROW($N$4:N375))</f>
        <v>375</v>
      </c>
      <c r="Q376" s="62" t="str">
        <f>IF(Main3WData[[#This Row],[PT.FirstID]],Main3WData[[#This Row],[Acronym]],INDEX($Q$4:Q375,Main3WData[[#This Row],[PT.LastID.Row]]-ROW($Q$4)+1) &amp; ", "&amp;Main3WData[[#This Row],[Acronym]])</f>
        <v>USAID, UNFPA, save the Children</v>
      </c>
      <c r="R376" s="62" t="b">
        <f t="array" ref="R376">MAX(IF(Main3WData[PT.ID]=Main3WData[[#This Row],[PT.ID]],Main3WData[PT.LastID.Row]))=Main3WData[[#This Row],[PT.LastID.Row]]</f>
        <v>0</v>
      </c>
    </row>
    <row r="377" spans="2:18" ht="16.5" customHeight="1" x14ac:dyDescent="0.2">
      <c r="B377" s="55" t="s">
        <v>512</v>
      </c>
      <c r="C377" s="27" t="str">
        <f>INDEX(Organizations[],MATCH(Main3WData[[#This Row],[Acronym]],AcronymList,0),1)</f>
        <v>World Health Organization</v>
      </c>
      <c r="D377" s="27" t="str">
        <f>INDEX(Organizations[],MATCH(Main3WData[[#This Row],[Acronym]],AcronymList,0),3)</f>
        <v>UN Agency</v>
      </c>
      <c r="E377" s="54" t="s">
        <v>351</v>
      </c>
      <c r="F377" s="53" t="s">
        <v>82</v>
      </c>
      <c r="G377" s="54" t="s">
        <v>386</v>
      </c>
      <c r="H377" s="28" t="str">
        <f>VLOOKUP(Main3WData[[#This Row],[Admin Unit Name]],AdminUnits[],2,FALSE)</f>
        <v>GIN004001</v>
      </c>
      <c r="I377" s="57">
        <v>0</v>
      </c>
      <c r="J377" s="67" t="str">
        <f>Main3WData[[#This Row],[Acronym]]&amp;Main3WData[[#This Row],[Sector]]&amp;Main3WData[[#This Row],[Activity Type]]&amp;Main3WData[[#This Row],[Pcode]]</f>
        <v>OMSSurveillance &amp; suiviOngoingGIN004001</v>
      </c>
      <c r="K377" s="69">
        <f>COUNTIF(Main3WData[Concatenate],Main3WData[[#This Row],[Concatenate]])</f>
        <v>1</v>
      </c>
      <c r="L377" s="61" t="str">
        <f>Main3WData[[#This Row],[Sector]]&amp;Main3WData[[#This Row],[Pcode]]</f>
        <v>Surveillance &amp; suiviGIN004001</v>
      </c>
      <c r="M377" s="71">
        <f>COUNTIF($L$5:L377,Main3WData[[#This Row],[PT.Concat]])</f>
        <v>4</v>
      </c>
      <c r="N377" s="70">
        <f>MATCH(Main3WData[[#This Row],[PT.Concat]],$L$5:L377,0)</f>
        <v>370</v>
      </c>
      <c r="O377" s="62" t="b">
        <f>Main3WData[[#This Row],[Count PT.Concat]]=1</f>
        <v>0</v>
      </c>
      <c r="P377" s="62">
        <f t="array" ref="P377">MAX(($N$4:N376=Main3WData[[#This Row],[PT.ID]])*ROW($N$4:N376))</f>
        <v>376</v>
      </c>
      <c r="Q377" s="62" t="str">
        <f>IF(Main3WData[[#This Row],[PT.FirstID]],Main3WData[[#This Row],[Acronym]],INDEX($Q$4:Q376,Main3WData[[#This Row],[PT.LastID.Row]]-ROW($Q$4)+1) &amp; ", "&amp;Main3WData[[#This Row],[Acronym]])</f>
        <v>USAID, UNFPA, save the Children, OMS</v>
      </c>
      <c r="R377" s="62" t="b">
        <f t="array" ref="R377">MAX(IF(Main3WData[PT.ID]=Main3WData[[#This Row],[PT.ID]],Main3WData[PT.LastID.Row]))=Main3WData[[#This Row],[PT.LastID.Row]]</f>
        <v>0</v>
      </c>
    </row>
    <row r="378" spans="2:18" ht="16.5" customHeight="1" x14ac:dyDescent="0.2">
      <c r="B378" s="55" t="s">
        <v>496</v>
      </c>
      <c r="C378" s="27" t="str">
        <f>INDEX(Organizations[],MATCH(Main3WData[[#This Row],[Acronym]],AcronymList,0),1)</f>
        <v>Columbia University</v>
      </c>
      <c r="D378" s="27" t="str">
        <f>INDEX(Organizations[],MATCH(Main3WData[[#This Row],[Acronym]],AcronymList,0),3)</f>
        <v>Education</v>
      </c>
      <c r="E378" s="54" t="s">
        <v>351</v>
      </c>
      <c r="F378" s="53" t="s">
        <v>82</v>
      </c>
      <c r="G378" s="54" t="s">
        <v>386</v>
      </c>
      <c r="H378" s="28" t="str">
        <f>VLOOKUP(Main3WData[[#This Row],[Admin Unit Name]],AdminUnits[],2,FALSE)</f>
        <v>GIN004001</v>
      </c>
      <c r="I378" s="57">
        <v>0</v>
      </c>
      <c r="J378" s="67" t="str">
        <f>Main3WData[[#This Row],[Acronym]]&amp;Main3WData[[#This Row],[Sector]]&amp;Main3WData[[#This Row],[Activity Type]]&amp;Main3WData[[#This Row],[Pcode]]</f>
        <v>Columbia UnivSurveillance &amp; suiviOngoingGIN004001</v>
      </c>
      <c r="K378" s="69">
        <f>COUNTIF(Main3WData[Concatenate],Main3WData[[#This Row],[Concatenate]])</f>
        <v>1</v>
      </c>
      <c r="L378" s="61" t="str">
        <f>Main3WData[[#This Row],[Sector]]&amp;Main3WData[[#This Row],[Pcode]]</f>
        <v>Surveillance &amp; suiviGIN004001</v>
      </c>
      <c r="M378" s="71">
        <f>COUNTIF($L$5:L378,Main3WData[[#This Row],[PT.Concat]])</f>
        <v>5</v>
      </c>
      <c r="N378" s="70">
        <f>MATCH(Main3WData[[#This Row],[PT.Concat]],$L$5:L378,0)</f>
        <v>370</v>
      </c>
      <c r="O378" s="62" t="b">
        <f>Main3WData[[#This Row],[Count PT.Concat]]=1</f>
        <v>0</v>
      </c>
      <c r="P378" s="62">
        <f t="array" ref="P378">MAX(($N$4:N377=Main3WData[[#This Row],[PT.ID]])*ROW($N$4:N377))</f>
        <v>377</v>
      </c>
      <c r="Q378" s="62" t="str">
        <f>IF(Main3WData[[#This Row],[PT.FirstID]],Main3WData[[#This Row],[Acronym]],INDEX($Q$4:Q377,Main3WData[[#This Row],[PT.LastID.Row]]-ROW($Q$4)+1) &amp; ", "&amp;Main3WData[[#This Row],[Acronym]])</f>
        <v>USAID, UNFPA, save the Children, OMS, Columbia Univ</v>
      </c>
      <c r="R378" s="62" t="b">
        <f t="array" ref="R378">MAX(IF(Main3WData[PT.ID]=Main3WData[[#This Row],[PT.ID]],Main3WData[PT.LastID.Row]))=Main3WData[[#This Row],[PT.LastID.Row]]</f>
        <v>0</v>
      </c>
    </row>
    <row r="379" spans="2:18" ht="16.5" customHeight="1" x14ac:dyDescent="0.2">
      <c r="B379" s="55" t="s">
        <v>64</v>
      </c>
      <c r="C379" s="27" t="str">
        <f>INDEX(Organizations[],MATCH(Main3WData[[#This Row],[Acronym]],AcronymList,0),1)</f>
        <v>CDC</v>
      </c>
      <c r="D379" s="27" t="str">
        <f>INDEX(Organizations[],MATCH(Main3WData[[#This Row],[Acronym]],AcronymList,0),3)</f>
        <v>International NGO</v>
      </c>
      <c r="E379" s="54" t="s">
        <v>351</v>
      </c>
      <c r="F379" s="53" t="s">
        <v>82</v>
      </c>
      <c r="G379" s="54" t="s">
        <v>386</v>
      </c>
      <c r="H379" s="28" t="str">
        <f>VLOOKUP(Main3WData[[#This Row],[Admin Unit Name]],AdminUnits[],2,FALSE)</f>
        <v>GIN004001</v>
      </c>
      <c r="I379" s="57">
        <v>0</v>
      </c>
      <c r="J379" s="67" t="str">
        <f>Main3WData[[#This Row],[Acronym]]&amp;Main3WData[[#This Row],[Sector]]&amp;Main3WData[[#This Row],[Activity Type]]&amp;Main3WData[[#This Row],[Pcode]]</f>
        <v>CDCSurveillance &amp; suiviOngoingGIN004001</v>
      </c>
      <c r="K379" s="69">
        <f>COUNTIF(Main3WData[Concatenate],Main3WData[[#This Row],[Concatenate]])</f>
        <v>1</v>
      </c>
      <c r="L379" s="61" t="str">
        <f>Main3WData[[#This Row],[Sector]]&amp;Main3WData[[#This Row],[Pcode]]</f>
        <v>Surveillance &amp; suiviGIN004001</v>
      </c>
      <c r="M379" s="71">
        <f>COUNTIF($L$5:L379,Main3WData[[#This Row],[PT.Concat]])</f>
        <v>6</v>
      </c>
      <c r="N379" s="70">
        <f>MATCH(Main3WData[[#This Row],[PT.Concat]],$L$5:L379,0)</f>
        <v>370</v>
      </c>
      <c r="O379" s="62" t="b">
        <f>Main3WData[[#This Row],[Count PT.Concat]]=1</f>
        <v>0</v>
      </c>
      <c r="P379" s="62">
        <f t="array" ref="P379">MAX(($N$4:N378=Main3WData[[#This Row],[PT.ID]])*ROW($N$4:N378))</f>
        <v>378</v>
      </c>
      <c r="Q379" s="62" t="str">
        <f>IF(Main3WData[[#This Row],[PT.FirstID]],Main3WData[[#This Row],[Acronym]],INDEX($Q$4:Q378,Main3WData[[#This Row],[PT.LastID.Row]]-ROW($Q$4)+1) &amp; ", "&amp;Main3WData[[#This Row],[Acronym]])</f>
        <v>USAID, UNFPA, save the Children, OMS, Columbia Univ, CDC</v>
      </c>
      <c r="R379" s="62" t="b">
        <f t="array" ref="R379">MAX(IF(Main3WData[PT.ID]=Main3WData[[#This Row],[PT.ID]],Main3WData[PT.LastID.Row]))=Main3WData[[#This Row],[PT.LastID.Row]]</f>
        <v>1</v>
      </c>
    </row>
    <row r="380" spans="2:18" ht="16.5" customHeight="1" x14ac:dyDescent="0.2">
      <c r="B380" s="55" t="s">
        <v>71</v>
      </c>
      <c r="C380" s="27" t="str">
        <f>INDEX(Organizations[],MATCH(Main3WData[[#This Row],[Acronym]],AcronymList,0),1)</f>
        <v>Medecins sans Frontieres</v>
      </c>
      <c r="D380" s="27" t="str">
        <f>INDEX(Organizations[],MATCH(Main3WData[[#This Row],[Acronym]],AcronymList,0),3)</f>
        <v>International NGO</v>
      </c>
      <c r="E380" s="54" t="s">
        <v>352</v>
      </c>
      <c r="F380" s="53" t="s">
        <v>82</v>
      </c>
      <c r="G380" s="54" t="s">
        <v>386</v>
      </c>
      <c r="H380" s="28" t="str">
        <f>VLOOKUP(Main3WData[[#This Row],[Admin Unit Name]],AdminUnits[],2,FALSE)</f>
        <v>GIN004001</v>
      </c>
      <c r="I380" s="57">
        <v>0</v>
      </c>
      <c r="J380" s="67" t="str">
        <f>Main3WData[[#This Row],[Acronym]]&amp;Main3WData[[#This Row],[Sector]]&amp;Main3WData[[#This Row],[Activity Type]]&amp;Main3WData[[#This Row],[Pcode]]</f>
        <v>MSFTransport &amp; diagnostiquesOngoingGIN004001</v>
      </c>
      <c r="K380" s="69">
        <f>COUNTIF(Main3WData[Concatenate],Main3WData[[#This Row],[Concatenate]])</f>
        <v>1</v>
      </c>
      <c r="L380" s="61" t="str">
        <f>Main3WData[[#This Row],[Sector]]&amp;Main3WData[[#This Row],[Pcode]]</f>
        <v>Transport &amp; diagnostiquesGIN004001</v>
      </c>
      <c r="M380" s="71">
        <f>COUNTIF($L$5:L380,Main3WData[[#This Row],[PT.Concat]])</f>
        <v>1</v>
      </c>
      <c r="N380" s="70">
        <f>MATCH(Main3WData[[#This Row],[PT.Concat]],$L$5:L380,0)</f>
        <v>376</v>
      </c>
      <c r="O380" s="62" t="b">
        <f>Main3WData[[#This Row],[Count PT.Concat]]=1</f>
        <v>1</v>
      </c>
      <c r="P380" s="62">
        <f t="array" ref="P380">MAX(($N$4:N379=Main3WData[[#This Row],[PT.ID]])*ROW($N$4:N379))</f>
        <v>0</v>
      </c>
      <c r="Q380" s="62" t="str">
        <f>IF(Main3WData[[#This Row],[PT.FirstID]],Main3WData[[#This Row],[Acronym]],INDEX($Q$4:Q379,Main3WData[[#This Row],[PT.LastID.Row]]-ROW($Q$4)+1) &amp; ", "&amp;Main3WData[[#This Row],[Acronym]])</f>
        <v>MSF</v>
      </c>
      <c r="R380" s="62" t="b">
        <f t="array" ref="R380">MAX(IF(Main3WData[PT.ID]=Main3WData[[#This Row],[PT.ID]],Main3WData[PT.LastID.Row]))=Main3WData[[#This Row],[PT.LastID.Row]]</f>
        <v>0</v>
      </c>
    </row>
    <row r="381" spans="2:18" ht="16.5" customHeight="1" x14ac:dyDescent="0.2">
      <c r="B381" s="55" t="s">
        <v>494</v>
      </c>
      <c r="C381" s="27" t="str">
        <f>INDEX(Organizations[],MATCH(Main3WData[[#This Row],[Acronym]],AcronymList,0),1)</f>
        <v>Cellule Nationale de lutte contre Ebola</v>
      </c>
      <c r="D381" s="27" t="str">
        <f>INDEX(Organizations[],MATCH(Main3WData[[#This Row],[Acronym]],AcronymList,0),3)</f>
        <v>Goverment</v>
      </c>
      <c r="E381" s="54" t="s">
        <v>352</v>
      </c>
      <c r="F381" s="53" t="s">
        <v>82</v>
      </c>
      <c r="G381" s="54" t="s">
        <v>386</v>
      </c>
      <c r="H381" s="28" t="str">
        <f>VLOOKUP(Main3WData[[#This Row],[Admin Unit Name]],AdminUnits[],2,FALSE)</f>
        <v>GIN004001</v>
      </c>
      <c r="I381" s="57">
        <v>0</v>
      </c>
      <c r="J381" s="67" t="str">
        <f>Main3WData[[#This Row],[Acronym]]&amp;Main3WData[[#This Row],[Sector]]&amp;Main3WData[[#This Row],[Activity Type]]&amp;Main3WData[[#This Row],[Pcode]]</f>
        <v>CELLULETransport &amp; diagnostiquesOngoingGIN004001</v>
      </c>
      <c r="K381" s="69">
        <f>COUNTIF(Main3WData[Concatenate],Main3WData[[#This Row],[Concatenate]])</f>
        <v>1</v>
      </c>
      <c r="L381" s="61" t="str">
        <f>Main3WData[[#This Row],[Sector]]&amp;Main3WData[[#This Row],[Pcode]]</f>
        <v>Transport &amp; diagnostiquesGIN004001</v>
      </c>
      <c r="M381" s="71">
        <f>COUNTIF($L$5:L381,Main3WData[[#This Row],[PT.Concat]])</f>
        <v>2</v>
      </c>
      <c r="N381" s="70">
        <f>MATCH(Main3WData[[#This Row],[PT.Concat]],$L$5:L381,0)</f>
        <v>376</v>
      </c>
      <c r="O381" s="62" t="b">
        <f>Main3WData[[#This Row],[Count PT.Concat]]=1</f>
        <v>0</v>
      </c>
      <c r="P381" s="62">
        <f t="array" ref="P381">MAX(($N$4:N380=Main3WData[[#This Row],[PT.ID]])*ROW($N$4:N380))</f>
        <v>380</v>
      </c>
      <c r="Q381" s="62" t="str">
        <f>IF(Main3WData[[#This Row],[PT.FirstID]],Main3WData[[#This Row],[Acronym]],INDEX($Q$4:Q380,Main3WData[[#This Row],[PT.LastID.Row]]-ROW($Q$4)+1) &amp; ", "&amp;Main3WData[[#This Row],[Acronym]])</f>
        <v>MSF, CELLULE</v>
      </c>
      <c r="R381" s="62" t="b">
        <f t="array" ref="R381">MAX(IF(Main3WData[PT.ID]=Main3WData[[#This Row],[PT.ID]],Main3WData[PT.LastID.Row]))=Main3WData[[#This Row],[PT.LastID.Row]]</f>
        <v>1</v>
      </c>
    </row>
    <row r="382" spans="2:18" ht="16.5" customHeight="1" x14ac:dyDescent="0.2">
      <c r="B382" s="55" t="s">
        <v>77</v>
      </c>
      <c r="C382" s="27" t="str">
        <f>INDEX(Organizations[],MATCH(Main3WData[[#This Row],[Acronym]],AcronymList,0),1)</f>
        <v>United Nations Children's Fund</v>
      </c>
      <c r="D382" s="27" t="str">
        <f>INDEX(Organizations[],MATCH(Main3WData[[#This Row],[Acronym]],AcronymList,0),3)</f>
        <v>UN Agency</v>
      </c>
      <c r="E382" s="54" t="s">
        <v>350</v>
      </c>
      <c r="F382" s="53" t="s">
        <v>82</v>
      </c>
      <c r="G382" s="54" t="s">
        <v>388</v>
      </c>
      <c r="H382" s="28" t="str">
        <f>VLOOKUP(Main3WData[[#This Row],[Admin Unit Name]],AdminUnits[],2,FALSE)</f>
        <v>GIN004002</v>
      </c>
      <c r="I382" s="57">
        <v>0</v>
      </c>
      <c r="J382" s="67" t="str">
        <f>Main3WData[[#This Row],[Acronym]]&amp;Main3WData[[#This Row],[Sector]]&amp;Main3WData[[#This Row],[Activity Type]]&amp;Main3WData[[#This Row],[Pcode]]</f>
        <v>UNICEFCommunication/Mobilisation socialeOngoingGIN004002</v>
      </c>
      <c r="K382" s="69">
        <f>COUNTIF(Main3WData[Concatenate],Main3WData[[#This Row],[Concatenate]])</f>
        <v>1</v>
      </c>
      <c r="L382" s="61" t="str">
        <f>Main3WData[[#This Row],[Sector]]&amp;Main3WData[[#This Row],[Pcode]]</f>
        <v>Communication/Mobilisation socialeGIN004002</v>
      </c>
      <c r="M382" s="71">
        <f>COUNTIF($L$5:L382,Main3WData[[#This Row],[PT.Concat]])</f>
        <v>1</v>
      </c>
      <c r="N382" s="70">
        <f>MATCH(Main3WData[[#This Row],[PT.Concat]],$L$5:L382,0)</f>
        <v>378</v>
      </c>
      <c r="O382" s="62" t="b">
        <f>Main3WData[[#This Row],[Count PT.Concat]]=1</f>
        <v>1</v>
      </c>
      <c r="P382" s="62">
        <f t="array" ref="P382">MAX(($N$4:N381=Main3WData[[#This Row],[PT.ID]])*ROW($N$4:N381))</f>
        <v>0</v>
      </c>
      <c r="Q382" s="62" t="str">
        <f>IF(Main3WData[[#This Row],[PT.FirstID]],Main3WData[[#This Row],[Acronym]],INDEX($Q$4:Q381,Main3WData[[#This Row],[PT.LastID.Row]]-ROW($Q$4)+1) &amp; ", "&amp;Main3WData[[#This Row],[Acronym]])</f>
        <v>UNICEF</v>
      </c>
      <c r="R382" s="62" t="b">
        <f t="array" ref="R382">MAX(IF(Main3WData[PT.ID]=Main3WData[[#This Row],[PT.ID]],Main3WData[PT.LastID.Row]))=Main3WData[[#This Row],[PT.LastID.Row]]</f>
        <v>0</v>
      </c>
    </row>
    <row r="383" spans="2:18" ht="16.5" customHeight="1" x14ac:dyDescent="0.2">
      <c r="B383" s="55" t="s">
        <v>75</v>
      </c>
      <c r="C383" s="27" t="str">
        <f>INDEX(Organizations[],MATCH(Main3WData[[#This Row],[Acronym]],AcronymList,0),1)</f>
        <v>United Nations Population Fund</v>
      </c>
      <c r="D383" s="27" t="str">
        <f>INDEX(Organizations[],MATCH(Main3WData[[#This Row],[Acronym]],AcronymList,0),3)</f>
        <v>UN Agency</v>
      </c>
      <c r="E383" s="54" t="s">
        <v>350</v>
      </c>
      <c r="F383" s="53" t="s">
        <v>82</v>
      </c>
      <c r="G383" s="54" t="s">
        <v>388</v>
      </c>
      <c r="H383" s="28" t="str">
        <f>VLOOKUP(Main3WData[[#This Row],[Admin Unit Name]],AdminUnits[],2,FALSE)</f>
        <v>GIN004002</v>
      </c>
      <c r="I383" s="57">
        <v>0</v>
      </c>
      <c r="J383" s="67" t="str">
        <f>Main3WData[[#This Row],[Acronym]]&amp;Main3WData[[#This Row],[Sector]]&amp;Main3WData[[#This Row],[Activity Type]]&amp;Main3WData[[#This Row],[Pcode]]</f>
        <v>UNFPACommunication/Mobilisation socialeOngoingGIN004002</v>
      </c>
      <c r="K383" s="69">
        <f>COUNTIF(Main3WData[Concatenate],Main3WData[[#This Row],[Concatenate]])</f>
        <v>1</v>
      </c>
      <c r="L383" s="61" t="str">
        <f>Main3WData[[#This Row],[Sector]]&amp;Main3WData[[#This Row],[Pcode]]</f>
        <v>Communication/Mobilisation socialeGIN004002</v>
      </c>
      <c r="M383" s="71">
        <f>COUNTIF($L$5:L383,Main3WData[[#This Row],[PT.Concat]])</f>
        <v>2</v>
      </c>
      <c r="N383" s="70">
        <f>MATCH(Main3WData[[#This Row],[PT.Concat]],$L$5:L383,0)</f>
        <v>378</v>
      </c>
      <c r="O383" s="62" t="b">
        <f>Main3WData[[#This Row],[Count PT.Concat]]=1</f>
        <v>0</v>
      </c>
      <c r="P383" s="62">
        <f t="array" ref="P383">MAX(($N$4:N382=Main3WData[[#This Row],[PT.ID]])*ROW($N$4:N382))</f>
        <v>382</v>
      </c>
      <c r="Q383" s="62" t="str">
        <f>IF(Main3WData[[#This Row],[PT.FirstID]],Main3WData[[#This Row],[Acronym]],INDEX($Q$4:Q382,Main3WData[[#This Row],[PT.LastID.Row]]-ROW($Q$4)+1) &amp; ", "&amp;Main3WData[[#This Row],[Acronym]])</f>
        <v>UNICEF, UNFPA</v>
      </c>
      <c r="R383" s="62" t="b">
        <f t="array" ref="R383">MAX(IF(Main3WData[PT.ID]=Main3WData[[#This Row],[PT.ID]],Main3WData[PT.LastID.Row]))=Main3WData[[#This Row],[PT.LastID.Row]]</f>
        <v>0</v>
      </c>
    </row>
    <row r="384" spans="2:18" ht="16.5" customHeight="1" x14ac:dyDescent="0.2">
      <c r="B384" s="55" t="s">
        <v>73</v>
      </c>
      <c r="C384" s="27" t="str">
        <f>INDEX(Organizations[],MATCH(Main3WData[[#This Row],[Acronym]],AcronymList,0),1)</f>
        <v>Save the Children</v>
      </c>
      <c r="D384" s="27" t="str">
        <f>INDEX(Organizations[],MATCH(Main3WData[[#This Row],[Acronym]],AcronymList,0),3)</f>
        <v>International NGO</v>
      </c>
      <c r="E384" s="54" t="s">
        <v>350</v>
      </c>
      <c r="F384" s="53" t="s">
        <v>82</v>
      </c>
      <c r="G384" s="54" t="s">
        <v>388</v>
      </c>
      <c r="H384" s="28" t="str">
        <f>VLOOKUP(Main3WData[[#This Row],[Admin Unit Name]],AdminUnits[],2,FALSE)</f>
        <v>GIN004002</v>
      </c>
      <c r="I384" s="57">
        <v>0</v>
      </c>
      <c r="J384" s="67" t="str">
        <f>Main3WData[[#This Row],[Acronym]]&amp;Main3WData[[#This Row],[Sector]]&amp;Main3WData[[#This Row],[Activity Type]]&amp;Main3WData[[#This Row],[Pcode]]</f>
        <v>Save the ChildrenCommunication/Mobilisation socialeOngoingGIN004002</v>
      </c>
      <c r="K384" s="69">
        <f>COUNTIF(Main3WData[Concatenate],Main3WData[[#This Row],[Concatenate]])</f>
        <v>1</v>
      </c>
      <c r="L384" s="61" t="str">
        <f>Main3WData[[#This Row],[Sector]]&amp;Main3WData[[#This Row],[Pcode]]</f>
        <v>Communication/Mobilisation socialeGIN004002</v>
      </c>
      <c r="M384" s="71">
        <f>COUNTIF($L$5:L384,Main3WData[[#This Row],[PT.Concat]])</f>
        <v>3</v>
      </c>
      <c r="N384" s="70">
        <f>MATCH(Main3WData[[#This Row],[PT.Concat]],$L$5:L384,0)</f>
        <v>378</v>
      </c>
      <c r="O384" s="62" t="b">
        <f>Main3WData[[#This Row],[Count PT.Concat]]=1</f>
        <v>0</v>
      </c>
      <c r="P384" s="62">
        <f t="array" ref="P384">MAX(($N$4:N383=Main3WData[[#This Row],[PT.ID]])*ROW($N$4:N383))</f>
        <v>383</v>
      </c>
      <c r="Q384" s="62" t="str">
        <f>IF(Main3WData[[#This Row],[PT.FirstID]],Main3WData[[#This Row],[Acronym]],INDEX($Q$4:Q383,Main3WData[[#This Row],[PT.LastID.Row]]-ROW($Q$4)+1) &amp; ", "&amp;Main3WData[[#This Row],[Acronym]])</f>
        <v>UNICEF, UNFPA, Save the Children</v>
      </c>
      <c r="R384" s="62" t="b">
        <f t="array" ref="R384">MAX(IF(Main3WData[PT.ID]=Main3WData[[#This Row],[PT.ID]],Main3WData[PT.LastID.Row]))=Main3WData[[#This Row],[PT.LastID.Row]]</f>
        <v>0</v>
      </c>
    </row>
    <row r="385" spans="2:18" ht="16.5" customHeight="1" x14ac:dyDescent="0.2">
      <c r="B385" s="55" t="s">
        <v>72</v>
      </c>
      <c r="C385" s="27" t="str">
        <f>INDEX(Organizations[],MATCH(Main3WData[[#This Row],[Acronym]],AcronymList,0),1)</f>
        <v>PLAN</v>
      </c>
      <c r="D385" s="27" t="str">
        <f>INDEX(Organizations[],MATCH(Main3WData[[#This Row],[Acronym]],AcronymList,0),3)</f>
        <v>International Organization</v>
      </c>
      <c r="E385" s="54" t="s">
        <v>350</v>
      </c>
      <c r="F385" s="53" t="s">
        <v>82</v>
      </c>
      <c r="G385" s="54" t="s">
        <v>388</v>
      </c>
      <c r="H385" s="28" t="str">
        <f>VLOOKUP(Main3WData[[#This Row],[Admin Unit Name]],AdminUnits[],2,FALSE)</f>
        <v>GIN004002</v>
      </c>
      <c r="I385" s="57">
        <v>0</v>
      </c>
      <c r="J385" s="67" t="str">
        <f>Main3WData[[#This Row],[Acronym]]&amp;Main3WData[[#This Row],[Sector]]&amp;Main3WData[[#This Row],[Activity Type]]&amp;Main3WData[[#This Row],[Pcode]]</f>
        <v>PLANCommunication/Mobilisation socialeOngoingGIN004002</v>
      </c>
      <c r="K385" s="69">
        <f>COUNTIF(Main3WData[Concatenate],Main3WData[[#This Row],[Concatenate]])</f>
        <v>1</v>
      </c>
      <c r="L385" s="61" t="str">
        <f>Main3WData[[#This Row],[Sector]]&amp;Main3WData[[#This Row],[Pcode]]</f>
        <v>Communication/Mobilisation socialeGIN004002</v>
      </c>
      <c r="M385" s="71">
        <f>COUNTIF($L$5:L385,Main3WData[[#This Row],[PT.Concat]])</f>
        <v>4</v>
      </c>
      <c r="N385" s="70">
        <f>MATCH(Main3WData[[#This Row],[PT.Concat]],$L$5:L385,0)</f>
        <v>378</v>
      </c>
      <c r="O385" s="62" t="b">
        <f>Main3WData[[#This Row],[Count PT.Concat]]=1</f>
        <v>0</v>
      </c>
      <c r="P385" s="62">
        <f t="array" ref="P385">MAX(($N$4:N384=Main3WData[[#This Row],[PT.ID]])*ROW($N$4:N384))</f>
        <v>384</v>
      </c>
      <c r="Q385" s="62" t="str">
        <f>IF(Main3WData[[#This Row],[PT.FirstID]],Main3WData[[#This Row],[Acronym]],INDEX($Q$4:Q384,Main3WData[[#This Row],[PT.LastID.Row]]-ROW($Q$4)+1) &amp; ", "&amp;Main3WData[[#This Row],[Acronym]])</f>
        <v>UNICEF, UNFPA, Save the Children, PLAN</v>
      </c>
      <c r="R385" s="62" t="b">
        <f t="array" ref="R385">MAX(IF(Main3WData[PT.ID]=Main3WData[[#This Row],[PT.ID]],Main3WData[PT.LastID.Row]))=Main3WData[[#This Row],[PT.LastID.Row]]</f>
        <v>0</v>
      </c>
    </row>
    <row r="386" spans="2:18" ht="16.5" customHeight="1" x14ac:dyDescent="0.2">
      <c r="B386" s="55" t="s">
        <v>512</v>
      </c>
      <c r="C386" s="27" t="str">
        <f>INDEX(Organizations[],MATCH(Main3WData[[#This Row],[Acronym]],AcronymList,0),1)</f>
        <v>World Health Organization</v>
      </c>
      <c r="D386" s="27" t="str">
        <f>INDEX(Organizations[],MATCH(Main3WData[[#This Row],[Acronym]],AcronymList,0),3)</f>
        <v>UN Agency</v>
      </c>
      <c r="E386" s="54" t="s">
        <v>350</v>
      </c>
      <c r="F386" s="53" t="s">
        <v>82</v>
      </c>
      <c r="G386" s="54" t="s">
        <v>388</v>
      </c>
      <c r="H386" s="28" t="str">
        <f>VLOOKUP(Main3WData[[#This Row],[Admin Unit Name]],AdminUnits[],2,FALSE)</f>
        <v>GIN004002</v>
      </c>
      <c r="I386" s="57">
        <v>0</v>
      </c>
      <c r="J386" s="67" t="str">
        <f>Main3WData[[#This Row],[Acronym]]&amp;Main3WData[[#This Row],[Sector]]&amp;Main3WData[[#This Row],[Activity Type]]&amp;Main3WData[[#This Row],[Pcode]]</f>
        <v>OMSCommunication/Mobilisation socialeOngoingGIN004002</v>
      </c>
      <c r="K386" s="69">
        <f>COUNTIF(Main3WData[Concatenate],Main3WData[[#This Row],[Concatenate]])</f>
        <v>1</v>
      </c>
      <c r="L386" s="61" t="str">
        <f>Main3WData[[#This Row],[Sector]]&amp;Main3WData[[#This Row],[Pcode]]</f>
        <v>Communication/Mobilisation socialeGIN004002</v>
      </c>
      <c r="M386" s="71">
        <f>COUNTIF($L$5:L386,Main3WData[[#This Row],[PT.Concat]])</f>
        <v>5</v>
      </c>
      <c r="N386" s="70">
        <f>MATCH(Main3WData[[#This Row],[PT.Concat]],$L$5:L386,0)</f>
        <v>378</v>
      </c>
      <c r="O386" s="62" t="b">
        <f>Main3WData[[#This Row],[Count PT.Concat]]=1</f>
        <v>0</v>
      </c>
      <c r="P386" s="62">
        <f t="array" ref="P386">MAX(($N$4:N385=Main3WData[[#This Row],[PT.ID]])*ROW($N$4:N385))</f>
        <v>385</v>
      </c>
      <c r="Q386" s="62" t="str">
        <f>IF(Main3WData[[#This Row],[PT.FirstID]],Main3WData[[#This Row],[Acronym]],INDEX($Q$4:Q385,Main3WData[[#This Row],[PT.LastID.Row]]-ROW($Q$4)+1) &amp; ", "&amp;Main3WData[[#This Row],[Acronym]])</f>
        <v>UNICEF, UNFPA, Save the Children, PLAN, OMS</v>
      </c>
      <c r="R386" s="62" t="b">
        <f t="array" ref="R386">MAX(IF(Main3WData[PT.ID]=Main3WData[[#This Row],[PT.ID]],Main3WData[PT.LastID.Row]))=Main3WData[[#This Row],[PT.LastID.Row]]</f>
        <v>0</v>
      </c>
    </row>
    <row r="387" spans="2:18" ht="16.5" customHeight="1" x14ac:dyDescent="0.2">
      <c r="B387" s="55" t="s">
        <v>499</v>
      </c>
      <c r="C387" s="27" t="str">
        <f>INDEX(Organizations[],MATCH(Main3WData[[#This Row],[Acronym]],AcronymList,0),1)</f>
        <v>Croix-Rouge Guinée/Fédération internationale de la Croix-Rouge</v>
      </c>
      <c r="D387" s="27" t="str">
        <f>INDEX(Organizations[],MATCH(Main3WData[[#This Row],[Acronym]],AcronymList,0),3)</f>
        <v>International Organization</v>
      </c>
      <c r="E387" s="54" t="s">
        <v>350</v>
      </c>
      <c r="F387" s="53" t="s">
        <v>82</v>
      </c>
      <c r="G387" s="54" t="s">
        <v>388</v>
      </c>
      <c r="H387" s="28" t="str">
        <f>VLOOKUP(Main3WData[[#This Row],[Admin Unit Name]],AdminUnits[],2,FALSE)</f>
        <v>GIN004002</v>
      </c>
      <c r="I387" s="57">
        <v>0</v>
      </c>
      <c r="J387" s="67" t="str">
        <f>Main3WData[[#This Row],[Acronym]]&amp;Main3WData[[#This Row],[Sector]]&amp;Main3WData[[#This Row],[Activity Type]]&amp;Main3WData[[#This Row],[Pcode]]</f>
        <v>CRG/FICRCommunication/Mobilisation socialeOngoingGIN004002</v>
      </c>
      <c r="K387" s="69">
        <f>COUNTIF(Main3WData[Concatenate],Main3WData[[#This Row],[Concatenate]])</f>
        <v>1</v>
      </c>
      <c r="L387" s="61" t="str">
        <f>Main3WData[[#This Row],[Sector]]&amp;Main3WData[[#This Row],[Pcode]]</f>
        <v>Communication/Mobilisation socialeGIN004002</v>
      </c>
      <c r="M387" s="71">
        <f>COUNTIF($L$5:L387,Main3WData[[#This Row],[PT.Concat]])</f>
        <v>6</v>
      </c>
      <c r="N387" s="70">
        <f>MATCH(Main3WData[[#This Row],[PT.Concat]],$L$5:L387,0)</f>
        <v>378</v>
      </c>
      <c r="O387" s="62" t="b">
        <f>Main3WData[[#This Row],[Count PT.Concat]]=1</f>
        <v>0</v>
      </c>
      <c r="P387" s="62">
        <f t="array" ref="P387">MAX(($N$4:N386=Main3WData[[#This Row],[PT.ID]])*ROW($N$4:N386))</f>
        <v>386</v>
      </c>
      <c r="Q387" s="62" t="str">
        <f>IF(Main3WData[[#This Row],[PT.FirstID]],Main3WData[[#This Row],[Acronym]],INDEX($Q$4:Q386,Main3WData[[#This Row],[PT.LastID.Row]]-ROW($Q$4)+1) &amp; ", "&amp;Main3WData[[#This Row],[Acronym]])</f>
        <v>UNICEF, UNFPA, Save the Children, PLAN, OMS, CRG/FICR</v>
      </c>
      <c r="R387" s="62" t="b">
        <f t="array" ref="R387">MAX(IF(Main3WData[PT.ID]=Main3WData[[#This Row],[PT.ID]],Main3WData[PT.LastID.Row]))=Main3WData[[#This Row],[PT.LastID.Row]]</f>
        <v>1</v>
      </c>
    </row>
    <row r="388" spans="2:18" ht="16.5" customHeight="1" x14ac:dyDescent="0.2">
      <c r="B388" s="55" t="s">
        <v>516</v>
      </c>
      <c r="C388" s="27" t="str">
        <f>INDEX(Organizations[],MATCH(Main3WData[[#This Row],[Acronym]],AcronymList,0),1)</f>
        <v>UNITED NATION MISSION FOR EBOLA  EMERGENCY RESPONSE</v>
      </c>
      <c r="D388" s="27" t="str">
        <f>INDEX(Organizations[],MATCH(Main3WData[[#This Row],[Acronym]],AcronymList,0),3)</f>
        <v>UN Agency</v>
      </c>
      <c r="E388" s="54" t="s">
        <v>360</v>
      </c>
      <c r="F388" s="53" t="s">
        <v>82</v>
      </c>
      <c r="G388" s="54" t="s">
        <v>388</v>
      </c>
      <c r="H388" s="28" t="str">
        <f>VLOOKUP(Main3WData[[#This Row],[Admin Unit Name]],AdminUnits[],2,FALSE)</f>
        <v>GIN004002</v>
      </c>
      <c r="I388" s="57">
        <v>0</v>
      </c>
      <c r="J388" s="67" t="str">
        <f>Main3WData[[#This Row],[Acronym]]&amp;Main3WData[[#This Row],[Sector]]&amp;Main3WData[[#This Row],[Activity Type]]&amp;Main3WData[[#This Row],[Pcode]]</f>
        <v>UNMEERCoordinationOngoingGIN004002</v>
      </c>
      <c r="K388" s="69">
        <f>COUNTIF(Main3WData[Concatenate],Main3WData[[#This Row],[Concatenate]])</f>
        <v>1</v>
      </c>
      <c r="L388" s="61" t="str">
        <f>Main3WData[[#This Row],[Sector]]&amp;Main3WData[[#This Row],[Pcode]]</f>
        <v>CoordinationGIN004002</v>
      </c>
      <c r="M388" s="71">
        <f>COUNTIF($L$5:L388,Main3WData[[#This Row],[PT.Concat]])</f>
        <v>1</v>
      </c>
      <c r="N388" s="70">
        <f>MATCH(Main3WData[[#This Row],[PT.Concat]],$L$5:L388,0)</f>
        <v>384</v>
      </c>
      <c r="O388" s="62" t="b">
        <f>Main3WData[[#This Row],[Count PT.Concat]]=1</f>
        <v>1</v>
      </c>
      <c r="P388" s="62">
        <f t="array" ref="P388">MAX(($N$4:N387=Main3WData[[#This Row],[PT.ID]])*ROW($N$4:N387))</f>
        <v>0</v>
      </c>
      <c r="Q388" s="62" t="str">
        <f>IF(Main3WData[[#This Row],[PT.FirstID]],Main3WData[[#This Row],[Acronym]],INDEX($Q$4:Q387,Main3WData[[#This Row],[PT.LastID.Row]]-ROW($Q$4)+1) &amp; ", "&amp;Main3WData[[#This Row],[Acronym]])</f>
        <v>UNMEER</v>
      </c>
      <c r="R388" s="62" t="b">
        <f t="array" ref="R388">MAX(IF(Main3WData[PT.ID]=Main3WData[[#This Row],[PT.ID]],Main3WData[PT.LastID.Row]))=Main3WData[[#This Row],[PT.LastID.Row]]</f>
        <v>0</v>
      </c>
    </row>
    <row r="389" spans="2:18" ht="16.5" customHeight="1" x14ac:dyDescent="0.2">
      <c r="B389" s="55" t="s">
        <v>75</v>
      </c>
      <c r="C389" s="27" t="str">
        <f>INDEX(Organizations[],MATCH(Main3WData[[#This Row],[Acronym]],AcronymList,0),1)</f>
        <v>United Nations Population Fund</v>
      </c>
      <c r="D389" s="27" t="str">
        <f>INDEX(Organizations[],MATCH(Main3WData[[#This Row],[Acronym]],AcronymList,0),3)</f>
        <v>UN Agency</v>
      </c>
      <c r="E389" s="54" t="s">
        <v>360</v>
      </c>
      <c r="F389" s="53" t="s">
        <v>82</v>
      </c>
      <c r="G389" s="54" t="s">
        <v>388</v>
      </c>
      <c r="H389" s="28" t="str">
        <f>VLOOKUP(Main3WData[[#This Row],[Admin Unit Name]],AdminUnits[],2,FALSE)</f>
        <v>GIN004002</v>
      </c>
      <c r="I389" s="57">
        <v>0</v>
      </c>
      <c r="J389" s="67" t="str">
        <f>Main3WData[[#This Row],[Acronym]]&amp;Main3WData[[#This Row],[Sector]]&amp;Main3WData[[#This Row],[Activity Type]]&amp;Main3WData[[#This Row],[Pcode]]</f>
        <v>UNFPACoordinationOngoingGIN004002</v>
      </c>
      <c r="K389" s="69">
        <f>COUNTIF(Main3WData[Concatenate],Main3WData[[#This Row],[Concatenate]])</f>
        <v>1</v>
      </c>
      <c r="L389" s="61" t="str">
        <f>Main3WData[[#This Row],[Sector]]&amp;Main3WData[[#This Row],[Pcode]]</f>
        <v>CoordinationGIN004002</v>
      </c>
      <c r="M389" s="71">
        <f>COUNTIF($L$5:L389,Main3WData[[#This Row],[PT.Concat]])</f>
        <v>2</v>
      </c>
      <c r="N389" s="70">
        <f>MATCH(Main3WData[[#This Row],[PT.Concat]],$L$5:L389,0)</f>
        <v>384</v>
      </c>
      <c r="O389" s="62" t="b">
        <f>Main3WData[[#This Row],[Count PT.Concat]]=1</f>
        <v>0</v>
      </c>
      <c r="P389" s="62">
        <f t="array" ref="P389">MAX(($N$4:N388=Main3WData[[#This Row],[PT.ID]])*ROW($N$4:N388))</f>
        <v>388</v>
      </c>
      <c r="Q389" s="62" t="str">
        <f>IF(Main3WData[[#This Row],[PT.FirstID]],Main3WData[[#This Row],[Acronym]],INDEX($Q$4:Q388,Main3WData[[#This Row],[PT.LastID.Row]]-ROW($Q$4)+1) &amp; ", "&amp;Main3WData[[#This Row],[Acronym]])</f>
        <v>UNMEER, UNFPA</v>
      </c>
      <c r="R389" s="62" t="b">
        <f t="array" ref="R389">MAX(IF(Main3WData[PT.ID]=Main3WData[[#This Row],[PT.ID]],Main3WData[PT.LastID.Row]))=Main3WData[[#This Row],[PT.LastID.Row]]</f>
        <v>0</v>
      </c>
    </row>
    <row r="390" spans="2:18" ht="16.5" customHeight="1" x14ac:dyDescent="0.2">
      <c r="B390" s="55" t="s">
        <v>473</v>
      </c>
      <c r="C390" s="27" t="str">
        <f>INDEX(Organizations[],MATCH(Main3WData[[#This Row],[Acronym]],AcronymList,0),1)</f>
        <v>United Nations Development Programme</v>
      </c>
      <c r="D390" s="27" t="str">
        <f>INDEX(Organizations[],MATCH(Main3WData[[#This Row],[Acronym]],AcronymList,0),3)</f>
        <v>UN Agency</v>
      </c>
      <c r="E390" s="54" t="s">
        <v>360</v>
      </c>
      <c r="F390" s="53" t="s">
        <v>82</v>
      </c>
      <c r="G390" s="54" t="s">
        <v>388</v>
      </c>
      <c r="H390" s="28" t="str">
        <f>VLOOKUP(Main3WData[[#This Row],[Admin Unit Name]],AdminUnits[],2,FALSE)</f>
        <v>GIN004002</v>
      </c>
      <c r="I390" s="57">
        <v>0</v>
      </c>
      <c r="J390" s="67" t="str">
        <f>Main3WData[[#This Row],[Acronym]]&amp;Main3WData[[#This Row],[Sector]]&amp;Main3WData[[#This Row],[Activity Type]]&amp;Main3WData[[#This Row],[Pcode]]</f>
        <v>UNDPCoordinationOngoingGIN004002</v>
      </c>
      <c r="K390" s="69">
        <f>COUNTIF(Main3WData[Concatenate],Main3WData[[#This Row],[Concatenate]])</f>
        <v>1</v>
      </c>
      <c r="L390" s="61" t="str">
        <f>Main3WData[[#This Row],[Sector]]&amp;Main3WData[[#This Row],[Pcode]]</f>
        <v>CoordinationGIN004002</v>
      </c>
      <c r="M390" s="71">
        <f>COUNTIF($L$5:L390,Main3WData[[#This Row],[PT.Concat]])</f>
        <v>3</v>
      </c>
      <c r="N390" s="70">
        <f>MATCH(Main3WData[[#This Row],[PT.Concat]],$L$5:L390,0)</f>
        <v>384</v>
      </c>
      <c r="O390" s="62" t="b">
        <f>Main3WData[[#This Row],[Count PT.Concat]]=1</f>
        <v>0</v>
      </c>
      <c r="P390" s="62">
        <f t="array" ref="P390">MAX(($N$4:N389=Main3WData[[#This Row],[PT.ID]])*ROW($N$4:N389))</f>
        <v>389</v>
      </c>
      <c r="Q390" s="62" t="str">
        <f>IF(Main3WData[[#This Row],[PT.FirstID]],Main3WData[[#This Row],[Acronym]],INDEX($Q$4:Q389,Main3WData[[#This Row],[PT.LastID.Row]]-ROW($Q$4)+1) &amp; ", "&amp;Main3WData[[#This Row],[Acronym]])</f>
        <v>UNMEER, UNFPA, UNDP</v>
      </c>
      <c r="R390" s="62" t="b">
        <f t="array" ref="R390">MAX(IF(Main3WData[PT.ID]=Main3WData[[#This Row],[PT.ID]],Main3WData[PT.LastID.Row]))=Main3WData[[#This Row],[PT.LastID.Row]]</f>
        <v>0</v>
      </c>
    </row>
    <row r="391" spans="2:18" ht="16.5" customHeight="1" x14ac:dyDescent="0.2">
      <c r="B391" s="55" t="s">
        <v>512</v>
      </c>
      <c r="C391" s="27" t="str">
        <f>INDEX(Organizations[],MATCH(Main3WData[[#This Row],[Acronym]],AcronymList,0),1)</f>
        <v>World Health Organization</v>
      </c>
      <c r="D391" s="27" t="str">
        <f>INDEX(Organizations[],MATCH(Main3WData[[#This Row],[Acronym]],AcronymList,0),3)</f>
        <v>UN Agency</v>
      </c>
      <c r="E391" s="54" t="s">
        <v>360</v>
      </c>
      <c r="F391" s="53" t="s">
        <v>82</v>
      </c>
      <c r="G391" s="54" t="s">
        <v>388</v>
      </c>
      <c r="H391" s="28" t="str">
        <f>VLOOKUP(Main3WData[[#This Row],[Admin Unit Name]],AdminUnits[],2,FALSE)</f>
        <v>GIN004002</v>
      </c>
      <c r="I391" s="57">
        <v>0</v>
      </c>
      <c r="J391" s="67" t="str">
        <f>Main3WData[[#This Row],[Acronym]]&amp;Main3WData[[#This Row],[Sector]]&amp;Main3WData[[#This Row],[Activity Type]]&amp;Main3WData[[#This Row],[Pcode]]</f>
        <v>OMSCoordinationOngoingGIN004002</v>
      </c>
      <c r="K391" s="69">
        <f>COUNTIF(Main3WData[Concatenate],Main3WData[[#This Row],[Concatenate]])</f>
        <v>1</v>
      </c>
      <c r="L391" s="61" t="str">
        <f>Main3WData[[#This Row],[Sector]]&amp;Main3WData[[#This Row],[Pcode]]</f>
        <v>CoordinationGIN004002</v>
      </c>
      <c r="M391" s="71">
        <f>COUNTIF($L$5:L391,Main3WData[[#This Row],[PT.Concat]])</f>
        <v>4</v>
      </c>
      <c r="N391" s="70">
        <f>MATCH(Main3WData[[#This Row],[PT.Concat]],$L$5:L391,0)</f>
        <v>384</v>
      </c>
      <c r="O391" s="62" t="b">
        <f>Main3WData[[#This Row],[Count PT.Concat]]=1</f>
        <v>0</v>
      </c>
      <c r="P391" s="62">
        <f t="array" ref="P391">MAX(($N$4:N390=Main3WData[[#This Row],[PT.ID]])*ROW($N$4:N390))</f>
        <v>390</v>
      </c>
      <c r="Q391" s="62" t="str">
        <f>IF(Main3WData[[#This Row],[PT.FirstID]],Main3WData[[#This Row],[Acronym]],INDEX($Q$4:Q390,Main3WData[[#This Row],[PT.LastID.Row]]-ROW($Q$4)+1) &amp; ", "&amp;Main3WData[[#This Row],[Acronym]])</f>
        <v>UNMEER, UNFPA, UNDP, OMS</v>
      </c>
      <c r="R391" s="62" t="b">
        <f t="array" ref="R391">MAX(IF(Main3WData[PT.ID]=Main3WData[[#This Row],[PT.ID]],Main3WData[PT.LastID.Row]))=Main3WData[[#This Row],[PT.LastID.Row]]</f>
        <v>0</v>
      </c>
    </row>
    <row r="392" spans="2:18" ht="16.5" customHeight="1" x14ac:dyDescent="0.2">
      <c r="B392" s="55" t="s">
        <v>71</v>
      </c>
      <c r="C392" s="27" t="str">
        <f>INDEX(Organizations[],MATCH(Main3WData[[#This Row],[Acronym]],AcronymList,0),1)</f>
        <v>Medecins sans Frontieres</v>
      </c>
      <c r="D392" s="27" t="str">
        <f>INDEX(Organizations[],MATCH(Main3WData[[#This Row],[Acronym]],AcronymList,0),3)</f>
        <v>International NGO</v>
      </c>
      <c r="E392" s="54" t="s">
        <v>360</v>
      </c>
      <c r="F392" s="53" t="s">
        <v>82</v>
      </c>
      <c r="G392" s="54" t="s">
        <v>388</v>
      </c>
      <c r="H392" s="28" t="str">
        <f>VLOOKUP(Main3WData[[#This Row],[Admin Unit Name]],AdminUnits[],2,FALSE)</f>
        <v>GIN004002</v>
      </c>
      <c r="I392" s="57">
        <v>0</v>
      </c>
      <c r="J392" s="67" t="str">
        <f>Main3WData[[#This Row],[Acronym]]&amp;Main3WData[[#This Row],[Sector]]&amp;Main3WData[[#This Row],[Activity Type]]&amp;Main3WData[[#This Row],[Pcode]]</f>
        <v>MSFCoordinationOngoingGIN004002</v>
      </c>
      <c r="K392" s="69">
        <f>COUNTIF(Main3WData[Concatenate],Main3WData[[#This Row],[Concatenate]])</f>
        <v>1</v>
      </c>
      <c r="L392" s="61" t="str">
        <f>Main3WData[[#This Row],[Sector]]&amp;Main3WData[[#This Row],[Pcode]]</f>
        <v>CoordinationGIN004002</v>
      </c>
      <c r="M392" s="71">
        <f>COUNTIF($L$5:L392,Main3WData[[#This Row],[PT.Concat]])</f>
        <v>5</v>
      </c>
      <c r="N392" s="70">
        <f>MATCH(Main3WData[[#This Row],[PT.Concat]],$L$5:L392,0)</f>
        <v>384</v>
      </c>
      <c r="O392" s="62" t="b">
        <f>Main3WData[[#This Row],[Count PT.Concat]]=1</f>
        <v>0</v>
      </c>
      <c r="P392" s="62">
        <f t="array" ref="P392">MAX(($N$4:N391=Main3WData[[#This Row],[PT.ID]])*ROW($N$4:N391))</f>
        <v>391</v>
      </c>
      <c r="Q392" s="62" t="str">
        <f>IF(Main3WData[[#This Row],[PT.FirstID]],Main3WData[[#This Row],[Acronym]],INDEX($Q$4:Q391,Main3WData[[#This Row],[PT.LastID.Row]]-ROW($Q$4)+1) &amp; ", "&amp;Main3WData[[#This Row],[Acronym]])</f>
        <v>UNMEER, UNFPA, UNDP, OMS, MSF</v>
      </c>
      <c r="R392" s="62" t="b">
        <f t="array" ref="R392">MAX(IF(Main3WData[PT.ID]=Main3WData[[#This Row],[PT.ID]],Main3WData[PT.LastID.Row]))=Main3WData[[#This Row],[PT.LastID.Row]]</f>
        <v>0</v>
      </c>
    </row>
    <row r="393" spans="2:18" ht="16.5" customHeight="1" x14ac:dyDescent="0.2">
      <c r="B393" s="55" t="s">
        <v>507</v>
      </c>
      <c r="C393" s="27" t="str">
        <f>INDEX(Organizations[],MATCH(Main3WData[[#This Row],[Acronym]],AcronymList,0),1)</f>
        <v>eHealth Africa</v>
      </c>
      <c r="D393" s="27" t="str">
        <f>INDEX(Organizations[],MATCH(Main3WData[[#This Row],[Acronym]],AcronymList,0),3)</f>
        <v>International Organization</v>
      </c>
      <c r="E393" s="54" t="s">
        <v>360</v>
      </c>
      <c r="F393" s="53" t="s">
        <v>82</v>
      </c>
      <c r="G393" s="54" t="s">
        <v>388</v>
      </c>
      <c r="H393" s="28" t="str">
        <f>VLOOKUP(Main3WData[[#This Row],[Admin Unit Name]],AdminUnits[],2,FALSE)</f>
        <v>GIN004002</v>
      </c>
      <c r="I393" s="57">
        <v>0</v>
      </c>
      <c r="J393" s="67" t="str">
        <f>Main3WData[[#This Row],[Acronym]]&amp;Main3WData[[#This Row],[Sector]]&amp;Main3WData[[#This Row],[Activity Type]]&amp;Main3WData[[#This Row],[Pcode]]</f>
        <v>eHealth AfricaCoordinationOngoingGIN004002</v>
      </c>
      <c r="K393" s="69">
        <f>COUNTIF(Main3WData[Concatenate],Main3WData[[#This Row],[Concatenate]])</f>
        <v>1</v>
      </c>
      <c r="L393" s="61" t="str">
        <f>Main3WData[[#This Row],[Sector]]&amp;Main3WData[[#This Row],[Pcode]]</f>
        <v>CoordinationGIN004002</v>
      </c>
      <c r="M393" s="71">
        <f>COUNTIF($L$5:L393,Main3WData[[#This Row],[PT.Concat]])</f>
        <v>6</v>
      </c>
      <c r="N393" s="70">
        <f>MATCH(Main3WData[[#This Row],[PT.Concat]],$L$5:L393,0)</f>
        <v>384</v>
      </c>
      <c r="O393" s="62" t="b">
        <f>Main3WData[[#This Row],[Count PT.Concat]]=1</f>
        <v>0</v>
      </c>
      <c r="P393" s="62">
        <f t="array" ref="P393">MAX(($N$4:N392=Main3WData[[#This Row],[PT.ID]])*ROW($N$4:N392))</f>
        <v>392</v>
      </c>
      <c r="Q393" s="62" t="str">
        <f>IF(Main3WData[[#This Row],[PT.FirstID]],Main3WData[[#This Row],[Acronym]],INDEX($Q$4:Q392,Main3WData[[#This Row],[PT.LastID.Row]]-ROW($Q$4)+1) &amp; ", "&amp;Main3WData[[#This Row],[Acronym]])</f>
        <v>UNMEER, UNFPA, UNDP, OMS, MSF, eHealth Africa</v>
      </c>
      <c r="R393" s="62" t="b">
        <f t="array" ref="R393">MAX(IF(Main3WData[PT.ID]=Main3WData[[#This Row],[PT.ID]],Main3WData[PT.LastID.Row]))=Main3WData[[#This Row],[PT.LastID.Row]]</f>
        <v>1</v>
      </c>
    </row>
    <row r="394" spans="2:18" ht="16.5" customHeight="1" x14ac:dyDescent="0.2">
      <c r="B394" s="55" t="s">
        <v>473</v>
      </c>
      <c r="C394" s="27" t="str">
        <f>INDEX(Organizations[],MATCH(Main3WData[[#This Row],[Acronym]],AcronymList,0),1)</f>
        <v>United Nations Development Programme</v>
      </c>
      <c r="D394" s="27" t="str">
        <f>INDEX(Organizations[],MATCH(Main3WData[[#This Row],[Acronym]],AcronymList,0),3)</f>
        <v>UN Agency</v>
      </c>
      <c r="E394" s="54" t="s">
        <v>359</v>
      </c>
      <c r="F394" s="53" t="s">
        <v>82</v>
      </c>
      <c r="G394" s="54" t="s">
        <v>388</v>
      </c>
      <c r="H394" s="28" t="str">
        <f>VLOOKUP(Main3WData[[#This Row],[Admin Unit Name]],AdminUnits[],2,FALSE)</f>
        <v>GIN004002</v>
      </c>
      <c r="I394" s="57">
        <v>0</v>
      </c>
      <c r="J394" s="67" t="str">
        <f>Main3WData[[#This Row],[Acronym]]&amp;Main3WData[[#This Row],[Sector]]&amp;Main3WData[[#This Row],[Activity Type]]&amp;Main3WData[[#This Row],[Pcode]]</f>
        <v>UNDPFinanceOngoingGIN004002</v>
      </c>
      <c r="K394" s="69">
        <f>COUNTIF(Main3WData[Concatenate],Main3WData[[#This Row],[Concatenate]])</f>
        <v>1</v>
      </c>
      <c r="L394" s="61" t="str">
        <f>Main3WData[[#This Row],[Sector]]&amp;Main3WData[[#This Row],[Pcode]]</f>
        <v>FinanceGIN004002</v>
      </c>
      <c r="M394" s="71">
        <f>COUNTIF($L$5:L394,Main3WData[[#This Row],[PT.Concat]])</f>
        <v>1</v>
      </c>
      <c r="N394" s="70">
        <f>MATCH(Main3WData[[#This Row],[PT.Concat]],$L$5:L394,0)</f>
        <v>390</v>
      </c>
      <c r="O394" s="62" t="b">
        <f>Main3WData[[#This Row],[Count PT.Concat]]=1</f>
        <v>1</v>
      </c>
      <c r="P394" s="62">
        <f t="array" ref="P394">MAX(($N$4:N393=Main3WData[[#This Row],[PT.ID]])*ROW($N$4:N393))</f>
        <v>0</v>
      </c>
      <c r="Q394" s="62" t="str">
        <f>IF(Main3WData[[#This Row],[PT.FirstID]],Main3WData[[#This Row],[Acronym]],INDEX($Q$4:Q393,Main3WData[[#This Row],[PT.LastID.Row]]-ROW($Q$4)+1) &amp; ", "&amp;Main3WData[[#This Row],[Acronym]])</f>
        <v>UNDP</v>
      </c>
      <c r="R394" s="62" t="b">
        <f t="array" ref="R394">MAX(IF(Main3WData[PT.ID]=Main3WData[[#This Row],[PT.ID]],Main3WData[PT.LastID.Row]))=Main3WData[[#This Row],[PT.LastID.Row]]</f>
        <v>1</v>
      </c>
    </row>
    <row r="395" spans="2:18" ht="16.5" customHeight="1" x14ac:dyDescent="0.2">
      <c r="B395" s="55" t="s">
        <v>451</v>
      </c>
      <c r="C395" s="27" t="str">
        <f>INDEX(Organizations[],MATCH(Main3WData[[#This Row],[Acronym]],AcronymList,0),1)</f>
        <v>Croix-Rouge Guinée</v>
      </c>
      <c r="D395" s="27" t="str">
        <f>INDEX(Organizations[],MATCH(Main3WData[[#This Row],[Acronym]],AcronymList,0),3)</f>
        <v>Red Cross Movement</v>
      </c>
      <c r="E395" s="54" t="s">
        <v>354</v>
      </c>
      <c r="F395" s="53" t="s">
        <v>82</v>
      </c>
      <c r="G395" s="54" t="s">
        <v>388</v>
      </c>
      <c r="H395" s="28" t="str">
        <f>VLOOKUP(Main3WData[[#This Row],[Admin Unit Name]],AdminUnits[],2,FALSE)</f>
        <v>GIN004002</v>
      </c>
      <c r="I395" s="57">
        <v>0</v>
      </c>
      <c r="J395" s="67" t="str">
        <f>Main3WData[[#This Row],[Acronym]]&amp;Main3WData[[#This Row],[Sector]]&amp;Main3WData[[#This Row],[Activity Type]]&amp;Main3WData[[#This Row],[Pcode]]</f>
        <v>CRGGestion des corps et desinfectionOngoingGIN004002</v>
      </c>
      <c r="K395" s="69">
        <f>COUNTIF(Main3WData[Concatenate],Main3WData[[#This Row],[Concatenate]])</f>
        <v>1</v>
      </c>
      <c r="L395" s="61" t="str">
        <f>Main3WData[[#This Row],[Sector]]&amp;Main3WData[[#This Row],[Pcode]]</f>
        <v>Gestion des corps et desinfectionGIN004002</v>
      </c>
      <c r="M395" s="71">
        <f>COUNTIF($L$5:L395,Main3WData[[#This Row],[PT.Concat]])</f>
        <v>1</v>
      </c>
      <c r="N395" s="70">
        <f>MATCH(Main3WData[[#This Row],[PT.Concat]],$L$5:L395,0)</f>
        <v>391</v>
      </c>
      <c r="O395" s="62" t="b">
        <f>Main3WData[[#This Row],[Count PT.Concat]]=1</f>
        <v>1</v>
      </c>
      <c r="P395" s="62">
        <f t="array" ref="P395">MAX(($N$4:N394=Main3WData[[#This Row],[PT.ID]])*ROW($N$4:N394))</f>
        <v>0</v>
      </c>
      <c r="Q395" s="62" t="str">
        <f>IF(Main3WData[[#This Row],[PT.FirstID]],Main3WData[[#This Row],[Acronym]],INDEX($Q$4:Q394,Main3WData[[#This Row],[PT.LastID.Row]]-ROW($Q$4)+1) &amp; ", "&amp;Main3WData[[#This Row],[Acronym]])</f>
        <v>CRG</v>
      </c>
      <c r="R395" s="62" t="b">
        <f t="array" ref="R395">MAX(IF(Main3WData[PT.ID]=Main3WData[[#This Row],[PT.ID]],Main3WData[PT.LastID.Row]))=Main3WData[[#This Row],[PT.LastID.Row]]</f>
        <v>1</v>
      </c>
    </row>
    <row r="396" spans="2:18" ht="16.5" customHeight="1" x14ac:dyDescent="0.2">
      <c r="B396" s="55" t="s">
        <v>516</v>
      </c>
      <c r="C396" s="27" t="str">
        <f>INDEX(Organizations[],MATCH(Main3WData[[#This Row],[Acronym]],AcronymList,0),1)</f>
        <v>UNITED NATION MISSION FOR EBOLA  EMERGENCY RESPONSE</v>
      </c>
      <c r="D396" s="27" t="str">
        <f>INDEX(Organizations[],MATCH(Main3WData[[#This Row],[Acronym]],AcronymList,0),3)</f>
        <v>UN Agency</v>
      </c>
      <c r="E396" s="54" t="s">
        <v>356</v>
      </c>
      <c r="F396" s="53" t="s">
        <v>82</v>
      </c>
      <c r="G396" s="54" t="s">
        <v>388</v>
      </c>
      <c r="H396" s="28" t="str">
        <f>VLOOKUP(Main3WData[[#This Row],[Admin Unit Name]],AdminUnits[],2,FALSE)</f>
        <v>GIN004002</v>
      </c>
      <c r="I396" s="57">
        <v>0</v>
      </c>
      <c r="J396" s="67" t="str">
        <f>Main3WData[[#This Row],[Acronym]]&amp;Main3WData[[#This Row],[Sector]]&amp;Main3WData[[#This Row],[Activity Type]]&amp;Main3WData[[#This Row],[Pcode]]</f>
        <v>UNMEERGestion des donnéesOngoingGIN004002</v>
      </c>
      <c r="K396" s="69">
        <f>COUNTIF(Main3WData[Concatenate],Main3WData[[#This Row],[Concatenate]])</f>
        <v>1</v>
      </c>
      <c r="L396" s="61" t="str">
        <f>Main3WData[[#This Row],[Sector]]&amp;Main3WData[[#This Row],[Pcode]]</f>
        <v>Gestion des donnéesGIN004002</v>
      </c>
      <c r="M396" s="71">
        <f>COUNTIF($L$5:L396,Main3WData[[#This Row],[PT.Concat]])</f>
        <v>1</v>
      </c>
      <c r="N396" s="70">
        <f>MATCH(Main3WData[[#This Row],[PT.Concat]],$L$5:L396,0)</f>
        <v>392</v>
      </c>
      <c r="O396" s="62" t="b">
        <f>Main3WData[[#This Row],[Count PT.Concat]]=1</f>
        <v>1</v>
      </c>
      <c r="P396" s="62">
        <f t="array" ref="P396">MAX(($N$4:N395=Main3WData[[#This Row],[PT.ID]])*ROW($N$4:N395))</f>
        <v>0</v>
      </c>
      <c r="Q396" s="62" t="str">
        <f>IF(Main3WData[[#This Row],[PT.FirstID]],Main3WData[[#This Row],[Acronym]],INDEX($Q$4:Q395,Main3WData[[#This Row],[PT.LastID.Row]]-ROW($Q$4)+1) &amp; ", "&amp;Main3WData[[#This Row],[Acronym]])</f>
        <v>UNMEER</v>
      </c>
      <c r="R396" s="62" t="b">
        <f t="array" ref="R396">MAX(IF(Main3WData[PT.ID]=Main3WData[[#This Row],[PT.ID]],Main3WData[PT.LastID.Row]))=Main3WData[[#This Row],[PT.LastID.Row]]</f>
        <v>0</v>
      </c>
    </row>
    <row r="397" spans="2:18" ht="16.5" customHeight="1" x14ac:dyDescent="0.2">
      <c r="B397" s="55" t="s">
        <v>512</v>
      </c>
      <c r="C397" s="27" t="str">
        <f>INDEX(Organizations[],MATCH(Main3WData[[#This Row],[Acronym]],AcronymList,0),1)</f>
        <v>World Health Organization</v>
      </c>
      <c r="D397" s="27" t="str">
        <f>INDEX(Organizations[],MATCH(Main3WData[[#This Row],[Acronym]],AcronymList,0),3)</f>
        <v>UN Agency</v>
      </c>
      <c r="E397" s="54" t="s">
        <v>356</v>
      </c>
      <c r="F397" s="53" t="s">
        <v>82</v>
      </c>
      <c r="G397" s="54" t="s">
        <v>388</v>
      </c>
      <c r="H397" s="28" t="str">
        <f>VLOOKUP(Main3WData[[#This Row],[Admin Unit Name]],AdminUnits[],2,FALSE)</f>
        <v>GIN004002</v>
      </c>
      <c r="I397" s="57">
        <v>0</v>
      </c>
      <c r="J397" s="67" t="str">
        <f>Main3WData[[#This Row],[Acronym]]&amp;Main3WData[[#This Row],[Sector]]&amp;Main3WData[[#This Row],[Activity Type]]&amp;Main3WData[[#This Row],[Pcode]]</f>
        <v>OMSGestion des donnéesOngoingGIN004002</v>
      </c>
      <c r="K397" s="69">
        <f>COUNTIF(Main3WData[Concatenate],Main3WData[[#This Row],[Concatenate]])</f>
        <v>1</v>
      </c>
      <c r="L397" s="61" t="str">
        <f>Main3WData[[#This Row],[Sector]]&amp;Main3WData[[#This Row],[Pcode]]</f>
        <v>Gestion des donnéesGIN004002</v>
      </c>
      <c r="M397" s="71">
        <f>COUNTIF($L$5:L397,Main3WData[[#This Row],[PT.Concat]])</f>
        <v>2</v>
      </c>
      <c r="N397" s="70">
        <f>MATCH(Main3WData[[#This Row],[PT.Concat]],$L$5:L397,0)</f>
        <v>392</v>
      </c>
      <c r="O397" s="62" t="b">
        <f>Main3WData[[#This Row],[Count PT.Concat]]=1</f>
        <v>0</v>
      </c>
      <c r="P397" s="62">
        <f t="array" ref="P397">MAX(($N$4:N396=Main3WData[[#This Row],[PT.ID]])*ROW($N$4:N396))</f>
        <v>396</v>
      </c>
      <c r="Q397" s="62" t="str">
        <f>IF(Main3WData[[#This Row],[PT.FirstID]],Main3WData[[#This Row],[Acronym]],INDEX($Q$4:Q396,Main3WData[[#This Row],[PT.LastID.Row]]-ROW($Q$4)+1) &amp; ", "&amp;Main3WData[[#This Row],[Acronym]])</f>
        <v>UNMEER, OMS</v>
      </c>
      <c r="R397" s="62" t="b">
        <f t="array" ref="R397">MAX(IF(Main3WData[PT.ID]=Main3WData[[#This Row],[PT.ID]],Main3WData[PT.LastID.Row]))=Main3WData[[#This Row],[PT.LastID.Row]]</f>
        <v>1</v>
      </c>
    </row>
    <row r="398" spans="2:18" ht="16.5" customHeight="1" x14ac:dyDescent="0.2">
      <c r="B398" s="55" t="s">
        <v>516</v>
      </c>
      <c r="C398" s="27" t="str">
        <f>INDEX(Organizations[],MATCH(Main3WData[[#This Row],[Acronym]],AcronymList,0),1)</f>
        <v>UNITED NATION MISSION FOR EBOLA  EMERGENCY RESPONSE</v>
      </c>
      <c r="D398" s="27" t="str">
        <f>INDEX(Organizations[],MATCH(Main3WData[[#This Row],[Acronym]],AcronymList,0),3)</f>
        <v>UN Agency</v>
      </c>
      <c r="E398" s="54" t="s">
        <v>358</v>
      </c>
      <c r="F398" s="53" t="s">
        <v>82</v>
      </c>
      <c r="G398" s="54" t="s">
        <v>388</v>
      </c>
      <c r="H398" s="28" t="str">
        <f>VLOOKUP(Main3WData[[#This Row],[Admin Unit Name]],AdminUnits[],2,FALSE)</f>
        <v>GIN004002</v>
      </c>
      <c r="I398" s="57">
        <v>0</v>
      </c>
      <c r="J398" s="67" t="str">
        <f>Main3WData[[#This Row],[Acronym]]&amp;Main3WData[[#This Row],[Sector]]&amp;Main3WData[[#This Row],[Activity Type]]&amp;Main3WData[[#This Row],[Pcode]]</f>
        <v>UNMEERLogistiquesOngoingGIN004002</v>
      </c>
      <c r="K398" s="69">
        <f>COUNTIF(Main3WData[Concatenate],Main3WData[[#This Row],[Concatenate]])</f>
        <v>1</v>
      </c>
      <c r="L398" s="61" t="str">
        <f>Main3WData[[#This Row],[Sector]]&amp;Main3WData[[#This Row],[Pcode]]</f>
        <v>LogistiquesGIN004002</v>
      </c>
      <c r="M398" s="71">
        <f>COUNTIF($L$5:L398,Main3WData[[#This Row],[PT.Concat]])</f>
        <v>1</v>
      </c>
      <c r="N398" s="70">
        <f>MATCH(Main3WData[[#This Row],[PT.Concat]],$L$5:L398,0)</f>
        <v>394</v>
      </c>
      <c r="O398" s="62" t="b">
        <f>Main3WData[[#This Row],[Count PT.Concat]]=1</f>
        <v>1</v>
      </c>
      <c r="P398" s="62">
        <f t="array" ref="P398">MAX(($N$4:N397=Main3WData[[#This Row],[PT.ID]])*ROW($N$4:N397))</f>
        <v>0</v>
      </c>
      <c r="Q398" s="62" t="str">
        <f>IF(Main3WData[[#This Row],[PT.FirstID]],Main3WData[[#This Row],[Acronym]],INDEX($Q$4:Q397,Main3WData[[#This Row],[PT.LastID.Row]]-ROW($Q$4)+1) &amp; ", "&amp;Main3WData[[#This Row],[Acronym]])</f>
        <v>UNMEER</v>
      </c>
      <c r="R398" s="62" t="b">
        <f t="array" ref="R398">MAX(IF(Main3WData[PT.ID]=Main3WData[[#This Row],[PT.ID]],Main3WData[PT.LastID.Row]))=Main3WData[[#This Row],[PT.LastID.Row]]</f>
        <v>0</v>
      </c>
    </row>
    <row r="399" spans="2:18" ht="16.5" customHeight="1" x14ac:dyDescent="0.2">
      <c r="B399" s="55" t="s">
        <v>512</v>
      </c>
      <c r="C399" s="27" t="str">
        <f>INDEX(Organizations[],MATCH(Main3WData[[#This Row],[Acronym]],AcronymList,0),1)</f>
        <v>World Health Organization</v>
      </c>
      <c r="D399" s="27" t="str">
        <f>INDEX(Organizations[],MATCH(Main3WData[[#This Row],[Acronym]],AcronymList,0),3)</f>
        <v>UN Agency</v>
      </c>
      <c r="E399" s="54" t="s">
        <v>358</v>
      </c>
      <c r="F399" s="53" t="s">
        <v>82</v>
      </c>
      <c r="G399" s="54" t="s">
        <v>388</v>
      </c>
      <c r="H399" s="28" t="str">
        <f>VLOOKUP(Main3WData[[#This Row],[Admin Unit Name]],AdminUnits[],2,FALSE)</f>
        <v>GIN004002</v>
      </c>
      <c r="I399" s="57">
        <v>0</v>
      </c>
      <c r="J399" s="67" t="str">
        <f>Main3WData[[#This Row],[Acronym]]&amp;Main3WData[[#This Row],[Sector]]&amp;Main3WData[[#This Row],[Activity Type]]&amp;Main3WData[[#This Row],[Pcode]]</f>
        <v>OMSLogistiquesOngoingGIN004002</v>
      </c>
      <c r="K399" s="69">
        <f>COUNTIF(Main3WData[Concatenate],Main3WData[[#This Row],[Concatenate]])</f>
        <v>1</v>
      </c>
      <c r="L399" s="61" t="str">
        <f>Main3WData[[#This Row],[Sector]]&amp;Main3WData[[#This Row],[Pcode]]</f>
        <v>LogistiquesGIN004002</v>
      </c>
      <c r="M399" s="71">
        <f>COUNTIF($L$5:L399,Main3WData[[#This Row],[PT.Concat]])</f>
        <v>2</v>
      </c>
      <c r="N399" s="70">
        <f>MATCH(Main3WData[[#This Row],[PT.Concat]],$L$5:L399,0)</f>
        <v>394</v>
      </c>
      <c r="O399" s="62" t="b">
        <f>Main3WData[[#This Row],[Count PT.Concat]]=1</f>
        <v>0</v>
      </c>
      <c r="P399" s="62">
        <f t="array" ref="P399">MAX(($N$4:N398=Main3WData[[#This Row],[PT.ID]])*ROW($N$4:N398))</f>
        <v>398</v>
      </c>
      <c r="Q399" s="62" t="str">
        <f>IF(Main3WData[[#This Row],[PT.FirstID]],Main3WData[[#This Row],[Acronym]],INDEX($Q$4:Q398,Main3WData[[#This Row],[PT.LastID.Row]]-ROW($Q$4)+1) &amp; ", "&amp;Main3WData[[#This Row],[Acronym]])</f>
        <v>UNMEER, OMS</v>
      </c>
      <c r="R399" s="62" t="b">
        <f t="array" ref="R399">MAX(IF(Main3WData[PT.ID]=Main3WData[[#This Row],[PT.ID]],Main3WData[PT.LastID.Row]))=Main3WData[[#This Row],[PT.LastID.Row]]</f>
        <v>1</v>
      </c>
    </row>
    <row r="400" spans="2:18" ht="16.5" customHeight="1" x14ac:dyDescent="0.2">
      <c r="B400" s="55" t="s">
        <v>78</v>
      </c>
      <c r="C400" s="27" t="str">
        <f>INDEX(Organizations[],MATCH(Main3WData[[#This Row],[Acronym]],AcronymList,0),1)</f>
        <v>World Food Programme</v>
      </c>
      <c r="D400" s="27" t="str">
        <f>INDEX(Organizations[],MATCH(Main3WData[[#This Row],[Acronym]],AcronymList,0),3)</f>
        <v>UN Agency</v>
      </c>
      <c r="E400" s="54" t="s">
        <v>353</v>
      </c>
      <c r="F400" s="53" t="s">
        <v>82</v>
      </c>
      <c r="G400" s="54" t="s">
        <v>388</v>
      </c>
      <c r="H400" s="28" t="str">
        <f>VLOOKUP(Main3WData[[#This Row],[Admin Unit Name]],AdminUnits[],2,FALSE)</f>
        <v>GIN004002</v>
      </c>
      <c r="I400" s="57">
        <v>0</v>
      </c>
      <c r="J400" s="67" t="str">
        <f>Main3WData[[#This Row],[Acronym]]&amp;Main3WData[[#This Row],[Sector]]&amp;Main3WData[[#This Row],[Activity Type]]&amp;Main3WData[[#This Row],[Pcode]]</f>
        <v>WFPPrise en chargeOngoingGIN004002</v>
      </c>
      <c r="K400" s="69">
        <f>COUNTIF(Main3WData[Concatenate],Main3WData[[#This Row],[Concatenate]])</f>
        <v>1</v>
      </c>
      <c r="L400" s="61" t="str">
        <f>Main3WData[[#This Row],[Sector]]&amp;Main3WData[[#This Row],[Pcode]]</f>
        <v>Prise en chargeGIN004002</v>
      </c>
      <c r="M400" s="71">
        <f>COUNTIF($L$5:L400,Main3WData[[#This Row],[PT.Concat]])</f>
        <v>1</v>
      </c>
      <c r="N400" s="70">
        <f>MATCH(Main3WData[[#This Row],[PT.Concat]],$L$5:L400,0)</f>
        <v>396</v>
      </c>
      <c r="O400" s="62" t="b">
        <f>Main3WData[[#This Row],[Count PT.Concat]]=1</f>
        <v>1</v>
      </c>
      <c r="P400" s="62">
        <f t="array" ref="P400">MAX(($N$4:N399=Main3WData[[#This Row],[PT.ID]])*ROW($N$4:N399))</f>
        <v>0</v>
      </c>
      <c r="Q400" s="62" t="str">
        <f>IF(Main3WData[[#This Row],[PT.FirstID]],Main3WData[[#This Row],[Acronym]],INDEX($Q$4:Q399,Main3WData[[#This Row],[PT.LastID.Row]]-ROW($Q$4)+1) &amp; ", "&amp;Main3WData[[#This Row],[Acronym]])</f>
        <v>WFP</v>
      </c>
      <c r="R400" s="62" t="b">
        <f t="array" ref="R400">MAX(IF(Main3WData[PT.ID]=Main3WData[[#This Row],[PT.ID]],Main3WData[PT.LastID.Row]))=Main3WData[[#This Row],[PT.LastID.Row]]</f>
        <v>0</v>
      </c>
    </row>
    <row r="401" spans="2:18" ht="16.5" customHeight="1" x14ac:dyDescent="0.2">
      <c r="B401" s="55" t="s">
        <v>512</v>
      </c>
      <c r="C401" s="27" t="str">
        <f>INDEX(Organizations[],MATCH(Main3WData[[#This Row],[Acronym]],AcronymList,0),1)</f>
        <v>World Health Organization</v>
      </c>
      <c r="D401" s="27" t="str">
        <f>INDEX(Organizations[],MATCH(Main3WData[[#This Row],[Acronym]],AcronymList,0),3)</f>
        <v>UN Agency</v>
      </c>
      <c r="E401" s="54" t="s">
        <v>353</v>
      </c>
      <c r="F401" s="53" t="s">
        <v>82</v>
      </c>
      <c r="G401" s="54" t="s">
        <v>388</v>
      </c>
      <c r="H401" s="28" t="str">
        <f>VLOOKUP(Main3WData[[#This Row],[Admin Unit Name]],AdminUnits[],2,FALSE)</f>
        <v>GIN004002</v>
      </c>
      <c r="I401" s="57">
        <v>0</v>
      </c>
      <c r="J401" s="67" t="str">
        <f>Main3WData[[#This Row],[Acronym]]&amp;Main3WData[[#This Row],[Sector]]&amp;Main3WData[[#This Row],[Activity Type]]&amp;Main3WData[[#This Row],[Pcode]]</f>
        <v>OMSPrise en chargeOngoingGIN004002</v>
      </c>
      <c r="K401" s="69">
        <f>COUNTIF(Main3WData[Concatenate],Main3WData[[#This Row],[Concatenate]])</f>
        <v>1</v>
      </c>
      <c r="L401" s="61" t="str">
        <f>Main3WData[[#This Row],[Sector]]&amp;Main3WData[[#This Row],[Pcode]]</f>
        <v>Prise en chargeGIN004002</v>
      </c>
      <c r="M401" s="71">
        <f>COUNTIF($L$5:L401,Main3WData[[#This Row],[PT.Concat]])</f>
        <v>2</v>
      </c>
      <c r="N401" s="70">
        <f>MATCH(Main3WData[[#This Row],[PT.Concat]],$L$5:L401,0)</f>
        <v>396</v>
      </c>
      <c r="O401" s="62" t="b">
        <f>Main3WData[[#This Row],[Count PT.Concat]]=1</f>
        <v>0</v>
      </c>
      <c r="P401" s="62">
        <f t="array" ref="P401">MAX(($N$4:N400=Main3WData[[#This Row],[PT.ID]])*ROW($N$4:N400))</f>
        <v>400</v>
      </c>
      <c r="Q401" s="62" t="str">
        <f>IF(Main3WData[[#This Row],[PT.FirstID]],Main3WData[[#This Row],[Acronym]],INDEX($Q$4:Q400,Main3WData[[#This Row],[PT.LastID.Row]]-ROW($Q$4)+1) &amp; ", "&amp;Main3WData[[#This Row],[Acronym]])</f>
        <v>WFP, OMS</v>
      </c>
      <c r="R401" s="62" t="b">
        <f t="array" ref="R401">MAX(IF(Main3WData[PT.ID]=Main3WData[[#This Row],[PT.ID]],Main3WData[PT.LastID.Row]))=Main3WData[[#This Row],[PT.LastID.Row]]</f>
        <v>0</v>
      </c>
    </row>
    <row r="402" spans="2:18" ht="16.5" customHeight="1" x14ac:dyDescent="0.2">
      <c r="B402" s="55" t="s">
        <v>71</v>
      </c>
      <c r="C402" s="27" t="str">
        <f>INDEX(Organizations[],MATCH(Main3WData[[#This Row],[Acronym]],AcronymList,0),1)</f>
        <v>Medecins sans Frontieres</v>
      </c>
      <c r="D402" s="27" t="str">
        <f>INDEX(Organizations[],MATCH(Main3WData[[#This Row],[Acronym]],AcronymList,0),3)</f>
        <v>International NGO</v>
      </c>
      <c r="E402" s="54" t="s">
        <v>353</v>
      </c>
      <c r="F402" s="53" t="s">
        <v>82</v>
      </c>
      <c r="G402" s="54" t="s">
        <v>388</v>
      </c>
      <c r="H402" s="28" t="str">
        <f>VLOOKUP(Main3WData[[#This Row],[Admin Unit Name]],AdminUnits[],2,FALSE)</f>
        <v>GIN004002</v>
      </c>
      <c r="I402" s="57">
        <v>0</v>
      </c>
      <c r="J402" s="67" t="str">
        <f>Main3WData[[#This Row],[Acronym]]&amp;Main3WData[[#This Row],[Sector]]&amp;Main3WData[[#This Row],[Activity Type]]&amp;Main3WData[[#This Row],[Pcode]]</f>
        <v>MSFPrise en chargeOngoingGIN004002</v>
      </c>
      <c r="K402" s="69">
        <f>COUNTIF(Main3WData[Concatenate],Main3WData[[#This Row],[Concatenate]])</f>
        <v>1</v>
      </c>
      <c r="L402" s="61" t="str">
        <f>Main3WData[[#This Row],[Sector]]&amp;Main3WData[[#This Row],[Pcode]]</f>
        <v>Prise en chargeGIN004002</v>
      </c>
      <c r="M402" s="71">
        <f>COUNTIF($L$5:L402,Main3WData[[#This Row],[PT.Concat]])</f>
        <v>3</v>
      </c>
      <c r="N402" s="70">
        <f>MATCH(Main3WData[[#This Row],[PT.Concat]],$L$5:L402,0)</f>
        <v>396</v>
      </c>
      <c r="O402" s="62" t="b">
        <f>Main3WData[[#This Row],[Count PT.Concat]]=1</f>
        <v>0</v>
      </c>
      <c r="P402" s="62">
        <f t="array" ref="P402">MAX(($N$4:N401=Main3WData[[#This Row],[PT.ID]])*ROW($N$4:N401))</f>
        <v>401</v>
      </c>
      <c r="Q402" s="62" t="str">
        <f>IF(Main3WData[[#This Row],[PT.FirstID]],Main3WData[[#This Row],[Acronym]],INDEX($Q$4:Q401,Main3WData[[#This Row],[PT.LastID.Row]]-ROW($Q$4)+1) &amp; ", "&amp;Main3WData[[#This Row],[Acronym]])</f>
        <v>WFP, OMS, MSF</v>
      </c>
      <c r="R402" s="62" t="b">
        <f t="array" ref="R402">MAX(IF(Main3WData[PT.ID]=Main3WData[[#This Row],[PT.ID]],Main3WData[PT.LastID.Row]))=Main3WData[[#This Row],[PT.LastID.Row]]</f>
        <v>0</v>
      </c>
    </row>
    <row r="403" spans="2:18" ht="16.5" customHeight="1" x14ac:dyDescent="0.2">
      <c r="B403" s="55" t="s">
        <v>454</v>
      </c>
      <c r="C403" s="27" t="str">
        <f>INDEX(Organizations[],MATCH(Main3WData[[#This Row],[Acronym]],AcronymList,0),1)</f>
        <v>France</v>
      </c>
      <c r="D403" s="27" t="str">
        <f>INDEX(Organizations[],MATCH(Main3WData[[#This Row],[Acronym]],AcronymList,0),3)</f>
        <v>Donors</v>
      </c>
      <c r="E403" s="54" t="s">
        <v>353</v>
      </c>
      <c r="F403" s="53" t="s">
        <v>82</v>
      </c>
      <c r="G403" s="54" t="s">
        <v>388</v>
      </c>
      <c r="H403" s="28" t="str">
        <f>VLOOKUP(Main3WData[[#This Row],[Admin Unit Name]],AdminUnits[],2,FALSE)</f>
        <v>GIN004002</v>
      </c>
      <c r="I403" s="57">
        <v>0</v>
      </c>
      <c r="J403" s="67" t="str">
        <f>Main3WData[[#This Row],[Acronym]]&amp;Main3WData[[#This Row],[Sector]]&amp;Main3WData[[#This Row],[Activity Type]]&amp;Main3WData[[#This Row],[Pcode]]</f>
        <v>FrancePrise en chargeOngoingGIN004002</v>
      </c>
      <c r="K403" s="69">
        <f>COUNTIF(Main3WData[Concatenate],Main3WData[[#This Row],[Concatenate]])</f>
        <v>1</v>
      </c>
      <c r="L403" s="61" t="str">
        <f>Main3WData[[#This Row],[Sector]]&amp;Main3WData[[#This Row],[Pcode]]</f>
        <v>Prise en chargeGIN004002</v>
      </c>
      <c r="M403" s="71">
        <f>COUNTIF($L$5:L403,Main3WData[[#This Row],[PT.Concat]])</f>
        <v>4</v>
      </c>
      <c r="N403" s="70">
        <f>MATCH(Main3WData[[#This Row],[PT.Concat]],$L$5:L403,0)</f>
        <v>396</v>
      </c>
      <c r="O403" s="62" t="b">
        <f>Main3WData[[#This Row],[Count PT.Concat]]=1</f>
        <v>0</v>
      </c>
      <c r="P403" s="62">
        <f t="array" ref="P403">MAX(($N$4:N402=Main3WData[[#This Row],[PT.ID]])*ROW($N$4:N402))</f>
        <v>402</v>
      </c>
      <c r="Q403" s="62" t="str">
        <f>IF(Main3WData[[#This Row],[PT.FirstID]],Main3WData[[#This Row],[Acronym]],INDEX($Q$4:Q402,Main3WData[[#This Row],[PT.LastID.Row]]-ROW($Q$4)+1) &amp; ", "&amp;Main3WData[[#This Row],[Acronym]])</f>
        <v>WFP, OMS, MSF, France</v>
      </c>
      <c r="R403" s="62" t="b">
        <f t="array" ref="R403">MAX(IF(Main3WData[PT.ID]=Main3WData[[#This Row],[PT.ID]],Main3WData[PT.LastID.Row]))=Main3WData[[#This Row],[PT.LastID.Row]]</f>
        <v>0</v>
      </c>
    </row>
    <row r="404" spans="2:18" ht="16.5" customHeight="1" x14ac:dyDescent="0.2">
      <c r="B404" s="55" t="s">
        <v>66</v>
      </c>
      <c r="C404" s="27" t="str">
        <f>INDEX(Organizations[],MATCH(Main3WData[[#This Row],[Acronym]],AcronymList,0),1)</f>
        <v>Catholic Relief Services</v>
      </c>
      <c r="D404" s="27" t="str">
        <f>INDEX(Organizations[],MATCH(Main3WData[[#This Row],[Acronym]],AcronymList,0),3)</f>
        <v>International NGO</v>
      </c>
      <c r="E404" s="54" t="s">
        <v>353</v>
      </c>
      <c r="F404" s="53" t="s">
        <v>82</v>
      </c>
      <c r="G404" s="54" t="s">
        <v>388</v>
      </c>
      <c r="H404" s="28" t="str">
        <f>VLOOKUP(Main3WData[[#This Row],[Admin Unit Name]],AdminUnits[],2,FALSE)</f>
        <v>GIN004002</v>
      </c>
      <c r="I404" s="57">
        <v>0</v>
      </c>
      <c r="J404" s="67" t="str">
        <f>Main3WData[[#This Row],[Acronym]]&amp;Main3WData[[#This Row],[Sector]]&amp;Main3WData[[#This Row],[Activity Type]]&amp;Main3WData[[#This Row],[Pcode]]</f>
        <v>CRSPrise en chargeOngoingGIN004002</v>
      </c>
      <c r="K404" s="69">
        <f>COUNTIF(Main3WData[Concatenate],Main3WData[[#This Row],[Concatenate]])</f>
        <v>1</v>
      </c>
      <c r="L404" s="61" t="str">
        <f>Main3WData[[#This Row],[Sector]]&amp;Main3WData[[#This Row],[Pcode]]</f>
        <v>Prise en chargeGIN004002</v>
      </c>
      <c r="M404" s="71">
        <f>COUNTIF($L$5:L404,Main3WData[[#This Row],[PT.Concat]])</f>
        <v>5</v>
      </c>
      <c r="N404" s="70">
        <f>MATCH(Main3WData[[#This Row],[PT.Concat]],$L$5:L404,0)</f>
        <v>396</v>
      </c>
      <c r="O404" s="62" t="b">
        <f>Main3WData[[#This Row],[Count PT.Concat]]=1</f>
        <v>0</v>
      </c>
      <c r="P404" s="62">
        <f t="array" ref="P404">MAX(($N$4:N403=Main3WData[[#This Row],[PT.ID]])*ROW($N$4:N403))</f>
        <v>403</v>
      </c>
      <c r="Q404" s="62" t="str">
        <f>IF(Main3WData[[#This Row],[PT.FirstID]],Main3WData[[#This Row],[Acronym]],INDEX($Q$4:Q403,Main3WData[[#This Row],[PT.LastID.Row]]-ROW($Q$4)+1) &amp; ", "&amp;Main3WData[[#This Row],[Acronym]])</f>
        <v>WFP, OMS, MSF, France, CRS</v>
      </c>
      <c r="R404" s="62" t="b">
        <f t="array" ref="R404">MAX(IF(Main3WData[PT.ID]=Main3WData[[#This Row],[PT.ID]],Main3WData[PT.LastID.Row]))=Main3WData[[#This Row],[PT.LastID.Row]]</f>
        <v>1</v>
      </c>
    </row>
    <row r="405" spans="2:18" ht="16.5" customHeight="1" x14ac:dyDescent="0.2">
      <c r="B405" s="55" t="s">
        <v>78</v>
      </c>
      <c r="C405" s="27" t="str">
        <f>INDEX(Organizations[],MATCH(Main3WData[[#This Row],[Acronym]],AcronymList,0),1)</f>
        <v>World Food Programme</v>
      </c>
      <c r="D405" s="27" t="str">
        <f>INDEX(Organizations[],MATCH(Main3WData[[#This Row],[Acronym]],AcronymList,0),3)</f>
        <v>UN Agency</v>
      </c>
      <c r="E405" s="54" t="s">
        <v>355</v>
      </c>
      <c r="F405" s="53" t="s">
        <v>82</v>
      </c>
      <c r="G405" s="54" t="s">
        <v>388</v>
      </c>
      <c r="H405" s="28" t="str">
        <f>VLOOKUP(Main3WData[[#This Row],[Admin Unit Name]],AdminUnits[],2,FALSE)</f>
        <v>GIN004002</v>
      </c>
      <c r="I405" s="57">
        <v>0</v>
      </c>
      <c r="J405" s="67" t="str">
        <f>Main3WData[[#This Row],[Acronym]]&amp;Main3WData[[#This Row],[Sector]]&amp;Main3WData[[#This Row],[Activity Type]]&amp;Main3WData[[#This Row],[Pcode]]</f>
        <v>WFPSoutien nutritionnel et socialOngoingGIN004002</v>
      </c>
      <c r="K405" s="69">
        <f>COUNTIF(Main3WData[Concatenate],Main3WData[[#This Row],[Concatenate]])</f>
        <v>1</v>
      </c>
      <c r="L405" s="61" t="str">
        <f>Main3WData[[#This Row],[Sector]]&amp;Main3WData[[#This Row],[Pcode]]</f>
        <v>Soutien nutritionnel et socialGIN004002</v>
      </c>
      <c r="M405" s="71">
        <f>COUNTIF($L$5:L405,Main3WData[[#This Row],[PT.Concat]])</f>
        <v>1</v>
      </c>
      <c r="N405" s="70">
        <f>MATCH(Main3WData[[#This Row],[PT.Concat]],$L$5:L405,0)</f>
        <v>401</v>
      </c>
      <c r="O405" s="62" t="b">
        <f>Main3WData[[#This Row],[Count PT.Concat]]=1</f>
        <v>1</v>
      </c>
      <c r="P405" s="62">
        <f t="array" ref="P405">MAX(($N$4:N404=Main3WData[[#This Row],[PT.ID]])*ROW($N$4:N404))</f>
        <v>0</v>
      </c>
      <c r="Q405" s="62" t="str">
        <f>IF(Main3WData[[#This Row],[PT.FirstID]],Main3WData[[#This Row],[Acronym]],INDEX($Q$4:Q404,Main3WData[[#This Row],[PT.LastID.Row]]-ROW($Q$4)+1) &amp; ", "&amp;Main3WData[[#This Row],[Acronym]])</f>
        <v>WFP</v>
      </c>
      <c r="R405" s="62" t="b">
        <f t="array" ref="R405">MAX(IF(Main3WData[PT.ID]=Main3WData[[#This Row],[PT.ID]],Main3WData[PT.LastID.Row]))=Main3WData[[#This Row],[PT.LastID.Row]]</f>
        <v>0</v>
      </c>
    </row>
    <row r="406" spans="2:18" ht="16.5" customHeight="1" x14ac:dyDescent="0.2">
      <c r="B406" s="55" t="s">
        <v>66</v>
      </c>
      <c r="C406" s="27" t="str">
        <f>INDEX(Organizations[],MATCH(Main3WData[[#This Row],[Acronym]],AcronymList,0),1)</f>
        <v>Catholic Relief Services</v>
      </c>
      <c r="D406" s="27" t="str">
        <f>INDEX(Organizations[],MATCH(Main3WData[[#This Row],[Acronym]],AcronymList,0),3)</f>
        <v>International NGO</v>
      </c>
      <c r="E406" s="54" t="s">
        <v>355</v>
      </c>
      <c r="F406" s="53" t="s">
        <v>82</v>
      </c>
      <c r="G406" s="54" t="s">
        <v>388</v>
      </c>
      <c r="H406" s="28" t="str">
        <f>VLOOKUP(Main3WData[[#This Row],[Admin Unit Name]],AdminUnits[],2,FALSE)</f>
        <v>GIN004002</v>
      </c>
      <c r="I406" s="57">
        <v>0</v>
      </c>
      <c r="J406" s="67" t="str">
        <f>Main3WData[[#This Row],[Acronym]]&amp;Main3WData[[#This Row],[Sector]]&amp;Main3WData[[#This Row],[Activity Type]]&amp;Main3WData[[#This Row],[Pcode]]</f>
        <v>CRSSoutien nutritionnel et socialOngoingGIN004002</v>
      </c>
      <c r="K406" s="69">
        <f>COUNTIF(Main3WData[Concatenate],Main3WData[[#This Row],[Concatenate]])</f>
        <v>1</v>
      </c>
      <c r="L406" s="61" t="str">
        <f>Main3WData[[#This Row],[Sector]]&amp;Main3WData[[#This Row],[Pcode]]</f>
        <v>Soutien nutritionnel et socialGIN004002</v>
      </c>
      <c r="M406" s="71">
        <f>COUNTIF($L$5:L406,Main3WData[[#This Row],[PT.Concat]])</f>
        <v>2</v>
      </c>
      <c r="N406" s="70">
        <f>MATCH(Main3WData[[#This Row],[PT.Concat]],$L$5:L406,0)</f>
        <v>401</v>
      </c>
      <c r="O406" s="62" t="b">
        <f>Main3WData[[#This Row],[Count PT.Concat]]=1</f>
        <v>0</v>
      </c>
      <c r="P406" s="62">
        <f t="array" ref="P406">MAX(($N$4:N405=Main3WData[[#This Row],[PT.ID]])*ROW($N$4:N405))</f>
        <v>405</v>
      </c>
      <c r="Q406" s="62" t="str">
        <f>IF(Main3WData[[#This Row],[PT.FirstID]],Main3WData[[#This Row],[Acronym]],INDEX($Q$4:Q405,Main3WData[[#This Row],[PT.LastID.Row]]-ROW($Q$4)+1) &amp; ", "&amp;Main3WData[[#This Row],[Acronym]])</f>
        <v>WFP, CRS</v>
      </c>
      <c r="R406" s="62" t="b">
        <f t="array" ref="R406">MAX(IF(Main3WData[PT.ID]=Main3WData[[#This Row],[PT.ID]],Main3WData[PT.LastID.Row]))=Main3WData[[#This Row],[PT.LastID.Row]]</f>
        <v>1</v>
      </c>
    </row>
    <row r="407" spans="2:18" ht="16.5" customHeight="1" x14ac:dyDescent="0.2">
      <c r="B407" s="55" t="s">
        <v>75</v>
      </c>
      <c r="C407" s="27" t="str">
        <f>INDEX(Organizations[],MATCH(Main3WData[[#This Row],[Acronym]],AcronymList,0),1)</f>
        <v>United Nations Population Fund</v>
      </c>
      <c r="D407" s="27" t="str">
        <f>INDEX(Organizations[],MATCH(Main3WData[[#This Row],[Acronym]],AcronymList,0),3)</f>
        <v>UN Agency</v>
      </c>
      <c r="E407" s="54" t="s">
        <v>351</v>
      </c>
      <c r="F407" s="53" t="s">
        <v>82</v>
      </c>
      <c r="G407" s="54" t="s">
        <v>388</v>
      </c>
      <c r="H407" s="28" t="str">
        <f>VLOOKUP(Main3WData[[#This Row],[Admin Unit Name]],AdminUnits[],2,FALSE)</f>
        <v>GIN004002</v>
      </c>
      <c r="I407" s="57">
        <v>0</v>
      </c>
      <c r="J407" s="67" t="str">
        <f>Main3WData[[#This Row],[Acronym]]&amp;Main3WData[[#This Row],[Sector]]&amp;Main3WData[[#This Row],[Activity Type]]&amp;Main3WData[[#This Row],[Pcode]]</f>
        <v>UNFPASurveillance &amp; suiviOngoingGIN004002</v>
      </c>
      <c r="K407" s="69">
        <f>COUNTIF(Main3WData[Concatenate],Main3WData[[#This Row],[Concatenate]])</f>
        <v>1</v>
      </c>
      <c r="L407" s="61" t="str">
        <f>Main3WData[[#This Row],[Sector]]&amp;Main3WData[[#This Row],[Pcode]]</f>
        <v>Surveillance &amp; suiviGIN004002</v>
      </c>
      <c r="M407" s="71">
        <f>COUNTIF($L$5:L407,Main3WData[[#This Row],[PT.Concat]])</f>
        <v>1</v>
      </c>
      <c r="N407" s="70">
        <f>MATCH(Main3WData[[#This Row],[PT.Concat]],$L$5:L407,0)</f>
        <v>403</v>
      </c>
      <c r="O407" s="62" t="b">
        <f>Main3WData[[#This Row],[Count PT.Concat]]=1</f>
        <v>1</v>
      </c>
      <c r="P407" s="62">
        <f t="array" ref="P407">MAX(($N$4:N406=Main3WData[[#This Row],[PT.ID]])*ROW($N$4:N406))</f>
        <v>0</v>
      </c>
      <c r="Q407" s="62" t="str">
        <f>IF(Main3WData[[#This Row],[PT.FirstID]],Main3WData[[#This Row],[Acronym]],INDEX($Q$4:Q406,Main3WData[[#This Row],[PT.LastID.Row]]-ROW($Q$4)+1) &amp; ", "&amp;Main3WData[[#This Row],[Acronym]])</f>
        <v>UNFPA</v>
      </c>
      <c r="R407" s="62" t="b">
        <f t="array" ref="R407">MAX(IF(Main3WData[PT.ID]=Main3WData[[#This Row],[PT.ID]],Main3WData[PT.LastID.Row]))=Main3WData[[#This Row],[PT.LastID.Row]]</f>
        <v>0</v>
      </c>
    </row>
    <row r="408" spans="2:18" ht="16.5" customHeight="1" x14ac:dyDescent="0.2">
      <c r="B408" s="55" t="s">
        <v>73</v>
      </c>
      <c r="C408" s="27" t="str">
        <f>INDEX(Organizations[],MATCH(Main3WData[[#This Row],[Acronym]],AcronymList,0),1)</f>
        <v>Save the Children</v>
      </c>
      <c r="D408" s="27" t="str">
        <f>INDEX(Organizations[],MATCH(Main3WData[[#This Row],[Acronym]],AcronymList,0),3)</f>
        <v>International NGO</v>
      </c>
      <c r="E408" s="54" t="s">
        <v>351</v>
      </c>
      <c r="F408" s="53" t="s">
        <v>82</v>
      </c>
      <c r="G408" s="54" t="s">
        <v>388</v>
      </c>
      <c r="H408" s="28" t="str">
        <f>VLOOKUP(Main3WData[[#This Row],[Admin Unit Name]],AdminUnits[],2,FALSE)</f>
        <v>GIN004002</v>
      </c>
      <c r="I408" s="57">
        <v>0</v>
      </c>
      <c r="J408" s="67" t="str">
        <f>Main3WData[[#This Row],[Acronym]]&amp;Main3WData[[#This Row],[Sector]]&amp;Main3WData[[#This Row],[Activity Type]]&amp;Main3WData[[#This Row],[Pcode]]</f>
        <v>Save the ChildrenSurveillance &amp; suiviOngoingGIN004002</v>
      </c>
      <c r="K408" s="69">
        <f>COUNTIF(Main3WData[Concatenate],Main3WData[[#This Row],[Concatenate]])</f>
        <v>1</v>
      </c>
      <c r="L408" s="61" t="str">
        <f>Main3WData[[#This Row],[Sector]]&amp;Main3WData[[#This Row],[Pcode]]</f>
        <v>Surveillance &amp; suiviGIN004002</v>
      </c>
      <c r="M408" s="71">
        <f>COUNTIF($L$5:L408,Main3WData[[#This Row],[PT.Concat]])</f>
        <v>2</v>
      </c>
      <c r="N408" s="70">
        <f>MATCH(Main3WData[[#This Row],[PT.Concat]],$L$5:L408,0)</f>
        <v>403</v>
      </c>
      <c r="O408" s="62" t="b">
        <f>Main3WData[[#This Row],[Count PT.Concat]]=1</f>
        <v>0</v>
      </c>
      <c r="P408" s="62">
        <f t="array" ref="P408">MAX(($N$4:N407=Main3WData[[#This Row],[PT.ID]])*ROW($N$4:N407))</f>
        <v>407</v>
      </c>
      <c r="Q408" s="62" t="str">
        <f>IF(Main3WData[[#This Row],[PT.FirstID]],Main3WData[[#This Row],[Acronym]],INDEX($Q$4:Q407,Main3WData[[#This Row],[PT.LastID.Row]]-ROW($Q$4)+1) &amp; ", "&amp;Main3WData[[#This Row],[Acronym]])</f>
        <v>UNFPA, Save the Children</v>
      </c>
      <c r="R408" s="62" t="b">
        <f t="array" ref="R408">MAX(IF(Main3WData[PT.ID]=Main3WData[[#This Row],[PT.ID]],Main3WData[PT.LastID.Row]))=Main3WData[[#This Row],[PT.LastID.Row]]</f>
        <v>0</v>
      </c>
    </row>
    <row r="409" spans="2:18" ht="16.5" customHeight="1" x14ac:dyDescent="0.2">
      <c r="B409" s="55" t="s">
        <v>512</v>
      </c>
      <c r="C409" s="27" t="str">
        <f>INDEX(Organizations[],MATCH(Main3WData[[#This Row],[Acronym]],AcronymList,0),1)</f>
        <v>World Health Organization</v>
      </c>
      <c r="D409" s="27" t="str">
        <f>INDEX(Organizations[],MATCH(Main3WData[[#This Row],[Acronym]],AcronymList,0),3)</f>
        <v>UN Agency</v>
      </c>
      <c r="E409" s="54" t="s">
        <v>351</v>
      </c>
      <c r="F409" s="53" t="s">
        <v>82</v>
      </c>
      <c r="G409" s="54" t="s">
        <v>388</v>
      </c>
      <c r="H409" s="28" t="str">
        <f>VLOOKUP(Main3WData[[#This Row],[Admin Unit Name]],AdminUnits[],2,FALSE)</f>
        <v>GIN004002</v>
      </c>
      <c r="I409" s="57">
        <v>0</v>
      </c>
      <c r="J409" s="67" t="str">
        <f>Main3WData[[#This Row],[Acronym]]&amp;Main3WData[[#This Row],[Sector]]&amp;Main3WData[[#This Row],[Activity Type]]&amp;Main3WData[[#This Row],[Pcode]]</f>
        <v>OMSSurveillance &amp; suiviOngoingGIN004002</v>
      </c>
      <c r="K409" s="69">
        <f>COUNTIF(Main3WData[Concatenate],Main3WData[[#This Row],[Concatenate]])</f>
        <v>1</v>
      </c>
      <c r="L409" s="61" t="str">
        <f>Main3WData[[#This Row],[Sector]]&amp;Main3WData[[#This Row],[Pcode]]</f>
        <v>Surveillance &amp; suiviGIN004002</v>
      </c>
      <c r="M409" s="71">
        <f>COUNTIF($L$5:L409,Main3WData[[#This Row],[PT.Concat]])</f>
        <v>3</v>
      </c>
      <c r="N409" s="70">
        <f>MATCH(Main3WData[[#This Row],[PT.Concat]],$L$5:L409,0)</f>
        <v>403</v>
      </c>
      <c r="O409" s="62" t="b">
        <f>Main3WData[[#This Row],[Count PT.Concat]]=1</f>
        <v>0</v>
      </c>
      <c r="P409" s="62">
        <f t="array" ref="P409">MAX(($N$4:N408=Main3WData[[#This Row],[PT.ID]])*ROW($N$4:N408))</f>
        <v>408</v>
      </c>
      <c r="Q409" s="62" t="str">
        <f>IF(Main3WData[[#This Row],[PT.FirstID]],Main3WData[[#This Row],[Acronym]],INDEX($Q$4:Q408,Main3WData[[#This Row],[PT.LastID.Row]]-ROW($Q$4)+1) &amp; ", "&amp;Main3WData[[#This Row],[Acronym]])</f>
        <v>UNFPA, Save the Children, OMS</v>
      </c>
      <c r="R409" s="62" t="b">
        <f t="array" ref="R409">MAX(IF(Main3WData[PT.ID]=Main3WData[[#This Row],[PT.ID]],Main3WData[PT.LastID.Row]))=Main3WData[[#This Row],[PT.LastID.Row]]</f>
        <v>0</v>
      </c>
    </row>
    <row r="410" spans="2:18" ht="16.5" customHeight="1" x14ac:dyDescent="0.2">
      <c r="B410" s="55" t="s">
        <v>496</v>
      </c>
      <c r="C410" s="27" t="str">
        <f>INDEX(Organizations[],MATCH(Main3WData[[#This Row],[Acronym]],AcronymList,0),1)</f>
        <v>Columbia University</v>
      </c>
      <c r="D410" s="27" t="str">
        <f>INDEX(Organizations[],MATCH(Main3WData[[#This Row],[Acronym]],AcronymList,0),3)</f>
        <v>Education</v>
      </c>
      <c r="E410" s="54" t="s">
        <v>351</v>
      </c>
      <c r="F410" s="53" t="s">
        <v>82</v>
      </c>
      <c r="G410" s="54" t="s">
        <v>388</v>
      </c>
      <c r="H410" s="28" t="str">
        <f>VLOOKUP(Main3WData[[#This Row],[Admin Unit Name]],AdminUnits[],2,FALSE)</f>
        <v>GIN004002</v>
      </c>
      <c r="I410" s="57">
        <v>0</v>
      </c>
      <c r="J410" s="67" t="str">
        <f>Main3WData[[#This Row],[Acronym]]&amp;Main3WData[[#This Row],[Sector]]&amp;Main3WData[[#This Row],[Activity Type]]&amp;Main3WData[[#This Row],[Pcode]]</f>
        <v>Columbia UnivSurveillance &amp; suiviOngoingGIN004002</v>
      </c>
      <c r="K410" s="69">
        <f>COUNTIF(Main3WData[Concatenate],Main3WData[[#This Row],[Concatenate]])</f>
        <v>1</v>
      </c>
      <c r="L410" s="61" t="str">
        <f>Main3WData[[#This Row],[Sector]]&amp;Main3WData[[#This Row],[Pcode]]</f>
        <v>Surveillance &amp; suiviGIN004002</v>
      </c>
      <c r="M410" s="71">
        <f>COUNTIF($L$5:L410,Main3WData[[#This Row],[PT.Concat]])</f>
        <v>4</v>
      </c>
      <c r="N410" s="70">
        <f>MATCH(Main3WData[[#This Row],[PT.Concat]],$L$5:L410,0)</f>
        <v>403</v>
      </c>
      <c r="O410" s="62" t="b">
        <f>Main3WData[[#This Row],[Count PT.Concat]]=1</f>
        <v>0</v>
      </c>
      <c r="P410" s="62">
        <f t="array" ref="P410">MAX(($N$4:N409=Main3WData[[#This Row],[PT.ID]])*ROW($N$4:N409))</f>
        <v>409</v>
      </c>
      <c r="Q410" s="62" t="str">
        <f>IF(Main3WData[[#This Row],[PT.FirstID]],Main3WData[[#This Row],[Acronym]],INDEX($Q$4:Q409,Main3WData[[#This Row],[PT.LastID.Row]]-ROW($Q$4)+1) &amp; ", "&amp;Main3WData[[#This Row],[Acronym]])</f>
        <v>UNFPA, Save the Children, OMS, Columbia Univ</v>
      </c>
      <c r="R410" s="62" t="b">
        <f t="array" ref="R410">MAX(IF(Main3WData[PT.ID]=Main3WData[[#This Row],[PT.ID]],Main3WData[PT.LastID.Row]))=Main3WData[[#This Row],[PT.LastID.Row]]</f>
        <v>0</v>
      </c>
    </row>
    <row r="411" spans="2:18" ht="16.5" customHeight="1" x14ac:dyDescent="0.2">
      <c r="B411" s="55" t="s">
        <v>64</v>
      </c>
      <c r="C411" s="27" t="str">
        <f>INDEX(Organizations[],MATCH(Main3WData[[#This Row],[Acronym]],AcronymList,0),1)</f>
        <v>CDC</v>
      </c>
      <c r="D411" s="27" t="str">
        <f>INDEX(Organizations[],MATCH(Main3WData[[#This Row],[Acronym]],AcronymList,0),3)</f>
        <v>International NGO</v>
      </c>
      <c r="E411" s="54" t="s">
        <v>351</v>
      </c>
      <c r="F411" s="53" t="s">
        <v>82</v>
      </c>
      <c r="G411" s="54" t="s">
        <v>388</v>
      </c>
      <c r="H411" s="28" t="str">
        <f>VLOOKUP(Main3WData[[#This Row],[Admin Unit Name]],AdminUnits[],2,FALSE)</f>
        <v>GIN004002</v>
      </c>
      <c r="I411" s="57">
        <v>0</v>
      </c>
      <c r="J411" s="67" t="str">
        <f>Main3WData[[#This Row],[Acronym]]&amp;Main3WData[[#This Row],[Sector]]&amp;Main3WData[[#This Row],[Activity Type]]&amp;Main3WData[[#This Row],[Pcode]]</f>
        <v>CDCSurveillance &amp; suiviOngoingGIN004002</v>
      </c>
      <c r="K411" s="69">
        <f>COUNTIF(Main3WData[Concatenate],Main3WData[[#This Row],[Concatenate]])</f>
        <v>1</v>
      </c>
      <c r="L411" s="61" t="str">
        <f>Main3WData[[#This Row],[Sector]]&amp;Main3WData[[#This Row],[Pcode]]</f>
        <v>Surveillance &amp; suiviGIN004002</v>
      </c>
      <c r="M411" s="71">
        <f>COUNTIF($L$5:L411,Main3WData[[#This Row],[PT.Concat]])</f>
        <v>5</v>
      </c>
      <c r="N411" s="70">
        <f>MATCH(Main3WData[[#This Row],[PT.Concat]],$L$5:L411,0)</f>
        <v>403</v>
      </c>
      <c r="O411" s="62" t="b">
        <f>Main3WData[[#This Row],[Count PT.Concat]]=1</f>
        <v>0</v>
      </c>
      <c r="P411" s="62">
        <f t="array" ref="P411">MAX(($N$4:N410=Main3WData[[#This Row],[PT.ID]])*ROW($N$4:N410))</f>
        <v>410</v>
      </c>
      <c r="Q411" s="62" t="str">
        <f>IF(Main3WData[[#This Row],[PT.FirstID]],Main3WData[[#This Row],[Acronym]],INDEX($Q$4:Q410,Main3WData[[#This Row],[PT.LastID.Row]]-ROW($Q$4)+1) &amp; ", "&amp;Main3WData[[#This Row],[Acronym]])</f>
        <v>UNFPA, Save the Children, OMS, Columbia Univ, CDC</v>
      </c>
      <c r="R411" s="62" t="b">
        <f t="array" ref="R411">MAX(IF(Main3WData[PT.ID]=Main3WData[[#This Row],[PT.ID]],Main3WData[PT.LastID.Row]))=Main3WData[[#This Row],[PT.LastID.Row]]</f>
        <v>1</v>
      </c>
    </row>
    <row r="412" spans="2:18" ht="16.5" customHeight="1" x14ac:dyDescent="0.2">
      <c r="B412" s="55" t="s">
        <v>508</v>
      </c>
      <c r="C412" s="27" t="str">
        <f>INDEX(Organizations[],MATCH(Main3WData[[#This Row],[Acronym]],AcronymList,0),1)</f>
        <v>FEI/KPLAN</v>
      </c>
      <c r="D412" s="27" t="str">
        <f>INDEX(Organizations[],MATCH(Main3WData[[#This Row],[Acronym]],AcronymList,0),3)</f>
        <v>International NGO</v>
      </c>
      <c r="E412" s="54" t="s">
        <v>352</v>
      </c>
      <c r="F412" s="53" t="s">
        <v>82</v>
      </c>
      <c r="G412" s="54" t="s">
        <v>388</v>
      </c>
      <c r="H412" s="28" t="str">
        <f>VLOOKUP(Main3WData[[#This Row],[Admin Unit Name]],AdminUnits[],2,FALSE)</f>
        <v>GIN004002</v>
      </c>
      <c r="I412" s="57">
        <v>0</v>
      </c>
      <c r="J412" s="67" t="str">
        <f>Main3WData[[#This Row],[Acronym]]&amp;Main3WData[[#This Row],[Sector]]&amp;Main3WData[[#This Row],[Activity Type]]&amp;Main3WData[[#This Row],[Pcode]]</f>
        <v>FEI/KPLANTransport &amp; diagnostiquesOngoingGIN004002</v>
      </c>
      <c r="K412" s="69">
        <f>COUNTIF(Main3WData[Concatenate],Main3WData[[#This Row],[Concatenate]])</f>
        <v>1</v>
      </c>
      <c r="L412" s="61" t="str">
        <f>Main3WData[[#This Row],[Sector]]&amp;Main3WData[[#This Row],[Pcode]]</f>
        <v>Transport &amp; diagnostiquesGIN004002</v>
      </c>
      <c r="M412" s="71">
        <f>COUNTIF($L$5:L412,Main3WData[[#This Row],[PT.Concat]])</f>
        <v>1</v>
      </c>
      <c r="N412" s="70">
        <f>MATCH(Main3WData[[#This Row],[PT.Concat]],$L$5:L412,0)</f>
        <v>408</v>
      </c>
      <c r="O412" s="62" t="b">
        <f>Main3WData[[#This Row],[Count PT.Concat]]=1</f>
        <v>1</v>
      </c>
      <c r="P412" s="62">
        <f t="array" ref="P412">MAX(($N$4:N411=Main3WData[[#This Row],[PT.ID]])*ROW($N$4:N411))</f>
        <v>0</v>
      </c>
      <c r="Q412" s="62" t="str">
        <f>IF(Main3WData[[#This Row],[PT.FirstID]],Main3WData[[#This Row],[Acronym]],INDEX($Q$4:Q411,Main3WData[[#This Row],[PT.LastID.Row]]-ROW($Q$4)+1) &amp; ", "&amp;Main3WData[[#This Row],[Acronym]])</f>
        <v>FEI/KPLAN</v>
      </c>
      <c r="R412" s="62" t="b">
        <f t="array" ref="R412">MAX(IF(Main3WData[PT.ID]=Main3WData[[#This Row],[PT.ID]],Main3WData[PT.LastID.Row]))=Main3WData[[#This Row],[PT.LastID.Row]]</f>
        <v>1</v>
      </c>
    </row>
    <row r="413" spans="2:18" ht="16.5" customHeight="1" x14ac:dyDescent="0.2">
      <c r="B413" s="55" t="s">
        <v>77</v>
      </c>
      <c r="C413" s="27" t="str">
        <f>INDEX(Organizations[],MATCH(Main3WData[[#This Row],[Acronym]],AcronymList,0),1)</f>
        <v>United Nations Children's Fund</v>
      </c>
      <c r="D413" s="27" t="str">
        <f>INDEX(Organizations[],MATCH(Main3WData[[#This Row],[Acronym]],AcronymList,0),3)</f>
        <v>UN Agency</v>
      </c>
      <c r="E413" s="54" t="s">
        <v>350</v>
      </c>
      <c r="F413" s="53" t="s">
        <v>82</v>
      </c>
      <c r="G413" s="54" t="s">
        <v>404</v>
      </c>
      <c r="H413" s="28" t="str">
        <f>VLOOKUP(Main3WData[[#This Row],[Admin Unit Name]],AdminUnits[],2,FALSE)</f>
        <v>GIN005005</v>
      </c>
      <c r="I413" s="57">
        <v>0</v>
      </c>
      <c r="J413" s="67" t="str">
        <f>Main3WData[[#This Row],[Acronym]]&amp;Main3WData[[#This Row],[Sector]]&amp;Main3WData[[#This Row],[Activity Type]]&amp;Main3WData[[#This Row],[Pcode]]</f>
        <v>UNICEFCommunication/Mobilisation socialeOngoingGIN005005</v>
      </c>
      <c r="K413" s="69">
        <f>COUNTIF(Main3WData[Concatenate],Main3WData[[#This Row],[Concatenate]])</f>
        <v>1</v>
      </c>
      <c r="L413" s="61" t="str">
        <f>Main3WData[[#This Row],[Sector]]&amp;Main3WData[[#This Row],[Pcode]]</f>
        <v>Communication/Mobilisation socialeGIN005005</v>
      </c>
      <c r="M413" s="71">
        <f>COUNTIF($L$5:L413,Main3WData[[#This Row],[PT.Concat]])</f>
        <v>1</v>
      </c>
      <c r="N413" s="70">
        <f>MATCH(Main3WData[[#This Row],[PT.Concat]],$L$5:L413,0)</f>
        <v>409</v>
      </c>
      <c r="O413" s="62" t="b">
        <f>Main3WData[[#This Row],[Count PT.Concat]]=1</f>
        <v>1</v>
      </c>
      <c r="P413" s="62">
        <f t="array" ref="P413">MAX(($N$4:N412=Main3WData[[#This Row],[PT.ID]])*ROW($N$4:N412))</f>
        <v>0</v>
      </c>
      <c r="Q413" s="62" t="str">
        <f>IF(Main3WData[[#This Row],[PT.FirstID]],Main3WData[[#This Row],[Acronym]],INDEX($Q$4:Q412,Main3WData[[#This Row],[PT.LastID.Row]]-ROW($Q$4)+1) &amp; ", "&amp;Main3WData[[#This Row],[Acronym]])</f>
        <v>UNICEF</v>
      </c>
      <c r="R413" s="62" t="b">
        <f t="array" ref="R413">MAX(IF(Main3WData[PT.ID]=Main3WData[[#This Row],[PT.ID]],Main3WData[PT.LastID.Row]))=Main3WData[[#This Row],[PT.LastID.Row]]</f>
        <v>0</v>
      </c>
    </row>
    <row r="414" spans="2:18" ht="16.5" customHeight="1" x14ac:dyDescent="0.2">
      <c r="B414" s="55" t="s">
        <v>75</v>
      </c>
      <c r="C414" s="27" t="str">
        <f>INDEX(Organizations[],MATCH(Main3WData[[#This Row],[Acronym]],AcronymList,0),1)</f>
        <v>United Nations Population Fund</v>
      </c>
      <c r="D414" s="27" t="str">
        <f>INDEX(Organizations[],MATCH(Main3WData[[#This Row],[Acronym]],AcronymList,0),3)</f>
        <v>UN Agency</v>
      </c>
      <c r="E414" s="54" t="s">
        <v>350</v>
      </c>
      <c r="F414" s="53" t="s">
        <v>82</v>
      </c>
      <c r="G414" s="54" t="s">
        <v>404</v>
      </c>
      <c r="H414" s="28" t="str">
        <f>VLOOKUP(Main3WData[[#This Row],[Admin Unit Name]],AdminUnits[],2,FALSE)</f>
        <v>GIN005005</v>
      </c>
      <c r="I414" s="57">
        <v>0</v>
      </c>
      <c r="J414" s="67" t="str">
        <f>Main3WData[[#This Row],[Acronym]]&amp;Main3WData[[#This Row],[Sector]]&amp;Main3WData[[#This Row],[Activity Type]]&amp;Main3WData[[#This Row],[Pcode]]</f>
        <v>UNFPACommunication/Mobilisation socialeOngoingGIN005005</v>
      </c>
      <c r="K414" s="69">
        <f>COUNTIF(Main3WData[Concatenate],Main3WData[[#This Row],[Concatenate]])</f>
        <v>1</v>
      </c>
      <c r="L414" s="61" t="str">
        <f>Main3WData[[#This Row],[Sector]]&amp;Main3WData[[#This Row],[Pcode]]</f>
        <v>Communication/Mobilisation socialeGIN005005</v>
      </c>
      <c r="M414" s="71">
        <f>COUNTIF($L$5:L414,Main3WData[[#This Row],[PT.Concat]])</f>
        <v>2</v>
      </c>
      <c r="N414" s="70">
        <f>MATCH(Main3WData[[#This Row],[PT.Concat]],$L$5:L414,0)</f>
        <v>409</v>
      </c>
      <c r="O414" s="62" t="b">
        <f>Main3WData[[#This Row],[Count PT.Concat]]=1</f>
        <v>0</v>
      </c>
      <c r="P414" s="62">
        <f t="array" ref="P414">MAX(($N$4:N413=Main3WData[[#This Row],[PT.ID]])*ROW($N$4:N413))</f>
        <v>413</v>
      </c>
      <c r="Q414" s="62" t="str">
        <f>IF(Main3WData[[#This Row],[PT.FirstID]],Main3WData[[#This Row],[Acronym]],INDEX($Q$4:Q413,Main3WData[[#This Row],[PT.LastID.Row]]-ROW($Q$4)+1) &amp; ", "&amp;Main3WData[[#This Row],[Acronym]])</f>
        <v>UNICEF, UNFPA</v>
      </c>
      <c r="R414" s="62" t="b">
        <f t="array" ref="R414">MAX(IF(Main3WData[PT.ID]=Main3WData[[#This Row],[PT.ID]],Main3WData[PT.LastID.Row]))=Main3WData[[#This Row],[PT.LastID.Row]]</f>
        <v>0</v>
      </c>
    </row>
    <row r="415" spans="2:18" ht="16.5" customHeight="1" x14ac:dyDescent="0.2">
      <c r="B415" s="55" t="s">
        <v>473</v>
      </c>
      <c r="C415" s="27" t="str">
        <f>INDEX(Organizations[],MATCH(Main3WData[[#This Row],[Acronym]],AcronymList,0),1)</f>
        <v>United Nations Development Programme</v>
      </c>
      <c r="D415" s="27" t="str">
        <f>INDEX(Organizations[],MATCH(Main3WData[[#This Row],[Acronym]],AcronymList,0),3)</f>
        <v>UN Agency</v>
      </c>
      <c r="E415" s="54" t="s">
        <v>350</v>
      </c>
      <c r="F415" s="53" t="s">
        <v>82</v>
      </c>
      <c r="G415" s="54" t="s">
        <v>404</v>
      </c>
      <c r="H415" s="28" t="str">
        <f>VLOOKUP(Main3WData[[#This Row],[Admin Unit Name]],AdminUnits[],2,FALSE)</f>
        <v>GIN005005</v>
      </c>
      <c r="I415" s="57">
        <v>0</v>
      </c>
      <c r="J415" s="67" t="str">
        <f>Main3WData[[#This Row],[Acronym]]&amp;Main3WData[[#This Row],[Sector]]&amp;Main3WData[[#This Row],[Activity Type]]&amp;Main3WData[[#This Row],[Pcode]]</f>
        <v>UNDPCommunication/Mobilisation socialeOngoingGIN005005</v>
      </c>
      <c r="K415" s="69">
        <f>COUNTIF(Main3WData[Concatenate],Main3WData[[#This Row],[Concatenate]])</f>
        <v>1</v>
      </c>
      <c r="L415" s="61" t="str">
        <f>Main3WData[[#This Row],[Sector]]&amp;Main3WData[[#This Row],[Pcode]]</f>
        <v>Communication/Mobilisation socialeGIN005005</v>
      </c>
      <c r="M415" s="71">
        <f>COUNTIF($L$5:L415,Main3WData[[#This Row],[PT.Concat]])</f>
        <v>3</v>
      </c>
      <c r="N415" s="70">
        <f>MATCH(Main3WData[[#This Row],[PT.Concat]],$L$5:L415,0)</f>
        <v>409</v>
      </c>
      <c r="O415" s="62" t="b">
        <f>Main3WData[[#This Row],[Count PT.Concat]]=1</f>
        <v>0</v>
      </c>
      <c r="P415" s="62">
        <f t="array" ref="P415">MAX(($N$4:N414=Main3WData[[#This Row],[PT.ID]])*ROW($N$4:N414))</f>
        <v>414</v>
      </c>
      <c r="Q415" s="62" t="str">
        <f>IF(Main3WData[[#This Row],[PT.FirstID]],Main3WData[[#This Row],[Acronym]],INDEX($Q$4:Q414,Main3WData[[#This Row],[PT.LastID.Row]]-ROW($Q$4)+1) &amp; ", "&amp;Main3WData[[#This Row],[Acronym]])</f>
        <v>UNICEF, UNFPA, UNDP</v>
      </c>
      <c r="R415" s="62" t="b">
        <f t="array" ref="R415">MAX(IF(Main3WData[PT.ID]=Main3WData[[#This Row],[PT.ID]],Main3WData[PT.LastID.Row]))=Main3WData[[#This Row],[PT.LastID.Row]]</f>
        <v>0</v>
      </c>
    </row>
    <row r="416" spans="2:18" ht="16.5" customHeight="1" x14ac:dyDescent="0.2">
      <c r="B416" s="55" t="s">
        <v>72</v>
      </c>
      <c r="C416" s="27" t="str">
        <f>INDEX(Organizations[],MATCH(Main3WData[[#This Row],[Acronym]],AcronymList,0),1)</f>
        <v>PLAN</v>
      </c>
      <c r="D416" s="27" t="str">
        <f>INDEX(Organizations[],MATCH(Main3WData[[#This Row],[Acronym]],AcronymList,0),3)</f>
        <v>International Organization</v>
      </c>
      <c r="E416" s="54" t="s">
        <v>350</v>
      </c>
      <c r="F416" s="53" t="s">
        <v>82</v>
      </c>
      <c r="G416" s="54" t="s">
        <v>404</v>
      </c>
      <c r="H416" s="28" t="str">
        <f>VLOOKUP(Main3WData[[#This Row],[Admin Unit Name]],AdminUnits[],2,FALSE)</f>
        <v>GIN005005</v>
      </c>
      <c r="I416" s="57">
        <v>0</v>
      </c>
      <c r="J416" s="67" t="str">
        <f>Main3WData[[#This Row],[Acronym]]&amp;Main3WData[[#This Row],[Sector]]&amp;Main3WData[[#This Row],[Activity Type]]&amp;Main3WData[[#This Row],[Pcode]]</f>
        <v>PLANCommunication/Mobilisation socialeOngoingGIN005005</v>
      </c>
      <c r="K416" s="69">
        <f>COUNTIF(Main3WData[Concatenate],Main3WData[[#This Row],[Concatenate]])</f>
        <v>1</v>
      </c>
      <c r="L416" s="61" t="str">
        <f>Main3WData[[#This Row],[Sector]]&amp;Main3WData[[#This Row],[Pcode]]</f>
        <v>Communication/Mobilisation socialeGIN005005</v>
      </c>
      <c r="M416" s="71">
        <f>COUNTIF($L$5:L416,Main3WData[[#This Row],[PT.Concat]])</f>
        <v>4</v>
      </c>
      <c r="N416" s="70">
        <f>MATCH(Main3WData[[#This Row],[PT.Concat]],$L$5:L416,0)</f>
        <v>409</v>
      </c>
      <c r="O416" s="62" t="b">
        <f>Main3WData[[#This Row],[Count PT.Concat]]=1</f>
        <v>0</v>
      </c>
      <c r="P416" s="62">
        <f t="array" ref="P416">MAX(($N$4:N415=Main3WData[[#This Row],[PT.ID]])*ROW($N$4:N415))</f>
        <v>415</v>
      </c>
      <c r="Q416" s="62" t="str">
        <f>IF(Main3WData[[#This Row],[PT.FirstID]],Main3WData[[#This Row],[Acronym]],INDEX($Q$4:Q415,Main3WData[[#This Row],[PT.LastID.Row]]-ROW($Q$4)+1) &amp; ", "&amp;Main3WData[[#This Row],[Acronym]])</f>
        <v>UNICEF, UNFPA, UNDP, PLAN</v>
      </c>
      <c r="R416" s="62" t="b">
        <f t="array" ref="R416">MAX(IF(Main3WData[PT.ID]=Main3WData[[#This Row],[PT.ID]],Main3WData[PT.LastID.Row]))=Main3WData[[#This Row],[PT.LastID.Row]]</f>
        <v>0</v>
      </c>
    </row>
    <row r="417" spans="2:18" ht="16.5" customHeight="1" x14ac:dyDescent="0.2">
      <c r="B417" s="55" t="s">
        <v>512</v>
      </c>
      <c r="C417" s="27" t="str">
        <f>INDEX(Organizations[],MATCH(Main3WData[[#This Row],[Acronym]],AcronymList,0),1)</f>
        <v>World Health Organization</v>
      </c>
      <c r="D417" s="27" t="str">
        <f>INDEX(Organizations[],MATCH(Main3WData[[#This Row],[Acronym]],AcronymList,0),3)</f>
        <v>UN Agency</v>
      </c>
      <c r="E417" s="54" t="s">
        <v>350</v>
      </c>
      <c r="F417" s="53" t="s">
        <v>82</v>
      </c>
      <c r="G417" s="54" t="s">
        <v>404</v>
      </c>
      <c r="H417" s="28" t="str">
        <f>VLOOKUP(Main3WData[[#This Row],[Admin Unit Name]],AdminUnits[],2,FALSE)</f>
        <v>GIN005005</v>
      </c>
      <c r="I417" s="57">
        <v>0</v>
      </c>
      <c r="J417" s="67" t="str">
        <f>Main3WData[[#This Row],[Acronym]]&amp;Main3WData[[#This Row],[Sector]]&amp;Main3WData[[#This Row],[Activity Type]]&amp;Main3WData[[#This Row],[Pcode]]</f>
        <v>OMSCommunication/Mobilisation socialeOngoingGIN005005</v>
      </c>
      <c r="K417" s="69">
        <f>COUNTIF(Main3WData[Concatenate],Main3WData[[#This Row],[Concatenate]])</f>
        <v>1</v>
      </c>
      <c r="L417" s="61" t="str">
        <f>Main3WData[[#This Row],[Sector]]&amp;Main3WData[[#This Row],[Pcode]]</f>
        <v>Communication/Mobilisation socialeGIN005005</v>
      </c>
      <c r="M417" s="71">
        <f>COUNTIF($L$5:L417,Main3WData[[#This Row],[PT.Concat]])</f>
        <v>5</v>
      </c>
      <c r="N417" s="70">
        <f>MATCH(Main3WData[[#This Row],[PT.Concat]],$L$5:L417,0)</f>
        <v>409</v>
      </c>
      <c r="O417" s="62" t="b">
        <f>Main3WData[[#This Row],[Count PT.Concat]]=1</f>
        <v>0</v>
      </c>
      <c r="P417" s="62">
        <f t="array" ref="P417">MAX(($N$4:N416=Main3WData[[#This Row],[PT.ID]])*ROW($N$4:N416))</f>
        <v>416</v>
      </c>
      <c r="Q417" s="62" t="str">
        <f>IF(Main3WData[[#This Row],[PT.FirstID]],Main3WData[[#This Row],[Acronym]],INDEX($Q$4:Q416,Main3WData[[#This Row],[PT.LastID.Row]]-ROW($Q$4)+1) &amp; ", "&amp;Main3WData[[#This Row],[Acronym]])</f>
        <v>UNICEF, UNFPA, UNDP, PLAN, OMS</v>
      </c>
      <c r="R417" s="62" t="b">
        <f t="array" ref="R417">MAX(IF(Main3WData[PT.ID]=Main3WData[[#This Row],[PT.ID]],Main3WData[PT.LastID.Row]))=Main3WData[[#This Row],[PT.LastID.Row]]</f>
        <v>0</v>
      </c>
    </row>
    <row r="418" spans="2:18" ht="16.5" customHeight="1" x14ac:dyDescent="0.2">
      <c r="B418" s="55" t="s">
        <v>499</v>
      </c>
      <c r="C418" s="27" t="str">
        <f>INDEX(Organizations[],MATCH(Main3WData[[#This Row],[Acronym]],AcronymList,0),1)</f>
        <v>Croix-Rouge Guinée/Fédération internationale de la Croix-Rouge</v>
      </c>
      <c r="D418" s="27" t="str">
        <f>INDEX(Organizations[],MATCH(Main3WData[[#This Row],[Acronym]],AcronymList,0),3)</f>
        <v>International Organization</v>
      </c>
      <c r="E418" s="54" t="s">
        <v>350</v>
      </c>
      <c r="F418" s="53" t="s">
        <v>82</v>
      </c>
      <c r="G418" s="54" t="s">
        <v>404</v>
      </c>
      <c r="H418" s="28" t="str">
        <f>VLOOKUP(Main3WData[[#This Row],[Admin Unit Name]],AdminUnits[],2,FALSE)</f>
        <v>GIN005005</v>
      </c>
      <c r="I418" s="57">
        <v>0</v>
      </c>
      <c r="J418" s="67" t="str">
        <f>Main3WData[[#This Row],[Acronym]]&amp;Main3WData[[#This Row],[Sector]]&amp;Main3WData[[#This Row],[Activity Type]]&amp;Main3WData[[#This Row],[Pcode]]</f>
        <v>CRG/FICRCommunication/Mobilisation socialeOngoingGIN005005</v>
      </c>
      <c r="K418" s="69">
        <f>COUNTIF(Main3WData[Concatenate],Main3WData[[#This Row],[Concatenate]])</f>
        <v>1</v>
      </c>
      <c r="L418" s="61" t="str">
        <f>Main3WData[[#This Row],[Sector]]&amp;Main3WData[[#This Row],[Pcode]]</f>
        <v>Communication/Mobilisation socialeGIN005005</v>
      </c>
      <c r="M418" s="71">
        <f>COUNTIF($L$5:L418,Main3WData[[#This Row],[PT.Concat]])</f>
        <v>6</v>
      </c>
      <c r="N418" s="70">
        <f>MATCH(Main3WData[[#This Row],[PT.Concat]],$L$5:L418,0)</f>
        <v>409</v>
      </c>
      <c r="O418" s="62" t="b">
        <f>Main3WData[[#This Row],[Count PT.Concat]]=1</f>
        <v>0</v>
      </c>
      <c r="P418" s="62">
        <f t="array" ref="P418">MAX(($N$4:N417=Main3WData[[#This Row],[PT.ID]])*ROW($N$4:N417))</f>
        <v>417</v>
      </c>
      <c r="Q418" s="62" t="str">
        <f>IF(Main3WData[[#This Row],[PT.FirstID]],Main3WData[[#This Row],[Acronym]],INDEX($Q$4:Q417,Main3WData[[#This Row],[PT.LastID.Row]]-ROW($Q$4)+1) &amp; ", "&amp;Main3WData[[#This Row],[Acronym]])</f>
        <v>UNICEF, UNFPA, UNDP, PLAN, OMS, CRG/FICR</v>
      </c>
      <c r="R418" s="62" t="b">
        <f t="array" ref="R418">MAX(IF(Main3WData[PT.ID]=Main3WData[[#This Row],[PT.ID]],Main3WData[PT.LastID.Row]))=Main3WData[[#This Row],[PT.LastID.Row]]</f>
        <v>1</v>
      </c>
    </row>
    <row r="419" spans="2:18" ht="16.5" customHeight="1" x14ac:dyDescent="0.2">
      <c r="B419" s="55" t="s">
        <v>516</v>
      </c>
      <c r="C419" s="27" t="str">
        <f>INDEX(Organizations[],MATCH(Main3WData[[#This Row],[Acronym]],AcronymList,0),1)</f>
        <v>UNITED NATION MISSION FOR EBOLA  EMERGENCY RESPONSE</v>
      </c>
      <c r="D419" s="27" t="str">
        <f>INDEX(Organizations[],MATCH(Main3WData[[#This Row],[Acronym]],AcronymList,0),3)</f>
        <v>UN Agency</v>
      </c>
      <c r="E419" s="54" t="s">
        <v>360</v>
      </c>
      <c r="F419" s="53" t="s">
        <v>82</v>
      </c>
      <c r="G419" s="54" t="s">
        <v>404</v>
      </c>
      <c r="H419" s="28" t="str">
        <f>VLOOKUP(Main3WData[[#This Row],[Admin Unit Name]],AdminUnits[],2,FALSE)</f>
        <v>GIN005005</v>
      </c>
      <c r="I419" s="57">
        <v>0</v>
      </c>
      <c r="J419" s="67" t="str">
        <f>Main3WData[[#This Row],[Acronym]]&amp;Main3WData[[#This Row],[Sector]]&amp;Main3WData[[#This Row],[Activity Type]]&amp;Main3WData[[#This Row],[Pcode]]</f>
        <v>UNMEERCoordinationOngoingGIN005005</v>
      </c>
      <c r="K419" s="69">
        <f>COUNTIF(Main3WData[Concatenate],Main3WData[[#This Row],[Concatenate]])</f>
        <v>1</v>
      </c>
      <c r="L419" s="61" t="str">
        <f>Main3WData[[#This Row],[Sector]]&amp;Main3WData[[#This Row],[Pcode]]</f>
        <v>CoordinationGIN005005</v>
      </c>
      <c r="M419" s="71">
        <f>COUNTIF($L$5:L419,Main3WData[[#This Row],[PT.Concat]])</f>
        <v>1</v>
      </c>
      <c r="N419" s="70">
        <f>MATCH(Main3WData[[#This Row],[PT.Concat]],$L$5:L419,0)</f>
        <v>415</v>
      </c>
      <c r="O419" s="62" t="b">
        <f>Main3WData[[#This Row],[Count PT.Concat]]=1</f>
        <v>1</v>
      </c>
      <c r="P419" s="62">
        <f t="array" ref="P419">MAX(($N$4:N418=Main3WData[[#This Row],[PT.ID]])*ROW($N$4:N418))</f>
        <v>0</v>
      </c>
      <c r="Q419" s="62" t="str">
        <f>IF(Main3WData[[#This Row],[PT.FirstID]],Main3WData[[#This Row],[Acronym]],INDEX($Q$4:Q418,Main3WData[[#This Row],[PT.LastID.Row]]-ROW($Q$4)+1) &amp; ", "&amp;Main3WData[[#This Row],[Acronym]])</f>
        <v>UNMEER</v>
      </c>
      <c r="R419" s="62" t="b">
        <f t="array" ref="R419">MAX(IF(Main3WData[PT.ID]=Main3WData[[#This Row],[PT.ID]],Main3WData[PT.LastID.Row]))=Main3WData[[#This Row],[PT.LastID.Row]]</f>
        <v>0</v>
      </c>
    </row>
    <row r="420" spans="2:18" ht="16.5" customHeight="1" x14ac:dyDescent="0.2">
      <c r="B420" s="55" t="s">
        <v>75</v>
      </c>
      <c r="C420" s="27" t="str">
        <f>INDEX(Organizations[],MATCH(Main3WData[[#This Row],[Acronym]],AcronymList,0),1)</f>
        <v>United Nations Population Fund</v>
      </c>
      <c r="D420" s="27" t="str">
        <f>INDEX(Organizations[],MATCH(Main3WData[[#This Row],[Acronym]],AcronymList,0),3)</f>
        <v>UN Agency</v>
      </c>
      <c r="E420" s="54" t="s">
        <v>360</v>
      </c>
      <c r="F420" s="53" t="s">
        <v>82</v>
      </c>
      <c r="G420" s="54" t="s">
        <v>404</v>
      </c>
      <c r="H420" s="28" t="str">
        <f>VLOOKUP(Main3WData[[#This Row],[Admin Unit Name]],AdminUnits[],2,FALSE)</f>
        <v>GIN005005</v>
      </c>
      <c r="I420" s="57">
        <v>0</v>
      </c>
      <c r="J420" s="67" t="str">
        <f>Main3WData[[#This Row],[Acronym]]&amp;Main3WData[[#This Row],[Sector]]&amp;Main3WData[[#This Row],[Activity Type]]&amp;Main3WData[[#This Row],[Pcode]]</f>
        <v>UNFPACoordinationOngoingGIN005005</v>
      </c>
      <c r="K420" s="69">
        <f>COUNTIF(Main3WData[Concatenate],Main3WData[[#This Row],[Concatenate]])</f>
        <v>1</v>
      </c>
      <c r="L420" s="61" t="str">
        <f>Main3WData[[#This Row],[Sector]]&amp;Main3WData[[#This Row],[Pcode]]</f>
        <v>CoordinationGIN005005</v>
      </c>
      <c r="M420" s="71">
        <f>COUNTIF($L$5:L420,Main3WData[[#This Row],[PT.Concat]])</f>
        <v>2</v>
      </c>
      <c r="N420" s="70">
        <f>MATCH(Main3WData[[#This Row],[PT.Concat]],$L$5:L420,0)</f>
        <v>415</v>
      </c>
      <c r="O420" s="62" t="b">
        <f>Main3WData[[#This Row],[Count PT.Concat]]=1</f>
        <v>0</v>
      </c>
      <c r="P420" s="62">
        <f t="array" ref="P420">MAX(($N$4:N419=Main3WData[[#This Row],[PT.ID]])*ROW($N$4:N419))</f>
        <v>419</v>
      </c>
      <c r="Q420" s="62" t="str">
        <f>IF(Main3WData[[#This Row],[PT.FirstID]],Main3WData[[#This Row],[Acronym]],INDEX($Q$4:Q419,Main3WData[[#This Row],[PT.LastID.Row]]-ROW($Q$4)+1) &amp; ", "&amp;Main3WData[[#This Row],[Acronym]])</f>
        <v>UNMEER, UNFPA</v>
      </c>
      <c r="R420" s="62" t="b">
        <f t="array" ref="R420">MAX(IF(Main3WData[PT.ID]=Main3WData[[#This Row],[PT.ID]],Main3WData[PT.LastID.Row]))=Main3WData[[#This Row],[PT.LastID.Row]]</f>
        <v>0</v>
      </c>
    </row>
    <row r="421" spans="2:18" ht="16.5" customHeight="1" x14ac:dyDescent="0.2">
      <c r="B421" s="55" t="s">
        <v>473</v>
      </c>
      <c r="C421" s="27" t="str">
        <f>INDEX(Organizations[],MATCH(Main3WData[[#This Row],[Acronym]],AcronymList,0),1)</f>
        <v>United Nations Development Programme</v>
      </c>
      <c r="D421" s="27" t="str">
        <f>INDEX(Organizations[],MATCH(Main3WData[[#This Row],[Acronym]],AcronymList,0),3)</f>
        <v>UN Agency</v>
      </c>
      <c r="E421" s="54" t="s">
        <v>360</v>
      </c>
      <c r="F421" s="53" t="s">
        <v>82</v>
      </c>
      <c r="G421" s="54" t="s">
        <v>404</v>
      </c>
      <c r="H421" s="28" t="str">
        <f>VLOOKUP(Main3WData[[#This Row],[Admin Unit Name]],AdminUnits[],2,FALSE)</f>
        <v>GIN005005</v>
      </c>
      <c r="I421" s="57">
        <v>0</v>
      </c>
      <c r="J421" s="67" t="str">
        <f>Main3WData[[#This Row],[Acronym]]&amp;Main3WData[[#This Row],[Sector]]&amp;Main3WData[[#This Row],[Activity Type]]&amp;Main3WData[[#This Row],[Pcode]]</f>
        <v>UNDPCoordinationOngoingGIN005005</v>
      </c>
      <c r="K421" s="69">
        <f>COUNTIF(Main3WData[Concatenate],Main3WData[[#This Row],[Concatenate]])</f>
        <v>1</v>
      </c>
      <c r="L421" s="61" t="str">
        <f>Main3WData[[#This Row],[Sector]]&amp;Main3WData[[#This Row],[Pcode]]</f>
        <v>CoordinationGIN005005</v>
      </c>
      <c r="M421" s="71">
        <f>COUNTIF($L$5:L421,Main3WData[[#This Row],[PT.Concat]])</f>
        <v>3</v>
      </c>
      <c r="N421" s="70">
        <f>MATCH(Main3WData[[#This Row],[PT.Concat]],$L$5:L421,0)</f>
        <v>415</v>
      </c>
      <c r="O421" s="62" t="b">
        <f>Main3WData[[#This Row],[Count PT.Concat]]=1</f>
        <v>0</v>
      </c>
      <c r="P421" s="62">
        <f t="array" ref="P421">MAX(($N$4:N420=Main3WData[[#This Row],[PT.ID]])*ROW($N$4:N420))</f>
        <v>420</v>
      </c>
      <c r="Q421" s="62" t="str">
        <f>IF(Main3WData[[#This Row],[PT.FirstID]],Main3WData[[#This Row],[Acronym]],INDEX($Q$4:Q420,Main3WData[[#This Row],[PT.LastID.Row]]-ROW($Q$4)+1) &amp; ", "&amp;Main3WData[[#This Row],[Acronym]])</f>
        <v>UNMEER, UNFPA, UNDP</v>
      </c>
      <c r="R421" s="62" t="b">
        <f t="array" ref="R421">MAX(IF(Main3WData[PT.ID]=Main3WData[[#This Row],[PT.ID]],Main3WData[PT.LastID.Row]))=Main3WData[[#This Row],[PT.LastID.Row]]</f>
        <v>0</v>
      </c>
    </row>
    <row r="422" spans="2:18" ht="16.5" customHeight="1" x14ac:dyDescent="0.2">
      <c r="B422" s="55" t="s">
        <v>512</v>
      </c>
      <c r="C422" s="27" t="str">
        <f>INDEX(Organizations[],MATCH(Main3WData[[#This Row],[Acronym]],AcronymList,0),1)</f>
        <v>World Health Organization</v>
      </c>
      <c r="D422" s="27" t="str">
        <f>INDEX(Organizations[],MATCH(Main3WData[[#This Row],[Acronym]],AcronymList,0),3)</f>
        <v>UN Agency</v>
      </c>
      <c r="E422" s="54" t="s">
        <v>360</v>
      </c>
      <c r="F422" s="53" t="s">
        <v>82</v>
      </c>
      <c r="G422" s="54" t="s">
        <v>404</v>
      </c>
      <c r="H422" s="28" t="str">
        <f>VLOOKUP(Main3WData[[#This Row],[Admin Unit Name]],AdminUnits[],2,FALSE)</f>
        <v>GIN005005</v>
      </c>
      <c r="I422" s="57">
        <v>0</v>
      </c>
      <c r="J422" s="67" t="str">
        <f>Main3WData[[#This Row],[Acronym]]&amp;Main3WData[[#This Row],[Sector]]&amp;Main3WData[[#This Row],[Activity Type]]&amp;Main3WData[[#This Row],[Pcode]]</f>
        <v>OMSCoordinationOngoingGIN005005</v>
      </c>
      <c r="K422" s="69">
        <f>COUNTIF(Main3WData[Concatenate],Main3WData[[#This Row],[Concatenate]])</f>
        <v>1</v>
      </c>
      <c r="L422" s="61" t="str">
        <f>Main3WData[[#This Row],[Sector]]&amp;Main3WData[[#This Row],[Pcode]]</f>
        <v>CoordinationGIN005005</v>
      </c>
      <c r="M422" s="71">
        <f>COUNTIF($L$5:L422,Main3WData[[#This Row],[PT.Concat]])</f>
        <v>4</v>
      </c>
      <c r="N422" s="70">
        <f>MATCH(Main3WData[[#This Row],[PT.Concat]],$L$5:L422,0)</f>
        <v>415</v>
      </c>
      <c r="O422" s="62" t="b">
        <f>Main3WData[[#This Row],[Count PT.Concat]]=1</f>
        <v>0</v>
      </c>
      <c r="P422" s="62">
        <f t="array" ref="P422">MAX(($N$4:N421=Main3WData[[#This Row],[PT.ID]])*ROW($N$4:N421))</f>
        <v>421</v>
      </c>
      <c r="Q422" s="62" t="str">
        <f>IF(Main3WData[[#This Row],[PT.FirstID]],Main3WData[[#This Row],[Acronym]],INDEX($Q$4:Q421,Main3WData[[#This Row],[PT.LastID.Row]]-ROW($Q$4)+1) &amp; ", "&amp;Main3WData[[#This Row],[Acronym]])</f>
        <v>UNMEER, UNFPA, UNDP, OMS</v>
      </c>
      <c r="R422" s="62" t="b">
        <f t="array" ref="R422">MAX(IF(Main3WData[PT.ID]=Main3WData[[#This Row],[PT.ID]],Main3WData[PT.LastID.Row]))=Main3WData[[#This Row],[PT.LastID.Row]]</f>
        <v>0</v>
      </c>
    </row>
    <row r="423" spans="2:18" ht="16.5" customHeight="1" x14ac:dyDescent="0.2">
      <c r="B423" s="55" t="s">
        <v>71</v>
      </c>
      <c r="C423" s="27" t="str">
        <f>INDEX(Organizations[],MATCH(Main3WData[[#This Row],[Acronym]],AcronymList,0),1)</f>
        <v>Medecins sans Frontieres</v>
      </c>
      <c r="D423" s="27" t="str">
        <f>INDEX(Organizations[],MATCH(Main3WData[[#This Row],[Acronym]],AcronymList,0),3)</f>
        <v>International NGO</v>
      </c>
      <c r="E423" s="54" t="s">
        <v>360</v>
      </c>
      <c r="F423" s="53" t="s">
        <v>82</v>
      </c>
      <c r="G423" s="54" t="s">
        <v>404</v>
      </c>
      <c r="H423" s="28" t="str">
        <f>VLOOKUP(Main3WData[[#This Row],[Admin Unit Name]],AdminUnits[],2,FALSE)</f>
        <v>GIN005005</v>
      </c>
      <c r="I423" s="57">
        <v>0</v>
      </c>
      <c r="J423" s="67" t="str">
        <f>Main3WData[[#This Row],[Acronym]]&amp;Main3WData[[#This Row],[Sector]]&amp;Main3WData[[#This Row],[Activity Type]]&amp;Main3WData[[#This Row],[Pcode]]</f>
        <v>MSFCoordinationOngoingGIN005005</v>
      </c>
      <c r="K423" s="69">
        <f>COUNTIF(Main3WData[Concatenate],Main3WData[[#This Row],[Concatenate]])</f>
        <v>1</v>
      </c>
      <c r="L423" s="61" t="str">
        <f>Main3WData[[#This Row],[Sector]]&amp;Main3WData[[#This Row],[Pcode]]</f>
        <v>CoordinationGIN005005</v>
      </c>
      <c r="M423" s="71">
        <f>COUNTIF($L$5:L423,Main3WData[[#This Row],[PT.Concat]])</f>
        <v>5</v>
      </c>
      <c r="N423" s="70">
        <f>MATCH(Main3WData[[#This Row],[PT.Concat]],$L$5:L423,0)</f>
        <v>415</v>
      </c>
      <c r="O423" s="62" t="b">
        <f>Main3WData[[#This Row],[Count PT.Concat]]=1</f>
        <v>0</v>
      </c>
      <c r="P423" s="62">
        <f t="array" ref="P423">MAX(($N$4:N422=Main3WData[[#This Row],[PT.ID]])*ROW($N$4:N422))</f>
        <v>422</v>
      </c>
      <c r="Q423" s="62" t="str">
        <f>IF(Main3WData[[#This Row],[PT.FirstID]],Main3WData[[#This Row],[Acronym]],INDEX($Q$4:Q422,Main3WData[[#This Row],[PT.LastID.Row]]-ROW($Q$4)+1) &amp; ", "&amp;Main3WData[[#This Row],[Acronym]])</f>
        <v>UNMEER, UNFPA, UNDP, OMS, MSF</v>
      </c>
      <c r="R423" s="62" t="b">
        <f t="array" ref="R423">MAX(IF(Main3WData[PT.ID]=Main3WData[[#This Row],[PT.ID]],Main3WData[PT.LastID.Row]))=Main3WData[[#This Row],[PT.LastID.Row]]</f>
        <v>0</v>
      </c>
    </row>
    <row r="424" spans="2:18" ht="16.5" customHeight="1" x14ac:dyDescent="0.2">
      <c r="B424" s="55" t="s">
        <v>507</v>
      </c>
      <c r="C424" s="27" t="str">
        <f>INDEX(Organizations[],MATCH(Main3WData[[#This Row],[Acronym]],AcronymList,0),1)</f>
        <v>eHealth Africa</v>
      </c>
      <c r="D424" s="27" t="str">
        <f>INDEX(Organizations[],MATCH(Main3WData[[#This Row],[Acronym]],AcronymList,0),3)</f>
        <v>International Organization</v>
      </c>
      <c r="E424" s="54" t="s">
        <v>360</v>
      </c>
      <c r="F424" s="53" t="s">
        <v>82</v>
      </c>
      <c r="G424" s="54" t="s">
        <v>404</v>
      </c>
      <c r="H424" s="28" t="str">
        <f>VLOOKUP(Main3WData[[#This Row],[Admin Unit Name]],AdminUnits[],2,FALSE)</f>
        <v>GIN005005</v>
      </c>
      <c r="I424" s="57">
        <v>0</v>
      </c>
      <c r="J424" s="67" t="str">
        <f>Main3WData[[#This Row],[Acronym]]&amp;Main3WData[[#This Row],[Sector]]&amp;Main3WData[[#This Row],[Activity Type]]&amp;Main3WData[[#This Row],[Pcode]]</f>
        <v>eHealth AfricaCoordinationOngoingGIN005005</v>
      </c>
      <c r="K424" s="69">
        <f>COUNTIF(Main3WData[Concatenate],Main3WData[[#This Row],[Concatenate]])</f>
        <v>1</v>
      </c>
      <c r="L424" s="61" t="str">
        <f>Main3WData[[#This Row],[Sector]]&amp;Main3WData[[#This Row],[Pcode]]</f>
        <v>CoordinationGIN005005</v>
      </c>
      <c r="M424" s="71">
        <f>COUNTIF($L$5:L424,Main3WData[[#This Row],[PT.Concat]])</f>
        <v>6</v>
      </c>
      <c r="N424" s="70">
        <f>MATCH(Main3WData[[#This Row],[PT.Concat]],$L$5:L424,0)</f>
        <v>415</v>
      </c>
      <c r="O424" s="62" t="b">
        <f>Main3WData[[#This Row],[Count PT.Concat]]=1</f>
        <v>0</v>
      </c>
      <c r="P424" s="62">
        <f t="array" ref="P424">MAX(($N$4:N423=Main3WData[[#This Row],[PT.ID]])*ROW($N$4:N423))</f>
        <v>423</v>
      </c>
      <c r="Q424" s="62" t="str">
        <f>IF(Main3WData[[#This Row],[PT.FirstID]],Main3WData[[#This Row],[Acronym]],INDEX($Q$4:Q423,Main3WData[[#This Row],[PT.LastID.Row]]-ROW($Q$4)+1) &amp; ", "&amp;Main3WData[[#This Row],[Acronym]])</f>
        <v>UNMEER, UNFPA, UNDP, OMS, MSF, eHealth Africa</v>
      </c>
      <c r="R424" s="62" t="b">
        <f t="array" ref="R424">MAX(IF(Main3WData[PT.ID]=Main3WData[[#This Row],[PT.ID]],Main3WData[PT.LastID.Row]))=Main3WData[[#This Row],[PT.LastID.Row]]</f>
        <v>1</v>
      </c>
    </row>
    <row r="425" spans="2:18" ht="16.5" customHeight="1" x14ac:dyDescent="0.2">
      <c r="B425" s="55" t="s">
        <v>473</v>
      </c>
      <c r="C425" s="27" t="str">
        <f>INDEX(Organizations[],MATCH(Main3WData[[#This Row],[Acronym]],AcronymList,0),1)</f>
        <v>United Nations Development Programme</v>
      </c>
      <c r="D425" s="27" t="str">
        <f>INDEX(Organizations[],MATCH(Main3WData[[#This Row],[Acronym]],AcronymList,0),3)</f>
        <v>UN Agency</v>
      </c>
      <c r="E425" s="54" t="s">
        <v>359</v>
      </c>
      <c r="F425" s="53" t="s">
        <v>82</v>
      </c>
      <c r="G425" s="54" t="s">
        <v>404</v>
      </c>
      <c r="H425" s="28" t="str">
        <f>VLOOKUP(Main3WData[[#This Row],[Admin Unit Name]],AdminUnits[],2,FALSE)</f>
        <v>GIN005005</v>
      </c>
      <c r="I425" s="57">
        <v>0</v>
      </c>
      <c r="J425" s="67" t="str">
        <f>Main3WData[[#This Row],[Acronym]]&amp;Main3WData[[#This Row],[Sector]]&amp;Main3WData[[#This Row],[Activity Type]]&amp;Main3WData[[#This Row],[Pcode]]</f>
        <v>UNDPFinanceOngoingGIN005005</v>
      </c>
      <c r="K425" s="69">
        <f>COUNTIF(Main3WData[Concatenate],Main3WData[[#This Row],[Concatenate]])</f>
        <v>1</v>
      </c>
      <c r="L425" s="61" t="str">
        <f>Main3WData[[#This Row],[Sector]]&amp;Main3WData[[#This Row],[Pcode]]</f>
        <v>FinanceGIN005005</v>
      </c>
      <c r="M425" s="71">
        <f>COUNTIF($L$5:L425,Main3WData[[#This Row],[PT.Concat]])</f>
        <v>1</v>
      </c>
      <c r="N425" s="70">
        <f>MATCH(Main3WData[[#This Row],[PT.Concat]],$L$5:L425,0)</f>
        <v>421</v>
      </c>
      <c r="O425" s="62" t="b">
        <f>Main3WData[[#This Row],[Count PT.Concat]]=1</f>
        <v>1</v>
      </c>
      <c r="P425" s="62">
        <f t="array" ref="P425">MAX(($N$4:N424=Main3WData[[#This Row],[PT.ID]])*ROW($N$4:N424))</f>
        <v>0</v>
      </c>
      <c r="Q425" s="62" t="str">
        <f>IF(Main3WData[[#This Row],[PT.FirstID]],Main3WData[[#This Row],[Acronym]],INDEX($Q$4:Q424,Main3WData[[#This Row],[PT.LastID.Row]]-ROW($Q$4)+1) &amp; ", "&amp;Main3WData[[#This Row],[Acronym]])</f>
        <v>UNDP</v>
      </c>
      <c r="R425" s="62" t="b">
        <f t="array" ref="R425">MAX(IF(Main3WData[PT.ID]=Main3WData[[#This Row],[PT.ID]],Main3WData[PT.LastID.Row]))=Main3WData[[#This Row],[PT.LastID.Row]]</f>
        <v>1</v>
      </c>
    </row>
    <row r="426" spans="2:18" ht="16.5" customHeight="1" x14ac:dyDescent="0.2">
      <c r="B426" s="55" t="s">
        <v>451</v>
      </c>
      <c r="C426" s="27" t="str">
        <f>INDEX(Organizations[],MATCH(Main3WData[[#This Row],[Acronym]],AcronymList,0),1)</f>
        <v>Croix-Rouge Guinée</v>
      </c>
      <c r="D426" s="27" t="str">
        <f>INDEX(Organizations[],MATCH(Main3WData[[#This Row],[Acronym]],AcronymList,0),3)</f>
        <v>Red Cross Movement</v>
      </c>
      <c r="E426" s="54" t="s">
        <v>354</v>
      </c>
      <c r="F426" s="53" t="s">
        <v>82</v>
      </c>
      <c r="G426" s="54" t="s">
        <v>404</v>
      </c>
      <c r="H426" s="28" t="str">
        <f>VLOOKUP(Main3WData[[#This Row],[Admin Unit Name]],AdminUnits[],2,FALSE)</f>
        <v>GIN005005</v>
      </c>
      <c r="I426" s="57">
        <v>0</v>
      </c>
      <c r="J426" s="67" t="str">
        <f>Main3WData[[#This Row],[Acronym]]&amp;Main3WData[[#This Row],[Sector]]&amp;Main3WData[[#This Row],[Activity Type]]&amp;Main3WData[[#This Row],[Pcode]]</f>
        <v>CRGGestion des corps et desinfectionOngoingGIN005005</v>
      </c>
      <c r="K426" s="69">
        <f>COUNTIF(Main3WData[Concatenate],Main3WData[[#This Row],[Concatenate]])</f>
        <v>1</v>
      </c>
      <c r="L426" s="61" t="str">
        <f>Main3WData[[#This Row],[Sector]]&amp;Main3WData[[#This Row],[Pcode]]</f>
        <v>Gestion des corps et desinfectionGIN005005</v>
      </c>
      <c r="M426" s="71">
        <f>COUNTIF($L$5:L426,Main3WData[[#This Row],[PT.Concat]])</f>
        <v>1</v>
      </c>
      <c r="N426" s="70">
        <f>MATCH(Main3WData[[#This Row],[PT.Concat]],$L$5:L426,0)</f>
        <v>422</v>
      </c>
      <c r="O426" s="62" t="b">
        <f>Main3WData[[#This Row],[Count PT.Concat]]=1</f>
        <v>1</v>
      </c>
      <c r="P426" s="62">
        <f t="array" ref="P426">MAX(($N$4:N425=Main3WData[[#This Row],[PT.ID]])*ROW($N$4:N425))</f>
        <v>0</v>
      </c>
      <c r="Q426" s="62" t="str">
        <f>IF(Main3WData[[#This Row],[PT.FirstID]],Main3WData[[#This Row],[Acronym]],INDEX($Q$4:Q425,Main3WData[[#This Row],[PT.LastID.Row]]-ROW($Q$4)+1) &amp; ", "&amp;Main3WData[[#This Row],[Acronym]])</f>
        <v>CRG</v>
      </c>
      <c r="R426" s="62" t="b">
        <f t="array" ref="R426">MAX(IF(Main3WData[PT.ID]=Main3WData[[#This Row],[PT.ID]],Main3WData[PT.LastID.Row]))=Main3WData[[#This Row],[PT.LastID.Row]]</f>
        <v>1</v>
      </c>
    </row>
    <row r="427" spans="2:18" ht="16.5" customHeight="1" x14ac:dyDescent="0.2">
      <c r="B427" s="55" t="s">
        <v>516</v>
      </c>
      <c r="C427" s="27" t="str">
        <f>INDEX(Organizations[],MATCH(Main3WData[[#This Row],[Acronym]],AcronymList,0),1)</f>
        <v>UNITED NATION MISSION FOR EBOLA  EMERGENCY RESPONSE</v>
      </c>
      <c r="D427" s="27" t="str">
        <f>INDEX(Organizations[],MATCH(Main3WData[[#This Row],[Acronym]],AcronymList,0),3)</f>
        <v>UN Agency</v>
      </c>
      <c r="E427" s="54" t="s">
        <v>356</v>
      </c>
      <c r="F427" s="53" t="s">
        <v>82</v>
      </c>
      <c r="G427" s="54" t="s">
        <v>404</v>
      </c>
      <c r="H427" s="28" t="str">
        <f>VLOOKUP(Main3WData[[#This Row],[Admin Unit Name]],AdminUnits[],2,FALSE)</f>
        <v>GIN005005</v>
      </c>
      <c r="I427" s="57">
        <v>0</v>
      </c>
      <c r="J427" s="67" t="str">
        <f>Main3WData[[#This Row],[Acronym]]&amp;Main3WData[[#This Row],[Sector]]&amp;Main3WData[[#This Row],[Activity Type]]&amp;Main3WData[[#This Row],[Pcode]]</f>
        <v>UNMEERGestion des donnéesOngoingGIN005005</v>
      </c>
      <c r="K427" s="69">
        <f>COUNTIF(Main3WData[Concatenate],Main3WData[[#This Row],[Concatenate]])</f>
        <v>1</v>
      </c>
      <c r="L427" s="61" t="str">
        <f>Main3WData[[#This Row],[Sector]]&amp;Main3WData[[#This Row],[Pcode]]</f>
        <v>Gestion des donnéesGIN005005</v>
      </c>
      <c r="M427" s="71">
        <f>COUNTIF($L$5:L427,Main3WData[[#This Row],[PT.Concat]])</f>
        <v>1</v>
      </c>
      <c r="N427" s="70">
        <f>MATCH(Main3WData[[#This Row],[PT.Concat]],$L$5:L427,0)</f>
        <v>423</v>
      </c>
      <c r="O427" s="62" t="b">
        <f>Main3WData[[#This Row],[Count PT.Concat]]=1</f>
        <v>1</v>
      </c>
      <c r="P427" s="62">
        <f t="array" ref="P427">MAX(($N$4:N426=Main3WData[[#This Row],[PT.ID]])*ROW($N$4:N426))</f>
        <v>0</v>
      </c>
      <c r="Q427" s="62" t="str">
        <f>IF(Main3WData[[#This Row],[PT.FirstID]],Main3WData[[#This Row],[Acronym]],INDEX($Q$4:Q426,Main3WData[[#This Row],[PT.LastID.Row]]-ROW($Q$4)+1) &amp; ", "&amp;Main3WData[[#This Row],[Acronym]])</f>
        <v>UNMEER</v>
      </c>
      <c r="R427" s="62" t="b">
        <f t="array" ref="R427">MAX(IF(Main3WData[PT.ID]=Main3WData[[#This Row],[PT.ID]],Main3WData[PT.LastID.Row]))=Main3WData[[#This Row],[PT.LastID.Row]]</f>
        <v>0</v>
      </c>
    </row>
    <row r="428" spans="2:18" ht="16.5" customHeight="1" x14ac:dyDescent="0.2">
      <c r="B428" s="55" t="s">
        <v>512</v>
      </c>
      <c r="C428" s="27" t="str">
        <f>INDEX(Organizations[],MATCH(Main3WData[[#This Row],[Acronym]],AcronymList,0),1)</f>
        <v>World Health Organization</v>
      </c>
      <c r="D428" s="27" t="str">
        <f>INDEX(Organizations[],MATCH(Main3WData[[#This Row],[Acronym]],AcronymList,0),3)</f>
        <v>UN Agency</v>
      </c>
      <c r="E428" s="54" t="s">
        <v>356</v>
      </c>
      <c r="F428" s="53" t="s">
        <v>82</v>
      </c>
      <c r="G428" s="54" t="s">
        <v>404</v>
      </c>
      <c r="H428" s="28" t="str">
        <f>VLOOKUP(Main3WData[[#This Row],[Admin Unit Name]],AdminUnits[],2,FALSE)</f>
        <v>GIN005005</v>
      </c>
      <c r="I428" s="57">
        <v>0</v>
      </c>
      <c r="J428" s="67" t="str">
        <f>Main3WData[[#This Row],[Acronym]]&amp;Main3WData[[#This Row],[Sector]]&amp;Main3WData[[#This Row],[Activity Type]]&amp;Main3WData[[#This Row],[Pcode]]</f>
        <v>OMSGestion des donnéesOngoingGIN005005</v>
      </c>
      <c r="K428" s="69">
        <f>COUNTIF(Main3WData[Concatenate],Main3WData[[#This Row],[Concatenate]])</f>
        <v>1</v>
      </c>
      <c r="L428" s="61" t="str">
        <f>Main3WData[[#This Row],[Sector]]&amp;Main3WData[[#This Row],[Pcode]]</f>
        <v>Gestion des donnéesGIN005005</v>
      </c>
      <c r="M428" s="71">
        <f>COUNTIF($L$5:L428,Main3WData[[#This Row],[PT.Concat]])</f>
        <v>2</v>
      </c>
      <c r="N428" s="70">
        <f>MATCH(Main3WData[[#This Row],[PT.Concat]],$L$5:L428,0)</f>
        <v>423</v>
      </c>
      <c r="O428" s="62" t="b">
        <f>Main3WData[[#This Row],[Count PT.Concat]]=1</f>
        <v>0</v>
      </c>
      <c r="P428" s="62">
        <f t="array" ref="P428">MAX(($N$4:N427=Main3WData[[#This Row],[PT.ID]])*ROW($N$4:N427))</f>
        <v>427</v>
      </c>
      <c r="Q428" s="62" t="str">
        <f>IF(Main3WData[[#This Row],[PT.FirstID]],Main3WData[[#This Row],[Acronym]],INDEX($Q$4:Q427,Main3WData[[#This Row],[PT.LastID.Row]]-ROW($Q$4)+1) &amp; ", "&amp;Main3WData[[#This Row],[Acronym]])</f>
        <v>UNMEER, OMS</v>
      </c>
      <c r="R428" s="62" t="b">
        <f t="array" ref="R428">MAX(IF(Main3WData[PT.ID]=Main3WData[[#This Row],[PT.ID]],Main3WData[PT.LastID.Row]))=Main3WData[[#This Row],[PT.LastID.Row]]</f>
        <v>1</v>
      </c>
    </row>
    <row r="429" spans="2:18" ht="16.5" customHeight="1" x14ac:dyDescent="0.2">
      <c r="B429" s="55" t="s">
        <v>512</v>
      </c>
      <c r="C429" s="27" t="str">
        <f>INDEX(Organizations[],MATCH(Main3WData[[#This Row],[Acronym]],AcronymList,0),1)</f>
        <v>World Health Organization</v>
      </c>
      <c r="D429" s="27" t="str">
        <f>INDEX(Organizations[],MATCH(Main3WData[[#This Row],[Acronym]],AcronymList,0),3)</f>
        <v>UN Agency</v>
      </c>
      <c r="E429" s="54" t="s">
        <v>358</v>
      </c>
      <c r="F429" s="53" t="s">
        <v>82</v>
      </c>
      <c r="G429" s="54" t="s">
        <v>404</v>
      </c>
      <c r="H429" s="28" t="str">
        <f>VLOOKUP(Main3WData[[#This Row],[Admin Unit Name]],AdminUnits[],2,FALSE)</f>
        <v>GIN005005</v>
      </c>
      <c r="I429" s="57">
        <v>0</v>
      </c>
      <c r="J429" s="67" t="str">
        <f>Main3WData[[#This Row],[Acronym]]&amp;Main3WData[[#This Row],[Sector]]&amp;Main3WData[[#This Row],[Activity Type]]&amp;Main3WData[[#This Row],[Pcode]]</f>
        <v>OMSLogistiquesOngoingGIN005005</v>
      </c>
      <c r="K429" s="69">
        <f>COUNTIF(Main3WData[Concatenate],Main3WData[[#This Row],[Concatenate]])</f>
        <v>1</v>
      </c>
      <c r="L429" s="61" t="str">
        <f>Main3WData[[#This Row],[Sector]]&amp;Main3WData[[#This Row],[Pcode]]</f>
        <v>LogistiquesGIN005005</v>
      </c>
      <c r="M429" s="71">
        <f>COUNTIF($L$5:L429,Main3WData[[#This Row],[PT.Concat]])</f>
        <v>1</v>
      </c>
      <c r="N429" s="70">
        <f>MATCH(Main3WData[[#This Row],[PT.Concat]],$L$5:L429,0)</f>
        <v>425</v>
      </c>
      <c r="O429" s="62" t="b">
        <f>Main3WData[[#This Row],[Count PT.Concat]]=1</f>
        <v>1</v>
      </c>
      <c r="P429" s="62">
        <f t="array" ref="P429">MAX(($N$4:N428=Main3WData[[#This Row],[PT.ID]])*ROW($N$4:N428))</f>
        <v>0</v>
      </c>
      <c r="Q429" s="62" t="str">
        <f>IF(Main3WData[[#This Row],[PT.FirstID]],Main3WData[[#This Row],[Acronym]],INDEX($Q$4:Q428,Main3WData[[#This Row],[PT.LastID.Row]]-ROW($Q$4)+1) &amp; ", "&amp;Main3WData[[#This Row],[Acronym]])</f>
        <v>OMS</v>
      </c>
      <c r="R429" s="62" t="b">
        <f t="array" ref="R429">MAX(IF(Main3WData[PT.ID]=Main3WData[[#This Row],[PT.ID]],Main3WData[PT.LastID.Row]))=Main3WData[[#This Row],[PT.LastID.Row]]</f>
        <v>1</v>
      </c>
    </row>
    <row r="430" spans="2:18" ht="16.5" customHeight="1" x14ac:dyDescent="0.2">
      <c r="B430" s="55" t="s">
        <v>78</v>
      </c>
      <c r="C430" s="27" t="str">
        <f>INDEX(Organizations[],MATCH(Main3WData[[#This Row],[Acronym]],AcronymList,0),1)</f>
        <v>World Food Programme</v>
      </c>
      <c r="D430" s="27" t="str">
        <f>INDEX(Organizations[],MATCH(Main3WData[[#This Row],[Acronym]],AcronymList,0),3)</f>
        <v>UN Agency</v>
      </c>
      <c r="E430" s="54" t="s">
        <v>355</v>
      </c>
      <c r="F430" s="53" t="s">
        <v>82</v>
      </c>
      <c r="G430" s="54" t="s">
        <v>404</v>
      </c>
      <c r="H430" s="28" t="str">
        <f>VLOOKUP(Main3WData[[#This Row],[Admin Unit Name]],AdminUnits[],2,FALSE)</f>
        <v>GIN005005</v>
      </c>
      <c r="I430" s="57">
        <v>0</v>
      </c>
      <c r="J430" s="67" t="str">
        <f>Main3WData[[#This Row],[Acronym]]&amp;Main3WData[[#This Row],[Sector]]&amp;Main3WData[[#This Row],[Activity Type]]&amp;Main3WData[[#This Row],[Pcode]]</f>
        <v>WFPSoutien nutritionnel et socialOngoingGIN005005</v>
      </c>
      <c r="K430" s="69">
        <f>COUNTIF(Main3WData[Concatenate],Main3WData[[#This Row],[Concatenate]])</f>
        <v>1</v>
      </c>
      <c r="L430" s="61" t="str">
        <f>Main3WData[[#This Row],[Sector]]&amp;Main3WData[[#This Row],[Pcode]]</f>
        <v>Soutien nutritionnel et socialGIN005005</v>
      </c>
      <c r="M430" s="71">
        <f>COUNTIF($L$5:L430,Main3WData[[#This Row],[PT.Concat]])</f>
        <v>1</v>
      </c>
      <c r="N430" s="70">
        <f>MATCH(Main3WData[[#This Row],[PT.Concat]],$L$5:L430,0)</f>
        <v>426</v>
      </c>
      <c r="O430" s="62" t="b">
        <f>Main3WData[[#This Row],[Count PT.Concat]]=1</f>
        <v>1</v>
      </c>
      <c r="P430" s="62">
        <f t="array" ref="P430">MAX(($N$4:N429=Main3WData[[#This Row],[PT.ID]])*ROW($N$4:N429))</f>
        <v>0</v>
      </c>
      <c r="Q430" s="62" t="str">
        <f>IF(Main3WData[[#This Row],[PT.FirstID]],Main3WData[[#This Row],[Acronym]],INDEX($Q$4:Q429,Main3WData[[#This Row],[PT.LastID.Row]]-ROW($Q$4)+1) &amp; ", "&amp;Main3WData[[#This Row],[Acronym]])</f>
        <v>WFP</v>
      </c>
      <c r="R430" s="62" t="b">
        <f t="array" ref="R430">MAX(IF(Main3WData[PT.ID]=Main3WData[[#This Row],[PT.ID]],Main3WData[PT.LastID.Row]))=Main3WData[[#This Row],[PT.LastID.Row]]</f>
        <v>0</v>
      </c>
    </row>
    <row r="431" spans="2:18" ht="16.5" customHeight="1" x14ac:dyDescent="0.2">
      <c r="B431" s="55" t="s">
        <v>66</v>
      </c>
      <c r="C431" s="27" t="str">
        <f>INDEX(Organizations[],MATCH(Main3WData[[#This Row],[Acronym]],AcronymList,0),1)</f>
        <v>Catholic Relief Services</v>
      </c>
      <c r="D431" s="27" t="str">
        <f>INDEX(Organizations[],MATCH(Main3WData[[#This Row],[Acronym]],AcronymList,0),3)</f>
        <v>International NGO</v>
      </c>
      <c r="E431" s="54" t="s">
        <v>355</v>
      </c>
      <c r="F431" s="53" t="s">
        <v>82</v>
      </c>
      <c r="G431" s="54" t="s">
        <v>404</v>
      </c>
      <c r="H431" s="28" t="str">
        <f>VLOOKUP(Main3WData[[#This Row],[Admin Unit Name]],AdminUnits[],2,FALSE)</f>
        <v>GIN005005</v>
      </c>
      <c r="I431" s="57">
        <v>0</v>
      </c>
      <c r="J431" s="67" t="str">
        <f>Main3WData[[#This Row],[Acronym]]&amp;Main3WData[[#This Row],[Sector]]&amp;Main3WData[[#This Row],[Activity Type]]&amp;Main3WData[[#This Row],[Pcode]]</f>
        <v>CRSSoutien nutritionnel et socialOngoingGIN005005</v>
      </c>
      <c r="K431" s="69">
        <f>COUNTIF(Main3WData[Concatenate],Main3WData[[#This Row],[Concatenate]])</f>
        <v>1</v>
      </c>
      <c r="L431" s="61" t="str">
        <f>Main3WData[[#This Row],[Sector]]&amp;Main3WData[[#This Row],[Pcode]]</f>
        <v>Soutien nutritionnel et socialGIN005005</v>
      </c>
      <c r="M431" s="71">
        <f>COUNTIF($L$5:L431,Main3WData[[#This Row],[PT.Concat]])</f>
        <v>2</v>
      </c>
      <c r="N431" s="70">
        <f>MATCH(Main3WData[[#This Row],[PT.Concat]],$L$5:L431,0)</f>
        <v>426</v>
      </c>
      <c r="O431" s="62" t="b">
        <f>Main3WData[[#This Row],[Count PT.Concat]]=1</f>
        <v>0</v>
      </c>
      <c r="P431" s="62">
        <f t="array" ref="P431">MAX(($N$4:N430=Main3WData[[#This Row],[PT.ID]])*ROW($N$4:N430))</f>
        <v>430</v>
      </c>
      <c r="Q431" s="62" t="str">
        <f>IF(Main3WData[[#This Row],[PT.FirstID]],Main3WData[[#This Row],[Acronym]],INDEX($Q$4:Q430,Main3WData[[#This Row],[PT.LastID.Row]]-ROW($Q$4)+1) &amp; ", "&amp;Main3WData[[#This Row],[Acronym]])</f>
        <v>WFP, CRS</v>
      </c>
      <c r="R431" s="62" t="b">
        <f t="array" ref="R431">MAX(IF(Main3WData[PT.ID]=Main3WData[[#This Row],[PT.ID]],Main3WData[PT.LastID.Row]))=Main3WData[[#This Row],[PT.LastID.Row]]</f>
        <v>1</v>
      </c>
    </row>
    <row r="432" spans="2:18" ht="16.5" customHeight="1" x14ac:dyDescent="0.2">
      <c r="B432" s="55" t="s">
        <v>75</v>
      </c>
      <c r="C432" s="27" t="str">
        <f>INDEX(Organizations[],MATCH(Main3WData[[#This Row],[Acronym]],AcronymList,0),1)</f>
        <v>United Nations Population Fund</v>
      </c>
      <c r="D432" s="27" t="str">
        <f>INDEX(Organizations[],MATCH(Main3WData[[#This Row],[Acronym]],AcronymList,0),3)</f>
        <v>UN Agency</v>
      </c>
      <c r="E432" s="54" t="s">
        <v>351</v>
      </c>
      <c r="F432" s="53" t="s">
        <v>82</v>
      </c>
      <c r="G432" s="54" t="s">
        <v>404</v>
      </c>
      <c r="H432" s="28" t="str">
        <f>VLOOKUP(Main3WData[[#This Row],[Admin Unit Name]],AdminUnits[],2,FALSE)</f>
        <v>GIN005005</v>
      </c>
      <c r="I432" s="57">
        <v>0</v>
      </c>
      <c r="J432" s="67" t="str">
        <f>Main3WData[[#This Row],[Acronym]]&amp;Main3WData[[#This Row],[Sector]]&amp;Main3WData[[#This Row],[Activity Type]]&amp;Main3WData[[#This Row],[Pcode]]</f>
        <v>UNFPASurveillance &amp; suiviOngoingGIN005005</v>
      </c>
      <c r="K432" s="69">
        <f>COUNTIF(Main3WData[Concatenate],Main3WData[[#This Row],[Concatenate]])</f>
        <v>1</v>
      </c>
      <c r="L432" s="61" t="str">
        <f>Main3WData[[#This Row],[Sector]]&amp;Main3WData[[#This Row],[Pcode]]</f>
        <v>Surveillance &amp; suiviGIN005005</v>
      </c>
      <c r="M432" s="71">
        <f>COUNTIF($L$5:L432,Main3WData[[#This Row],[PT.Concat]])</f>
        <v>1</v>
      </c>
      <c r="N432" s="70">
        <f>MATCH(Main3WData[[#This Row],[PT.Concat]],$L$5:L432,0)</f>
        <v>428</v>
      </c>
      <c r="O432" s="62" t="b">
        <f>Main3WData[[#This Row],[Count PT.Concat]]=1</f>
        <v>1</v>
      </c>
      <c r="P432" s="62">
        <f t="array" ref="P432">MAX(($N$4:N431=Main3WData[[#This Row],[PT.ID]])*ROW($N$4:N431))</f>
        <v>0</v>
      </c>
      <c r="Q432" s="62" t="str">
        <f>IF(Main3WData[[#This Row],[PT.FirstID]],Main3WData[[#This Row],[Acronym]],INDEX($Q$4:Q431,Main3WData[[#This Row],[PT.LastID.Row]]-ROW($Q$4)+1) &amp; ", "&amp;Main3WData[[#This Row],[Acronym]])</f>
        <v>UNFPA</v>
      </c>
      <c r="R432" s="62" t="b">
        <f t="array" ref="R432">MAX(IF(Main3WData[PT.ID]=Main3WData[[#This Row],[PT.ID]],Main3WData[PT.LastID.Row]))=Main3WData[[#This Row],[PT.LastID.Row]]</f>
        <v>0</v>
      </c>
    </row>
    <row r="433" spans="2:18" ht="16.5" customHeight="1" x14ac:dyDescent="0.2">
      <c r="B433" s="55" t="s">
        <v>512</v>
      </c>
      <c r="C433" s="27" t="str">
        <f>INDEX(Organizations[],MATCH(Main3WData[[#This Row],[Acronym]],AcronymList,0),1)</f>
        <v>World Health Organization</v>
      </c>
      <c r="D433" s="27" t="str">
        <f>INDEX(Organizations[],MATCH(Main3WData[[#This Row],[Acronym]],AcronymList,0),3)</f>
        <v>UN Agency</v>
      </c>
      <c r="E433" s="54" t="s">
        <v>351</v>
      </c>
      <c r="F433" s="53" t="s">
        <v>82</v>
      </c>
      <c r="G433" s="54" t="s">
        <v>404</v>
      </c>
      <c r="H433" s="28" t="str">
        <f>VLOOKUP(Main3WData[[#This Row],[Admin Unit Name]],AdminUnits[],2,FALSE)</f>
        <v>GIN005005</v>
      </c>
      <c r="I433" s="57">
        <v>0</v>
      </c>
      <c r="J433" s="67" t="str">
        <f>Main3WData[[#This Row],[Acronym]]&amp;Main3WData[[#This Row],[Sector]]&amp;Main3WData[[#This Row],[Activity Type]]&amp;Main3WData[[#This Row],[Pcode]]</f>
        <v>OMSSurveillance &amp; suiviOngoingGIN005005</v>
      </c>
      <c r="K433" s="69">
        <f>COUNTIF(Main3WData[Concatenate],Main3WData[[#This Row],[Concatenate]])</f>
        <v>1</v>
      </c>
      <c r="L433" s="61" t="str">
        <f>Main3WData[[#This Row],[Sector]]&amp;Main3WData[[#This Row],[Pcode]]</f>
        <v>Surveillance &amp; suiviGIN005005</v>
      </c>
      <c r="M433" s="71">
        <f>COUNTIF($L$5:L433,Main3WData[[#This Row],[PT.Concat]])</f>
        <v>2</v>
      </c>
      <c r="N433" s="70">
        <f>MATCH(Main3WData[[#This Row],[PT.Concat]],$L$5:L433,0)</f>
        <v>428</v>
      </c>
      <c r="O433" s="62" t="b">
        <f>Main3WData[[#This Row],[Count PT.Concat]]=1</f>
        <v>0</v>
      </c>
      <c r="P433" s="62">
        <f t="array" ref="P433">MAX(($N$4:N432=Main3WData[[#This Row],[PT.ID]])*ROW($N$4:N432))</f>
        <v>432</v>
      </c>
      <c r="Q433" s="62" t="str">
        <f>IF(Main3WData[[#This Row],[PT.FirstID]],Main3WData[[#This Row],[Acronym]],INDEX($Q$4:Q432,Main3WData[[#This Row],[PT.LastID.Row]]-ROW($Q$4)+1) &amp; ", "&amp;Main3WData[[#This Row],[Acronym]])</f>
        <v>UNFPA, OMS</v>
      </c>
      <c r="R433" s="62" t="b">
        <f t="array" ref="R433">MAX(IF(Main3WData[PT.ID]=Main3WData[[#This Row],[PT.ID]],Main3WData[PT.LastID.Row]))=Main3WData[[#This Row],[PT.LastID.Row]]</f>
        <v>0</v>
      </c>
    </row>
    <row r="434" spans="2:18" ht="16.5" customHeight="1" x14ac:dyDescent="0.2">
      <c r="B434" s="55" t="s">
        <v>496</v>
      </c>
      <c r="C434" s="27" t="str">
        <f>INDEX(Organizations[],MATCH(Main3WData[[#This Row],[Acronym]],AcronymList,0),1)</f>
        <v>Columbia University</v>
      </c>
      <c r="D434" s="27" t="str">
        <f>INDEX(Organizations[],MATCH(Main3WData[[#This Row],[Acronym]],AcronymList,0),3)</f>
        <v>Education</v>
      </c>
      <c r="E434" s="54" t="s">
        <v>351</v>
      </c>
      <c r="F434" s="53" t="s">
        <v>82</v>
      </c>
      <c r="G434" s="54" t="s">
        <v>404</v>
      </c>
      <c r="H434" s="28" t="str">
        <f>VLOOKUP(Main3WData[[#This Row],[Admin Unit Name]],AdminUnits[],2,FALSE)</f>
        <v>GIN005005</v>
      </c>
      <c r="I434" s="57">
        <v>0</v>
      </c>
      <c r="J434" s="67" t="str">
        <f>Main3WData[[#This Row],[Acronym]]&amp;Main3WData[[#This Row],[Sector]]&amp;Main3WData[[#This Row],[Activity Type]]&amp;Main3WData[[#This Row],[Pcode]]</f>
        <v>Columbia UnivSurveillance &amp; suiviOngoingGIN005005</v>
      </c>
      <c r="K434" s="69">
        <f>COUNTIF(Main3WData[Concatenate],Main3WData[[#This Row],[Concatenate]])</f>
        <v>1</v>
      </c>
      <c r="L434" s="61" t="str">
        <f>Main3WData[[#This Row],[Sector]]&amp;Main3WData[[#This Row],[Pcode]]</f>
        <v>Surveillance &amp; suiviGIN005005</v>
      </c>
      <c r="M434" s="71">
        <f>COUNTIF($L$5:L434,Main3WData[[#This Row],[PT.Concat]])</f>
        <v>3</v>
      </c>
      <c r="N434" s="70">
        <f>MATCH(Main3WData[[#This Row],[PT.Concat]],$L$5:L434,0)</f>
        <v>428</v>
      </c>
      <c r="O434" s="62" t="b">
        <f>Main3WData[[#This Row],[Count PT.Concat]]=1</f>
        <v>0</v>
      </c>
      <c r="P434" s="62">
        <f t="array" ref="P434">MAX(($N$4:N433=Main3WData[[#This Row],[PT.ID]])*ROW($N$4:N433))</f>
        <v>433</v>
      </c>
      <c r="Q434" s="62" t="str">
        <f>IF(Main3WData[[#This Row],[PT.FirstID]],Main3WData[[#This Row],[Acronym]],INDEX($Q$4:Q433,Main3WData[[#This Row],[PT.LastID.Row]]-ROW($Q$4)+1) &amp; ", "&amp;Main3WData[[#This Row],[Acronym]])</f>
        <v>UNFPA, OMS, Columbia Univ</v>
      </c>
      <c r="R434" s="62" t="b">
        <f t="array" ref="R434">MAX(IF(Main3WData[PT.ID]=Main3WData[[#This Row],[PT.ID]],Main3WData[PT.LastID.Row]))=Main3WData[[#This Row],[PT.LastID.Row]]</f>
        <v>0</v>
      </c>
    </row>
    <row r="435" spans="2:18" ht="16.5" customHeight="1" x14ac:dyDescent="0.2">
      <c r="B435" s="55" t="s">
        <v>64</v>
      </c>
      <c r="C435" s="27" t="str">
        <f>INDEX(Organizations[],MATCH(Main3WData[[#This Row],[Acronym]],AcronymList,0),1)</f>
        <v>CDC</v>
      </c>
      <c r="D435" s="27" t="str">
        <f>INDEX(Organizations[],MATCH(Main3WData[[#This Row],[Acronym]],AcronymList,0),3)</f>
        <v>International NGO</v>
      </c>
      <c r="E435" s="54" t="s">
        <v>351</v>
      </c>
      <c r="F435" s="53" t="s">
        <v>82</v>
      </c>
      <c r="G435" s="54" t="s">
        <v>404</v>
      </c>
      <c r="H435" s="28" t="str">
        <f>VLOOKUP(Main3WData[[#This Row],[Admin Unit Name]],AdminUnits[],2,FALSE)</f>
        <v>GIN005005</v>
      </c>
      <c r="I435" s="57">
        <v>0</v>
      </c>
      <c r="J435" s="67" t="str">
        <f>Main3WData[[#This Row],[Acronym]]&amp;Main3WData[[#This Row],[Sector]]&amp;Main3WData[[#This Row],[Activity Type]]&amp;Main3WData[[#This Row],[Pcode]]</f>
        <v>CDCSurveillance &amp; suiviOngoingGIN005005</v>
      </c>
      <c r="K435" s="69">
        <f>COUNTIF(Main3WData[Concatenate],Main3WData[[#This Row],[Concatenate]])</f>
        <v>1</v>
      </c>
      <c r="L435" s="61" t="str">
        <f>Main3WData[[#This Row],[Sector]]&amp;Main3WData[[#This Row],[Pcode]]</f>
        <v>Surveillance &amp; suiviGIN005005</v>
      </c>
      <c r="M435" s="71">
        <f>COUNTIF($L$5:L435,Main3WData[[#This Row],[PT.Concat]])</f>
        <v>4</v>
      </c>
      <c r="N435" s="70">
        <f>MATCH(Main3WData[[#This Row],[PT.Concat]],$L$5:L435,0)</f>
        <v>428</v>
      </c>
      <c r="O435" s="62" t="b">
        <f>Main3WData[[#This Row],[Count PT.Concat]]=1</f>
        <v>0</v>
      </c>
      <c r="P435" s="62">
        <f t="array" ref="P435">MAX(($N$4:N434=Main3WData[[#This Row],[PT.ID]])*ROW($N$4:N434))</f>
        <v>434</v>
      </c>
      <c r="Q435" s="62" t="str">
        <f>IF(Main3WData[[#This Row],[PT.FirstID]],Main3WData[[#This Row],[Acronym]],INDEX($Q$4:Q434,Main3WData[[#This Row],[PT.LastID.Row]]-ROW($Q$4)+1) &amp; ", "&amp;Main3WData[[#This Row],[Acronym]])</f>
        <v>UNFPA, OMS, Columbia Univ, CDC</v>
      </c>
      <c r="R435" s="62" t="b">
        <f t="array" ref="R435">MAX(IF(Main3WData[PT.ID]=Main3WData[[#This Row],[PT.ID]],Main3WData[PT.LastID.Row]))=Main3WData[[#This Row],[PT.LastID.Row]]</f>
        <v>1</v>
      </c>
    </row>
    <row r="436" spans="2:18" ht="16.5" customHeight="1" x14ac:dyDescent="0.2">
      <c r="B436" s="55" t="s">
        <v>77</v>
      </c>
      <c r="C436" s="27" t="str">
        <f>INDEX(Organizations[],MATCH(Main3WData[[#This Row],[Acronym]],AcronymList,0),1)</f>
        <v>United Nations Children's Fund</v>
      </c>
      <c r="D436" s="27" t="str">
        <f>INDEX(Organizations[],MATCH(Main3WData[[#This Row],[Acronym]],AcronymList,0),3)</f>
        <v>UN Agency</v>
      </c>
      <c r="E436" s="54" t="s">
        <v>350</v>
      </c>
      <c r="F436" s="53" t="s">
        <v>82</v>
      </c>
      <c r="G436" s="54" t="s">
        <v>384</v>
      </c>
      <c r="H436" s="28" t="str">
        <f>VLOOKUP(Main3WData[[#This Row],[Admin Unit Name]],AdminUnits[],2,FALSE)</f>
        <v>GIN003004</v>
      </c>
      <c r="I436" s="57">
        <v>0</v>
      </c>
      <c r="J436" s="67" t="str">
        <f>Main3WData[[#This Row],[Acronym]]&amp;Main3WData[[#This Row],[Sector]]&amp;Main3WData[[#This Row],[Activity Type]]&amp;Main3WData[[#This Row],[Pcode]]</f>
        <v>UNICEFCommunication/Mobilisation socialeOngoingGIN003004</v>
      </c>
      <c r="K436" s="69">
        <f>COUNTIF(Main3WData[Concatenate],Main3WData[[#This Row],[Concatenate]])</f>
        <v>1</v>
      </c>
      <c r="L436" s="61" t="str">
        <f>Main3WData[[#This Row],[Sector]]&amp;Main3WData[[#This Row],[Pcode]]</f>
        <v>Communication/Mobilisation socialeGIN003004</v>
      </c>
      <c r="M436" s="71">
        <f>COUNTIF($L$5:L436,Main3WData[[#This Row],[PT.Concat]])</f>
        <v>1</v>
      </c>
      <c r="N436" s="70">
        <f>MATCH(Main3WData[[#This Row],[PT.Concat]],$L$5:L436,0)</f>
        <v>432</v>
      </c>
      <c r="O436" s="62" t="b">
        <f>Main3WData[[#This Row],[Count PT.Concat]]=1</f>
        <v>1</v>
      </c>
      <c r="P436" s="62">
        <f t="array" ref="P436">MAX(($N$4:N435=Main3WData[[#This Row],[PT.ID]])*ROW($N$4:N435))</f>
        <v>0</v>
      </c>
      <c r="Q436" s="62" t="str">
        <f>IF(Main3WData[[#This Row],[PT.FirstID]],Main3WData[[#This Row],[Acronym]],INDEX($Q$4:Q435,Main3WData[[#This Row],[PT.LastID.Row]]-ROW($Q$4)+1) &amp; ", "&amp;Main3WData[[#This Row],[Acronym]])</f>
        <v>UNICEF</v>
      </c>
      <c r="R436" s="62" t="b">
        <f t="array" ref="R436">MAX(IF(Main3WData[PT.ID]=Main3WData[[#This Row],[PT.ID]],Main3WData[PT.LastID.Row]))=Main3WData[[#This Row],[PT.LastID.Row]]</f>
        <v>0</v>
      </c>
    </row>
    <row r="437" spans="2:18" ht="16.5" customHeight="1" x14ac:dyDescent="0.2">
      <c r="B437" s="55" t="s">
        <v>75</v>
      </c>
      <c r="C437" s="27" t="str">
        <f>INDEX(Organizations[],MATCH(Main3WData[[#This Row],[Acronym]],AcronymList,0),1)</f>
        <v>United Nations Population Fund</v>
      </c>
      <c r="D437" s="27" t="str">
        <f>INDEX(Organizations[],MATCH(Main3WData[[#This Row],[Acronym]],AcronymList,0),3)</f>
        <v>UN Agency</v>
      </c>
      <c r="E437" s="54" t="s">
        <v>350</v>
      </c>
      <c r="F437" s="53" t="s">
        <v>82</v>
      </c>
      <c r="G437" s="54" t="s">
        <v>384</v>
      </c>
      <c r="H437" s="28" t="str">
        <f>VLOOKUP(Main3WData[[#This Row],[Admin Unit Name]],AdminUnits[],2,FALSE)</f>
        <v>GIN003004</v>
      </c>
      <c r="I437" s="57">
        <v>0</v>
      </c>
      <c r="J437" s="67" t="str">
        <f>Main3WData[[#This Row],[Acronym]]&amp;Main3WData[[#This Row],[Sector]]&amp;Main3WData[[#This Row],[Activity Type]]&amp;Main3WData[[#This Row],[Pcode]]</f>
        <v>UNFPACommunication/Mobilisation socialeOngoingGIN003004</v>
      </c>
      <c r="K437" s="69">
        <f>COUNTIF(Main3WData[Concatenate],Main3WData[[#This Row],[Concatenate]])</f>
        <v>1</v>
      </c>
      <c r="L437" s="61" t="str">
        <f>Main3WData[[#This Row],[Sector]]&amp;Main3WData[[#This Row],[Pcode]]</f>
        <v>Communication/Mobilisation socialeGIN003004</v>
      </c>
      <c r="M437" s="71">
        <f>COUNTIF($L$5:L437,Main3WData[[#This Row],[PT.Concat]])</f>
        <v>2</v>
      </c>
      <c r="N437" s="70">
        <f>MATCH(Main3WData[[#This Row],[PT.Concat]],$L$5:L437,0)</f>
        <v>432</v>
      </c>
      <c r="O437" s="62" t="b">
        <f>Main3WData[[#This Row],[Count PT.Concat]]=1</f>
        <v>0</v>
      </c>
      <c r="P437" s="62">
        <f t="array" ref="P437">MAX(($N$4:N436=Main3WData[[#This Row],[PT.ID]])*ROW($N$4:N436))</f>
        <v>436</v>
      </c>
      <c r="Q437" s="62" t="str">
        <f>IF(Main3WData[[#This Row],[PT.FirstID]],Main3WData[[#This Row],[Acronym]],INDEX($Q$4:Q436,Main3WData[[#This Row],[PT.LastID.Row]]-ROW($Q$4)+1) &amp; ", "&amp;Main3WData[[#This Row],[Acronym]])</f>
        <v>UNICEF, UNFPA</v>
      </c>
      <c r="R437" s="62" t="b">
        <f t="array" ref="R437">MAX(IF(Main3WData[PT.ID]=Main3WData[[#This Row],[PT.ID]],Main3WData[PT.LastID.Row]))=Main3WData[[#This Row],[PT.LastID.Row]]</f>
        <v>0</v>
      </c>
    </row>
    <row r="438" spans="2:18" ht="16.5" customHeight="1" x14ac:dyDescent="0.2">
      <c r="B438" s="55" t="s">
        <v>72</v>
      </c>
      <c r="C438" s="27" t="str">
        <f>INDEX(Organizations[],MATCH(Main3WData[[#This Row],[Acronym]],AcronymList,0),1)</f>
        <v>PLAN</v>
      </c>
      <c r="D438" s="27" t="str">
        <f>INDEX(Organizations[],MATCH(Main3WData[[#This Row],[Acronym]],AcronymList,0),3)</f>
        <v>International Organization</v>
      </c>
      <c r="E438" s="54" t="s">
        <v>350</v>
      </c>
      <c r="F438" s="53" t="s">
        <v>82</v>
      </c>
      <c r="G438" s="54" t="s">
        <v>384</v>
      </c>
      <c r="H438" s="28" t="str">
        <f>VLOOKUP(Main3WData[[#This Row],[Admin Unit Name]],AdminUnits[],2,FALSE)</f>
        <v>GIN003004</v>
      </c>
      <c r="I438" s="57">
        <v>0</v>
      </c>
      <c r="J438" s="67" t="str">
        <f>Main3WData[[#This Row],[Acronym]]&amp;Main3WData[[#This Row],[Sector]]&amp;Main3WData[[#This Row],[Activity Type]]&amp;Main3WData[[#This Row],[Pcode]]</f>
        <v>PLANCommunication/Mobilisation socialeOngoingGIN003004</v>
      </c>
      <c r="K438" s="69">
        <f>COUNTIF(Main3WData[Concatenate],Main3WData[[#This Row],[Concatenate]])</f>
        <v>1</v>
      </c>
      <c r="L438" s="61" t="str">
        <f>Main3WData[[#This Row],[Sector]]&amp;Main3WData[[#This Row],[Pcode]]</f>
        <v>Communication/Mobilisation socialeGIN003004</v>
      </c>
      <c r="M438" s="71">
        <f>COUNTIF($L$5:L438,Main3WData[[#This Row],[PT.Concat]])</f>
        <v>3</v>
      </c>
      <c r="N438" s="70">
        <f>MATCH(Main3WData[[#This Row],[PT.Concat]],$L$5:L438,0)</f>
        <v>432</v>
      </c>
      <c r="O438" s="62" t="b">
        <f>Main3WData[[#This Row],[Count PT.Concat]]=1</f>
        <v>0</v>
      </c>
      <c r="P438" s="62">
        <f t="array" ref="P438">MAX(($N$4:N437=Main3WData[[#This Row],[PT.ID]])*ROW($N$4:N437))</f>
        <v>437</v>
      </c>
      <c r="Q438" s="62" t="str">
        <f>IF(Main3WData[[#This Row],[PT.FirstID]],Main3WData[[#This Row],[Acronym]],INDEX($Q$4:Q437,Main3WData[[#This Row],[PT.LastID.Row]]-ROW($Q$4)+1) &amp; ", "&amp;Main3WData[[#This Row],[Acronym]])</f>
        <v>UNICEF, UNFPA, PLAN</v>
      </c>
      <c r="R438" s="62" t="b">
        <f t="array" ref="R438">MAX(IF(Main3WData[PT.ID]=Main3WData[[#This Row],[PT.ID]],Main3WData[PT.LastID.Row]))=Main3WData[[#This Row],[PT.LastID.Row]]</f>
        <v>0</v>
      </c>
    </row>
    <row r="439" spans="2:18" ht="16.5" customHeight="1" x14ac:dyDescent="0.2">
      <c r="B439" s="55" t="s">
        <v>512</v>
      </c>
      <c r="C439" s="27" t="str">
        <f>INDEX(Organizations[],MATCH(Main3WData[[#This Row],[Acronym]],AcronymList,0),1)</f>
        <v>World Health Organization</v>
      </c>
      <c r="D439" s="27" t="str">
        <f>INDEX(Organizations[],MATCH(Main3WData[[#This Row],[Acronym]],AcronymList,0),3)</f>
        <v>UN Agency</v>
      </c>
      <c r="E439" s="54" t="s">
        <v>350</v>
      </c>
      <c r="F439" s="53" t="s">
        <v>82</v>
      </c>
      <c r="G439" s="54" t="s">
        <v>384</v>
      </c>
      <c r="H439" s="28" t="str">
        <f>VLOOKUP(Main3WData[[#This Row],[Admin Unit Name]],AdminUnits[],2,FALSE)</f>
        <v>GIN003004</v>
      </c>
      <c r="I439" s="57">
        <v>0</v>
      </c>
      <c r="J439" s="67" t="str">
        <f>Main3WData[[#This Row],[Acronym]]&amp;Main3WData[[#This Row],[Sector]]&amp;Main3WData[[#This Row],[Activity Type]]&amp;Main3WData[[#This Row],[Pcode]]</f>
        <v>OMSCommunication/Mobilisation socialeOngoingGIN003004</v>
      </c>
      <c r="K439" s="69">
        <f>COUNTIF(Main3WData[Concatenate],Main3WData[[#This Row],[Concatenate]])</f>
        <v>1</v>
      </c>
      <c r="L439" s="61" t="str">
        <f>Main3WData[[#This Row],[Sector]]&amp;Main3WData[[#This Row],[Pcode]]</f>
        <v>Communication/Mobilisation socialeGIN003004</v>
      </c>
      <c r="M439" s="71">
        <f>COUNTIF($L$5:L439,Main3WData[[#This Row],[PT.Concat]])</f>
        <v>4</v>
      </c>
      <c r="N439" s="70">
        <f>MATCH(Main3WData[[#This Row],[PT.Concat]],$L$5:L439,0)</f>
        <v>432</v>
      </c>
      <c r="O439" s="62" t="b">
        <f>Main3WData[[#This Row],[Count PT.Concat]]=1</f>
        <v>0</v>
      </c>
      <c r="P439" s="62">
        <f t="array" ref="P439">MAX(($N$4:N438=Main3WData[[#This Row],[PT.ID]])*ROW($N$4:N438))</f>
        <v>438</v>
      </c>
      <c r="Q439" s="62" t="str">
        <f>IF(Main3WData[[#This Row],[PT.FirstID]],Main3WData[[#This Row],[Acronym]],INDEX($Q$4:Q438,Main3WData[[#This Row],[PT.LastID.Row]]-ROW($Q$4)+1) &amp; ", "&amp;Main3WData[[#This Row],[Acronym]])</f>
        <v>UNICEF, UNFPA, PLAN, OMS</v>
      </c>
      <c r="R439" s="62" t="b">
        <f t="array" ref="R439">MAX(IF(Main3WData[PT.ID]=Main3WData[[#This Row],[PT.ID]],Main3WData[PT.LastID.Row]))=Main3WData[[#This Row],[PT.LastID.Row]]</f>
        <v>0</v>
      </c>
    </row>
    <row r="440" spans="2:18" ht="16.5" customHeight="1" x14ac:dyDescent="0.2">
      <c r="B440" s="55" t="s">
        <v>499</v>
      </c>
      <c r="C440" s="27" t="str">
        <f>INDEX(Organizations[],MATCH(Main3WData[[#This Row],[Acronym]],AcronymList,0),1)</f>
        <v>Croix-Rouge Guinée/Fédération internationale de la Croix-Rouge</v>
      </c>
      <c r="D440" s="27" t="str">
        <f>INDEX(Organizations[],MATCH(Main3WData[[#This Row],[Acronym]],AcronymList,0),3)</f>
        <v>International Organization</v>
      </c>
      <c r="E440" s="54" t="s">
        <v>350</v>
      </c>
      <c r="F440" s="53" t="s">
        <v>82</v>
      </c>
      <c r="G440" s="54" t="s">
        <v>384</v>
      </c>
      <c r="H440" s="28" t="str">
        <f>VLOOKUP(Main3WData[[#This Row],[Admin Unit Name]],AdminUnits[],2,FALSE)</f>
        <v>GIN003004</v>
      </c>
      <c r="I440" s="57">
        <v>0</v>
      </c>
      <c r="J440" s="67" t="str">
        <f>Main3WData[[#This Row],[Acronym]]&amp;Main3WData[[#This Row],[Sector]]&amp;Main3WData[[#This Row],[Activity Type]]&amp;Main3WData[[#This Row],[Pcode]]</f>
        <v>CRG/FICRCommunication/Mobilisation socialeOngoingGIN003004</v>
      </c>
      <c r="K440" s="69">
        <f>COUNTIF(Main3WData[Concatenate],Main3WData[[#This Row],[Concatenate]])</f>
        <v>1</v>
      </c>
      <c r="L440" s="61" t="str">
        <f>Main3WData[[#This Row],[Sector]]&amp;Main3WData[[#This Row],[Pcode]]</f>
        <v>Communication/Mobilisation socialeGIN003004</v>
      </c>
      <c r="M440" s="71">
        <f>COUNTIF($L$5:L440,Main3WData[[#This Row],[PT.Concat]])</f>
        <v>5</v>
      </c>
      <c r="N440" s="70">
        <f>MATCH(Main3WData[[#This Row],[PT.Concat]],$L$5:L440,0)</f>
        <v>432</v>
      </c>
      <c r="O440" s="62" t="b">
        <f>Main3WData[[#This Row],[Count PT.Concat]]=1</f>
        <v>0</v>
      </c>
      <c r="P440" s="62">
        <f t="array" ref="P440">MAX(($N$4:N439=Main3WData[[#This Row],[PT.ID]])*ROW($N$4:N439))</f>
        <v>439</v>
      </c>
      <c r="Q440" s="62" t="str">
        <f>IF(Main3WData[[#This Row],[PT.FirstID]],Main3WData[[#This Row],[Acronym]],INDEX($Q$4:Q439,Main3WData[[#This Row],[PT.LastID.Row]]-ROW($Q$4)+1) &amp; ", "&amp;Main3WData[[#This Row],[Acronym]])</f>
        <v>UNICEF, UNFPA, PLAN, OMS, CRG/FICR</v>
      </c>
      <c r="R440" s="62" t="b">
        <f t="array" ref="R440">MAX(IF(Main3WData[PT.ID]=Main3WData[[#This Row],[PT.ID]],Main3WData[PT.LastID.Row]))=Main3WData[[#This Row],[PT.LastID.Row]]</f>
        <v>1</v>
      </c>
    </row>
    <row r="441" spans="2:18" ht="16.5" customHeight="1" x14ac:dyDescent="0.2">
      <c r="B441" s="55" t="s">
        <v>516</v>
      </c>
      <c r="C441" s="27" t="str">
        <f>INDEX(Organizations[],MATCH(Main3WData[[#This Row],[Acronym]],AcronymList,0),1)</f>
        <v>UNITED NATION MISSION FOR EBOLA  EMERGENCY RESPONSE</v>
      </c>
      <c r="D441" s="27" t="str">
        <f>INDEX(Organizations[],MATCH(Main3WData[[#This Row],[Acronym]],AcronymList,0),3)</f>
        <v>UN Agency</v>
      </c>
      <c r="E441" s="54" t="s">
        <v>360</v>
      </c>
      <c r="F441" s="53" t="s">
        <v>82</v>
      </c>
      <c r="G441" s="54" t="s">
        <v>384</v>
      </c>
      <c r="H441" s="28" t="str">
        <f>VLOOKUP(Main3WData[[#This Row],[Admin Unit Name]],AdminUnits[],2,FALSE)</f>
        <v>GIN003004</v>
      </c>
      <c r="I441" s="57">
        <v>0</v>
      </c>
      <c r="J441" s="67" t="str">
        <f>Main3WData[[#This Row],[Acronym]]&amp;Main3WData[[#This Row],[Sector]]&amp;Main3WData[[#This Row],[Activity Type]]&amp;Main3WData[[#This Row],[Pcode]]</f>
        <v>UNMEERCoordinationOngoingGIN003004</v>
      </c>
      <c r="K441" s="69">
        <f>COUNTIF(Main3WData[Concatenate],Main3WData[[#This Row],[Concatenate]])</f>
        <v>1</v>
      </c>
      <c r="L441" s="61" t="str">
        <f>Main3WData[[#This Row],[Sector]]&amp;Main3WData[[#This Row],[Pcode]]</f>
        <v>CoordinationGIN003004</v>
      </c>
      <c r="M441" s="71">
        <f>COUNTIF($L$5:L441,Main3WData[[#This Row],[PT.Concat]])</f>
        <v>1</v>
      </c>
      <c r="N441" s="70">
        <f>MATCH(Main3WData[[#This Row],[PT.Concat]],$L$5:L441,0)</f>
        <v>437</v>
      </c>
      <c r="O441" s="62" t="b">
        <f>Main3WData[[#This Row],[Count PT.Concat]]=1</f>
        <v>1</v>
      </c>
      <c r="P441" s="62">
        <f t="array" ref="P441">MAX(($N$4:N440=Main3WData[[#This Row],[PT.ID]])*ROW($N$4:N440))</f>
        <v>0</v>
      </c>
      <c r="Q441" s="62" t="str">
        <f>IF(Main3WData[[#This Row],[PT.FirstID]],Main3WData[[#This Row],[Acronym]],INDEX($Q$4:Q440,Main3WData[[#This Row],[PT.LastID.Row]]-ROW($Q$4)+1) &amp; ", "&amp;Main3WData[[#This Row],[Acronym]])</f>
        <v>UNMEER</v>
      </c>
      <c r="R441" s="62" t="b">
        <f t="array" ref="R441">MAX(IF(Main3WData[PT.ID]=Main3WData[[#This Row],[PT.ID]],Main3WData[PT.LastID.Row]))=Main3WData[[#This Row],[PT.LastID.Row]]</f>
        <v>0</v>
      </c>
    </row>
    <row r="442" spans="2:18" ht="16.5" customHeight="1" x14ac:dyDescent="0.2">
      <c r="B442" s="55" t="s">
        <v>75</v>
      </c>
      <c r="C442" s="27" t="str">
        <f>INDEX(Organizations[],MATCH(Main3WData[[#This Row],[Acronym]],AcronymList,0),1)</f>
        <v>United Nations Population Fund</v>
      </c>
      <c r="D442" s="27" t="str">
        <f>INDEX(Organizations[],MATCH(Main3WData[[#This Row],[Acronym]],AcronymList,0),3)</f>
        <v>UN Agency</v>
      </c>
      <c r="E442" s="54" t="s">
        <v>360</v>
      </c>
      <c r="F442" s="53" t="s">
        <v>82</v>
      </c>
      <c r="G442" s="54" t="s">
        <v>384</v>
      </c>
      <c r="H442" s="28" t="str">
        <f>VLOOKUP(Main3WData[[#This Row],[Admin Unit Name]],AdminUnits[],2,FALSE)</f>
        <v>GIN003004</v>
      </c>
      <c r="I442" s="57">
        <v>0</v>
      </c>
      <c r="J442" s="67" t="str">
        <f>Main3WData[[#This Row],[Acronym]]&amp;Main3WData[[#This Row],[Sector]]&amp;Main3WData[[#This Row],[Activity Type]]&amp;Main3WData[[#This Row],[Pcode]]</f>
        <v>UNFPACoordinationOngoingGIN003004</v>
      </c>
      <c r="K442" s="69">
        <f>COUNTIF(Main3WData[Concatenate],Main3WData[[#This Row],[Concatenate]])</f>
        <v>1</v>
      </c>
      <c r="L442" s="61" t="str">
        <f>Main3WData[[#This Row],[Sector]]&amp;Main3WData[[#This Row],[Pcode]]</f>
        <v>CoordinationGIN003004</v>
      </c>
      <c r="M442" s="71">
        <f>COUNTIF($L$5:L442,Main3WData[[#This Row],[PT.Concat]])</f>
        <v>2</v>
      </c>
      <c r="N442" s="70">
        <f>MATCH(Main3WData[[#This Row],[PT.Concat]],$L$5:L442,0)</f>
        <v>437</v>
      </c>
      <c r="O442" s="62" t="b">
        <f>Main3WData[[#This Row],[Count PT.Concat]]=1</f>
        <v>0</v>
      </c>
      <c r="P442" s="62">
        <f t="array" ref="P442">MAX(($N$4:N441=Main3WData[[#This Row],[PT.ID]])*ROW($N$4:N441))</f>
        <v>441</v>
      </c>
      <c r="Q442" s="62" t="str">
        <f>IF(Main3WData[[#This Row],[PT.FirstID]],Main3WData[[#This Row],[Acronym]],INDEX($Q$4:Q441,Main3WData[[#This Row],[PT.LastID.Row]]-ROW($Q$4)+1) &amp; ", "&amp;Main3WData[[#This Row],[Acronym]])</f>
        <v>UNMEER, UNFPA</v>
      </c>
      <c r="R442" s="62" t="b">
        <f t="array" ref="R442">MAX(IF(Main3WData[PT.ID]=Main3WData[[#This Row],[PT.ID]],Main3WData[PT.LastID.Row]))=Main3WData[[#This Row],[PT.LastID.Row]]</f>
        <v>0</v>
      </c>
    </row>
    <row r="443" spans="2:18" ht="16.5" customHeight="1" x14ac:dyDescent="0.2">
      <c r="B443" s="55" t="s">
        <v>473</v>
      </c>
      <c r="C443" s="27" t="str">
        <f>INDEX(Organizations[],MATCH(Main3WData[[#This Row],[Acronym]],AcronymList,0),1)</f>
        <v>United Nations Development Programme</v>
      </c>
      <c r="D443" s="27" t="str">
        <f>INDEX(Organizations[],MATCH(Main3WData[[#This Row],[Acronym]],AcronymList,0),3)</f>
        <v>UN Agency</v>
      </c>
      <c r="E443" s="54" t="s">
        <v>360</v>
      </c>
      <c r="F443" s="53" t="s">
        <v>82</v>
      </c>
      <c r="G443" s="54" t="s">
        <v>384</v>
      </c>
      <c r="H443" s="28" t="str">
        <f>VLOOKUP(Main3WData[[#This Row],[Admin Unit Name]],AdminUnits[],2,FALSE)</f>
        <v>GIN003004</v>
      </c>
      <c r="I443" s="57">
        <v>0</v>
      </c>
      <c r="J443" s="67" t="str">
        <f>Main3WData[[#This Row],[Acronym]]&amp;Main3WData[[#This Row],[Sector]]&amp;Main3WData[[#This Row],[Activity Type]]&amp;Main3WData[[#This Row],[Pcode]]</f>
        <v>UNDPCoordinationOngoingGIN003004</v>
      </c>
      <c r="K443" s="69">
        <f>COUNTIF(Main3WData[Concatenate],Main3WData[[#This Row],[Concatenate]])</f>
        <v>1</v>
      </c>
      <c r="L443" s="61" t="str">
        <f>Main3WData[[#This Row],[Sector]]&amp;Main3WData[[#This Row],[Pcode]]</f>
        <v>CoordinationGIN003004</v>
      </c>
      <c r="M443" s="71">
        <f>COUNTIF($L$5:L443,Main3WData[[#This Row],[PT.Concat]])</f>
        <v>3</v>
      </c>
      <c r="N443" s="70">
        <f>MATCH(Main3WData[[#This Row],[PT.Concat]],$L$5:L443,0)</f>
        <v>437</v>
      </c>
      <c r="O443" s="62" t="b">
        <f>Main3WData[[#This Row],[Count PT.Concat]]=1</f>
        <v>0</v>
      </c>
      <c r="P443" s="62">
        <f t="array" ref="P443">MAX(($N$4:N442=Main3WData[[#This Row],[PT.ID]])*ROW($N$4:N442))</f>
        <v>442</v>
      </c>
      <c r="Q443" s="62" t="str">
        <f>IF(Main3WData[[#This Row],[PT.FirstID]],Main3WData[[#This Row],[Acronym]],INDEX($Q$4:Q442,Main3WData[[#This Row],[PT.LastID.Row]]-ROW($Q$4)+1) &amp; ", "&amp;Main3WData[[#This Row],[Acronym]])</f>
        <v>UNMEER, UNFPA, UNDP</v>
      </c>
      <c r="R443" s="62" t="b">
        <f t="array" ref="R443">MAX(IF(Main3WData[PT.ID]=Main3WData[[#This Row],[PT.ID]],Main3WData[PT.LastID.Row]))=Main3WData[[#This Row],[PT.LastID.Row]]</f>
        <v>0</v>
      </c>
    </row>
    <row r="444" spans="2:18" ht="16.5" customHeight="1" x14ac:dyDescent="0.2">
      <c r="B444" s="55" t="s">
        <v>512</v>
      </c>
      <c r="C444" s="27" t="str">
        <f>INDEX(Organizations[],MATCH(Main3WData[[#This Row],[Acronym]],AcronymList,0),1)</f>
        <v>World Health Organization</v>
      </c>
      <c r="D444" s="27" t="str">
        <f>INDEX(Organizations[],MATCH(Main3WData[[#This Row],[Acronym]],AcronymList,0),3)</f>
        <v>UN Agency</v>
      </c>
      <c r="E444" s="54" t="s">
        <v>360</v>
      </c>
      <c r="F444" s="53" t="s">
        <v>82</v>
      </c>
      <c r="G444" s="54" t="s">
        <v>384</v>
      </c>
      <c r="H444" s="28" t="str">
        <f>VLOOKUP(Main3WData[[#This Row],[Admin Unit Name]],AdminUnits[],2,FALSE)</f>
        <v>GIN003004</v>
      </c>
      <c r="I444" s="57">
        <v>0</v>
      </c>
      <c r="J444" s="67" t="str">
        <f>Main3WData[[#This Row],[Acronym]]&amp;Main3WData[[#This Row],[Sector]]&amp;Main3WData[[#This Row],[Activity Type]]&amp;Main3WData[[#This Row],[Pcode]]</f>
        <v>OMSCoordinationOngoingGIN003004</v>
      </c>
      <c r="K444" s="69">
        <f>COUNTIF(Main3WData[Concatenate],Main3WData[[#This Row],[Concatenate]])</f>
        <v>1</v>
      </c>
      <c r="L444" s="61" t="str">
        <f>Main3WData[[#This Row],[Sector]]&amp;Main3WData[[#This Row],[Pcode]]</f>
        <v>CoordinationGIN003004</v>
      </c>
      <c r="M444" s="71">
        <f>COUNTIF($L$5:L444,Main3WData[[#This Row],[PT.Concat]])</f>
        <v>4</v>
      </c>
      <c r="N444" s="70">
        <f>MATCH(Main3WData[[#This Row],[PT.Concat]],$L$5:L444,0)</f>
        <v>437</v>
      </c>
      <c r="O444" s="62" t="b">
        <f>Main3WData[[#This Row],[Count PT.Concat]]=1</f>
        <v>0</v>
      </c>
      <c r="P444" s="62">
        <f t="array" ref="P444">MAX(($N$4:N443=Main3WData[[#This Row],[PT.ID]])*ROW($N$4:N443))</f>
        <v>443</v>
      </c>
      <c r="Q444" s="62" t="str">
        <f>IF(Main3WData[[#This Row],[PT.FirstID]],Main3WData[[#This Row],[Acronym]],INDEX($Q$4:Q443,Main3WData[[#This Row],[PT.LastID.Row]]-ROW($Q$4)+1) &amp; ", "&amp;Main3WData[[#This Row],[Acronym]])</f>
        <v>UNMEER, UNFPA, UNDP, OMS</v>
      </c>
      <c r="R444" s="62" t="b">
        <f t="array" ref="R444">MAX(IF(Main3WData[PT.ID]=Main3WData[[#This Row],[PT.ID]],Main3WData[PT.LastID.Row]))=Main3WData[[#This Row],[PT.LastID.Row]]</f>
        <v>0</v>
      </c>
    </row>
    <row r="445" spans="2:18" ht="16.5" customHeight="1" x14ac:dyDescent="0.2">
      <c r="B445" s="55" t="s">
        <v>71</v>
      </c>
      <c r="C445" s="27" t="str">
        <f>INDEX(Organizations[],MATCH(Main3WData[[#This Row],[Acronym]],AcronymList,0),1)</f>
        <v>Medecins sans Frontieres</v>
      </c>
      <c r="D445" s="27" t="str">
        <f>INDEX(Organizations[],MATCH(Main3WData[[#This Row],[Acronym]],AcronymList,0),3)</f>
        <v>International NGO</v>
      </c>
      <c r="E445" s="54" t="s">
        <v>360</v>
      </c>
      <c r="F445" s="53" t="s">
        <v>82</v>
      </c>
      <c r="G445" s="54" t="s">
        <v>384</v>
      </c>
      <c r="H445" s="28" t="str">
        <f>VLOOKUP(Main3WData[[#This Row],[Admin Unit Name]],AdminUnits[],2,FALSE)</f>
        <v>GIN003004</v>
      </c>
      <c r="I445" s="57">
        <v>0</v>
      </c>
      <c r="J445" s="67" t="str">
        <f>Main3WData[[#This Row],[Acronym]]&amp;Main3WData[[#This Row],[Sector]]&amp;Main3WData[[#This Row],[Activity Type]]&amp;Main3WData[[#This Row],[Pcode]]</f>
        <v>MSFCoordinationOngoingGIN003004</v>
      </c>
      <c r="K445" s="69">
        <f>COUNTIF(Main3WData[Concatenate],Main3WData[[#This Row],[Concatenate]])</f>
        <v>1</v>
      </c>
      <c r="L445" s="61" t="str">
        <f>Main3WData[[#This Row],[Sector]]&amp;Main3WData[[#This Row],[Pcode]]</f>
        <v>CoordinationGIN003004</v>
      </c>
      <c r="M445" s="71">
        <f>COUNTIF($L$5:L445,Main3WData[[#This Row],[PT.Concat]])</f>
        <v>5</v>
      </c>
      <c r="N445" s="70">
        <f>MATCH(Main3WData[[#This Row],[PT.Concat]],$L$5:L445,0)</f>
        <v>437</v>
      </c>
      <c r="O445" s="62" t="b">
        <f>Main3WData[[#This Row],[Count PT.Concat]]=1</f>
        <v>0</v>
      </c>
      <c r="P445" s="62">
        <f t="array" ref="P445">MAX(($N$4:N444=Main3WData[[#This Row],[PT.ID]])*ROW($N$4:N444))</f>
        <v>444</v>
      </c>
      <c r="Q445" s="62" t="str">
        <f>IF(Main3WData[[#This Row],[PT.FirstID]],Main3WData[[#This Row],[Acronym]],INDEX($Q$4:Q444,Main3WData[[#This Row],[PT.LastID.Row]]-ROW($Q$4)+1) &amp; ", "&amp;Main3WData[[#This Row],[Acronym]])</f>
        <v>UNMEER, UNFPA, UNDP, OMS, MSF</v>
      </c>
      <c r="R445" s="62" t="b">
        <f t="array" ref="R445">MAX(IF(Main3WData[PT.ID]=Main3WData[[#This Row],[PT.ID]],Main3WData[PT.LastID.Row]))=Main3WData[[#This Row],[PT.LastID.Row]]</f>
        <v>0</v>
      </c>
    </row>
    <row r="446" spans="2:18" ht="16.5" customHeight="1" x14ac:dyDescent="0.2">
      <c r="B446" s="55" t="s">
        <v>507</v>
      </c>
      <c r="C446" s="27" t="str">
        <f>INDEX(Organizations[],MATCH(Main3WData[[#This Row],[Acronym]],AcronymList,0),1)</f>
        <v>eHealth Africa</v>
      </c>
      <c r="D446" s="27" t="str">
        <f>INDEX(Organizations[],MATCH(Main3WData[[#This Row],[Acronym]],AcronymList,0),3)</f>
        <v>International Organization</v>
      </c>
      <c r="E446" s="54" t="s">
        <v>360</v>
      </c>
      <c r="F446" s="53" t="s">
        <v>82</v>
      </c>
      <c r="G446" s="54" t="s">
        <v>384</v>
      </c>
      <c r="H446" s="28" t="str">
        <f>VLOOKUP(Main3WData[[#This Row],[Admin Unit Name]],AdminUnits[],2,FALSE)</f>
        <v>GIN003004</v>
      </c>
      <c r="I446" s="57">
        <v>0</v>
      </c>
      <c r="J446" s="67" t="str">
        <f>Main3WData[[#This Row],[Acronym]]&amp;Main3WData[[#This Row],[Sector]]&amp;Main3WData[[#This Row],[Activity Type]]&amp;Main3WData[[#This Row],[Pcode]]</f>
        <v>eHealth AfricaCoordinationOngoingGIN003004</v>
      </c>
      <c r="K446" s="69">
        <f>COUNTIF(Main3WData[Concatenate],Main3WData[[#This Row],[Concatenate]])</f>
        <v>1</v>
      </c>
      <c r="L446" s="61" t="str">
        <f>Main3WData[[#This Row],[Sector]]&amp;Main3WData[[#This Row],[Pcode]]</f>
        <v>CoordinationGIN003004</v>
      </c>
      <c r="M446" s="71">
        <f>COUNTIF($L$5:L446,Main3WData[[#This Row],[PT.Concat]])</f>
        <v>6</v>
      </c>
      <c r="N446" s="70">
        <f>MATCH(Main3WData[[#This Row],[PT.Concat]],$L$5:L446,0)</f>
        <v>437</v>
      </c>
      <c r="O446" s="62" t="b">
        <f>Main3WData[[#This Row],[Count PT.Concat]]=1</f>
        <v>0</v>
      </c>
      <c r="P446" s="62">
        <f t="array" ref="P446">MAX(($N$4:N445=Main3WData[[#This Row],[PT.ID]])*ROW($N$4:N445))</f>
        <v>445</v>
      </c>
      <c r="Q446" s="62" t="str">
        <f>IF(Main3WData[[#This Row],[PT.FirstID]],Main3WData[[#This Row],[Acronym]],INDEX($Q$4:Q445,Main3WData[[#This Row],[PT.LastID.Row]]-ROW($Q$4)+1) &amp; ", "&amp;Main3WData[[#This Row],[Acronym]])</f>
        <v>UNMEER, UNFPA, UNDP, OMS, MSF, eHealth Africa</v>
      </c>
      <c r="R446" s="62" t="b">
        <f t="array" ref="R446">MAX(IF(Main3WData[PT.ID]=Main3WData[[#This Row],[PT.ID]],Main3WData[PT.LastID.Row]))=Main3WData[[#This Row],[PT.LastID.Row]]</f>
        <v>1</v>
      </c>
    </row>
    <row r="447" spans="2:18" ht="16.5" customHeight="1" x14ac:dyDescent="0.2">
      <c r="B447" s="55" t="s">
        <v>473</v>
      </c>
      <c r="C447" s="27" t="str">
        <f>INDEX(Organizations[],MATCH(Main3WData[[#This Row],[Acronym]],AcronymList,0),1)</f>
        <v>United Nations Development Programme</v>
      </c>
      <c r="D447" s="27" t="str">
        <f>INDEX(Organizations[],MATCH(Main3WData[[#This Row],[Acronym]],AcronymList,0),3)</f>
        <v>UN Agency</v>
      </c>
      <c r="E447" s="54" t="s">
        <v>359</v>
      </c>
      <c r="F447" s="53" t="s">
        <v>82</v>
      </c>
      <c r="G447" s="54" t="s">
        <v>384</v>
      </c>
      <c r="H447" s="28" t="str">
        <f>VLOOKUP(Main3WData[[#This Row],[Admin Unit Name]],AdminUnits[],2,FALSE)</f>
        <v>GIN003004</v>
      </c>
      <c r="I447" s="57">
        <v>0</v>
      </c>
      <c r="J447" s="67" t="str">
        <f>Main3WData[[#This Row],[Acronym]]&amp;Main3WData[[#This Row],[Sector]]&amp;Main3WData[[#This Row],[Activity Type]]&amp;Main3WData[[#This Row],[Pcode]]</f>
        <v>UNDPFinanceOngoingGIN003004</v>
      </c>
      <c r="K447" s="69">
        <f>COUNTIF(Main3WData[Concatenate],Main3WData[[#This Row],[Concatenate]])</f>
        <v>1</v>
      </c>
      <c r="L447" s="61" t="str">
        <f>Main3WData[[#This Row],[Sector]]&amp;Main3WData[[#This Row],[Pcode]]</f>
        <v>FinanceGIN003004</v>
      </c>
      <c r="M447" s="71">
        <f>COUNTIF($L$5:L447,Main3WData[[#This Row],[PT.Concat]])</f>
        <v>1</v>
      </c>
      <c r="N447" s="70">
        <f>MATCH(Main3WData[[#This Row],[PT.Concat]],$L$5:L447,0)</f>
        <v>443</v>
      </c>
      <c r="O447" s="62" t="b">
        <f>Main3WData[[#This Row],[Count PT.Concat]]=1</f>
        <v>1</v>
      </c>
      <c r="P447" s="62">
        <f t="array" ref="P447">MAX(($N$4:N446=Main3WData[[#This Row],[PT.ID]])*ROW($N$4:N446))</f>
        <v>0</v>
      </c>
      <c r="Q447" s="62" t="str">
        <f>IF(Main3WData[[#This Row],[PT.FirstID]],Main3WData[[#This Row],[Acronym]],INDEX($Q$4:Q446,Main3WData[[#This Row],[PT.LastID.Row]]-ROW($Q$4)+1) &amp; ", "&amp;Main3WData[[#This Row],[Acronym]])</f>
        <v>UNDP</v>
      </c>
      <c r="R447" s="62" t="b">
        <f t="array" ref="R447">MAX(IF(Main3WData[PT.ID]=Main3WData[[#This Row],[PT.ID]],Main3WData[PT.LastID.Row]))=Main3WData[[#This Row],[PT.LastID.Row]]</f>
        <v>1</v>
      </c>
    </row>
    <row r="448" spans="2:18" ht="16.5" customHeight="1" x14ac:dyDescent="0.2">
      <c r="B448" s="55" t="s">
        <v>451</v>
      </c>
      <c r="C448" s="27" t="str">
        <f>INDEX(Organizations[],MATCH(Main3WData[[#This Row],[Acronym]],AcronymList,0),1)</f>
        <v>Croix-Rouge Guinée</v>
      </c>
      <c r="D448" s="27" t="str">
        <f>INDEX(Organizations[],MATCH(Main3WData[[#This Row],[Acronym]],AcronymList,0),3)</f>
        <v>Red Cross Movement</v>
      </c>
      <c r="E448" s="54" t="s">
        <v>354</v>
      </c>
      <c r="F448" s="53" t="s">
        <v>82</v>
      </c>
      <c r="G448" s="54" t="s">
        <v>384</v>
      </c>
      <c r="H448" s="28" t="str">
        <f>VLOOKUP(Main3WData[[#This Row],[Admin Unit Name]],AdminUnits[],2,FALSE)</f>
        <v>GIN003004</v>
      </c>
      <c r="I448" s="57">
        <v>0</v>
      </c>
      <c r="J448" s="67" t="str">
        <f>Main3WData[[#This Row],[Acronym]]&amp;Main3WData[[#This Row],[Sector]]&amp;Main3WData[[#This Row],[Activity Type]]&amp;Main3WData[[#This Row],[Pcode]]</f>
        <v>CRGGestion des corps et desinfectionOngoingGIN003004</v>
      </c>
      <c r="K448" s="69">
        <f>COUNTIF(Main3WData[Concatenate],Main3WData[[#This Row],[Concatenate]])</f>
        <v>1</v>
      </c>
      <c r="L448" s="61" t="str">
        <f>Main3WData[[#This Row],[Sector]]&amp;Main3WData[[#This Row],[Pcode]]</f>
        <v>Gestion des corps et desinfectionGIN003004</v>
      </c>
      <c r="M448" s="71">
        <f>COUNTIF($L$5:L448,Main3WData[[#This Row],[PT.Concat]])</f>
        <v>1</v>
      </c>
      <c r="N448" s="70">
        <f>MATCH(Main3WData[[#This Row],[PT.Concat]],$L$5:L448,0)</f>
        <v>444</v>
      </c>
      <c r="O448" s="62" t="b">
        <f>Main3WData[[#This Row],[Count PT.Concat]]=1</f>
        <v>1</v>
      </c>
      <c r="P448" s="62">
        <f t="array" ref="P448">MAX(($N$4:N447=Main3WData[[#This Row],[PT.ID]])*ROW($N$4:N447))</f>
        <v>0</v>
      </c>
      <c r="Q448" s="62" t="str">
        <f>IF(Main3WData[[#This Row],[PT.FirstID]],Main3WData[[#This Row],[Acronym]],INDEX($Q$4:Q447,Main3WData[[#This Row],[PT.LastID.Row]]-ROW($Q$4)+1) &amp; ", "&amp;Main3WData[[#This Row],[Acronym]])</f>
        <v>CRG</v>
      </c>
      <c r="R448" s="62" t="b">
        <f t="array" ref="R448">MAX(IF(Main3WData[PT.ID]=Main3WData[[#This Row],[PT.ID]],Main3WData[PT.LastID.Row]))=Main3WData[[#This Row],[PT.LastID.Row]]</f>
        <v>1</v>
      </c>
    </row>
    <row r="449" spans="2:18" ht="16.5" customHeight="1" x14ac:dyDescent="0.2">
      <c r="B449" s="55" t="s">
        <v>516</v>
      </c>
      <c r="C449" s="27" t="str">
        <f>INDEX(Organizations[],MATCH(Main3WData[[#This Row],[Acronym]],AcronymList,0),1)</f>
        <v>UNITED NATION MISSION FOR EBOLA  EMERGENCY RESPONSE</v>
      </c>
      <c r="D449" s="27" t="str">
        <f>INDEX(Organizations[],MATCH(Main3WData[[#This Row],[Acronym]],AcronymList,0),3)</f>
        <v>UN Agency</v>
      </c>
      <c r="E449" s="54" t="s">
        <v>356</v>
      </c>
      <c r="F449" s="53" t="s">
        <v>82</v>
      </c>
      <c r="G449" s="54" t="s">
        <v>384</v>
      </c>
      <c r="H449" s="28" t="str">
        <f>VLOOKUP(Main3WData[[#This Row],[Admin Unit Name]],AdminUnits[],2,FALSE)</f>
        <v>GIN003004</v>
      </c>
      <c r="I449" s="57">
        <v>0</v>
      </c>
      <c r="J449" s="67" t="str">
        <f>Main3WData[[#This Row],[Acronym]]&amp;Main3WData[[#This Row],[Sector]]&amp;Main3WData[[#This Row],[Activity Type]]&amp;Main3WData[[#This Row],[Pcode]]</f>
        <v>UNMEERGestion des donnéesOngoingGIN003004</v>
      </c>
      <c r="K449" s="69">
        <f>COUNTIF(Main3WData[Concatenate],Main3WData[[#This Row],[Concatenate]])</f>
        <v>1</v>
      </c>
      <c r="L449" s="61" t="str">
        <f>Main3WData[[#This Row],[Sector]]&amp;Main3WData[[#This Row],[Pcode]]</f>
        <v>Gestion des donnéesGIN003004</v>
      </c>
      <c r="M449" s="71">
        <f>COUNTIF($L$5:L449,Main3WData[[#This Row],[PT.Concat]])</f>
        <v>1</v>
      </c>
      <c r="N449" s="70">
        <f>MATCH(Main3WData[[#This Row],[PT.Concat]],$L$5:L449,0)</f>
        <v>445</v>
      </c>
      <c r="O449" s="62" t="b">
        <f>Main3WData[[#This Row],[Count PT.Concat]]=1</f>
        <v>1</v>
      </c>
      <c r="P449" s="62">
        <f t="array" ref="P449">MAX(($N$4:N448=Main3WData[[#This Row],[PT.ID]])*ROW($N$4:N448))</f>
        <v>0</v>
      </c>
      <c r="Q449" s="62" t="str">
        <f>IF(Main3WData[[#This Row],[PT.FirstID]],Main3WData[[#This Row],[Acronym]],INDEX($Q$4:Q448,Main3WData[[#This Row],[PT.LastID.Row]]-ROW($Q$4)+1) &amp; ", "&amp;Main3WData[[#This Row],[Acronym]])</f>
        <v>UNMEER</v>
      </c>
      <c r="R449" s="62" t="b">
        <f t="array" ref="R449">MAX(IF(Main3WData[PT.ID]=Main3WData[[#This Row],[PT.ID]],Main3WData[PT.LastID.Row]))=Main3WData[[#This Row],[PT.LastID.Row]]</f>
        <v>0</v>
      </c>
    </row>
    <row r="450" spans="2:18" ht="16.5" customHeight="1" x14ac:dyDescent="0.2">
      <c r="B450" s="55" t="s">
        <v>72</v>
      </c>
      <c r="C450" s="27" t="str">
        <f>INDEX(Organizations[],MATCH(Main3WData[[#This Row],[Acronym]],AcronymList,0),1)</f>
        <v>PLAN</v>
      </c>
      <c r="D450" s="27" t="str">
        <f>INDEX(Organizations[],MATCH(Main3WData[[#This Row],[Acronym]],AcronymList,0),3)</f>
        <v>International Organization</v>
      </c>
      <c r="E450" s="54" t="s">
        <v>356</v>
      </c>
      <c r="F450" s="53" t="s">
        <v>82</v>
      </c>
      <c r="G450" s="54" t="s">
        <v>384</v>
      </c>
      <c r="H450" s="28" t="str">
        <f>VLOOKUP(Main3WData[[#This Row],[Admin Unit Name]],AdminUnits[],2,FALSE)</f>
        <v>GIN003004</v>
      </c>
      <c r="I450" s="57">
        <v>0</v>
      </c>
      <c r="J450" s="67" t="str">
        <f>Main3WData[[#This Row],[Acronym]]&amp;Main3WData[[#This Row],[Sector]]&amp;Main3WData[[#This Row],[Activity Type]]&amp;Main3WData[[#This Row],[Pcode]]</f>
        <v>PLANGestion des donnéesOngoingGIN003004</v>
      </c>
      <c r="K450" s="69">
        <f>COUNTIF(Main3WData[Concatenate],Main3WData[[#This Row],[Concatenate]])</f>
        <v>1</v>
      </c>
      <c r="L450" s="61" t="str">
        <f>Main3WData[[#This Row],[Sector]]&amp;Main3WData[[#This Row],[Pcode]]</f>
        <v>Gestion des donnéesGIN003004</v>
      </c>
      <c r="M450" s="71">
        <f>COUNTIF($L$5:L450,Main3WData[[#This Row],[PT.Concat]])</f>
        <v>2</v>
      </c>
      <c r="N450" s="70">
        <f>MATCH(Main3WData[[#This Row],[PT.Concat]],$L$5:L450,0)</f>
        <v>445</v>
      </c>
      <c r="O450" s="62" t="b">
        <f>Main3WData[[#This Row],[Count PT.Concat]]=1</f>
        <v>0</v>
      </c>
      <c r="P450" s="62">
        <f t="array" ref="P450">MAX(($N$4:N449=Main3WData[[#This Row],[PT.ID]])*ROW($N$4:N449))</f>
        <v>449</v>
      </c>
      <c r="Q450" s="62" t="str">
        <f>IF(Main3WData[[#This Row],[PT.FirstID]],Main3WData[[#This Row],[Acronym]],INDEX($Q$4:Q449,Main3WData[[#This Row],[PT.LastID.Row]]-ROW($Q$4)+1) &amp; ", "&amp;Main3WData[[#This Row],[Acronym]])</f>
        <v>UNMEER, PLAN</v>
      </c>
      <c r="R450" s="62" t="b">
        <f t="array" ref="R450">MAX(IF(Main3WData[PT.ID]=Main3WData[[#This Row],[PT.ID]],Main3WData[PT.LastID.Row]))=Main3WData[[#This Row],[PT.LastID.Row]]</f>
        <v>0</v>
      </c>
    </row>
    <row r="451" spans="2:18" ht="16.5" customHeight="1" x14ac:dyDescent="0.2">
      <c r="B451" s="55" t="s">
        <v>512</v>
      </c>
      <c r="C451" s="27" t="str">
        <f>INDEX(Organizations[],MATCH(Main3WData[[#This Row],[Acronym]],AcronymList,0),1)</f>
        <v>World Health Organization</v>
      </c>
      <c r="D451" s="27" t="str">
        <f>INDEX(Organizations[],MATCH(Main3WData[[#This Row],[Acronym]],AcronymList,0),3)</f>
        <v>UN Agency</v>
      </c>
      <c r="E451" s="54" t="s">
        <v>356</v>
      </c>
      <c r="F451" s="53" t="s">
        <v>82</v>
      </c>
      <c r="G451" s="54" t="s">
        <v>384</v>
      </c>
      <c r="H451" s="28" t="str">
        <f>VLOOKUP(Main3WData[[#This Row],[Admin Unit Name]],AdminUnits[],2,FALSE)</f>
        <v>GIN003004</v>
      </c>
      <c r="I451" s="57">
        <v>0</v>
      </c>
      <c r="J451" s="67" t="str">
        <f>Main3WData[[#This Row],[Acronym]]&amp;Main3WData[[#This Row],[Sector]]&amp;Main3WData[[#This Row],[Activity Type]]&amp;Main3WData[[#This Row],[Pcode]]</f>
        <v>OMSGestion des donnéesOngoingGIN003004</v>
      </c>
      <c r="K451" s="69">
        <f>COUNTIF(Main3WData[Concatenate],Main3WData[[#This Row],[Concatenate]])</f>
        <v>1</v>
      </c>
      <c r="L451" s="61" t="str">
        <f>Main3WData[[#This Row],[Sector]]&amp;Main3WData[[#This Row],[Pcode]]</f>
        <v>Gestion des donnéesGIN003004</v>
      </c>
      <c r="M451" s="71">
        <f>COUNTIF($L$5:L451,Main3WData[[#This Row],[PT.Concat]])</f>
        <v>3</v>
      </c>
      <c r="N451" s="70">
        <f>MATCH(Main3WData[[#This Row],[PT.Concat]],$L$5:L451,0)</f>
        <v>445</v>
      </c>
      <c r="O451" s="62" t="b">
        <f>Main3WData[[#This Row],[Count PT.Concat]]=1</f>
        <v>0</v>
      </c>
      <c r="P451" s="62">
        <f t="array" ref="P451">MAX(($N$4:N450=Main3WData[[#This Row],[PT.ID]])*ROW($N$4:N450))</f>
        <v>450</v>
      </c>
      <c r="Q451" s="62" t="str">
        <f>IF(Main3WData[[#This Row],[PT.FirstID]],Main3WData[[#This Row],[Acronym]],INDEX($Q$4:Q450,Main3WData[[#This Row],[PT.LastID.Row]]-ROW($Q$4)+1) &amp; ", "&amp;Main3WData[[#This Row],[Acronym]])</f>
        <v>UNMEER, PLAN, OMS</v>
      </c>
      <c r="R451" s="62" t="b">
        <f t="array" ref="R451">MAX(IF(Main3WData[PT.ID]=Main3WData[[#This Row],[PT.ID]],Main3WData[PT.LastID.Row]))=Main3WData[[#This Row],[PT.LastID.Row]]</f>
        <v>1</v>
      </c>
    </row>
    <row r="452" spans="2:18" ht="16.5" customHeight="1" x14ac:dyDescent="0.2">
      <c r="B452" s="55" t="s">
        <v>516</v>
      </c>
      <c r="C452" s="27" t="str">
        <f>INDEX(Organizations[],MATCH(Main3WData[[#This Row],[Acronym]],AcronymList,0),1)</f>
        <v>UNITED NATION MISSION FOR EBOLA  EMERGENCY RESPONSE</v>
      </c>
      <c r="D452" s="27" t="str">
        <f>INDEX(Organizations[],MATCH(Main3WData[[#This Row],[Acronym]],AcronymList,0),3)</f>
        <v>UN Agency</v>
      </c>
      <c r="E452" s="54" t="s">
        <v>358</v>
      </c>
      <c r="F452" s="53" t="s">
        <v>82</v>
      </c>
      <c r="G452" s="54" t="s">
        <v>384</v>
      </c>
      <c r="H452" s="28" t="str">
        <f>VLOOKUP(Main3WData[[#This Row],[Admin Unit Name]],AdminUnits[],2,FALSE)</f>
        <v>GIN003004</v>
      </c>
      <c r="I452" s="57">
        <v>0</v>
      </c>
      <c r="J452" s="67" t="str">
        <f>Main3WData[[#This Row],[Acronym]]&amp;Main3WData[[#This Row],[Sector]]&amp;Main3WData[[#This Row],[Activity Type]]&amp;Main3WData[[#This Row],[Pcode]]</f>
        <v>UNMEERLogistiquesOngoingGIN003004</v>
      </c>
      <c r="K452" s="69">
        <f>COUNTIF(Main3WData[Concatenate],Main3WData[[#This Row],[Concatenate]])</f>
        <v>1</v>
      </c>
      <c r="L452" s="61" t="str">
        <f>Main3WData[[#This Row],[Sector]]&amp;Main3WData[[#This Row],[Pcode]]</f>
        <v>LogistiquesGIN003004</v>
      </c>
      <c r="M452" s="71">
        <f>COUNTIF($L$5:L452,Main3WData[[#This Row],[PT.Concat]])</f>
        <v>1</v>
      </c>
      <c r="N452" s="70">
        <f>MATCH(Main3WData[[#This Row],[PT.Concat]],$L$5:L452,0)</f>
        <v>448</v>
      </c>
      <c r="O452" s="62" t="b">
        <f>Main3WData[[#This Row],[Count PT.Concat]]=1</f>
        <v>1</v>
      </c>
      <c r="P452" s="62">
        <f t="array" ref="P452">MAX(($N$4:N451=Main3WData[[#This Row],[PT.ID]])*ROW($N$4:N451))</f>
        <v>0</v>
      </c>
      <c r="Q452" s="62" t="str">
        <f>IF(Main3WData[[#This Row],[PT.FirstID]],Main3WData[[#This Row],[Acronym]],INDEX($Q$4:Q451,Main3WData[[#This Row],[PT.LastID.Row]]-ROW($Q$4)+1) &amp; ", "&amp;Main3WData[[#This Row],[Acronym]])</f>
        <v>UNMEER</v>
      </c>
      <c r="R452" s="62" t="b">
        <f t="array" ref="R452">MAX(IF(Main3WData[PT.ID]=Main3WData[[#This Row],[PT.ID]],Main3WData[PT.LastID.Row]))=Main3WData[[#This Row],[PT.LastID.Row]]</f>
        <v>0</v>
      </c>
    </row>
    <row r="453" spans="2:18" ht="16.5" customHeight="1" x14ac:dyDescent="0.2">
      <c r="B453" s="55" t="s">
        <v>512</v>
      </c>
      <c r="C453" s="27" t="str">
        <f>INDEX(Organizations[],MATCH(Main3WData[[#This Row],[Acronym]],AcronymList,0),1)</f>
        <v>World Health Organization</v>
      </c>
      <c r="D453" s="27" t="str">
        <f>INDEX(Organizations[],MATCH(Main3WData[[#This Row],[Acronym]],AcronymList,0),3)</f>
        <v>UN Agency</v>
      </c>
      <c r="E453" s="54" t="s">
        <v>358</v>
      </c>
      <c r="F453" s="53" t="s">
        <v>82</v>
      </c>
      <c r="G453" s="54" t="s">
        <v>384</v>
      </c>
      <c r="H453" s="28" t="str">
        <f>VLOOKUP(Main3WData[[#This Row],[Admin Unit Name]],AdminUnits[],2,FALSE)</f>
        <v>GIN003004</v>
      </c>
      <c r="I453" s="57">
        <v>0</v>
      </c>
      <c r="J453" s="67" t="str">
        <f>Main3WData[[#This Row],[Acronym]]&amp;Main3WData[[#This Row],[Sector]]&amp;Main3WData[[#This Row],[Activity Type]]&amp;Main3WData[[#This Row],[Pcode]]</f>
        <v>OMSLogistiquesOngoingGIN003004</v>
      </c>
      <c r="K453" s="69">
        <f>COUNTIF(Main3WData[Concatenate],Main3WData[[#This Row],[Concatenate]])</f>
        <v>1</v>
      </c>
      <c r="L453" s="61" t="str">
        <f>Main3WData[[#This Row],[Sector]]&amp;Main3WData[[#This Row],[Pcode]]</f>
        <v>LogistiquesGIN003004</v>
      </c>
      <c r="M453" s="71">
        <f>COUNTIF($L$5:L453,Main3WData[[#This Row],[PT.Concat]])</f>
        <v>2</v>
      </c>
      <c r="N453" s="70">
        <f>MATCH(Main3WData[[#This Row],[PT.Concat]],$L$5:L453,0)</f>
        <v>448</v>
      </c>
      <c r="O453" s="62" t="b">
        <f>Main3WData[[#This Row],[Count PT.Concat]]=1</f>
        <v>0</v>
      </c>
      <c r="P453" s="62">
        <f t="array" ref="P453">MAX(($N$4:N452=Main3WData[[#This Row],[PT.ID]])*ROW($N$4:N452))</f>
        <v>452</v>
      </c>
      <c r="Q453" s="62" t="str">
        <f>IF(Main3WData[[#This Row],[PT.FirstID]],Main3WData[[#This Row],[Acronym]],INDEX($Q$4:Q452,Main3WData[[#This Row],[PT.LastID.Row]]-ROW($Q$4)+1) &amp; ", "&amp;Main3WData[[#This Row],[Acronym]])</f>
        <v>UNMEER, OMS</v>
      </c>
      <c r="R453" s="62" t="b">
        <f t="array" ref="R453">MAX(IF(Main3WData[PT.ID]=Main3WData[[#This Row],[PT.ID]],Main3WData[PT.LastID.Row]))=Main3WData[[#This Row],[PT.LastID.Row]]</f>
        <v>1</v>
      </c>
    </row>
    <row r="454" spans="2:18" ht="16.5" customHeight="1" x14ac:dyDescent="0.2">
      <c r="B454" s="55" t="s">
        <v>78</v>
      </c>
      <c r="C454" s="27" t="str">
        <f>INDEX(Organizations[],MATCH(Main3WData[[#This Row],[Acronym]],AcronymList,0),1)</f>
        <v>World Food Programme</v>
      </c>
      <c r="D454" s="27" t="str">
        <f>INDEX(Organizations[],MATCH(Main3WData[[#This Row],[Acronym]],AcronymList,0),3)</f>
        <v>UN Agency</v>
      </c>
      <c r="E454" s="54" t="s">
        <v>355</v>
      </c>
      <c r="F454" s="53" t="s">
        <v>82</v>
      </c>
      <c r="G454" s="54" t="s">
        <v>384</v>
      </c>
      <c r="H454" s="28" t="str">
        <f>VLOOKUP(Main3WData[[#This Row],[Admin Unit Name]],AdminUnits[],2,FALSE)</f>
        <v>GIN003004</v>
      </c>
      <c r="I454" s="57">
        <v>0</v>
      </c>
      <c r="J454" s="67" t="str">
        <f>Main3WData[[#This Row],[Acronym]]&amp;Main3WData[[#This Row],[Sector]]&amp;Main3WData[[#This Row],[Activity Type]]&amp;Main3WData[[#This Row],[Pcode]]</f>
        <v>WFPSoutien nutritionnel et socialOngoingGIN003004</v>
      </c>
      <c r="K454" s="69">
        <f>COUNTIF(Main3WData[Concatenate],Main3WData[[#This Row],[Concatenate]])</f>
        <v>1</v>
      </c>
      <c r="L454" s="61" t="str">
        <f>Main3WData[[#This Row],[Sector]]&amp;Main3WData[[#This Row],[Pcode]]</f>
        <v>Soutien nutritionnel et socialGIN003004</v>
      </c>
      <c r="M454" s="71">
        <f>COUNTIF($L$5:L454,Main3WData[[#This Row],[PT.Concat]])</f>
        <v>1</v>
      </c>
      <c r="N454" s="70">
        <f>MATCH(Main3WData[[#This Row],[PT.Concat]],$L$5:L454,0)</f>
        <v>450</v>
      </c>
      <c r="O454" s="62" t="b">
        <f>Main3WData[[#This Row],[Count PT.Concat]]=1</f>
        <v>1</v>
      </c>
      <c r="P454" s="62">
        <f t="array" ref="P454">MAX(($N$4:N453=Main3WData[[#This Row],[PT.ID]])*ROW($N$4:N453))</f>
        <v>0</v>
      </c>
      <c r="Q454" s="62" t="str">
        <f>IF(Main3WData[[#This Row],[PT.FirstID]],Main3WData[[#This Row],[Acronym]],INDEX($Q$4:Q453,Main3WData[[#This Row],[PT.LastID.Row]]-ROW($Q$4)+1) &amp; ", "&amp;Main3WData[[#This Row],[Acronym]])</f>
        <v>WFP</v>
      </c>
      <c r="R454" s="62" t="b">
        <f t="array" ref="R454">MAX(IF(Main3WData[PT.ID]=Main3WData[[#This Row],[PT.ID]],Main3WData[PT.LastID.Row]))=Main3WData[[#This Row],[PT.LastID.Row]]</f>
        <v>0</v>
      </c>
    </row>
    <row r="455" spans="2:18" ht="16.5" customHeight="1" x14ac:dyDescent="0.2">
      <c r="B455" s="55" t="s">
        <v>66</v>
      </c>
      <c r="C455" s="27" t="str">
        <f>INDEX(Organizations[],MATCH(Main3WData[[#This Row],[Acronym]],AcronymList,0),1)</f>
        <v>Catholic Relief Services</v>
      </c>
      <c r="D455" s="27" t="str">
        <f>INDEX(Organizations[],MATCH(Main3WData[[#This Row],[Acronym]],AcronymList,0),3)</f>
        <v>International NGO</v>
      </c>
      <c r="E455" s="54" t="s">
        <v>355</v>
      </c>
      <c r="F455" s="53" t="s">
        <v>82</v>
      </c>
      <c r="G455" s="54" t="s">
        <v>384</v>
      </c>
      <c r="H455" s="28" t="str">
        <f>VLOOKUP(Main3WData[[#This Row],[Admin Unit Name]],AdminUnits[],2,FALSE)</f>
        <v>GIN003004</v>
      </c>
      <c r="I455" s="57">
        <v>0</v>
      </c>
      <c r="J455" s="67" t="str">
        <f>Main3WData[[#This Row],[Acronym]]&amp;Main3WData[[#This Row],[Sector]]&amp;Main3WData[[#This Row],[Activity Type]]&amp;Main3WData[[#This Row],[Pcode]]</f>
        <v>CRSSoutien nutritionnel et socialOngoingGIN003004</v>
      </c>
      <c r="K455" s="69">
        <f>COUNTIF(Main3WData[Concatenate],Main3WData[[#This Row],[Concatenate]])</f>
        <v>1</v>
      </c>
      <c r="L455" s="61" t="str">
        <f>Main3WData[[#This Row],[Sector]]&amp;Main3WData[[#This Row],[Pcode]]</f>
        <v>Soutien nutritionnel et socialGIN003004</v>
      </c>
      <c r="M455" s="71">
        <f>COUNTIF($L$5:L455,Main3WData[[#This Row],[PT.Concat]])</f>
        <v>2</v>
      </c>
      <c r="N455" s="70">
        <f>MATCH(Main3WData[[#This Row],[PT.Concat]],$L$5:L455,0)</f>
        <v>450</v>
      </c>
      <c r="O455" s="62" t="b">
        <f>Main3WData[[#This Row],[Count PT.Concat]]=1</f>
        <v>0</v>
      </c>
      <c r="P455" s="62">
        <f t="array" ref="P455">MAX(($N$4:N454=Main3WData[[#This Row],[PT.ID]])*ROW($N$4:N454))</f>
        <v>454</v>
      </c>
      <c r="Q455" s="62" t="str">
        <f>IF(Main3WData[[#This Row],[PT.FirstID]],Main3WData[[#This Row],[Acronym]],INDEX($Q$4:Q454,Main3WData[[#This Row],[PT.LastID.Row]]-ROW($Q$4)+1) &amp; ", "&amp;Main3WData[[#This Row],[Acronym]])</f>
        <v>WFP, CRS</v>
      </c>
      <c r="R455" s="62" t="b">
        <f t="array" ref="R455">MAX(IF(Main3WData[PT.ID]=Main3WData[[#This Row],[PT.ID]],Main3WData[PT.LastID.Row]))=Main3WData[[#This Row],[PT.LastID.Row]]</f>
        <v>1</v>
      </c>
    </row>
    <row r="456" spans="2:18" ht="16.5" customHeight="1" x14ac:dyDescent="0.2">
      <c r="B456" s="55" t="s">
        <v>512</v>
      </c>
      <c r="C456" s="27" t="str">
        <f>INDEX(Organizations[],MATCH(Main3WData[[#This Row],[Acronym]],AcronymList,0),1)</f>
        <v>World Health Organization</v>
      </c>
      <c r="D456" s="27" t="str">
        <f>INDEX(Organizations[],MATCH(Main3WData[[#This Row],[Acronym]],AcronymList,0),3)</f>
        <v>UN Agency</v>
      </c>
      <c r="E456" s="54" t="s">
        <v>351</v>
      </c>
      <c r="F456" s="53" t="s">
        <v>82</v>
      </c>
      <c r="G456" s="54" t="s">
        <v>384</v>
      </c>
      <c r="H456" s="28" t="str">
        <f>VLOOKUP(Main3WData[[#This Row],[Admin Unit Name]],AdminUnits[],2,FALSE)</f>
        <v>GIN003004</v>
      </c>
      <c r="I456" s="57">
        <v>0</v>
      </c>
      <c r="J456" s="67" t="str">
        <f>Main3WData[[#This Row],[Acronym]]&amp;Main3WData[[#This Row],[Sector]]&amp;Main3WData[[#This Row],[Activity Type]]&amp;Main3WData[[#This Row],[Pcode]]</f>
        <v>OMSSurveillance &amp; suiviOngoingGIN003004</v>
      </c>
      <c r="K456" s="69">
        <f>COUNTIF(Main3WData[Concatenate],Main3WData[[#This Row],[Concatenate]])</f>
        <v>1</v>
      </c>
      <c r="L456" s="61" t="str">
        <f>Main3WData[[#This Row],[Sector]]&amp;Main3WData[[#This Row],[Pcode]]</f>
        <v>Surveillance &amp; suiviGIN003004</v>
      </c>
      <c r="M456" s="71">
        <f>COUNTIF($L$5:L456,Main3WData[[#This Row],[PT.Concat]])</f>
        <v>1</v>
      </c>
      <c r="N456" s="70">
        <f>MATCH(Main3WData[[#This Row],[PT.Concat]],$L$5:L456,0)</f>
        <v>452</v>
      </c>
      <c r="O456" s="62" t="b">
        <f>Main3WData[[#This Row],[Count PT.Concat]]=1</f>
        <v>1</v>
      </c>
      <c r="P456" s="62">
        <f t="array" ref="P456">MAX(($N$4:N455=Main3WData[[#This Row],[PT.ID]])*ROW($N$4:N455))</f>
        <v>0</v>
      </c>
      <c r="Q456" s="62" t="str">
        <f>IF(Main3WData[[#This Row],[PT.FirstID]],Main3WData[[#This Row],[Acronym]],INDEX($Q$4:Q455,Main3WData[[#This Row],[PT.LastID.Row]]-ROW($Q$4)+1) &amp; ", "&amp;Main3WData[[#This Row],[Acronym]])</f>
        <v>OMS</v>
      </c>
      <c r="R456" s="62" t="b">
        <f t="array" ref="R456">MAX(IF(Main3WData[PT.ID]=Main3WData[[#This Row],[PT.ID]],Main3WData[PT.LastID.Row]))=Main3WData[[#This Row],[PT.LastID.Row]]</f>
        <v>0</v>
      </c>
    </row>
    <row r="457" spans="2:18" ht="16.5" customHeight="1" x14ac:dyDescent="0.2">
      <c r="B457" s="55" t="s">
        <v>64</v>
      </c>
      <c r="C457" s="27" t="str">
        <f>INDEX(Organizations[],MATCH(Main3WData[[#This Row],[Acronym]],AcronymList,0),1)</f>
        <v>CDC</v>
      </c>
      <c r="D457" s="27" t="str">
        <f>INDEX(Organizations[],MATCH(Main3WData[[#This Row],[Acronym]],AcronymList,0),3)</f>
        <v>International NGO</v>
      </c>
      <c r="E457" s="54" t="s">
        <v>351</v>
      </c>
      <c r="F457" s="53" t="s">
        <v>82</v>
      </c>
      <c r="G457" s="54" t="s">
        <v>384</v>
      </c>
      <c r="H457" s="28" t="str">
        <f>VLOOKUP(Main3WData[[#This Row],[Admin Unit Name]],AdminUnits[],2,FALSE)</f>
        <v>GIN003004</v>
      </c>
      <c r="I457" s="57">
        <v>0</v>
      </c>
      <c r="J457" s="67" t="str">
        <f>Main3WData[[#This Row],[Acronym]]&amp;Main3WData[[#This Row],[Sector]]&amp;Main3WData[[#This Row],[Activity Type]]&amp;Main3WData[[#This Row],[Pcode]]</f>
        <v>CDCSurveillance &amp; suiviOngoingGIN003004</v>
      </c>
      <c r="K457" s="69">
        <f>COUNTIF(Main3WData[Concatenate],Main3WData[[#This Row],[Concatenate]])</f>
        <v>1</v>
      </c>
      <c r="L457" s="61" t="str">
        <f>Main3WData[[#This Row],[Sector]]&amp;Main3WData[[#This Row],[Pcode]]</f>
        <v>Surveillance &amp; suiviGIN003004</v>
      </c>
      <c r="M457" s="71">
        <f>COUNTIF($L$5:L457,Main3WData[[#This Row],[PT.Concat]])</f>
        <v>2</v>
      </c>
      <c r="N457" s="70">
        <f>MATCH(Main3WData[[#This Row],[PT.Concat]],$L$5:L457,0)</f>
        <v>452</v>
      </c>
      <c r="O457" s="62" t="b">
        <f>Main3WData[[#This Row],[Count PT.Concat]]=1</f>
        <v>0</v>
      </c>
      <c r="P457" s="62">
        <f t="array" ref="P457">MAX(($N$4:N456=Main3WData[[#This Row],[PT.ID]])*ROW($N$4:N456))</f>
        <v>456</v>
      </c>
      <c r="Q457" s="62" t="str">
        <f>IF(Main3WData[[#This Row],[PT.FirstID]],Main3WData[[#This Row],[Acronym]],INDEX($Q$4:Q456,Main3WData[[#This Row],[PT.LastID.Row]]-ROW($Q$4)+1) &amp; ", "&amp;Main3WData[[#This Row],[Acronym]])</f>
        <v>OMS, CDC</v>
      </c>
      <c r="R457" s="62" t="b">
        <f t="array" ref="R457">MAX(IF(Main3WData[PT.ID]=Main3WData[[#This Row],[PT.ID]],Main3WData[PT.LastID.Row]))=Main3WData[[#This Row],[PT.LastID.Row]]</f>
        <v>1</v>
      </c>
    </row>
    <row r="458" spans="2:18" ht="16.5" customHeight="1" x14ac:dyDescent="0.2">
      <c r="B458" s="55" t="s">
        <v>77</v>
      </c>
      <c r="C458" s="27" t="str">
        <f>INDEX(Organizations[],MATCH(Main3WData[[#This Row],[Acronym]],AcronymList,0),1)</f>
        <v>United Nations Children's Fund</v>
      </c>
      <c r="D458" s="27" t="str">
        <f>INDEX(Organizations[],MATCH(Main3WData[[#This Row],[Acronym]],AcronymList,0),3)</f>
        <v>UN Agency</v>
      </c>
      <c r="E458" s="54" t="s">
        <v>350</v>
      </c>
      <c r="F458" s="53" t="s">
        <v>82</v>
      </c>
      <c r="G458" s="54" t="s">
        <v>408</v>
      </c>
      <c r="H458" s="28" t="str">
        <f>VLOOKUP(Main3WData[[#This Row],[Admin Unit Name]],AdminUnits[],2,FALSE)</f>
        <v>GIN006001</v>
      </c>
      <c r="I458" s="57">
        <v>0</v>
      </c>
      <c r="J458" s="67" t="str">
        <f>Main3WData[[#This Row],[Acronym]]&amp;Main3WData[[#This Row],[Sector]]&amp;Main3WData[[#This Row],[Activity Type]]&amp;Main3WData[[#This Row],[Pcode]]</f>
        <v>UNICEFCommunication/Mobilisation socialeOngoingGIN006001</v>
      </c>
      <c r="K458" s="69">
        <f>COUNTIF(Main3WData[Concatenate],Main3WData[[#This Row],[Concatenate]])</f>
        <v>1</v>
      </c>
      <c r="L458" s="61" t="str">
        <f>Main3WData[[#This Row],[Sector]]&amp;Main3WData[[#This Row],[Pcode]]</f>
        <v>Communication/Mobilisation socialeGIN006001</v>
      </c>
      <c r="M458" s="71">
        <f>COUNTIF($L$5:L458,Main3WData[[#This Row],[PT.Concat]])</f>
        <v>1</v>
      </c>
      <c r="N458" s="70">
        <f>MATCH(Main3WData[[#This Row],[PT.Concat]],$L$5:L458,0)</f>
        <v>454</v>
      </c>
      <c r="O458" s="62" t="b">
        <f>Main3WData[[#This Row],[Count PT.Concat]]=1</f>
        <v>1</v>
      </c>
      <c r="P458" s="62">
        <f t="array" ref="P458">MAX(($N$4:N457=Main3WData[[#This Row],[PT.ID]])*ROW($N$4:N457))</f>
        <v>0</v>
      </c>
      <c r="Q458" s="62" t="str">
        <f>IF(Main3WData[[#This Row],[PT.FirstID]],Main3WData[[#This Row],[Acronym]],INDEX($Q$4:Q457,Main3WData[[#This Row],[PT.LastID.Row]]-ROW($Q$4)+1) &amp; ", "&amp;Main3WData[[#This Row],[Acronym]])</f>
        <v>UNICEF</v>
      </c>
      <c r="R458" s="62" t="b">
        <f t="array" ref="R458">MAX(IF(Main3WData[PT.ID]=Main3WData[[#This Row],[PT.ID]],Main3WData[PT.LastID.Row]))=Main3WData[[#This Row],[PT.LastID.Row]]</f>
        <v>0</v>
      </c>
    </row>
    <row r="459" spans="2:18" ht="16.5" customHeight="1" x14ac:dyDescent="0.2">
      <c r="B459" s="55" t="s">
        <v>75</v>
      </c>
      <c r="C459" s="27" t="str">
        <f>INDEX(Organizations[],MATCH(Main3WData[[#This Row],[Acronym]],AcronymList,0),1)</f>
        <v>United Nations Population Fund</v>
      </c>
      <c r="D459" s="27" t="str">
        <f>INDEX(Organizations[],MATCH(Main3WData[[#This Row],[Acronym]],AcronymList,0),3)</f>
        <v>UN Agency</v>
      </c>
      <c r="E459" s="54" t="s">
        <v>350</v>
      </c>
      <c r="F459" s="53" t="s">
        <v>82</v>
      </c>
      <c r="G459" s="54" t="s">
        <v>408</v>
      </c>
      <c r="H459" s="28" t="str">
        <f>VLOOKUP(Main3WData[[#This Row],[Admin Unit Name]],AdminUnits[],2,FALSE)</f>
        <v>GIN006001</v>
      </c>
      <c r="I459" s="57">
        <v>0</v>
      </c>
      <c r="J459" s="67" t="str">
        <f>Main3WData[[#This Row],[Acronym]]&amp;Main3WData[[#This Row],[Sector]]&amp;Main3WData[[#This Row],[Activity Type]]&amp;Main3WData[[#This Row],[Pcode]]</f>
        <v>UNFPACommunication/Mobilisation socialeOngoingGIN006001</v>
      </c>
      <c r="K459" s="69">
        <f>COUNTIF(Main3WData[Concatenate],Main3WData[[#This Row],[Concatenate]])</f>
        <v>1</v>
      </c>
      <c r="L459" s="61" t="str">
        <f>Main3WData[[#This Row],[Sector]]&amp;Main3WData[[#This Row],[Pcode]]</f>
        <v>Communication/Mobilisation socialeGIN006001</v>
      </c>
      <c r="M459" s="71">
        <f>COUNTIF($L$5:L459,Main3WData[[#This Row],[PT.Concat]])</f>
        <v>2</v>
      </c>
      <c r="N459" s="70">
        <f>MATCH(Main3WData[[#This Row],[PT.Concat]],$L$5:L459,0)</f>
        <v>454</v>
      </c>
      <c r="O459" s="62" t="b">
        <f>Main3WData[[#This Row],[Count PT.Concat]]=1</f>
        <v>0</v>
      </c>
      <c r="P459" s="62">
        <f t="array" ref="P459">MAX(($N$4:N458=Main3WData[[#This Row],[PT.ID]])*ROW($N$4:N458))</f>
        <v>458</v>
      </c>
      <c r="Q459" s="62" t="str">
        <f>IF(Main3WData[[#This Row],[PT.FirstID]],Main3WData[[#This Row],[Acronym]],INDEX($Q$4:Q458,Main3WData[[#This Row],[PT.LastID.Row]]-ROW($Q$4)+1) &amp; ", "&amp;Main3WData[[#This Row],[Acronym]])</f>
        <v>UNICEF, UNFPA</v>
      </c>
      <c r="R459" s="62" t="b">
        <f t="array" ref="R459">MAX(IF(Main3WData[PT.ID]=Main3WData[[#This Row],[PT.ID]],Main3WData[PT.LastID.Row]))=Main3WData[[#This Row],[PT.LastID.Row]]</f>
        <v>0</v>
      </c>
    </row>
    <row r="460" spans="2:18" ht="16.5" customHeight="1" x14ac:dyDescent="0.2">
      <c r="B460" s="55" t="s">
        <v>473</v>
      </c>
      <c r="C460" s="27" t="str">
        <f>INDEX(Organizations[],MATCH(Main3WData[[#This Row],[Acronym]],AcronymList,0),1)</f>
        <v>United Nations Development Programme</v>
      </c>
      <c r="D460" s="27" t="str">
        <f>INDEX(Organizations[],MATCH(Main3WData[[#This Row],[Acronym]],AcronymList,0),3)</f>
        <v>UN Agency</v>
      </c>
      <c r="E460" s="54" t="s">
        <v>350</v>
      </c>
      <c r="F460" s="53" t="s">
        <v>82</v>
      </c>
      <c r="G460" s="54" t="s">
        <v>408</v>
      </c>
      <c r="H460" s="28" t="str">
        <f>VLOOKUP(Main3WData[[#This Row],[Admin Unit Name]],AdminUnits[],2,FALSE)</f>
        <v>GIN006001</v>
      </c>
      <c r="I460" s="57">
        <v>0</v>
      </c>
      <c r="J460" s="67" t="str">
        <f>Main3WData[[#This Row],[Acronym]]&amp;Main3WData[[#This Row],[Sector]]&amp;Main3WData[[#This Row],[Activity Type]]&amp;Main3WData[[#This Row],[Pcode]]</f>
        <v>UNDPCommunication/Mobilisation socialeOngoingGIN006001</v>
      </c>
      <c r="K460" s="69">
        <f>COUNTIF(Main3WData[Concatenate],Main3WData[[#This Row],[Concatenate]])</f>
        <v>1</v>
      </c>
      <c r="L460" s="61" t="str">
        <f>Main3WData[[#This Row],[Sector]]&amp;Main3WData[[#This Row],[Pcode]]</f>
        <v>Communication/Mobilisation socialeGIN006001</v>
      </c>
      <c r="M460" s="71">
        <f>COUNTIF($L$5:L460,Main3WData[[#This Row],[PT.Concat]])</f>
        <v>3</v>
      </c>
      <c r="N460" s="70">
        <f>MATCH(Main3WData[[#This Row],[PT.Concat]],$L$5:L460,0)</f>
        <v>454</v>
      </c>
      <c r="O460" s="62" t="b">
        <f>Main3WData[[#This Row],[Count PT.Concat]]=1</f>
        <v>0</v>
      </c>
      <c r="P460" s="62">
        <f t="array" ref="P460">MAX(($N$4:N459=Main3WData[[#This Row],[PT.ID]])*ROW($N$4:N459))</f>
        <v>459</v>
      </c>
      <c r="Q460" s="62" t="str">
        <f>IF(Main3WData[[#This Row],[PT.FirstID]],Main3WData[[#This Row],[Acronym]],INDEX($Q$4:Q459,Main3WData[[#This Row],[PT.LastID.Row]]-ROW($Q$4)+1) &amp; ", "&amp;Main3WData[[#This Row],[Acronym]])</f>
        <v>UNICEF, UNFPA, UNDP</v>
      </c>
      <c r="R460" s="62" t="b">
        <f t="array" ref="R460">MAX(IF(Main3WData[PT.ID]=Main3WData[[#This Row],[PT.ID]],Main3WData[PT.LastID.Row]))=Main3WData[[#This Row],[PT.LastID.Row]]</f>
        <v>0</v>
      </c>
    </row>
    <row r="461" spans="2:18" ht="16.5" customHeight="1" x14ac:dyDescent="0.2">
      <c r="B461" s="55" t="s">
        <v>72</v>
      </c>
      <c r="C461" s="27" t="str">
        <f>INDEX(Organizations[],MATCH(Main3WData[[#This Row],[Acronym]],AcronymList,0),1)</f>
        <v>PLAN</v>
      </c>
      <c r="D461" s="27" t="str">
        <f>INDEX(Organizations[],MATCH(Main3WData[[#This Row],[Acronym]],AcronymList,0),3)</f>
        <v>International Organization</v>
      </c>
      <c r="E461" s="54" t="s">
        <v>350</v>
      </c>
      <c r="F461" s="53" t="s">
        <v>82</v>
      </c>
      <c r="G461" s="54" t="s">
        <v>408</v>
      </c>
      <c r="H461" s="28" t="str">
        <f>VLOOKUP(Main3WData[[#This Row],[Admin Unit Name]],AdminUnits[],2,FALSE)</f>
        <v>GIN006001</v>
      </c>
      <c r="I461" s="57">
        <v>0</v>
      </c>
      <c r="J461" s="67" t="str">
        <f>Main3WData[[#This Row],[Acronym]]&amp;Main3WData[[#This Row],[Sector]]&amp;Main3WData[[#This Row],[Activity Type]]&amp;Main3WData[[#This Row],[Pcode]]</f>
        <v>PLANCommunication/Mobilisation socialeOngoingGIN006001</v>
      </c>
      <c r="K461" s="69">
        <f>COUNTIF(Main3WData[Concatenate],Main3WData[[#This Row],[Concatenate]])</f>
        <v>1</v>
      </c>
      <c r="L461" s="61" t="str">
        <f>Main3WData[[#This Row],[Sector]]&amp;Main3WData[[#This Row],[Pcode]]</f>
        <v>Communication/Mobilisation socialeGIN006001</v>
      </c>
      <c r="M461" s="71">
        <f>COUNTIF($L$5:L461,Main3WData[[#This Row],[PT.Concat]])</f>
        <v>4</v>
      </c>
      <c r="N461" s="70">
        <f>MATCH(Main3WData[[#This Row],[PT.Concat]],$L$5:L461,0)</f>
        <v>454</v>
      </c>
      <c r="O461" s="62" t="b">
        <f>Main3WData[[#This Row],[Count PT.Concat]]=1</f>
        <v>0</v>
      </c>
      <c r="P461" s="62">
        <f t="array" ref="P461">MAX(($N$4:N460=Main3WData[[#This Row],[PT.ID]])*ROW($N$4:N460))</f>
        <v>460</v>
      </c>
      <c r="Q461" s="62" t="str">
        <f>IF(Main3WData[[#This Row],[PT.FirstID]],Main3WData[[#This Row],[Acronym]],INDEX($Q$4:Q460,Main3WData[[#This Row],[PT.LastID.Row]]-ROW($Q$4)+1) &amp; ", "&amp;Main3WData[[#This Row],[Acronym]])</f>
        <v>UNICEF, UNFPA, UNDP, PLAN</v>
      </c>
      <c r="R461" s="62" t="b">
        <f t="array" ref="R461">MAX(IF(Main3WData[PT.ID]=Main3WData[[#This Row],[PT.ID]],Main3WData[PT.LastID.Row]))=Main3WData[[#This Row],[PT.LastID.Row]]</f>
        <v>0</v>
      </c>
    </row>
    <row r="462" spans="2:18" ht="16.5" customHeight="1" x14ac:dyDescent="0.2">
      <c r="B462" s="55" t="s">
        <v>512</v>
      </c>
      <c r="C462" s="27" t="str">
        <f>INDEX(Organizations[],MATCH(Main3WData[[#This Row],[Acronym]],AcronymList,0),1)</f>
        <v>World Health Organization</v>
      </c>
      <c r="D462" s="27" t="str">
        <f>INDEX(Organizations[],MATCH(Main3WData[[#This Row],[Acronym]],AcronymList,0),3)</f>
        <v>UN Agency</v>
      </c>
      <c r="E462" s="54" t="s">
        <v>350</v>
      </c>
      <c r="F462" s="53" t="s">
        <v>82</v>
      </c>
      <c r="G462" s="54" t="s">
        <v>408</v>
      </c>
      <c r="H462" s="28" t="str">
        <f>VLOOKUP(Main3WData[[#This Row],[Admin Unit Name]],AdminUnits[],2,FALSE)</f>
        <v>GIN006001</v>
      </c>
      <c r="I462" s="57">
        <v>0</v>
      </c>
      <c r="J462" s="67" t="str">
        <f>Main3WData[[#This Row],[Acronym]]&amp;Main3WData[[#This Row],[Sector]]&amp;Main3WData[[#This Row],[Activity Type]]&amp;Main3WData[[#This Row],[Pcode]]</f>
        <v>OMSCommunication/Mobilisation socialeOngoingGIN006001</v>
      </c>
      <c r="K462" s="69">
        <f>COUNTIF(Main3WData[Concatenate],Main3WData[[#This Row],[Concatenate]])</f>
        <v>1</v>
      </c>
      <c r="L462" s="61" t="str">
        <f>Main3WData[[#This Row],[Sector]]&amp;Main3WData[[#This Row],[Pcode]]</f>
        <v>Communication/Mobilisation socialeGIN006001</v>
      </c>
      <c r="M462" s="71">
        <f>COUNTIF($L$5:L462,Main3WData[[#This Row],[PT.Concat]])</f>
        <v>5</v>
      </c>
      <c r="N462" s="70">
        <f>MATCH(Main3WData[[#This Row],[PT.Concat]],$L$5:L462,0)</f>
        <v>454</v>
      </c>
      <c r="O462" s="62" t="b">
        <f>Main3WData[[#This Row],[Count PT.Concat]]=1</f>
        <v>0</v>
      </c>
      <c r="P462" s="62">
        <f t="array" ref="P462">MAX(($N$4:N461=Main3WData[[#This Row],[PT.ID]])*ROW($N$4:N461))</f>
        <v>461</v>
      </c>
      <c r="Q462" s="62" t="str">
        <f>IF(Main3WData[[#This Row],[PT.FirstID]],Main3WData[[#This Row],[Acronym]],INDEX($Q$4:Q461,Main3WData[[#This Row],[PT.LastID.Row]]-ROW($Q$4)+1) &amp; ", "&amp;Main3WData[[#This Row],[Acronym]])</f>
        <v>UNICEF, UNFPA, UNDP, PLAN, OMS</v>
      </c>
      <c r="R462" s="62" t="b">
        <f t="array" ref="R462">MAX(IF(Main3WData[PT.ID]=Main3WData[[#This Row],[PT.ID]],Main3WData[PT.LastID.Row]))=Main3WData[[#This Row],[PT.LastID.Row]]</f>
        <v>1</v>
      </c>
    </row>
    <row r="463" spans="2:18" ht="16.5" customHeight="1" x14ac:dyDescent="0.2">
      <c r="B463" s="55" t="s">
        <v>516</v>
      </c>
      <c r="C463" s="27" t="str">
        <f>INDEX(Organizations[],MATCH(Main3WData[[#This Row],[Acronym]],AcronymList,0),1)</f>
        <v>UNITED NATION MISSION FOR EBOLA  EMERGENCY RESPONSE</v>
      </c>
      <c r="D463" s="27" t="str">
        <f>INDEX(Organizations[],MATCH(Main3WData[[#This Row],[Acronym]],AcronymList,0),3)</f>
        <v>UN Agency</v>
      </c>
      <c r="E463" s="54" t="s">
        <v>360</v>
      </c>
      <c r="F463" s="53" t="s">
        <v>82</v>
      </c>
      <c r="G463" s="54" t="s">
        <v>408</v>
      </c>
      <c r="H463" s="28" t="str">
        <f>VLOOKUP(Main3WData[[#This Row],[Admin Unit Name]],AdminUnits[],2,FALSE)</f>
        <v>GIN006001</v>
      </c>
      <c r="I463" s="57">
        <v>0</v>
      </c>
      <c r="J463" s="67" t="str">
        <f>Main3WData[[#This Row],[Acronym]]&amp;Main3WData[[#This Row],[Sector]]&amp;Main3WData[[#This Row],[Activity Type]]&amp;Main3WData[[#This Row],[Pcode]]</f>
        <v>UNMEERCoordinationOngoingGIN006001</v>
      </c>
      <c r="K463" s="69">
        <f>COUNTIF(Main3WData[Concatenate],Main3WData[[#This Row],[Concatenate]])</f>
        <v>1</v>
      </c>
      <c r="L463" s="61" t="str">
        <f>Main3WData[[#This Row],[Sector]]&amp;Main3WData[[#This Row],[Pcode]]</f>
        <v>CoordinationGIN006001</v>
      </c>
      <c r="M463" s="71">
        <f>COUNTIF($L$5:L463,Main3WData[[#This Row],[PT.Concat]])</f>
        <v>1</v>
      </c>
      <c r="N463" s="70">
        <f>MATCH(Main3WData[[#This Row],[PT.Concat]],$L$5:L463,0)</f>
        <v>459</v>
      </c>
      <c r="O463" s="62" t="b">
        <f>Main3WData[[#This Row],[Count PT.Concat]]=1</f>
        <v>1</v>
      </c>
      <c r="P463" s="62">
        <f t="array" ref="P463">MAX(($N$4:N462=Main3WData[[#This Row],[PT.ID]])*ROW($N$4:N462))</f>
        <v>0</v>
      </c>
      <c r="Q463" s="62" t="str">
        <f>IF(Main3WData[[#This Row],[PT.FirstID]],Main3WData[[#This Row],[Acronym]],INDEX($Q$4:Q462,Main3WData[[#This Row],[PT.LastID.Row]]-ROW($Q$4)+1) &amp; ", "&amp;Main3WData[[#This Row],[Acronym]])</f>
        <v>UNMEER</v>
      </c>
      <c r="R463" s="62" t="b">
        <f t="array" ref="R463">MAX(IF(Main3WData[PT.ID]=Main3WData[[#This Row],[PT.ID]],Main3WData[PT.LastID.Row]))=Main3WData[[#This Row],[PT.LastID.Row]]</f>
        <v>0</v>
      </c>
    </row>
    <row r="464" spans="2:18" ht="16.5" customHeight="1" x14ac:dyDescent="0.2">
      <c r="B464" s="55" t="s">
        <v>75</v>
      </c>
      <c r="C464" s="27" t="str">
        <f>INDEX(Organizations[],MATCH(Main3WData[[#This Row],[Acronym]],AcronymList,0),1)</f>
        <v>United Nations Population Fund</v>
      </c>
      <c r="D464" s="27" t="str">
        <f>INDEX(Organizations[],MATCH(Main3WData[[#This Row],[Acronym]],AcronymList,0),3)</f>
        <v>UN Agency</v>
      </c>
      <c r="E464" s="54" t="s">
        <v>360</v>
      </c>
      <c r="F464" s="53" t="s">
        <v>82</v>
      </c>
      <c r="G464" s="54" t="s">
        <v>408</v>
      </c>
      <c r="H464" s="28" t="str">
        <f>VLOOKUP(Main3WData[[#This Row],[Admin Unit Name]],AdminUnits[],2,FALSE)</f>
        <v>GIN006001</v>
      </c>
      <c r="I464" s="57">
        <v>0</v>
      </c>
      <c r="J464" s="67" t="str">
        <f>Main3WData[[#This Row],[Acronym]]&amp;Main3WData[[#This Row],[Sector]]&amp;Main3WData[[#This Row],[Activity Type]]&amp;Main3WData[[#This Row],[Pcode]]</f>
        <v>UNFPACoordinationOngoingGIN006001</v>
      </c>
      <c r="K464" s="69">
        <f>COUNTIF(Main3WData[Concatenate],Main3WData[[#This Row],[Concatenate]])</f>
        <v>1</v>
      </c>
      <c r="L464" s="61" t="str">
        <f>Main3WData[[#This Row],[Sector]]&amp;Main3WData[[#This Row],[Pcode]]</f>
        <v>CoordinationGIN006001</v>
      </c>
      <c r="M464" s="71">
        <f>COUNTIF($L$5:L464,Main3WData[[#This Row],[PT.Concat]])</f>
        <v>2</v>
      </c>
      <c r="N464" s="70">
        <f>MATCH(Main3WData[[#This Row],[PT.Concat]],$L$5:L464,0)</f>
        <v>459</v>
      </c>
      <c r="O464" s="62" t="b">
        <f>Main3WData[[#This Row],[Count PT.Concat]]=1</f>
        <v>0</v>
      </c>
      <c r="P464" s="62">
        <f t="array" ref="P464">MAX(($N$4:N463=Main3WData[[#This Row],[PT.ID]])*ROW($N$4:N463))</f>
        <v>463</v>
      </c>
      <c r="Q464" s="62" t="str">
        <f>IF(Main3WData[[#This Row],[PT.FirstID]],Main3WData[[#This Row],[Acronym]],INDEX($Q$4:Q463,Main3WData[[#This Row],[PT.LastID.Row]]-ROW($Q$4)+1) &amp; ", "&amp;Main3WData[[#This Row],[Acronym]])</f>
        <v>UNMEER, UNFPA</v>
      </c>
      <c r="R464" s="62" t="b">
        <f t="array" ref="R464">MAX(IF(Main3WData[PT.ID]=Main3WData[[#This Row],[PT.ID]],Main3WData[PT.LastID.Row]))=Main3WData[[#This Row],[PT.LastID.Row]]</f>
        <v>0</v>
      </c>
    </row>
    <row r="465" spans="2:18" ht="16.5" customHeight="1" x14ac:dyDescent="0.2">
      <c r="B465" s="55" t="s">
        <v>473</v>
      </c>
      <c r="C465" s="27" t="str">
        <f>INDEX(Organizations[],MATCH(Main3WData[[#This Row],[Acronym]],AcronymList,0),1)</f>
        <v>United Nations Development Programme</v>
      </c>
      <c r="D465" s="27" t="str">
        <f>INDEX(Organizations[],MATCH(Main3WData[[#This Row],[Acronym]],AcronymList,0),3)</f>
        <v>UN Agency</v>
      </c>
      <c r="E465" s="54" t="s">
        <v>360</v>
      </c>
      <c r="F465" s="53" t="s">
        <v>82</v>
      </c>
      <c r="G465" s="54" t="s">
        <v>408</v>
      </c>
      <c r="H465" s="28" t="str">
        <f>VLOOKUP(Main3WData[[#This Row],[Admin Unit Name]],AdminUnits[],2,FALSE)</f>
        <v>GIN006001</v>
      </c>
      <c r="I465" s="57">
        <v>0</v>
      </c>
      <c r="J465" s="67" t="str">
        <f>Main3WData[[#This Row],[Acronym]]&amp;Main3WData[[#This Row],[Sector]]&amp;Main3WData[[#This Row],[Activity Type]]&amp;Main3WData[[#This Row],[Pcode]]</f>
        <v>UNDPCoordinationOngoingGIN006001</v>
      </c>
      <c r="K465" s="69">
        <f>COUNTIF(Main3WData[Concatenate],Main3WData[[#This Row],[Concatenate]])</f>
        <v>1</v>
      </c>
      <c r="L465" s="61" t="str">
        <f>Main3WData[[#This Row],[Sector]]&amp;Main3WData[[#This Row],[Pcode]]</f>
        <v>CoordinationGIN006001</v>
      </c>
      <c r="M465" s="71">
        <f>COUNTIF($L$5:L465,Main3WData[[#This Row],[PT.Concat]])</f>
        <v>3</v>
      </c>
      <c r="N465" s="70">
        <f>MATCH(Main3WData[[#This Row],[PT.Concat]],$L$5:L465,0)</f>
        <v>459</v>
      </c>
      <c r="O465" s="62" t="b">
        <f>Main3WData[[#This Row],[Count PT.Concat]]=1</f>
        <v>0</v>
      </c>
      <c r="P465" s="62">
        <f t="array" ref="P465">MAX(($N$4:N464=Main3WData[[#This Row],[PT.ID]])*ROW($N$4:N464))</f>
        <v>464</v>
      </c>
      <c r="Q465" s="62" t="str">
        <f>IF(Main3WData[[#This Row],[PT.FirstID]],Main3WData[[#This Row],[Acronym]],INDEX($Q$4:Q464,Main3WData[[#This Row],[PT.LastID.Row]]-ROW($Q$4)+1) &amp; ", "&amp;Main3WData[[#This Row],[Acronym]])</f>
        <v>UNMEER, UNFPA, UNDP</v>
      </c>
      <c r="R465" s="62" t="b">
        <f t="array" ref="R465">MAX(IF(Main3WData[PT.ID]=Main3WData[[#This Row],[PT.ID]],Main3WData[PT.LastID.Row]))=Main3WData[[#This Row],[PT.LastID.Row]]</f>
        <v>0</v>
      </c>
    </row>
    <row r="466" spans="2:18" ht="16.5" customHeight="1" x14ac:dyDescent="0.2">
      <c r="B466" s="55" t="s">
        <v>512</v>
      </c>
      <c r="C466" s="27" t="str">
        <f>INDEX(Organizations[],MATCH(Main3WData[[#This Row],[Acronym]],AcronymList,0),1)</f>
        <v>World Health Organization</v>
      </c>
      <c r="D466" s="27" t="str">
        <f>INDEX(Organizations[],MATCH(Main3WData[[#This Row],[Acronym]],AcronymList,0),3)</f>
        <v>UN Agency</v>
      </c>
      <c r="E466" s="54" t="s">
        <v>360</v>
      </c>
      <c r="F466" s="53" t="s">
        <v>82</v>
      </c>
      <c r="G466" s="54" t="s">
        <v>408</v>
      </c>
      <c r="H466" s="28" t="str">
        <f>VLOOKUP(Main3WData[[#This Row],[Admin Unit Name]],AdminUnits[],2,FALSE)</f>
        <v>GIN006001</v>
      </c>
      <c r="I466" s="57">
        <v>0</v>
      </c>
      <c r="J466" s="67" t="str">
        <f>Main3WData[[#This Row],[Acronym]]&amp;Main3WData[[#This Row],[Sector]]&amp;Main3WData[[#This Row],[Activity Type]]&amp;Main3WData[[#This Row],[Pcode]]</f>
        <v>OMSCoordinationOngoingGIN006001</v>
      </c>
      <c r="K466" s="69">
        <f>COUNTIF(Main3WData[Concatenate],Main3WData[[#This Row],[Concatenate]])</f>
        <v>1</v>
      </c>
      <c r="L466" s="61" t="str">
        <f>Main3WData[[#This Row],[Sector]]&amp;Main3WData[[#This Row],[Pcode]]</f>
        <v>CoordinationGIN006001</v>
      </c>
      <c r="M466" s="71">
        <f>COUNTIF($L$5:L466,Main3WData[[#This Row],[PT.Concat]])</f>
        <v>4</v>
      </c>
      <c r="N466" s="70">
        <f>MATCH(Main3WData[[#This Row],[PT.Concat]],$L$5:L466,0)</f>
        <v>459</v>
      </c>
      <c r="O466" s="62" t="b">
        <f>Main3WData[[#This Row],[Count PT.Concat]]=1</f>
        <v>0</v>
      </c>
      <c r="P466" s="62">
        <f t="array" ref="P466">MAX(($N$4:N465=Main3WData[[#This Row],[PT.ID]])*ROW($N$4:N465))</f>
        <v>465</v>
      </c>
      <c r="Q466" s="62" t="str">
        <f>IF(Main3WData[[#This Row],[PT.FirstID]],Main3WData[[#This Row],[Acronym]],INDEX($Q$4:Q465,Main3WData[[#This Row],[PT.LastID.Row]]-ROW($Q$4)+1) &amp; ", "&amp;Main3WData[[#This Row],[Acronym]])</f>
        <v>UNMEER, UNFPA, UNDP, OMS</v>
      </c>
      <c r="R466" s="62" t="b">
        <f t="array" ref="R466">MAX(IF(Main3WData[PT.ID]=Main3WData[[#This Row],[PT.ID]],Main3WData[PT.LastID.Row]))=Main3WData[[#This Row],[PT.LastID.Row]]</f>
        <v>0</v>
      </c>
    </row>
    <row r="467" spans="2:18" ht="16.5" customHeight="1" x14ac:dyDescent="0.2">
      <c r="B467" s="55" t="s">
        <v>71</v>
      </c>
      <c r="C467" s="27" t="str">
        <f>INDEX(Organizations[],MATCH(Main3WData[[#This Row],[Acronym]],AcronymList,0),1)</f>
        <v>Medecins sans Frontieres</v>
      </c>
      <c r="D467" s="27" t="str">
        <f>INDEX(Organizations[],MATCH(Main3WData[[#This Row],[Acronym]],AcronymList,0),3)</f>
        <v>International NGO</v>
      </c>
      <c r="E467" s="54" t="s">
        <v>360</v>
      </c>
      <c r="F467" s="53" t="s">
        <v>82</v>
      </c>
      <c r="G467" s="54" t="s">
        <v>408</v>
      </c>
      <c r="H467" s="28" t="str">
        <f>VLOOKUP(Main3WData[[#This Row],[Admin Unit Name]],AdminUnits[],2,FALSE)</f>
        <v>GIN006001</v>
      </c>
      <c r="I467" s="57">
        <v>0</v>
      </c>
      <c r="J467" s="67" t="str">
        <f>Main3WData[[#This Row],[Acronym]]&amp;Main3WData[[#This Row],[Sector]]&amp;Main3WData[[#This Row],[Activity Type]]&amp;Main3WData[[#This Row],[Pcode]]</f>
        <v>MSFCoordinationOngoingGIN006001</v>
      </c>
      <c r="K467" s="69">
        <f>COUNTIF(Main3WData[Concatenate],Main3WData[[#This Row],[Concatenate]])</f>
        <v>1</v>
      </c>
      <c r="L467" s="61" t="str">
        <f>Main3WData[[#This Row],[Sector]]&amp;Main3WData[[#This Row],[Pcode]]</f>
        <v>CoordinationGIN006001</v>
      </c>
      <c r="M467" s="71">
        <f>COUNTIF($L$5:L467,Main3WData[[#This Row],[PT.Concat]])</f>
        <v>5</v>
      </c>
      <c r="N467" s="70">
        <f>MATCH(Main3WData[[#This Row],[PT.Concat]],$L$5:L467,0)</f>
        <v>459</v>
      </c>
      <c r="O467" s="62" t="b">
        <f>Main3WData[[#This Row],[Count PT.Concat]]=1</f>
        <v>0</v>
      </c>
      <c r="P467" s="62">
        <f t="array" ref="P467">MAX(($N$4:N466=Main3WData[[#This Row],[PT.ID]])*ROW($N$4:N466))</f>
        <v>466</v>
      </c>
      <c r="Q467" s="62" t="str">
        <f>IF(Main3WData[[#This Row],[PT.FirstID]],Main3WData[[#This Row],[Acronym]],INDEX($Q$4:Q466,Main3WData[[#This Row],[PT.LastID.Row]]-ROW($Q$4)+1) &amp; ", "&amp;Main3WData[[#This Row],[Acronym]])</f>
        <v>UNMEER, UNFPA, UNDP, OMS, MSF</v>
      </c>
      <c r="R467" s="62" t="b">
        <f t="array" ref="R467">MAX(IF(Main3WData[PT.ID]=Main3WData[[#This Row],[PT.ID]],Main3WData[PT.LastID.Row]))=Main3WData[[#This Row],[PT.LastID.Row]]</f>
        <v>0</v>
      </c>
    </row>
    <row r="468" spans="2:18" ht="16.5" customHeight="1" x14ac:dyDescent="0.2">
      <c r="B468" s="55" t="s">
        <v>507</v>
      </c>
      <c r="C468" s="27" t="str">
        <f>INDEX(Organizations[],MATCH(Main3WData[[#This Row],[Acronym]],AcronymList,0),1)</f>
        <v>eHealth Africa</v>
      </c>
      <c r="D468" s="27" t="str">
        <f>INDEX(Organizations[],MATCH(Main3WData[[#This Row],[Acronym]],AcronymList,0),3)</f>
        <v>International Organization</v>
      </c>
      <c r="E468" s="54" t="s">
        <v>360</v>
      </c>
      <c r="F468" s="53" t="s">
        <v>82</v>
      </c>
      <c r="G468" s="54" t="s">
        <v>408</v>
      </c>
      <c r="H468" s="28" t="str">
        <f>VLOOKUP(Main3WData[[#This Row],[Admin Unit Name]],AdminUnits[],2,FALSE)</f>
        <v>GIN006001</v>
      </c>
      <c r="I468" s="57">
        <v>0</v>
      </c>
      <c r="J468" s="67" t="str">
        <f>Main3WData[[#This Row],[Acronym]]&amp;Main3WData[[#This Row],[Sector]]&amp;Main3WData[[#This Row],[Activity Type]]&amp;Main3WData[[#This Row],[Pcode]]</f>
        <v>eHealth AfricaCoordinationOngoingGIN006001</v>
      </c>
      <c r="K468" s="69">
        <f>COUNTIF(Main3WData[Concatenate],Main3WData[[#This Row],[Concatenate]])</f>
        <v>1</v>
      </c>
      <c r="L468" s="61" t="str">
        <f>Main3WData[[#This Row],[Sector]]&amp;Main3WData[[#This Row],[Pcode]]</f>
        <v>CoordinationGIN006001</v>
      </c>
      <c r="M468" s="71">
        <f>COUNTIF($L$5:L468,Main3WData[[#This Row],[PT.Concat]])</f>
        <v>6</v>
      </c>
      <c r="N468" s="70">
        <f>MATCH(Main3WData[[#This Row],[PT.Concat]],$L$5:L468,0)</f>
        <v>459</v>
      </c>
      <c r="O468" s="62" t="b">
        <f>Main3WData[[#This Row],[Count PT.Concat]]=1</f>
        <v>0</v>
      </c>
      <c r="P468" s="62">
        <f t="array" ref="P468">MAX(($N$4:N467=Main3WData[[#This Row],[PT.ID]])*ROW($N$4:N467))</f>
        <v>467</v>
      </c>
      <c r="Q468" s="62" t="str">
        <f>IF(Main3WData[[#This Row],[PT.FirstID]],Main3WData[[#This Row],[Acronym]],INDEX($Q$4:Q467,Main3WData[[#This Row],[PT.LastID.Row]]-ROW($Q$4)+1) &amp; ", "&amp;Main3WData[[#This Row],[Acronym]])</f>
        <v>UNMEER, UNFPA, UNDP, OMS, MSF, eHealth Africa</v>
      </c>
      <c r="R468" s="62" t="b">
        <f t="array" ref="R468">MAX(IF(Main3WData[PT.ID]=Main3WData[[#This Row],[PT.ID]],Main3WData[PT.LastID.Row]))=Main3WData[[#This Row],[PT.LastID.Row]]</f>
        <v>1</v>
      </c>
    </row>
    <row r="469" spans="2:18" s="1" customFormat="1" ht="16.5" customHeight="1" x14ac:dyDescent="0.2">
      <c r="B469" s="55" t="s">
        <v>473</v>
      </c>
      <c r="C469" s="27" t="str">
        <f>INDEX(Organizations[],MATCH(Main3WData[[#This Row],[Acronym]],AcronymList,0),1)</f>
        <v>United Nations Development Programme</v>
      </c>
      <c r="D469" s="27" t="str">
        <f>INDEX(Organizations[],MATCH(Main3WData[[#This Row],[Acronym]],AcronymList,0),3)</f>
        <v>UN Agency</v>
      </c>
      <c r="E469" s="54" t="s">
        <v>359</v>
      </c>
      <c r="F469" s="53" t="s">
        <v>82</v>
      </c>
      <c r="G469" s="54" t="s">
        <v>408</v>
      </c>
      <c r="H469" s="28" t="str">
        <f>VLOOKUP(Main3WData[[#This Row],[Admin Unit Name]],AdminUnits[],2,FALSE)</f>
        <v>GIN006001</v>
      </c>
      <c r="I469" s="57">
        <v>0</v>
      </c>
      <c r="J469" s="67" t="str">
        <f>Main3WData[[#This Row],[Acronym]]&amp;Main3WData[[#This Row],[Sector]]&amp;Main3WData[[#This Row],[Activity Type]]&amp;Main3WData[[#This Row],[Pcode]]</f>
        <v>UNDPFinanceOngoingGIN006001</v>
      </c>
      <c r="K469" s="69">
        <f>COUNTIF(Main3WData[Concatenate],Main3WData[[#This Row],[Concatenate]])</f>
        <v>1</v>
      </c>
      <c r="L469" s="61" t="str">
        <f>Main3WData[[#This Row],[Sector]]&amp;Main3WData[[#This Row],[Pcode]]</f>
        <v>FinanceGIN006001</v>
      </c>
      <c r="M469" s="71">
        <f>COUNTIF($L$5:L469,Main3WData[[#This Row],[PT.Concat]])</f>
        <v>1</v>
      </c>
      <c r="N469" s="70">
        <f>MATCH(Main3WData[[#This Row],[PT.Concat]],$L$5:L469,0)</f>
        <v>465</v>
      </c>
      <c r="O469" s="62" t="b">
        <f>Main3WData[[#This Row],[Count PT.Concat]]=1</f>
        <v>1</v>
      </c>
      <c r="P469" s="62">
        <f t="array" ref="P469">MAX(($N$4:N468=Main3WData[[#This Row],[PT.ID]])*ROW($N$4:N468))</f>
        <v>0</v>
      </c>
      <c r="Q469" s="62" t="str">
        <f>IF(Main3WData[[#This Row],[PT.FirstID]],Main3WData[[#This Row],[Acronym]],INDEX($Q$4:Q468,Main3WData[[#This Row],[PT.LastID.Row]]-ROW($Q$4)+1) &amp; ", "&amp;Main3WData[[#This Row],[Acronym]])</f>
        <v>UNDP</v>
      </c>
      <c r="R469" s="62" t="b">
        <f t="array" ref="R469">MAX(IF(Main3WData[PT.ID]=Main3WData[[#This Row],[PT.ID]],Main3WData[PT.LastID.Row]))=Main3WData[[#This Row],[PT.LastID.Row]]</f>
        <v>1</v>
      </c>
    </row>
    <row r="470" spans="2:18" s="1" customFormat="1" ht="16.5" customHeight="1" x14ac:dyDescent="0.2">
      <c r="B470" s="55" t="s">
        <v>451</v>
      </c>
      <c r="C470" s="27" t="str">
        <f>INDEX(Organizations[],MATCH(Main3WData[[#This Row],[Acronym]],AcronymList,0),1)</f>
        <v>Croix-Rouge Guinée</v>
      </c>
      <c r="D470" s="27" t="str">
        <f>INDEX(Organizations[],MATCH(Main3WData[[#This Row],[Acronym]],AcronymList,0),3)</f>
        <v>Red Cross Movement</v>
      </c>
      <c r="E470" s="54" t="s">
        <v>354</v>
      </c>
      <c r="F470" s="53" t="s">
        <v>82</v>
      </c>
      <c r="G470" s="54" t="s">
        <v>408</v>
      </c>
      <c r="H470" s="28" t="str">
        <f>VLOOKUP(Main3WData[[#This Row],[Admin Unit Name]],AdminUnits[],2,FALSE)</f>
        <v>GIN006001</v>
      </c>
      <c r="I470" s="57">
        <v>0</v>
      </c>
      <c r="J470" s="67" t="str">
        <f>Main3WData[[#This Row],[Acronym]]&amp;Main3WData[[#This Row],[Sector]]&amp;Main3WData[[#This Row],[Activity Type]]&amp;Main3WData[[#This Row],[Pcode]]</f>
        <v>CRGGestion des corps et desinfectionOngoingGIN006001</v>
      </c>
      <c r="K470" s="69">
        <f>COUNTIF(Main3WData[Concatenate],Main3WData[[#This Row],[Concatenate]])</f>
        <v>1</v>
      </c>
      <c r="L470" s="61" t="str">
        <f>Main3WData[[#This Row],[Sector]]&amp;Main3WData[[#This Row],[Pcode]]</f>
        <v>Gestion des corps et desinfectionGIN006001</v>
      </c>
      <c r="M470" s="71">
        <f>COUNTIF($L$5:L470,Main3WData[[#This Row],[PT.Concat]])</f>
        <v>1</v>
      </c>
      <c r="N470" s="70">
        <f>MATCH(Main3WData[[#This Row],[PT.Concat]],$L$5:L470,0)</f>
        <v>466</v>
      </c>
      <c r="O470" s="62" t="b">
        <f>Main3WData[[#This Row],[Count PT.Concat]]=1</f>
        <v>1</v>
      </c>
      <c r="P470" s="62">
        <f t="array" ref="P470">MAX(($N$4:N469=Main3WData[[#This Row],[PT.ID]])*ROW($N$4:N469))</f>
        <v>0</v>
      </c>
      <c r="Q470" s="62" t="str">
        <f>IF(Main3WData[[#This Row],[PT.FirstID]],Main3WData[[#This Row],[Acronym]],INDEX($Q$4:Q469,Main3WData[[#This Row],[PT.LastID.Row]]-ROW($Q$4)+1) &amp; ", "&amp;Main3WData[[#This Row],[Acronym]])</f>
        <v>CRG</v>
      </c>
      <c r="R470" s="62" t="b">
        <f t="array" ref="R470">MAX(IF(Main3WData[PT.ID]=Main3WData[[#This Row],[PT.ID]],Main3WData[PT.LastID.Row]))=Main3WData[[#This Row],[PT.LastID.Row]]</f>
        <v>1</v>
      </c>
    </row>
    <row r="471" spans="2:18" s="1" customFormat="1" ht="16.5" customHeight="1" x14ac:dyDescent="0.2">
      <c r="B471" s="55" t="s">
        <v>516</v>
      </c>
      <c r="C471" s="27" t="str">
        <f>INDEX(Organizations[],MATCH(Main3WData[[#This Row],[Acronym]],AcronymList,0),1)</f>
        <v>UNITED NATION MISSION FOR EBOLA  EMERGENCY RESPONSE</v>
      </c>
      <c r="D471" s="27" t="str">
        <f>INDEX(Organizations[],MATCH(Main3WData[[#This Row],[Acronym]],AcronymList,0),3)</f>
        <v>UN Agency</v>
      </c>
      <c r="E471" s="54" t="s">
        <v>356</v>
      </c>
      <c r="F471" s="53" t="s">
        <v>82</v>
      </c>
      <c r="G471" s="54" t="s">
        <v>408</v>
      </c>
      <c r="H471" s="28" t="str">
        <f>VLOOKUP(Main3WData[[#This Row],[Admin Unit Name]],AdminUnits[],2,FALSE)</f>
        <v>GIN006001</v>
      </c>
      <c r="I471" s="57">
        <v>0</v>
      </c>
      <c r="J471" s="67" t="str">
        <f>Main3WData[[#This Row],[Acronym]]&amp;Main3WData[[#This Row],[Sector]]&amp;Main3WData[[#This Row],[Activity Type]]&amp;Main3WData[[#This Row],[Pcode]]</f>
        <v>UNMEERGestion des donnéesOngoingGIN006001</v>
      </c>
      <c r="K471" s="69">
        <f>COUNTIF(Main3WData[Concatenate],Main3WData[[#This Row],[Concatenate]])</f>
        <v>1</v>
      </c>
      <c r="L471" s="61" t="str">
        <f>Main3WData[[#This Row],[Sector]]&amp;Main3WData[[#This Row],[Pcode]]</f>
        <v>Gestion des donnéesGIN006001</v>
      </c>
      <c r="M471" s="71">
        <f>COUNTIF($L$5:L471,Main3WData[[#This Row],[PT.Concat]])</f>
        <v>1</v>
      </c>
      <c r="N471" s="70">
        <f>MATCH(Main3WData[[#This Row],[PT.Concat]],$L$5:L471,0)</f>
        <v>467</v>
      </c>
      <c r="O471" s="62" t="b">
        <f>Main3WData[[#This Row],[Count PT.Concat]]=1</f>
        <v>1</v>
      </c>
      <c r="P471" s="62">
        <f t="array" ref="P471">MAX(($N$4:N470=Main3WData[[#This Row],[PT.ID]])*ROW($N$4:N470))</f>
        <v>0</v>
      </c>
      <c r="Q471" s="62" t="str">
        <f>IF(Main3WData[[#This Row],[PT.FirstID]],Main3WData[[#This Row],[Acronym]],INDEX($Q$4:Q470,Main3WData[[#This Row],[PT.LastID.Row]]-ROW($Q$4)+1) &amp; ", "&amp;Main3WData[[#This Row],[Acronym]])</f>
        <v>UNMEER</v>
      </c>
      <c r="R471" s="62" t="b">
        <f t="array" ref="R471">MAX(IF(Main3WData[PT.ID]=Main3WData[[#This Row],[PT.ID]],Main3WData[PT.LastID.Row]))=Main3WData[[#This Row],[PT.LastID.Row]]</f>
        <v>0</v>
      </c>
    </row>
    <row r="472" spans="2:18" s="1" customFormat="1" ht="16.5" customHeight="1" x14ac:dyDescent="0.2">
      <c r="B472" s="55" t="s">
        <v>512</v>
      </c>
      <c r="C472" s="27" t="str">
        <f>INDEX(Organizations[],MATCH(Main3WData[[#This Row],[Acronym]],AcronymList,0),1)</f>
        <v>World Health Organization</v>
      </c>
      <c r="D472" s="27" t="str">
        <f>INDEX(Organizations[],MATCH(Main3WData[[#This Row],[Acronym]],AcronymList,0),3)</f>
        <v>UN Agency</v>
      </c>
      <c r="E472" s="54" t="s">
        <v>356</v>
      </c>
      <c r="F472" s="53" t="s">
        <v>82</v>
      </c>
      <c r="G472" s="54" t="s">
        <v>408</v>
      </c>
      <c r="H472" s="28" t="str">
        <f>VLOOKUP(Main3WData[[#This Row],[Admin Unit Name]],AdminUnits[],2,FALSE)</f>
        <v>GIN006001</v>
      </c>
      <c r="I472" s="57">
        <v>0</v>
      </c>
      <c r="J472" s="67" t="str">
        <f>Main3WData[[#This Row],[Acronym]]&amp;Main3WData[[#This Row],[Sector]]&amp;Main3WData[[#This Row],[Activity Type]]&amp;Main3WData[[#This Row],[Pcode]]</f>
        <v>OMSGestion des donnéesOngoingGIN006001</v>
      </c>
      <c r="K472" s="69">
        <f>COUNTIF(Main3WData[Concatenate],Main3WData[[#This Row],[Concatenate]])</f>
        <v>1</v>
      </c>
      <c r="L472" s="61" t="str">
        <f>Main3WData[[#This Row],[Sector]]&amp;Main3WData[[#This Row],[Pcode]]</f>
        <v>Gestion des donnéesGIN006001</v>
      </c>
      <c r="M472" s="71">
        <f>COUNTIF($L$5:L472,Main3WData[[#This Row],[PT.Concat]])</f>
        <v>2</v>
      </c>
      <c r="N472" s="70">
        <f>MATCH(Main3WData[[#This Row],[PT.Concat]],$L$5:L472,0)</f>
        <v>467</v>
      </c>
      <c r="O472" s="62" t="b">
        <f>Main3WData[[#This Row],[Count PT.Concat]]=1</f>
        <v>0</v>
      </c>
      <c r="P472" s="62">
        <f t="array" ref="P472">MAX(($N$4:N471=Main3WData[[#This Row],[PT.ID]])*ROW($N$4:N471))</f>
        <v>471</v>
      </c>
      <c r="Q472" s="62" t="str">
        <f>IF(Main3WData[[#This Row],[PT.FirstID]],Main3WData[[#This Row],[Acronym]],INDEX($Q$4:Q471,Main3WData[[#This Row],[PT.LastID.Row]]-ROW($Q$4)+1) &amp; ", "&amp;Main3WData[[#This Row],[Acronym]])</f>
        <v>UNMEER, OMS</v>
      </c>
      <c r="R472" s="62" t="b">
        <f t="array" ref="R472">MAX(IF(Main3WData[PT.ID]=Main3WData[[#This Row],[PT.ID]],Main3WData[PT.LastID.Row]))=Main3WData[[#This Row],[PT.LastID.Row]]</f>
        <v>1</v>
      </c>
    </row>
    <row r="473" spans="2:18" s="1" customFormat="1" ht="16.5" customHeight="1" x14ac:dyDescent="0.2">
      <c r="B473" s="55" t="s">
        <v>512</v>
      </c>
      <c r="C473" s="27" t="str">
        <f>INDEX(Organizations[],MATCH(Main3WData[[#This Row],[Acronym]],AcronymList,0),1)</f>
        <v>World Health Organization</v>
      </c>
      <c r="D473" s="27" t="str">
        <f>INDEX(Organizations[],MATCH(Main3WData[[#This Row],[Acronym]],AcronymList,0),3)</f>
        <v>UN Agency</v>
      </c>
      <c r="E473" s="54" t="s">
        <v>351</v>
      </c>
      <c r="F473" s="53" t="s">
        <v>82</v>
      </c>
      <c r="G473" s="54" t="s">
        <v>408</v>
      </c>
      <c r="H473" s="28" t="str">
        <f>VLOOKUP(Main3WData[[#This Row],[Admin Unit Name]],AdminUnits[],2,FALSE)</f>
        <v>GIN006001</v>
      </c>
      <c r="I473" s="57">
        <v>0</v>
      </c>
      <c r="J473" s="67" t="str">
        <f>Main3WData[[#This Row],[Acronym]]&amp;Main3WData[[#This Row],[Sector]]&amp;Main3WData[[#This Row],[Activity Type]]&amp;Main3WData[[#This Row],[Pcode]]</f>
        <v>OMSSurveillance &amp; suiviOngoingGIN006001</v>
      </c>
      <c r="K473" s="69">
        <f>COUNTIF(Main3WData[Concatenate],Main3WData[[#This Row],[Concatenate]])</f>
        <v>1</v>
      </c>
      <c r="L473" s="61" t="str">
        <f>Main3WData[[#This Row],[Sector]]&amp;Main3WData[[#This Row],[Pcode]]</f>
        <v>Surveillance &amp; suiviGIN006001</v>
      </c>
      <c r="M473" s="71">
        <f>COUNTIF($L$5:L473,Main3WData[[#This Row],[PT.Concat]])</f>
        <v>1</v>
      </c>
      <c r="N473" s="70">
        <f>MATCH(Main3WData[[#This Row],[PT.Concat]],$L$5:L473,0)</f>
        <v>469</v>
      </c>
      <c r="O473" s="62" t="b">
        <f>Main3WData[[#This Row],[Count PT.Concat]]=1</f>
        <v>1</v>
      </c>
      <c r="P473" s="62">
        <f t="array" ref="P473">MAX(($N$4:N472=Main3WData[[#This Row],[PT.ID]])*ROW($N$4:N472))</f>
        <v>0</v>
      </c>
      <c r="Q473" s="62" t="str">
        <f>IF(Main3WData[[#This Row],[PT.FirstID]],Main3WData[[#This Row],[Acronym]],INDEX($Q$4:Q472,Main3WData[[#This Row],[PT.LastID.Row]]-ROW($Q$4)+1) &amp; ", "&amp;Main3WData[[#This Row],[Acronym]])</f>
        <v>OMS</v>
      </c>
      <c r="R473" s="62" t="b">
        <f t="array" ref="R473">MAX(IF(Main3WData[PT.ID]=Main3WData[[#This Row],[PT.ID]],Main3WData[PT.LastID.Row]))=Main3WData[[#This Row],[PT.LastID.Row]]</f>
        <v>0</v>
      </c>
    </row>
    <row r="474" spans="2:18" s="1" customFormat="1" ht="16.5" customHeight="1" x14ac:dyDescent="0.2">
      <c r="B474" s="55" t="s">
        <v>64</v>
      </c>
      <c r="C474" s="27" t="str">
        <f>INDEX(Organizations[],MATCH(Main3WData[[#This Row],[Acronym]],AcronymList,0),1)</f>
        <v>CDC</v>
      </c>
      <c r="D474" s="27" t="str">
        <f>INDEX(Organizations[],MATCH(Main3WData[[#This Row],[Acronym]],AcronymList,0),3)</f>
        <v>International NGO</v>
      </c>
      <c r="E474" s="54" t="s">
        <v>351</v>
      </c>
      <c r="F474" s="53" t="s">
        <v>82</v>
      </c>
      <c r="G474" s="54" t="s">
        <v>408</v>
      </c>
      <c r="H474" s="28" t="str">
        <f>VLOOKUP(Main3WData[[#This Row],[Admin Unit Name]],AdminUnits[],2,FALSE)</f>
        <v>GIN006001</v>
      </c>
      <c r="I474" s="57">
        <v>0</v>
      </c>
      <c r="J474" s="67" t="str">
        <f>Main3WData[[#This Row],[Acronym]]&amp;Main3WData[[#This Row],[Sector]]&amp;Main3WData[[#This Row],[Activity Type]]&amp;Main3WData[[#This Row],[Pcode]]</f>
        <v>CDCSurveillance &amp; suiviOngoingGIN006001</v>
      </c>
      <c r="K474" s="69">
        <f>COUNTIF(Main3WData[Concatenate],Main3WData[[#This Row],[Concatenate]])</f>
        <v>1</v>
      </c>
      <c r="L474" s="61" t="str">
        <f>Main3WData[[#This Row],[Sector]]&amp;Main3WData[[#This Row],[Pcode]]</f>
        <v>Surveillance &amp; suiviGIN006001</v>
      </c>
      <c r="M474" s="71">
        <f>COUNTIF($L$5:L474,Main3WData[[#This Row],[PT.Concat]])</f>
        <v>2</v>
      </c>
      <c r="N474" s="70">
        <f>MATCH(Main3WData[[#This Row],[PT.Concat]],$L$5:L474,0)</f>
        <v>469</v>
      </c>
      <c r="O474" s="62" t="b">
        <f>Main3WData[[#This Row],[Count PT.Concat]]=1</f>
        <v>0</v>
      </c>
      <c r="P474" s="62">
        <f t="array" ref="P474">MAX(($N$4:N473=Main3WData[[#This Row],[PT.ID]])*ROW($N$4:N473))</f>
        <v>473</v>
      </c>
      <c r="Q474" s="62" t="str">
        <f>IF(Main3WData[[#This Row],[PT.FirstID]],Main3WData[[#This Row],[Acronym]],INDEX($Q$4:Q473,Main3WData[[#This Row],[PT.LastID.Row]]-ROW($Q$4)+1) &amp; ", "&amp;Main3WData[[#This Row],[Acronym]])</f>
        <v>OMS, CDC</v>
      </c>
      <c r="R474" s="62" t="b">
        <f t="array" ref="R474">MAX(IF(Main3WData[PT.ID]=Main3WData[[#This Row],[PT.ID]],Main3WData[PT.LastID.Row]))=Main3WData[[#This Row],[PT.LastID.Row]]</f>
        <v>1</v>
      </c>
    </row>
    <row r="475" spans="2:18" s="1" customFormat="1" ht="16.5" customHeight="1" x14ac:dyDescent="0.2">
      <c r="B475" s="55" t="s">
        <v>77</v>
      </c>
      <c r="C475" s="27" t="str">
        <f>INDEX(Organizations[],MATCH(Main3WData[[#This Row],[Acronym]],AcronymList,0),1)</f>
        <v>United Nations Children's Fund</v>
      </c>
      <c r="D475" s="27" t="str">
        <f>INDEX(Organizations[],MATCH(Main3WData[[#This Row],[Acronym]],AcronymList,0),3)</f>
        <v>UN Agency</v>
      </c>
      <c r="E475" s="54" t="s">
        <v>350</v>
      </c>
      <c r="F475" s="53" t="s">
        <v>82</v>
      </c>
      <c r="G475" s="54" t="s">
        <v>374</v>
      </c>
      <c r="H475" s="28" t="str">
        <f>VLOOKUP(Main3WData[[#This Row],[Admin Unit Name]],AdminUnits[],2,FALSE)</f>
        <v>GIN001004</v>
      </c>
      <c r="I475" s="57">
        <v>0</v>
      </c>
      <c r="J475" s="67" t="str">
        <f>Main3WData[[#This Row],[Acronym]]&amp;Main3WData[[#This Row],[Sector]]&amp;Main3WData[[#This Row],[Activity Type]]&amp;Main3WData[[#This Row],[Pcode]]</f>
        <v>UNICEFCommunication/Mobilisation socialeOngoingGIN001004</v>
      </c>
      <c r="K475" s="69">
        <f>COUNTIF(Main3WData[Concatenate],Main3WData[[#This Row],[Concatenate]])</f>
        <v>1</v>
      </c>
      <c r="L475" s="61" t="str">
        <f>Main3WData[[#This Row],[Sector]]&amp;Main3WData[[#This Row],[Pcode]]</f>
        <v>Communication/Mobilisation socialeGIN001004</v>
      </c>
      <c r="M475" s="71">
        <f>COUNTIF($L$5:L475,Main3WData[[#This Row],[PT.Concat]])</f>
        <v>1</v>
      </c>
      <c r="N475" s="70">
        <f>MATCH(Main3WData[[#This Row],[PT.Concat]],$L$5:L475,0)</f>
        <v>471</v>
      </c>
      <c r="O475" s="62" t="b">
        <f>Main3WData[[#This Row],[Count PT.Concat]]=1</f>
        <v>1</v>
      </c>
      <c r="P475" s="62">
        <f t="array" ref="P475">MAX(($N$4:N474=Main3WData[[#This Row],[PT.ID]])*ROW($N$4:N474))</f>
        <v>0</v>
      </c>
      <c r="Q475" s="62" t="str">
        <f>IF(Main3WData[[#This Row],[PT.FirstID]],Main3WData[[#This Row],[Acronym]],INDEX($Q$4:Q474,Main3WData[[#This Row],[PT.LastID.Row]]-ROW($Q$4)+1) &amp; ", "&amp;Main3WData[[#This Row],[Acronym]])</f>
        <v>UNICEF</v>
      </c>
      <c r="R475" s="62" t="b">
        <f t="array" ref="R475">MAX(IF(Main3WData[PT.ID]=Main3WData[[#This Row],[PT.ID]],Main3WData[PT.LastID.Row]))=Main3WData[[#This Row],[PT.LastID.Row]]</f>
        <v>0</v>
      </c>
    </row>
    <row r="476" spans="2:18" s="1" customFormat="1" ht="16.5" customHeight="1" x14ac:dyDescent="0.2">
      <c r="B476" s="55" t="s">
        <v>75</v>
      </c>
      <c r="C476" s="27" t="str">
        <f>INDEX(Organizations[],MATCH(Main3WData[[#This Row],[Acronym]],AcronymList,0),1)</f>
        <v>United Nations Population Fund</v>
      </c>
      <c r="D476" s="27" t="str">
        <f>INDEX(Organizations[],MATCH(Main3WData[[#This Row],[Acronym]],AcronymList,0),3)</f>
        <v>UN Agency</v>
      </c>
      <c r="E476" s="54" t="s">
        <v>350</v>
      </c>
      <c r="F476" s="53" t="s">
        <v>82</v>
      </c>
      <c r="G476" s="54" t="s">
        <v>374</v>
      </c>
      <c r="H476" s="28" t="str">
        <f>VLOOKUP(Main3WData[[#This Row],[Admin Unit Name]],AdminUnits[],2,FALSE)</f>
        <v>GIN001004</v>
      </c>
      <c r="I476" s="57">
        <v>0</v>
      </c>
      <c r="J476" s="67" t="str">
        <f>Main3WData[[#This Row],[Acronym]]&amp;Main3WData[[#This Row],[Sector]]&amp;Main3WData[[#This Row],[Activity Type]]&amp;Main3WData[[#This Row],[Pcode]]</f>
        <v>UNFPACommunication/Mobilisation socialeOngoingGIN001004</v>
      </c>
      <c r="K476" s="69">
        <f>COUNTIF(Main3WData[Concatenate],Main3WData[[#This Row],[Concatenate]])</f>
        <v>1</v>
      </c>
      <c r="L476" s="61" t="str">
        <f>Main3WData[[#This Row],[Sector]]&amp;Main3WData[[#This Row],[Pcode]]</f>
        <v>Communication/Mobilisation socialeGIN001004</v>
      </c>
      <c r="M476" s="71">
        <f>COUNTIF($L$5:L476,Main3WData[[#This Row],[PT.Concat]])</f>
        <v>2</v>
      </c>
      <c r="N476" s="70">
        <f>MATCH(Main3WData[[#This Row],[PT.Concat]],$L$5:L476,0)</f>
        <v>471</v>
      </c>
      <c r="O476" s="62" t="b">
        <f>Main3WData[[#This Row],[Count PT.Concat]]=1</f>
        <v>0</v>
      </c>
      <c r="P476" s="62">
        <f t="array" ref="P476">MAX(($N$4:N475=Main3WData[[#This Row],[PT.ID]])*ROW($N$4:N475))</f>
        <v>475</v>
      </c>
      <c r="Q476" s="62" t="str">
        <f>IF(Main3WData[[#This Row],[PT.FirstID]],Main3WData[[#This Row],[Acronym]],INDEX($Q$4:Q475,Main3WData[[#This Row],[PT.LastID.Row]]-ROW($Q$4)+1) &amp; ", "&amp;Main3WData[[#This Row],[Acronym]])</f>
        <v>UNICEF, UNFPA</v>
      </c>
      <c r="R476" s="62" t="b">
        <f t="array" ref="R476">MAX(IF(Main3WData[PT.ID]=Main3WData[[#This Row],[PT.ID]],Main3WData[PT.LastID.Row]))=Main3WData[[#This Row],[PT.LastID.Row]]</f>
        <v>0</v>
      </c>
    </row>
    <row r="477" spans="2:18" s="1" customFormat="1" ht="16.5" customHeight="1" x14ac:dyDescent="0.2">
      <c r="B477" s="55" t="s">
        <v>72</v>
      </c>
      <c r="C477" s="27" t="str">
        <f>INDEX(Organizations[],MATCH(Main3WData[[#This Row],[Acronym]],AcronymList,0),1)</f>
        <v>PLAN</v>
      </c>
      <c r="D477" s="27" t="str">
        <f>INDEX(Organizations[],MATCH(Main3WData[[#This Row],[Acronym]],AcronymList,0),3)</f>
        <v>International Organization</v>
      </c>
      <c r="E477" s="54" t="s">
        <v>350</v>
      </c>
      <c r="F477" s="53" t="s">
        <v>82</v>
      </c>
      <c r="G477" s="54" t="s">
        <v>374</v>
      </c>
      <c r="H477" s="28" t="str">
        <f>VLOOKUP(Main3WData[[#This Row],[Admin Unit Name]],AdminUnits[],2,FALSE)</f>
        <v>GIN001004</v>
      </c>
      <c r="I477" s="57">
        <v>0</v>
      </c>
      <c r="J477" s="67" t="str">
        <f>Main3WData[[#This Row],[Acronym]]&amp;Main3WData[[#This Row],[Sector]]&amp;Main3WData[[#This Row],[Activity Type]]&amp;Main3WData[[#This Row],[Pcode]]</f>
        <v>PLANCommunication/Mobilisation socialeOngoingGIN001004</v>
      </c>
      <c r="K477" s="69">
        <f>COUNTIF(Main3WData[Concatenate],Main3WData[[#This Row],[Concatenate]])</f>
        <v>1</v>
      </c>
      <c r="L477" s="61" t="str">
        <f>Main3WData[[#This Row],[Sector]]&amp;Main3WData[[#This Row],[Pcode]]</f>
        <v>Communication/Mobilisation socialeGIN001004</v>
      </c>
      <c r="M477" s="71">
        <f>COUNTIF($L$5:L477,Main3WData[[#This Row],[PT.Concat]])</f>
        <v>3</v>
      </c>
      <c r="N477" s="70">
        <f>MATCH(Main3WData[[#This Row],[PT.Concat]],$L$5:L477,0)</f>
        <v>471</v>
      </c>
      <c r="O477" s="62" t="b">
        <f>Main3WData[[#This Row],[Count PT.Concat]]=1</f>
        <v>0</v>
      </c>
      <c r="P477" s="62">
        <f t="array" ref="P477">MAX(($N$4:N476=Main3WData[[#This Row],[PT.ID]])*ROW($N$4:N476))</f>
        <v>476</v>
      </c>
      <c r="Q477" s="62" t="str">
        <f>IF(Main3WData[[#This Row],[PT.FirstID]],Main3WData[[#This Row],[Acronym]],INDEX($Q$4:Q476,Main3WData[[#This Row],[PT.LastID.Row]]-ROW($Q$4)+1) &amp; ", "&amp;Main3WData[[#This Row],[Acronym]])</f>
        <v>UNICEF, UNFPA, PLAN</v>
      </c>
      <c r="R477" s="62" t="b">
        <f t="array" ref="R477">MAX(IF(Main3WData[PT.ID]=Main3WData[[#This Row],[PT.ID]],Main3WData[PT.LastID.Row]))=Main3WData[[#This Row],[PT.LastID.Row]]</f>
        <v>0</v>
      </c>
    </row>
    <row r="478" spans="2:18" s="1" customFormat="1" ht="16.5" customHeight="1" x14ac:dyDescent="0.2">
      <c r="B478" s="55" t="s">
        <v>512</v>
      </c>
      <c r="C478" s="27" t="str">
        <f>INDEX(Organizations[],MATCH(Main3WData[[#This Row],[Acronym]],AcronymList,0),1)</f>
        <v>World Health Organization</v>
      </c>
      <c r="D478" s="27" t="str">
        <f>INDEX(Organizations[],MATCH(Main3WData[[#This Row],[Acronym]],AcronymList,0),3)</f>
        <v>UN Agency</v>
      </c>
      <c r="E478" s="54" t="s">
        <v>350</v>
      </c>
      <c r="F478" s="53" t="s">
        <v>82</v>
      </c>
      <c r="G478" s="54" t="s">
        <v>374</v>
      </c>
      <c r="H478" s="28" t="str">
        <f>VLOOKUP(Main3WData[[#This Row],[Admin Unit Name]],AdminUnits[],2,FALSE)</f>
        <v>GIN001004</v>
      </c>
      <c r="I478" s="57">
        <v>0</v>
      </c>
      <c r="J478" s="67" t="str">
        <f>Main3WData[[#This Row],[Acronym]]&amp;Main3WData[[#This Row],[Sector]]&amp;Main3WData[[#This Row],[Activity Type]]&amp;Main3WData[[#This Row],[Pcode]]</f>
        <v>OMSCommunication/Mobilisation socialeOngoingGIN001004</v>
      </c>
      <c r="K478" s="69">
        <f>COUNTIF(Main3WData[Concatenate],Main3WData[[#This Row],[Concatenate]])</f>
        <v>1</v>
      </c>
      <c r="L478" s="61" t="str">
        <f>Main3WData[[#This Row],[Sector]]&amp;Main3WData[[#This Row],[Pcode]]</f>
        <v>Communication/Mobilisation socialeGIN001004</v>
      </c>
      <c r="M478" s="71">
        <f>COUNTIF($L$5:L478,Main3WData[[#This Row],[PT.Concat]])</f>
        <v>4</v>
      </c>
      <c r="N478" s="70">
        <f>MATCH(Main3WData[[#This Row],[PT.Concat]],$L$5:L478,0)</f>
        <v>471</v>
      </c>
      <c r="O478" s="62" t="b">
        <f>Main3WData[[#This Row],[Count PT.Concat]]=1</f>
        <v>0</v>
      </c>
      <c r="P478" s="62">
        <f t="array" ref="P478">MAX(($N$4:N477=Main3WData[[#This Row],[PT.ID]])*ROW($N$4:N477))</f>
        <v>477</v>
      </c>
      <c r="Q478" s="62" t="str">
        <f>IF(Main3WData[[#This Row],[PT.FirstID]],Main3WData[[#This Row],[Acronym]],INDEX($Q$4:Q477,Main3WData[[#This Row],[PT.LastID.Row]]-ROW($Q$4)+1) &amp; ", "&amp;Main3WData[[#This Row],[Acronym]])</f>
        <v>UNICEF, UNFPA, PLAN, OMS</v>
      </c>
      <c r="R478" s="62" t="b">
        <f t="array" ref="R478">MAX(IF(Main3WData[PT.ID]=Main3WData[[#This Row],[PT.ID]],Main3WData[PT.LastID.Row]))=Main3WData[[#This Row],[PT.LastID.Row]]</f>
        <v>1</v>
      </c>
    </row>
    <row r="479" spans="2:18" s="1" customFormat="1" ht="16.5" customHeight="1" x14ac:dyDescent="0.2">
      <c r="B479" s="55" t="s">
        <v>516</v>
      </c>
      <c r="C479" s="27" t="str">
        <f>INDEX(Organizations[],MATCH(Main3WData[[#This Row],[Acronym]],AcronymList,0),1)</f>
        <v>UNITED NATION MISSION FOR EBOLA  EMERGENCY RESPONSE</v>
      </c>
      <c r="D479" s="27" t="str">
        <f>INDEX(Organizations[],MATCH(Main3WData[[#This Row],[Acronym]],AcronymList,0),3)</f>
        <v>UN Agency</v>
      </c>
      <c r="E479" s="54" t="s">
        <v>360</v>
      </c>
      <c r="F479" s="53" t="s">
        <v>82</v>
      </c>
      <c r="G479" s="54" t="s">
        <v>374</v>
      </c>
      <c r="H479" s="28" t="str">
        <f>VLOOKUP(Main3WData[[#This Row],[Admin Unit Name]],AdminUnits[],2,FALSE)</f>
        <v>GIN001004</v>
      </c>
      <c r="I479" s="57">
        <v>0</v>
      </c>
      <c r="J479" s="67" t="str">
        <f>Main3WData[[#This Row],[Acronym]]&amp;Main3WData[[#This Row],[Sector]]&amp;Main3WData[[#This Row],[Activity Type]]&amp;Main3WData[[#This Row],[Pcode]]</f>
        <v>UNMEERCoordinationOngoingGIN001004</v>
      </c>
      <c r="K479" s="69">
        <f>COUNTIF(Main3WData[Concatenate],Main3WData[[#This Row],[Concatenate]])</f>
        <v>1</v>
      </c>
      <c r="L479" s="61" t="str">
        <f>Main3WData[[#This Row],[Sector]]&amp;Main3WData[[#This Row],[Pcode]]</f>
        <v>CoordinationGIN001004</v>
      </c>
      <c r="M479" s="71">
        <f>COUNTIF($L$5:L479,Main3WData[[#This Row],[PT.Concat]])</f>
        <v>1</v>
      </c>
      <c r="N479" s="70">
        <f>MATCH(Main3WData[[#This Row],[PT.Concat]],$L$5:L479,0)</f>
        <v>475</v>
      </c>
      <c r="O479" s="62" t="b">
        <f>Main3WData[[#This Row],[Count PT.Concat]]=1</f>
        <v>1</v>
      </c>
      <c r="P479" s="62">
        <f t="array" ref="P479">MAX(($N$4:N478=Main3WData[[#This Row],[PT.ID]])*ROW($N$4:N478))</f>
        <v>0</v>
      </c>
      <c r="Q479" s="62" t="str">
        <f>IF(Main3WData[[#This Row],[PT.FirstID]],Main3WData[[#This Row],[Acronym]],INDEX($Q$4:Q478,Main3WData[[#This Row],[PT.LastID.Row]]-ROW($Q$4)+1) &amp; ", "&amp;Main3WData[[#This Row],[Acronym]])</f>
        <v>UNMEER</v>
      </c>
      <c r="R479" s="62" t="b">
        <f t="array" ref="R479">MAX(IF(Main3WData[PT.ID]=Main3WData[[#This Row],[PT.ID]],Main3WData[PT.LastID.Row]))=Main3WData[[#This Row],[PT.LastID.Row]]</f>
        <v>0</v>
      </c>
    </row>
    <row r="480" spans="2:18" s="1" customFormat="1" ht="16.5" customHeight="1" x14ac:dyDescent="0.2">
      <c r="B480" s="55" t="s">
        <v>75</v>
      </c>
      <c r="C480" s="27" t="str">
        <f>INDEX(Organizations[],MATCH(Main3WData[[#This Row],[Acronym]],AcronymList,0),1)</f>
        <v>United Nations Population Fund</v>
      </c>
      <c r="D480" s="27" t="str">
        <f>INDEX(Organizations[],MATCH(Main3WData[[#This Row],[Acronym]],AcronymList,0),3)</f>
        <v>UN Agency</v>
      </c>
      <c r="E480" s="54" t="s">
        <v>360</v>
      </c>
      <c r="F480" s="53" t="s">
        <v>82</v>
      </c>
      <c r="G480" s="54" t="s">
        <v>374</v>
      </c>
      <c r="H480" s="28" t="str">
        <f>VLOOKUP(Main3WData[[#This Row],[Admin Unit Name]],AdminUnits[],2,FALSE)</f>
        <v>GIN001004</v>
      </c>
      <c r="I480" s="57">
        <v>0</v>
      </c>
      <c r="J480" s="67" t="str">
        <f>Main3WData[[#This Row],[Acronym]]&amp;Main3WData[[#This Row],[Sector]]&amp;Main3WData[[#This Row],[Activity Type]]&amp;Main3WData[[#This Row],[Pcode]]</f>
        <v>UNFPACoordinationOngoingGIN001004</v>
      </c>
      <c r="K480" s="69">
        <f>COUNTIF(Main3WData[Concatenate],Main3WData[[#This Row],[Concatenate]])</f>
        <v>1</v>
      </c>
      <c r="L480" s="61" t="str">
        <f>Main3WData[[#This Row],[Sector]]&amp;Main3WData[[#This Row],[Pcode]]</f>
        <v>CoordinationGIN001004</v>
      </c>
      <c r="M480" s="71">
        <f>COUNTIF($L$5:L480,Main3WData[[#This Row],[PT.Concat]])</f>
        <v>2</v>
      </c>
      <c r="N480" s="70">
        <f>MATCH(Main3WData[[#This Row],[PT.Concat]],$L$5:L480,0)</f>
        <v>475</v>
      </c>
      <c r="O480" s="62" t="b">
        <f>Main3WData[[#This Row],[Count PT.Concat]]=1</f>
        <v>0</v>
      </c>
      <c r="P480" s="62">
        <f t="array" ref="P480">MAX(($N$4:N479=Main3WData[[#This Row],[PT.ID]])*ROW($N$4:N479))</f>
        <v>479</v>
      </c>
      <c r="Q480" s="62" t="str">
        <f>IF(Main3WData[[#This Row],[PT.FirstID]],Main3WData[[#This Row],[Acronym]],INDEX($Q$4:Q479,Main3WData[[#This Row],[PT.LastID.Row]]-ROW($Q$4)+1) &amp; ", "&amp;Main3WData[[#This Row],[Acronym]])</f>
        <v>UNMEER, UNFPA</v>
      </c>
      <c r="R480" s="62" t="b">
        <f t="array" ref="R480">MAX(IF(Main3WData[PT.ID]=Main3WData[[#This Row],[PT.ID]],Main3WData[PT.LastID.Row]))=Main3WData[[#This Row],[PT.LastID.Row]]</f>
        <v>0</v>
      </c>
    </row>
    <row r="481" spans="2:18" s="1" customFormat="1" ht="16.5" customHeight="1" x14ac:dyDescent="0.2">
      <c r="B481" s="55" t="s">
        <v>473</v>
      </c>
      <c r="C481" s="27" t="str">
        <f>INDEX(Organizations[],MATCH(Main3WData[[#This Row],[Acronym]],AcronymList,0),1)</f>
        <v>United Nations Development Programme</v>
      </c>
      <c r="D481" s="27" t="str">
        <f>INDEX(Organizations[],MATCH(Main3WData[[#This Row],[Acronym]],AcronymList,0),3)</f>
        <v>UN Agency</v>
      </c>
      <c r="E481" s="54" t="s">
        <v>360</v>
      </c>
      <c r="F481" s="53" t="s">
        <v>82</v>
      </c>
      <c r="G481" s="54" t="s">
        <v>374</v>
      </c>
      <c r="H481" s="28" t="str">
        <f>VLOOKUP(Main3WData[[#This Row],[Admin Unit Name]],AdminUnits[],2,FALSE)</f>
        <v>GIN001004</v>
      </c>
      <c r="I481" s="57">
        <v>0</v>
      </c>
      <c r="J481" s="67" t="str">
        <f>Main3WData[[#This Row],[Acronym]]&amp;Main3WData[[#This Row],[Sector]]&amp;Main3WData[[#This Row],[Activity Type]]&amp;Main3WData[[#This Row],[Pcode]]</f>
        <v>UNDPCoordinationOngoingGIN001004</v>
      </c>
      <c r="K481" s="69">
        <f>COUNTIF(Main3WData[Concatenate],Main3WData[[#This Row],[Concatenate]])</f>
        <v>1</v>
      </c>
      <c r="L481" s="61" t="str">
        <f>Main3WData[[#This Row],[Sector]]&amp;Main3WData[[#This Row],[Pcode]]</f>
        <v>CoordinationGIN001004</v>
      </c>
      <c r="M481" s="71">
        <f>COUNTIF($L$5:L481,Main3WData[[#This Row],[PT.Concat]])</f>
        <v>3</v>
      </c>
      <c r="N481" s="70">
        <f>MATCH(Main3WData[[#This Row],[PT.Concat]],$L$5:L481,0)</f>
        <v>475</v>
      </c>
      <c r="O481" s="62" t="b">
        <f>Main3WData[[#This Row],[Count PT.Concat]]=1</f>
        <v>0</v>
      </c>
      <c r="P481" s="62">
        <f t="array" ref="P481">MAX(($N$4:N480=Main3WData[[#This Row],[PT.ID]])*ROW($N$4:N480))</f>
        <v>480</v>
      </c>
      <c r="Q481" s="62" t="str">
        <f>IF(Main3WData[[#This Row],[PT.FirstID]],Main3WData[[#This Row],[Acronym]],INDEX($Q$4:Q480,Main3WData[[#This Row],[PT.LastID.Row]]-ROW($Q$4)+1) &amp; ", "&amp;Main3WData[[#This Row],[Acronym]])</f>
        <v>UNMEER, UNFPA, UNDP</v>
      </c>
      <c r="R481" s="62" t="b">
        <f t="array" ref="R481">MAX(IF(Main3WData[PT.ID]=Main3WData[[#This Row],[PT.ID]],Main3WData[PT.LastID.Row]))=Main3WData[[#This Row],[PT.LastID.Row]]</f>
        <v>0</v>
      </c>
    </row>
    <row r="482" spans="2:18" s="1" customFormat="1" ht="16.5" customHeight="1" x14ac:dyDescent="0.2">
      <c r="B482" s="55" t="s">
        <v>512</v>
      </c>
      <c r="C482" s="27" t="str">
        <f>INDEX(Organizations[],MATCH(Main3WData[[#This Row],[Acronym]],AcronymList,0),1)</f>
        <v>World Health Organization</v>
      </c>
      <c r="D482" s="27" t="str">
        <f>INDEX(Organizations[],MATCH(Main3WData[[#This Row],[Acronym]],AcronymList,0),3)</f>
        <v>UN Agency</v>
      </c>
      <c r="E482" s="54" t="s">
        <v>360</v>
      </c>
      <c r="F482" s="53" t="s">
        <v>82</v>
      </c>
      <c r="G482" s="54" t="s">
        <v>374</v>
      </c>
      <c r="H482" s="28" t="str">
        <f>VLOOKUP(Main3WData[[#This Row],[Admin Unit Name]],AdminUnits[],2,FALSE)</f>
        <v>GIN001004</v>
      </c>
      <c r="I482" s="57">
        <v>0</v>
      </c>
      <c r="J482" s="67" t="str">
        <f>Main3WData[[#This Row],[Acronym]]&amp;Main3WData[[#This Row],[Sector]]&amp;Main3WData[[#This Row],[Activity Type]]&amp;Main3WData[[#This Row],[Pcode]]</f>
        <v>OMSCoordinationOngoingGIN001004</v>
      </c>
      <c r="K482" s="69">
        <f>COUNTIF(Main3WData[Concatenate],Main3WData[[#This Row],[Concatenate]])</f>
        <v>1</v>
      </c>
      <c r="L482" s="61" t="str">
        <f>Main3WData[[#This Row],[Sector]]&amp;Main3WData[[#This Row],[Pcode]]</f>
        <v>CoordinationGIN001004</v>
      </c>
      <c r="M482" s="71">
        <f>COUNTIF($L$5:L482,Main3WData[[#This Row],[PT.Concat]])</f>
        <v>4</v>
      </c>
      <c r="N482" s="70">
        <f>MATCH(Main3WData[[#This Row],[PT.Concat]],$L$5:L482,0)</f>
        <v>475</v>
      </c>
      <c r="O482" s="62" t="b">
        <f>Main3WData[[#This Row],[Count PT.Concat]]=1</f>
        <v>0</v>
      </c>
      <c r="P482" s="62">
        <f t="array" ref="P482">MAX(($N$4:N481=Main3WData[[#This Row],[PT.ID]])*ROW($N$4:N481))</f>
        <v>481</v>
      </c>
      <c r="Q482" s="62" t="str">
        <f>IF(Main3WData[[#This Row],[PT.FirstID]],Main3WData[[#This Row],[Acronym]],INDEX($Q$4:Q481,Main3WData[[#This Row],[PT.LastID.Row]]-ROW($Q$4)+1) &amp; ", "&amp;Main3WData[[#This Row],[Acronym]])</f>
        <v>UNMEER, UNFPA, UNDP, OMS</v>
      </c>
      <c r="R482" s="62" t="b">
        <f t="array" ref="R482">MAX(IF(Main3WData[PT.ID]=Main3WData[[#This Row],[PT.ID]],Main3WData[PT.LastID.Row]))=Main3WData[[#This Row],[PT.LastID.Row]]</f>
        <v>0</v>
      </c>
    </row>
    <row r="483" spans="2:18" s="1" customFormat="1" ht="16.5" customHeight="1" x14ac:dyDescent="0.2">
      <c r="B483" s="55" t="s">
        <v>71</v>
      </c>
      <c r="C483" s="27" t="str">
        <f>INDEX(Organizations[],MATCH(Main3WData[[#This Row],[Acronym]],AcronymList,0),1)</f>
        <v>Medecins sans Frontieres</v>
      </c>
      <c r="D483" s="27" t="str">
        <f>INDEX(Organizations[],MATCH(Main3WData[[#This Row],[Acronym]],AcronymList,0),3)</f>
        <v>International NGO</v>
      </c>
      <c r="E483" s="54" t="s">
        <v>360</v>
      </c>
      <c r="F483" s="53" t="s">
        <v>82</v>
      </c>
      <c r="G483" s="54" t="s">
        <v>374</v>
      </c>
      <c r="H483" s="28" t="str">
        <f>VLOOKUP(Main3WData[[#This Row],[Admin Unit Name]],AdminUnits[],2,FALSE)</f>
        <v>GIN001004</v>
      </c>
      <c r="I483" s="57">
        <v>0</v>
      </c>
      <c r="J483" s="67" t="str">
        <f>Main3WData[[#This Row],[Acronym]]&amp;Main3WData[[#This Row],[Sector]]&amp;Main3WData[[#This Row],[Activity Type]]&amp;Main3WData[[#This Row],[Pcode]]</f>
        <v>MSFCoordinationOngoingGIN001004</v>
      </c>
      <c r="K483" s="69">
        <f>COUNTIF(Main3WData[Concatenate],Main3WData[[#This Row],[Concatenate]])</f>
        <v>1</v>
      </c>
      <c r="L483" s="61" t="str">
        <f>Main3WData[[#This Row],[Sector]]&amp;Main3WData[[#This Row],[Pcode]]</f>
        <v>CoordinationGIN001004</v>
      </c>
      <c r="M483" s="71">
        <f>COUNTIF($L$5:L483,Main3WData[[#This Row],[PT.Concat]])</f>
        <v>5</v>
      </c>
      <c r="N483" s="70">
        <f>MATCH(Main3WData[[#This Row],[PT.Concat]],$L$5:L483,0)</f>
        <v>475</v>
      </c>
      <c r="O483" s="62" t="b">
        <f>Main3WData[[#This Row],[Count PT.Concat]]=1</f>
        <v>0</v>
      </c>
      <c r="P483" s="62">
        <f t="array" ref="P483">MAX(($N$4:N482=Main3WData[[#This Row],[PT.ID]])*ROW($N$4:N482))</f>
        <v>482</v>
      </c>
      <c r="Q483" s="62" t="str">
        <f>IF(Main3WData[[#This Row],[PT.FirstID]],Main3WData[[#This Row],[Acronym]],INDEX($Q$4:Q482,Main3WData[[#This Row],[PT.LastID.Row]]-ROW($Q$4)+1) &amp; ", "&amp;Main3WData[[#This Row],[Acronym]])</f>
        <v>UNMEER, UNFPA, UNDP, OMS, MSF</v>
      </c>
      <c r="R483" s="62" t="b">
        <f t="array" ref="R483">MAX(IF(Main3WData[PT.ID]=Main3WData[[#This Row],[PT.ID]],Main3WData[PT.LastID.Row]))=Main3WData[[#This Row],[PT.LastID.Row]]</f>
        <v>0</v>
      </c>
    </row>
    <row r="484" spans="2:18" s="1" customFormat="1" ht="16.5" customHeight="1" x14ac:dyDescent="0.2">
      <c r="B484" s="55" t="s">
        <v>507</v>
      </c>
      <c r="C484" s="27" t="str">
        <f>INDEX(Organizations[],MATCH(Main3WData[[#This Row],[Acronym]],AcronymList,0),1)</f>
        <v>eHealth Africa</v>
      </c>
      <c r="D484" s="27" t="str">
        <f>INDEX(Organizations[],MATCH(Main3WData[[#This Row],[Acronym]],AcronymList,0),3)</f>
        <v>International Organization</v>
      </c>
      <c r="E484" s="54" t="s">
        <v>360</v>
      </c>
      <c r="F484" s="53" t="s">
        <v>82</v>
      </c>
      <c r="G484" s="54" t="s">
        <v>374</v>
      </c>
      <c r="H484" s="28" t="str">
        <f>VLOOKUP(Main3WData[[#This Row],[Admin Unit Name]],AdminUnits[],2,FALSE)</f>
        <v>GIN001004</v>
      </c>
      <c r="I484" s="57">
        <v>0</v>
      </c>
      <c r="J484" s="67" t="str">
        <f>Main3WData[[#This Row],[Acronym]]&amp;Main3WData[[#This Row],[Sector]]&amp;Main3WData[[#This Row],[Activity Type]]&amp;Main3WData[[#This Row],[Pcode]]</f>
        <v>eHealth AfricaCoordinationOngoingGIN001004</v>
      </c>
      <c r="K484" s="69">
        <f>COUNTIF(Main3WData[Concatenate],Main3WData[[#This Row],[Concatenate]])</f>
        <v>1</v>
      </c>
      <c r="L484" s="61" t="str">
        <f>Main3WData[[#This Row],[Sector]]&amp;Main3WData[[#This Row],[Pcode]]</f>
        <v>CoordinationGIN001004</v>
      </c>
      <c r="M484" s="71">
        <f>COUNTIF($L$5:L484,Main3WData[[#This Row],[PT.Concat]])</f>
        <v>6</v>
      </c>
      <c r="N484" s="70">
        <f>MATCH(Main3WData[[#This Row],[PT.Concat]],$L$5:L484,0)</f>
        <v>475</v>
      </c>
      <c r="O484" s="62" t="b">
        <f>Main3WData[[#This Row],[Count PT.Concat]]=1</f>
        <v>0</v>
      </c>
      <c r="P484" s="62">
        <f t="array" ref="P484">MAX(($N$4:N483=Main3WData[[#This Row],[PT.ID]])*ROW($N$4:N483))</f>
        <v>483</v>
      </c>
      <c r="Q484" s="62" t="str">
        <f>IF(Main3WData[[#This Row],[PT.FirstID]],Main3WData[[#This Row],[Acronym]],INDEX($Q$4:Q483,Main3WData[[#This Row],[PT.LastID.Row]]-ROW($Q$4)+1) &amp; ", "&amp;Main3WData[[#This Row],[Acronym]])</f>
        <v>UNMEER, UNFPA, UNDP, OMS, MSF, eHealth Africa</v>
      </c>
      <c r="R484" s="62" t="b">
        <f t="array" ref="R484">MAX(IF(Main3WData[PT.ID]=Main3WData[[#This Row],[PT.ID]],Main3WData[PT.LastID.Row]))=Main3WData[[#This Row],[PT.LastID.Row]]</f>
        <v>1</v>
      </c>
    </row>
    <row r="485" spans="2:18" s="1" customFormat="1" ht="16.5" customHeight="1" x14ac:dyDescent="0.2">
      <c r="B485" s="55" t="s">
        <v>473</v>
      </c>
      <c r="C485" s="27" t="str">
        <f>INDEX(Organizations[],MATCH(Main3WData[[#This Row],[Acronym]],AcronymList,0),1)</f>
        <v>United Nations Development Programme</v>
      </c>
      <c r="D485" s="27" t="str">
        <f>INDEX(Organizations[],MATCH(Main3WData[[#This Row],[Acronym]],AcronymList,0),3)</f>
        <v>UN Agency</v>
      </c>
      <c r="E485" s="54" t="s">
        <v>359</v>
      </c>
      <c r="F485" s="53" t="s">
        <v>82</v>
      </c>
      <c r="G485" s="54" t="s">
        <v>374</v>
      </c>
      <c r="H485" s="28" t="str">
        <f>VLOOKUP(Main3WData[[#This Row],[Admin Unit Name]],AdminUnits[],2,FALSE)</f>
        <v>GIN001004</v>
      </c>
      <c r="I485" s="57">
        <v>0</v>
      </c>
      <c r="J485" s="67" t="str">
        <f>Main3WData[[#This Row],[Acronym]]&amp;Main3WData[[#This Row],[Sector]]&amp;Main3WData[[#This Row],[Activity Type]]&amp;Main3WData[[#This Row],[Pcode]]</f>
        <v>UNDPFinanceOngoingGIN001004</v>
      </c>
      <c r="K485" s="69">
        <f>COUNTIF(Main3WData[Concatenate],Main3WData[[#This Row],[Concatenate]])</f>
        <v>1</v>
      </c>
      <c r="L485" s="61" t="str">
        <f>Main3WData[[#This Row],[Sector]]&amp;Main3WData[[#This Row],[Pcode]]</f>
        <v>FinanceGIN001004</v>
      </c>
      <c r="M485" s="71">
        <f>COUNTIF($L$5:L485,Main3WData[[#This Row],[PT.Concat]])</f>
        <v>1</v>
      </c>
      <c r="N485" s="70">
        <f>MATCH(Main3WData[[#This Row],[PT.Concat]],$L$5:L485,0)</f>
        <v>481</v>
      </c>
      <c r="O485" s="62" t="b">
        <f>Main3WData[[#This Row],[Count PT.Concat]]=1</f>
        <v>1</v>
      </c>
      <c r="P485" s="62">
        <f t="array" ref="P485">MAX(($N$4:N484=Main3WData[[#This Row],[PT.ID]])*ROW($N$4:N484))</f>
        <v>0</v>
      </c>
      <c r="Q485" s="62" t="str">
        <f>IF(Main3WData[[#This Row],[PT.FirstID]],Main3WData[[#This Row],[Acronym]],INDEX($Q$4:Q484,Main3WData[[#This Row],[PT.LastID.Row]]-ROW($Q$4)+1) &amp; ", "&amp;Main3WData[[#This Row],[Acronym]])</f>
        <v>UNDP</v>
      </c>
      <c r="R485" s="62" t="b">
        <f t="array" ref="R485">MAX(IF(Main3WData[PT.ID]=Main3WData[[#This Row],[PT.ID]],Main3WData[PT.LastID.Row]))=Main3WData[[#This Row],[PT.LastID.Row]]</f>
        <v>1</v>
      </c>
    </row>
    <row r="486" spans="2:18" s="1" customFormat="1" ht="16.5" customHeight="1" x14ac:dyDescent="0.2">
      <c r="B486" s="55" t="s">
        <v>451</v>
      </c>
      <c r="C486" s="27" t="str">
        <f>INDEX(Organizations[],MATCH(Main3WData[[#This Row],[Acronym]],AcronymList,0),1)</f>
        <v>Croix-Rouge Guinée</v>
      </c>
      <c r="D486" s="27" t="str">
        <f>INDEX(Organizations[],MATCH(Main3WData[[#This Row],[Acronym]],AcronymList,0),3)</f>
        <v>Red Cross Movement</v>
      </c>
      <c r="E486" s="54" t="s">
        <v>354</v>
      </c>
      <c r="F486" s="53" t="s">
        <v>82</v>
      </c>
      <c r="G486" s="54" t="s">
        <v>374</v>
      </c>
      <c r="H486" s="28" t="str">
        <f>VLOOKUP(Main3WData[[#This Row],[Admin Unit Name]],AdminUnits[],2,FALSE)</f>
        <v>GIN001004</v>
      </c>
      <c r="I486" s="57">
        <v>0</v>
      </c>
      <c r="J486" s="67" t="str">
        <f>Main3WData[[#This Row],[Acronym]]&amp;Main3WData[[#This Row],[Sector]]&amp;Main3WData[[#This Row],[Activity Type]]&amp;Main3WData[[#This Row],[Pcode]]</f>
        <v>CRGGestion des corps et desinfectionOngoingGIN001004</v>
      </c>
      <c r="K486" s="69">
        <f>COUNTIF(Main3WData[Concatenate],Main3WData[[#This Row],[Concatenate]])</f>
        <v>1</v>
      </c>
      <c r="L486" s="61" t="str">
        <f>Main3WData[[#This Row],[Sector]]&amp;Main3WData[[#This Row],[Pcode]]</f>
        <v>Gestion des corps et desinfectionGIN001004</v>
      </c>
      <c r="M486" s="71">
        <f>COUNTIF($L$5:L486,Main3WData[[#This Row],[PT.Concat]])</f>
        <v>1</v>
      </c>
      <c r="N486" s="70">
        <f>MATCH(Main3WData[[#This Row],[PT.Concat]],$L$5:L486,0)</f>
        <v>482</v>
      </c>
      <c r="O486" s="62" t="b">
        <f>Main3WData[[#This Row],[Count PT.Concat]]=1</f>
        <v>1</v>
      </c>
      <c r="P486" s="62">
        <f t="array" ref="P486">MAX(($N$4:N485=Main3WData[[#This Row],[PT.ID]])*ROW($N$4:N485))</f>
        <v>0</v>
      </c>
      <c r="Q486" s="62" t="str">
        <f>IF(Main3WData[[#This Row],[PT.FirstID]],Main3WData[[#This Row],[Acronym]],INDEX($Q$4:Q485,Main3WData[[#This Row],[PT.LastID.Row]]-ROW($Q$4)+1) &amp; ", "&amp;Main3WData[[#This Row],[Acronym]])</f>
        <v>CRG</v>
      </c>
      <c r="R486" s="62" t="b">
        <f t="array" ref="R486">MAX(IF(Main3WData[PT.ID]=Main3WData[[#This Row],[PT.ID]],Main3WData[PT.LastID.Row]))=Main3WData[[#This Row],[PT.LastID.Row]]</f>
        <v>1</v>
      </c>
    </row>
    <row r="487" spans="2:18" s="1" customFormat="1" ht="16.5" customHeight="1" x14ac:dyDescent="0.2">
      <c r="B487" s="55" t="s">
        <v>516</v>
      </c>
      <c r="C487" s="27" t="str">
        <f>INDEX(Organizations[],MATCH(Main3WData[[#This Row],[Acronym]],AcronymList,0),1)</f>
        <v>UNITED NATION MISSION FOR EBOLA  EMERGENCY RESPONSE</v>
      </c>
      <c r="D487" s="27" t="str">
        <f>INDEX(Organizations[],MATCH(Main3WData[[#This Row],[Acronym]],AcronymList,0),3)</f>
        <v>UN Agency</v>
      </c>
      <c r="E487" s="54" t="s">
        <v>356</v>
      </c>
      <c r="F487" s="53" t="s">
        <v>82</v>
      </c>
      <c r="G487" s="54" t="s">
        <v>374</v>
      </c>
      <c r="H487" s="28" t="str">
        <f>VLOOKUP(Main3WData[[#This Row],[Admin Unit Name]],AdminUnits[],2,FALSE)</f>
        <v>GIN001004</v>
      </c>
      <c r="I487" s="57">
        <v>0</v>
      </c>
      <c r="J487" s="67" t="str">
        <f>Main3WData[[#This Row],[Acronym]]&amp;Main3WData[[#This Row],[Sector]]&amp;Main3WData[[#This Row],[Activity Type]]&amp;Main3WData[[#This Row],[Pcode]]</f>
        <v>UNMEERGestion des donnéesOngoingGIN001004</v>
      </c>
      <c r="K487" s="69">
        <f>COUNTIF(Main3WData[Concatenate],Main3WData[[#This Row],[Concatenate]])</f>
        <v>1</v>
      </c>
      <c r="L487" s="61" t="str">
        <f>Main3WData[[#This Row],[Sector]]&amp;Main3WData[[#This Row],[Pcode]]</f>
        <v>Gestion des donnéesGIN001004</v>
      </c>
      <c r="M487" s="71">
        <f>COUNTIF($L$5:L487,Main3WData[[#This Row],[PT.Concat]])</f>
        <v>1</v>
      </c>
      <c r="N487" s="70">
        <f>MATCH(Main3WData[[#This Row],[PT.Concat]],$L$5:L487,0)</f>
        <v>483</v>
      </c>
      <c r="O487" s="62" t="b">
        <f>Main3WData[[#This Row],[Count PT.Concat]]=1</f>
        <v>1</v>
      </c>
      <c r="P487" s="62">
        <f t="array" ref="P487">MAX(($N$4:N486=Main3WData[[#This Row],[PT.ID]])*ROW($N$4:N486))</f>
        <v>0</v>
      </c>
      <c r="Q487" s="62" t="str">
        <f>IF(Main3WData[[#This Row],[PT.FirstID]],Main3WData[[#This Row],[Acronym]],INDEX($Q$4:Q486,Main3WData[[#This Row],[PT.LastID.Row]]-ROW($Q$4)+1) &amp; ", "&amp;Main3WData[[#This Row],[Acronym]])</f>
        <v>UNMEER</v>
      </c>
      <c r="R487" s="62" t="b">
        <f t="array" ref="R487">MAX(IF(Main3WData[PT.ID]=Main3WData[[#This Row],[PT.ID]],Main3WData[PT.LastID.Row]))=Main3WData[[#This Row],[PT.LastID.Row]]</f>
        <v>0</v>
      </c>
    </row>
    <row r="488" spans="2:18" s="1" customFormat="1" ht="16.5" customHeight="1" x14ac:dyDescent="0.2">
      <c r="B488" s="55" t="s">
        <v>512</v>
      </c>
      <c r="C488" s="27" t="str">
        <f>INDEX(Organizations[],MATCH(Main3WData[[#This Row],[Acronym]],AcronymList,0),1)</f>
        <v>World Health Organization</v>
      </c>
      <c r="D488" s="27" t="str">
        <f>INDEX(Organizations[],MATCH(Main3WData[[#This Row],[Acronym]],AcronymList,0),3)</f>
        <v>UN Agency</v>
      </c>
      <c r="E488" s="54" t="s">
        <v>356</v>
      </c>
      <c r="F488" s="53" t="s">
        <v>82</v>
      </c>
      <c r="G488" s="54" t="s">
        <v>374</v>
      </c>
      <c r="H488" s="28" t="str">
        <f>VLOOKUP(Main3WData[[#This Row],[Admin Unit Name]],AdminUnits[],2,FALSE)</f>
        <v>GIN001004</v>
      </c>
      <c r="I488" s="57">
        <v>0</v>
      </c>
      <c r="J488" s="67" t="str">
        <f>Main3WData[[#This Row],[Acronym]]&amp;Main3WData[[#This Row],[Sector]]&amp;Main3WData[[#This Row],[Activity Type]]&amp;Main3WData[[#This Row],[Pcode]]</f>
        <v>OMSGestion des donnéesOngoingGIN001004</v>
      </c>
      <c r="K488" s="69">
        <f>COUNTIF(Main3WData[Concatenate],Main3WData[[#This Row],[Concatenate]])</f>
        <v>1</v>
      </c>
      <c r="L488" s="61" t="str">
        <f>Main3WData[[#This Row],[Sector]]&amp;Main3WData[[#This Row],[Pcode]]</f>
        <v>Gestion des donnéesGIN001004</v>
      </c>
      <c r="M488" s="71">
        <f>COUNTIF($L$5:L488,Main3WData[[#This Row],[PT.Concat]])</f>
        <v>2</v>
      </c>
      <c r="N488" s="70">
        <f>MATCH(Main3WData[[#This Row],[PT.Concat]],$L$5:L488,0)</f>
        <v>483</v>
      </c>
      <c r="O488" s="62" t="b">
        <f>Main3WData[[#This Row],[Count PT.Concat]]=1</f>
        <v>0</v>
      </c>
      <c r="P488" s="62">
        <f t="array" ref="P488">MAX(($N$4:N487=Main3WData[[#This Row],[PT.ID]])*ROW($N$4:N487))</f>
        <v>487</v>
      </c>
      <c r="Q488" s="62" t="str">
        <f>IF(Main3WData[[#This Row],[PT.FirstID]],Main3WData[[#This Row],[Acronym]],INDEX($Q$4:Q487,Main3WData[[#This Row],[PT.LastID.Row]]-ROW($Q$4)+1) &amp; ", "&amp;Main3WData[[#This Row],[Acronym]])</f>
        <v>UNMEER, OMS</v>
      </c>
      <c r="R488" s="62" t="b">
        <f t="array" ref="R488">MAX(IF(Main3WData[PT.ID]=Main3WData[[#This Row],[PT.ID]],Main3WData[PT.LastID.Row]))=Main3WData[[#This Row],[PT.LastID.Row]]</f>
        <v>1</v>
      </c>
    </row>
    <row r="489" spans="2:18" s="1" customFormat="1" ht="16.5" customHeight="1" x14ac:dyDescent="0.2">
      <c r="B489" s="55" t="s">
        <v>64</v>
      </c>
      <c r="C489" s="27" t="str">
        <f>INDEX(Organizations[],MATCH(Main3WData[[#This Row],[Acronym]],AcronymList,0),1)</f>
        <v>CDC</v>
      </c>
      <c r="D489" s="27" t="str">
        <f>INDEX(Organizations[],MATCH(Main3WData[[#This Row],[Acronym]],AcronymList,0),3)</f>
        <v>International NGO</v>
      </c>
      <c r="E489" s="54" t="s">
        <v>351</v>
      </c>
      <c r="F489" s="53" t="s">
        <v>82</v>
      </c>
      <c r="G489" s="54" t="s">
        <v>374</v>
      </c>
      <c r="H489" s="28" t="str">
        <f>VLOOKUP(Main3WData[[#This Row],[Admin Unit Name]],AdminUnits[],2,FALSE)</f>
        <v>GIN001004</v>
      </c>
      <c r="I489" s="57">
        <v>0</v>
      </c>
      <c r="J489" s="67" t="str">
        <f>Main3WData[[#This Row],[Acronym]]&amp;Main3WData[[#This Row],[Sector]]&amp;Main3WData[[#This Row],[Activity Type]]&amp;Main3WData[[#This Row],[Pcode]]</f>
        <v>CDCSurveillance &amp; suiviOngoingGIN001004</v>
      </c>
      <c r="K489" s="69">
        <f>COUNTIF(Main3WData[Concatenate],Main3WData[[#This Row],[Concatenate]])</f>
        <v>1</v>
      </c>
      <c r="L489" s="61" t="str">
        <f>Main3WData[[#This Row],[Sector]]&amp;Main3WData[[#This Row],[Pcode]]</f>
        <v>Surveillance &amp; suiviGIN001004</v>
      </c>
      <c r="M489" s="71">
        <f>COUNTIF($L$5:L489,Main3WData[[#This Row],[PT.Concat]])</f>
        <v>1</v>
      </c>
      <c r="N489" s="70">
        <f>MATCH(Main3WData[[#This Row],[PT.Concat]],$L$5:L489,0)</f>
        <v>485</v>
      </c>
      <c r="O489" s="62" t="b">
        <f>Main3WData[[#This Row],[Count PT.Concat]]=1</f>
        <v>1</v>
      </c>
      <c r="P489" s="62">
        <f t="array" ref="P489">MAX(($N$4:N488=Main3WData[[#This Row],[PT.ID]])*ROW($N$4:N488))</f>
        <v>0</v>
      </c>
      <c r="Q489" s="62" t="str">
        <f>IF(Main3WData[[#This Row],[PT.FirstID]],Main3WData[[#This Row],[Acronym]],INDEX($Q$4:Q488,Main3WData[[#This Row],[PT.LastID.Row]]-ROW($Q$4)+1) &amp; ", "&amp;Main3WData[[#This Row],[Acronym]])</f>
        <v>CDC</v>
      </c>
      <c r="R489" s="62" t="b">
        <f t="array" ref="R489">MAX(IF(Main3WData[PT.ID]=Main3WData[[#This Row],[PT.ID]],Main3WData[PT.LastID.Row]))=Main3WData[[#This Row],[PT.LastID.Row]]</f>
        <v>1</v>
      </c>
    </row>
    <row r="490" spans="2:18" s="1" customFormat="1" ht="16.5" customHeight="1" x14ac:dyDescent="0.2">
      <c r="B490" s="55" t="s">
        <v>77</v>
      </c>
      <c r="C490" s="27" t="str">
        <f>INDEX(Organizations[],MATCH(Main3WData[[#This Row],[Acronym]],AcronymList,0),1)</f>
        <v>United Nations Children's Fund</v>
      </c>
      <c r="D490" s="27" t="str">
        <f>INDEX(Organizations[],MATCH(Main3WData[[#This Row],[Acronym]],AcronymList,0),3)</f>
        <v>UN Agency</v>
      </c>
      <c r="E490" s="54" t="s">
        <v>350</v>
      </c>
      <c r="F490" s="53" t="s">
        <v>82</v>
      </c>
      <c r="G490" s="54" t="s">
        <v>390</v>
      </c>
      <c r="H490" s="28" t="str">
        <f>VLOOKUP(Main3WData[[#This Row],[Admin Unit Name]],AdminUnits[],2,FALSE)</f>
        <v>GIN004003</v>
      </c>
      <c r="I490" s="57">
        <v>0</v>
      </c>
      <c r="J490" s="67" t="str">
        <f>Main3WData[[#This Row],[Acronym]]&amp;Main3WData[[#This Row],[Sector]]&amp;Main3WData[[#This Row],[Activity Type]]&amp;Main3WData[[#This Row],[Pcode]]</f>
        <v>UNICEFCommunication/Mobilisation socialeOngoingGIN004003</v>
      </c>
      <c r="K490" s="69">
        <f>COUNTIF(Main3WData[Concatenate],Main3WData[[#This Row],[Concatenate]])</f>
        <v>1</v>
      </c>
      <c r="L490" s="61" t="str">
        <f>Main3WData[[#This Row],[Sector]]&amp;Main3WData[[#This Row],[Pcode]]</f>
        <v>Communication/Mobilisation socialeGIN004003</v>
      </c>
      <c r="M490" s="71">
        <f>COUNTIF($L$5:L490,Main3WData[[#This Row],[PT.Concat]])</f>
        <v>1</v>
      </c>
      <c r="N490" s="70">
        <f>MATCH(Main3WData[[#This Row],[PT.Concat]],$L$5:L490,0)</f>
        <v>486</v>
      </c>
      <c r="O490" s="62" t="b">
        <f>Main3WData[[#This Row],[Count PT.Concat]]=1</f>
        <v>1</v>
      </c>
      <c r="P490" s="62">
        <f t="array" ref="P490">MAX(($N$4:N489=Main3WData[[#This Row],[PT.ID]])*ROW($N$4:N489))</f>
        <v>0</v>
      </c>
      <c r="Q490" s="62" t="str">
        <f>IF(Main3WData[[#This Row],[PT.FirstID]],Main3WData[[#This Row],[Acronym]],INDEX($Q$4:Q489,Main3WData[[#This Row],[PT.LastID.Row]]-ROW($Q$4)+1) &amp; ", "&amp;Main3WData[[#This Row],[Acronym]])</f>
        <v>UNICEF</v>
      </c>
      <c r="R490" s="62" t="b">
        <f t="array" ref="R490">MAX(IF(Main3WData[PT.ID]=Main3WData[[#This Row],[PT.ID]],Main3WData[PT.LastID.Row]))=Main3WData[[#This Row],[PT.LastID.Row]]</f>
        <v>0</v>
      </c>
    </row>
    <row r="491" spans="2:18" s="1" customFormat="1" ht="16.5" customHeight="1" x14ac:dyDescent="0.2">
      <c r="B491" s="55" t="s">
        <v>75</v>
      </c>
      <c r="C491" s="27" t="str">
        <f>INDEX(Organizations[],MATCH(Main3WData[[#This Row],[Acronym]],AcronymList,0),1)</f>
        <v>United Nations Population Fund</v>
      </c>
      <c r="D491" s="27" t="str">
        <f>INDEX(Organizations[],MATCH(Main3WData[[#This Row],[Acronym]],AcronymList,0),3)</f>
        <v>UN Agency</v>
      </c>
      <c r="E491" s="54" t="s">
        <v>350</v>
      </c>
      <c r="F491" s="53" t="s">
        <v>82</v>
      </c>
      <c r="G491" s="54" t="s">
        <v>390</v>
      </c>
      <c r="H491" s="28" t="str">
        <f>VLOOKUP(Main3WData[[#This Row],[Admin Unit Name]],AdminUnits[],2,FALSE)</f>
        <v>GIN004003</v>
      </c>
      <c r="I491" s="57">
        <v>0</v>
      </c>
      <c r="J491" s="67" t="str">
        <f>Main3WData[[#This Row],[Acronym]]&amp;Main3WData[[#This Row],[Sector]]&amp;Main3WData[[#This Row],[Activity Type]]&amp;Main3WData[[#This Row],[Pcode]]</f>
        <v>UNFPACommunication/Mobilisation socialeOngoingGIN004003</v>
      </c>
      <c r="K491" s="69">
        <f>COUNTIF(Main3WData[Concatenate],Main3WData[[#This Row],[Concatenate]])</f>
        <v>1</v>
      </c>
      <c r="L491" s="61" t="str">
        <f>Main3WData[[#This Row],[Sector]]&amp;Main3WData[[#This Row],[Pcode]]</f>
        <v>Communication/Mobilisation socialeGIN004003</v>
      </c>
      <c r="M491" s="71">
        <f>COUNTIF($L$5:L491,Main3WData[[#This Row],[PT.Concat]])</f>
        <v>2</v>
      </c>
      <c r="N491" s="70">
        <f>MATCH(Main3WData[[#This Row],[PT.Concat]],$L$5:L491,0)</f>
        <v>486</v>
      </c>
      <c r="O491" s="62" t="b">
        <f>Main3WData[[#This Row],[Count PT.Concat]]=1</f>
        <v>0</v>
      </c>
      <c r="P491" s="62">
        <f t="array" ref="P491">MAX(($N$4:N490=Main3WData[[#This Row],[PT.ID]])*ROW($N$4:N490))</f>
        <v>490</v>
      </c>
      <c r="Q491" s="62" t="str">
        <f>IF(Main3WData[[#This Row],[PT.FirstID]],Main3WData[[#This Row],[Acronym]],INDEX($Q$4:Q490,Main3WData[[#This Row],[PT.LastID.Row]]-ROW($Q$4)+1) &amp; ", "&amp;Main3WData[[#This Row],[Acronym]])</f>
        <v>UNICEF, UNFPA</v>
      </c>
      <c r="R491" s="62" t="b">
        <f t="array" ref="R491">MAX(IF(Main3WData[PT.ID]=Main3WData[[#This Row],[PT.ID]],Main3WData[PT.LastID.Row]))=Main3WData[[#This Row],[PT.LastID.Row]]</f>
        <v>0</v>
      </c>
    </row>
    <row r="492" spans="2:18" s="1" customFormat="1" ht="16.5" customHeight="1" x14ac:dyDescent="0.2">
      <c r="B492" s="55" t="s">
        <v>72</v>
      </c>
      <c r="C492" s="27" t="str">
        <f>INDEX(Organizations[],MATCH(Main3WData[[#This Row],[Acronym]],AcronymList,0),1)</f>
        <v>PLAN</v>
      </c>
      <c r="D492" s="27" t="str">
        <f>INDEX(Organizations[],MATCH(Main3WData[[#This Row],[Acronym]],AcronymList,0),3)</f>
        <v>International Organization</v>
      </c>
      <c r="E492" s="54" t="s">
        <v>350</v>
      </c>
      <c r="F492" s="53" t="s">
        <v>82</v>
      </c>
      <c r="G492" s="54" t="s">
        <v>390</v>
      </c>
      <c r="H492" s="28" t="str">
        <f>VLOOKUP(Main3WData[[#This Row],[Admin Unit Name]],AdminUnits[],2,FALSE)</f>
        <v>GIN004003</v>
      </c>
      <c r="I492" s="57">
        <v>0</v>
      </c>
      <c r="J492" s="67" t="str">
        <f>Main3WData[[#This Row],[Acronym]]&amp;Main3WData[[#This Row],[Sector]]&amp;Main3WData[[#This Row],[Activity Type]]&amp;Main3WData[[#This Row],[Pcode]]</f>
        <v>PLANCommunication/Mobilisation socialeOngoingGIN004003</v>
      </c>
      <c r="K492" s="69">
        <f>COUNTIF(Main3WData[Concatenate],Main3WData[[#This Row],[Concatenate]])</f>
        <v>1</v>
      </c>
      <c r="L492" s="61" t="str">
        <f>Main3WData[[#This Row],[Sector]]&amp;Main3WData[[#This Row],[Pcode]]</f>
        <v>Communication/Mobilisation socialeGIN004003</v>
      </c>
      <c r="M492" s="71">
        <f>COUNTIF($L$5:L492,Main3WData[[#This Row],[PT.Concat]])</f>
        <v>3</v>
      </c>
      <c r="N492" s="70">
        <f>MATCH(Main3WData[[#This Row],[PT.Concat]],$L$5:L492,0)</f>
        <v>486</v>
      </c>
      <c r="O492" s="62" t="b">
        <f>Main3WData[[#This Row],[Count PT.Concat]]=1</f>
        <v>0</v>
      </c>
      <c r="P492" s="62">
        <f t="array" ref="P492">MAX(($N$4:N491=Main3WData[[#This Row],[PT.ID]])*ROW($N$4:N491))</f>
        <v>491</v>
      </c>
      <c r="Q492" s="62" t="str">
        <f>IF(Main3WData[[#This Row],[PT.FirstID]],Main3WData[[#This Row],[Acronym]],INDEX($Q$4:Q491,Main3WData[[#This Row],[PT.LastID.Row]]-ROW($Q$4)+1) &amp; ", "&amp;Main3WData[[#This Row],[Acronym]])</f>
        <v>UNICEF, UNFPA, PLAN</v>
      </c>
      <c r="R492" s="62" t="b">
        <f t="array" ref="R492">MAX(IF(Main3WData[PT.ID]=Main3WData[[#This Row],[PT.ID]],Main3WData[PT.LastID.Row]))=Main3WData[[#This Row],[PT.LastID.Row]]</f>
        <v>0</v>
      </c>
    </row>
    <row r="493" spans="2:18" s="1" customFormat="1" ht="16.5" customHeight="1" x14ac:dyDescent="0.2">
      <c r="B493" s="55" t="s">
        <v>512</v>
      </c>
      <c r="C493" s="27" t="str">
        <f>INDEX(Organizations[],MATCH(Main3WData[[#This Row],[Acronym]],AcronymList,0),1)</f>
        <v>World Health Organization</v>
      </c>
      <c r="D493" s="27" t="str">
        <f>INDEX(Organizations[],MATCH(Main3WData[[#This Row],[Acronym]],AcronymList,0),3)</f>
        <v>UN Agency</v>
      </c>
      <c r="E493" s="54" t="s">
        <v>350</v>
      </c>
      <c r="F493" s="53" t="s">
        <v>82</v>
      </c>
      <c r="G493" s="54" t="s">
        <v>390</v>
      </c>
      <c r="H493" s="28" t="str">
        <f>VLOOKUP(Main3WData[[#This Row],[Admin Unit Name]],AdminUnits[],2,FALSE)</f>
        <v>GIN004003</v>
      </c>
      <c r="I493" s="57">
        <v>0</v>
      </c>
      <c r="J493" s="67" t="str">
        <f>Main3WData[[#This Row],[Acronym]]&amp;Main3WData[[#This Row],[Sector]]&amp;Main3WData[[#This Row],[Activity Type]]&amp;Main3WData[[#This Row],[Pcode]]</f>
        <v>OMSCommunication/Mobilisation socialeOngoingGIN004003</v>
      </c>
      <c r="K493" s="69">
        <f>COUNTIF(Main3WData[Concatenate],Main3WData[[#This Row],[Concatenate]])</f>
        <v>1</v>
      </c>
      <c r="L493" s="61" t="str">
        <f>Main3WData[[#This Row],[Sector]]&amp;Main3WData[[#This Row],[Pcode]]</f>
        <v>Communication/Mobilisation socialeGIN004003</v>
      </c>
      <c r="M493" s="71">
        <f>COUNTIF($L$5:L493,Main3WData[[#This Row],[PT.Concat]])</f>
        <v>4</v>
      </c>
      <c r="N493" s="70">
        <f>MATCH(Main3WData[[#This Row],[PT.Concat]],$L$5:L493,0)</f>
        <v>486</v>
      </c>
      <c r="O493" s="62" t="b">
        <f>Main3WData[[#This Row],[Count PT.Concat]]=1</f>
        <v>0</v>
      </c>
      <c r="P493" s="62">
        <f t="array" ref="P493">MAX(($N$4:N492=Main3WData[[#This Row],[PT.ID]])*ROW($N$4:N492))</f>
        <v>492</v>
      </c>
      <c r="Q493" s="62" t="str">
        <f>IF(Main3WData[[#This Row],[PT.FirstID]],Main3WData[[#This Row],[Acronym]],INDEX($Q$4:Q492,Main3WData[[#This Row],[PT.LastID.Row]]-ROW($Q$4)+1) &amp; ", "&amp;Main3WData[[#This Row],[Acronym]])</f>
        <v>UNICEF, UNFPA, PLAN, OMS</v>
      </c>
      <c r="R493" s="62" t="b">
        <f t="array" ref="R493">MAX(IF(Main3WData[PT.ID]=Main3WData[[#This Row],[PT.ID]],Main3WData[PT.LastID.Row]))=Main3WData[[#This Row],[PT.LastID.Row]]</f>
        <v>0</v>
      </c>
    </row>
    <row r="494" spans="2:18" s="1" customFormat="1" ht="16.5" customHeight="1" x14ac:dyDescent="0.2">
      <c r="B494" s="55" t="s">
        <v>499</v>
      </c>
      <c r="C494" s="27" t="str">
        <f>INDEX(Organizations[],MATCH(Main3WData[[#This Row],[Acronym]],AcronymList,0),1)</f>
        <v>Croix-Rouge Guinée/Fédération internationale de la Croix-Rouge</v>
      </c>
      <c r="D494" s="27" t="str">
        <f>INDEX(Organizations[],MATCH(Main3WData[[#This Row],[Acronym]],AcronymList,0),3)</f>
        <v>International Organization</v>
      </c>
      <c r="E494" s="54" t="s">
        <v>350</v>
      </c>
      <c r="F494" s="53" t="s">
        <v>82</v>
      </c>
      <c r="G494" s="54" t="s">
        <v>390</v>
      </c>
      <c r="H494" s="28" t="str">
        <f>VLOOKUP(Main3WData[[#This Row],[Admin Unit Name]],AdminUnits[],2,FALSE)</f>
        <v>GIN004003</v>
      </c>
      <c r="I494" s="57">
        <v>0</v>
      </c>
      <c r="J494" s="67" t="str">
        <f>Main3WData[[#This Row],[Acronym]]&amp;Main3WData[[#This Row],[Sector]]&amp;Main3WData[[#This Row],[Activity Type]]&amp;Main3WData[[#This Row],[Pcode]]</f>
        <v>CRG/FICRCommunication/Mobilisation socialeOngoingGIN004003</v>
      </c>
      <c r="K494" s="69">
        <f>COUNTIF(Main3WData[Concatenate],Main3WData[[#This Row],[Concatenate]])</f>
        <v>1</v>
      </c>
      <c r="L494" s="61" t="str">
        <f>Main3WData[[#This Row],[Sector]]&amp;Main3WData[[#This Row],[Pcode]]</f>
        <v>Communication/Mobilisation socialeGIN004003</v>
      </c>
      <c r="M494" s="71">
        <f>COUNTIF($L$5:L494,Main3WData[[#This Row],[PT.Concat]])</f>
        <v>5</v>
      </c>
      <c r="N494" s="70">
        <f>MATCH(Main3WData[[#This Row],[PT.Concat]],$L$5:L494,0)</f>
        <v>486</v>
      </c>
      <c r="O494" s="62" t="b">
        <f>Main3WData[[#This Row],[Count PT.Concat]]=1</f>
        <v>0</v>
      </c>
      <c r="P494" s="62">
        <f t="array" ref="P494">MAX(($N$4:N493=Main3WData[[#This Row],[PT.ID]])*ROW($N$4:N493))</f>
        <v>493</v>
      </c>
      <c r="Q494" s="62" t="str">
        <f>IF(Main3WData[[#This Row],[PT.FirstID]],Main3WData[[#This Row],[Acronym]],INDEX($Q$4:Q493,Main3WData[[#This Row],[PT.LastID.Row]]-ROW($Q$4)+1) &amp; ", "&amp;Main3WData[[#This Row],[Acronym]])</f>
        <v>UNICEF, UNFPA, PLAN, OMS, CRG/FICR</v>
      </c>
      <c r="R494" s="62" t="b">
        <f t="array" ref="R494">MAX(IF(Main3WData[PT.ID]=Main3WData[[#This Row],[PT.ID]],Main3WData[PT.LastID.Row]))=Main3WData[[#This Row],[PT.LastID.Row]]</f>
        <v>1</v>
      </c>
    </row>
    <row r="495" spans="2:18" s="1" customFormat="1" ht="16.5" customHeight="1" x14ac:dyDescent="0.2">
      <c r="B495" s="55" t="s">
        <v>477</v>
      </c>
      <c r="C495" s="27" t="str">
        <f>INDEX(Organizations[],MATCH(Main3WData[[#This Row],[Acronym]],AcronymList,0),1)</f>
        <v>United States Agency for International Development</v>
      </c>
      <c r="D495" s="27" t="str">
        <f>INDEX(Organizations[],MATCH(Main3WData[[#This Row],[Acronym]],AcronymList,0),3)</f>
        <v>Donors</v>
      </c>
      <c r="E495" s="54" t="s">
        <v>360</v>
      </c>
      <c r="F495" s="53" t="s">
        <v>82</v>
      </c>
      <c r="G495" s="54" t="s">
        <v>390</v>
      </c>
      <c r="H495" s="28" t="str">
        <f>VLOOKUP(Main3WData[[#This Row],[Admin Unit Name]],AdminUnits[],2,FALSE)</f>
        <v>GIN004003</v>
      </c>
      <c r="I495" s="57">
        <v>0</v>
      </c>
      <c r="J495" s="67" t="str">
        <f>Main3WData[[#This Row],[Acronym]]&amp;Main3WData[[#This Row],[Sector]]&amp;Main3WData[[#This Row],[Activity Type]]&amp;Main3WData[[#This Row],[Pcode]]</f>
        <v>USAIDCoordinationOngoingGIN004003</v>
      </c>
      <c r="K495" s="69">
        <f>COUNTIF(Main3WData[Concatenate],Main3WData[[#This Row],[Concatenate]])</f>
        <v>1</v>
      </c>
      <c r="L495" s="61" t="str">
        <f>Main3WData[[#This Row],[Sector]]&amp;Main3WData[[#This Row],[Pcode]]</f>
        <v>CoordinationGIN004003</v>
      </c>
      <c r="M495" s="71">
        <f>COUNTIF($L$5:L495,Main3WData[[#This Row],[PT.Concat]])</f>
        <v>1</v>
      </c>
      <c r="N495" s="70">
        <f>MATCH(Main3WData[[#This Row],[PT.Concat]],$L$5:L495,0)</f>
        <v>491</v>
      </c>
      <c r="O495" s="62" t="b">
        <f>Main3WData[[#This Row],[Count PT.Concat]]=1</f>
        <v>1</v>
      </c>
      <c r="P495" s="62">
        <f t="array" ref="P495">MAX(($N$4:N494=Main3WData[[#This Row],[PT.ID]])*ROW($N$4:N494))</f>
        <v>0</v>
      </c>
      <c r="Q495" s="62" t="str">
        <f>IF(Main3WData[[#This Row],[PT.FirstID]],Main3WData[[#This Row],[Acronym]],INDEX($Q$4:Q494,Main3WData[[#This Row],[PT.LastID.Row]]-ROW($Q$4)+1) &amp; ", "&amp;Main3WData[[#This Row],[Acronym]])</f>
        <v>USAID</v>
      </c>
      <c r="R495" s="62" t="b">
        <f t="array" ref="R495">MAX(IF(Main3WData[PT.ID]=Main3WData[[#This Row],[PT.ID]],Main3WData[PT.LastID.Row]))=Main3WData[[#This Row],[PT.LastID.Row]]</f>
        <v>0</v>
      </c>
    </row>
    <row r="496" spans="2:18" s="1" customFormat="1" ht="16.5" customHeight="1" x14ac:dyDescent="0.2">
      <c r="B496" s="55" t="s">
        <v>516</v>
      </c>
      <c r="C496" s="27" t="str">
        <f>INDEX(Organizations[],MATCH(Main3WData[[#This Row],[Acronym]],AcronymList,0),1)</f>
        <v>UNITED NATION MISSION FOR EBOLA  EMERGENCY RESPONSE</v>
      </c>
      <c r="D496" s="27" t="str">
        <f>INDEX(Organizations[],MATCH(Main3WData[[#This Row],[Acronym]],AcronymList,0),3)</f>
        <v>UN Agency</v>
      </c>
      <c r="E496" s="54" t="s">
        <v>360</v>
      </c>
      <c r="F496" s="53" t="s">
        <v>82</v>
      </c>
      <c r="G496" s="54" t="s">
        <v>390</v>
      </c>
      <c r="H496" s="28" t="str">
        <f>VLOOKUP(Main3WData[[#This Row],[Admin Unit Name]],AdminUnits[],2,FALSE)</f>
        <v>GIN004003</v>
      </c>
      <c r="I496" s="57">
        <v>0</v>
      </c>
      <c r="J496" s="67" t="str">
        <f>Main3WData[[#This Row],[Acronym]]&amp;Main3WData[[#This Row],[Sector]]&amp;Main3WData[[#This Row],[Activity Type]]&amp;Main3WData[[#This Row],[Pcode]]</f>
        <v>UNMEERCoordinationOngoingGIN004003</v>
      </c>
      <c r="K496" s="69">
        <f>COUNTIF(Main3WData[Concatenate],Main3WData[[#This Row],[Concatenate]])</f>
        <v>1</v>
      </c>
      <c r="L496" s="61" t="str">
        <f>Main3WData[[#This Row],[Sector]]&amp;Main3WData[[#This Row],[Pcode]]</f>
        <v>CoordinationGIN004003</v>
      </c>
      <c r="M496" s="71">
        <f>COUNTIF($L$5:L496,Main3WData[[#This Row],[PT.Concat]])</f>
        <v>2</v>
      </c>
      <c r="N496" s="70">
        <f>MATCH(Main3WData[[#This Row],[PT.Concat]],$L$5:L496,0)</f>
        <v>491</v>
      </c>
      <c r="O496" s="62" t="b">
        <f>Main3WData[[#This Row],[Count PT.Concat]]=1</f>
        <v>0</v>
      </c>
      <c r="P496" s="62">
        <f t="array" ref="P496">MAX(($N$4:N495=Main3WData[[#This Row],[PT.ID]])*ROW($N$4:N495))</f>
        <v>495</v>
      </c>
      <c r="Q496" s="62" t="str">
        <f>IF(Main3WData[[#This Row],[PT.FirstID]],Main3WData[[#This Row],[Acronym]],INDEX($Q$4:Q495,Main3WData[[#This Row],[PT.LastID.Row]]-ROW($Q$4)+1) &amp; ", "&amp;Main3WData[[#This Row],[Acronym]])</f>
        <v>USAID, UNMEER</v>
      </c>
      <c r="R496" s="62" t="b">
        <f t="array" ref="R496">MAX(IF(Main3WData[PT.ID]=Main3WData[[#This Row],[PT.ID]],Main3WData[PT.LastID.Row]))=Main3WData[[#This Row],[PT.LastID.Row]]</f>
        <v>0</v>
      </c>
    </row>
    <row r="497" spans="2:18" s="1" customFormat="1" ht="16.5" customHeight="1" x14ac:dyDescent="0.2">
      <c r="B497" s="55" t="s">
        <v>75</v>
      </c>
      <c r="C497" s="27" t="str">
        <f>INDEX(Organizations[],MATCH(Main3WData[[#This Row],[Acronym]],AcronymList,0),1)</f>
        <v>United Nations Population Fund</v>
      </c>
      <c r="D497" s="27" t="str">
        <f>INDEX(Organizations[],MATCH(Main3WData[[#This Row],[Acronym]],AcronymList,0),3)</f>
        <v>UN Agency</v>
      </c>
      <c r="E497" s="54" t="s">
        <v>360</v>
      </c>
      <c r="F497" s="53" t="s">
        <v>82</v>
      </c>
      <c r="G497" s="54" t="s">
        <v>390</v>
      </c>
      <c r="H497" s="28" t="str">
        <f>VLOOKUP(Main3WData[[#This Row],[Admin Unit Name]],AdminUnits[],2,FALSE)</f>
        <v>GIN004003</v>
      </c>
      <c r="I497" s="57">
        <v>0</v>
      </c>
      <c r="J497" s="67" t="str">
        <f>Main3WData[[#This Row],[Acronym]]&amp;Main3WData[[#This Row],[Sector]]&amp;Main3WData[[#This Row],[Activity Type]]&amp;Main3WData[[#This Row],[Pcode]]</f>
        <v>UNFPACoordinationOngoingGIN004003</v>
      </c>
      <c r="K497" s="69">
        <f>COUNTIF(Main3WData[Concatenate],Main3WData[[#This Row],[Concatenate]])</f>
        <v>1</v>
      </c>
      <c r="L497" s="61" t="str">
        <f>Main3WData[[#This Row],[Sector]]&amp;Main3WData[[#This Row],[Pcode]]</f>
        <v>CoordinationGIN004003</v>
      </c>
      <c r="M497" s="71">
        <f>COUNTIF($L$5:L497,Main3WData[[#This Row],[PT.Concat]])</f>
        <v>3</v>
      </c>
      <c r="N497" s="70">
        <f>MATCH(Main3WData[[#This Row],[PT.Concat]],$L$5:L497,0)</f>
        <v>491</v>
      </c>
      <c r="O497" s="62" t="b">
        <f>Main3WData[[#This Row],[Count PT.Concat]]=1</f>
        <v>0</v>
      </c>
      <c r="P497" s="62">
        <f t="array" ref="P497">MAX(($N$4:N496=Main3WData[[#This Row],[PT.ID]])*ROW($N$4:N496))</f>
        <v>496</v>
      </c>
      <c r="Q497" s="62" t="str">
        <f>IF(Main3WData[[#This Row],[PT.FirstID]],Main3WData[[#This Row],[Acronym]],INDEX($Q$4:Q496,Main3WData[[#This Row],[PT.LastID.Row]]-ROW($Q$4)+1) &amp; ", "&amp;Main3WData[[#This Row],[Acronym]])</f>
        <v>USAID, UNMEER, UNFPA</v>
      </c>
      <c r="R497" s="62" t="b">
        <f t="array" ref="R497">MAX(IF(Main3WData[PT.ID]=Main3WData[[#This Row],[PT.ID]],Main3WData[PT.LastID.Row]))=Main3WData[[#This Row],[PT.LastID.Row]]</f>
        <v>0</v>
      </c>
    </row>
    <row r="498" spans="2:18" s="1" customFormat="1" ht="16.5" customHeight="1" x14ac:dyDescent="0.2">
      <c r="B498" s="55" t="s">
        <v>473</v>
      </c>
      <c r="C498" s="27" t="str">
        <f>INDEX(Organizations[],MATCH(Main3WData[[#This Row],[Acronym]],AcronymList,0),1)</f>
        <v>United Nations Development Programme</v>
      </c>
      <c r="D498" s="27" t="str">
        <f>INDEX(Organizations[],MATCH(Main3WData[[#This Row],[Acronym]],AcronymList,0),3)</f>
        <v>UN Agency</v>
      </c>
      <c r="E498" s="54" t="s">
        <v>360</v>
      </c>
      <c r="F498" s="53" t="s">
        <v>82</v>
      </c>
      <c r="G498" s="54" t="s">
        <v>390</v>
      </c>
      <c r="H498" s="28" t="str">
        <f>VLOOKUP(Main3WData[[#This Row],[Admin Unit Name]],AdminUnits[],2,FALSE)</f>
        <v>GIN004003</v>
      </c>
      <c r="I498" s="57">
        <v>0</v>
      </c>
      <c r="J498" s="67" t="str">
        <f>Main3WData[[#This Row],[Acronym]]&amp;Main3WData[[#This Row],[Sector]]&amp;Main3WData[[#This Row],[Activity Type]]&amp;Main3WData[[#This Row],[Pcode]]</f>
        <v>UNDPCoordinationOngoingGIN004003</v>
      </c>
      <c r="K498" s="69">
        <f>COUNTIF(Main3WData[Concatenate],Main3WData[[#This Row],[Concatenate]])</f>
        <v>1</v>
      </c>
      <c r="L498" s="61" t="str">
        <f>Main3WData[[#This Row],[Sector]]&amp;Main3WData[[#This Row],[Pcode]]</f>
        <v>CoordinationGIN004003</v>
      </c>
      <c r="M498" s="71">
        <f>COUNTIF($L$5:L498,Main3WData[[#This Row],[PT.Concat]])</f>
        <v>4</v>
      </c>
      <c r="N498" s="70">
        <f>MATCH(Main3WData[[#This Row],[PT.Concat]],$L$5:L498,0)</f>
        <v>491</v>
      </c>
      <c r="O498" s="62" t="b">
        <f>Main3WData[[#This Row],[Count PT.Concat]]=1</f>
        <v>0</v>
      </c>
      <c r="P498" s="62">
        <f t="array" ref="P498">MAX(($N$4:N497=Main3WData[[#This Row],[PT.ID]])*ROW($N$4:N497))</f>
        <v>497</v>
      </c>
      <c r="Q498" s="62" t="str">
        <f>IF(Main3WData[[#This Row],[PT.FirstID]],Main3WData[[#This Row],[Acronym]],INDEX($Q$4:Q497,Main3WData[[#This Row],[PT.LastID.Row]]-ROW($Q$4)+1) &amp; ", "&amp;Main3WData[[#This Row],[Acronym]])</f>
        <v>USAID, UNMEER, UNFPA, UNDP</v>
      </c>
      <c r="R498" s="62" t="b">
        <f t="array" ref="R498">MAX(IF(Main3WData[PT.ID]=Main3WData[[#This Row],[PT.ID]],Main3WData[PT.LastID.Row]))=Main3WData[[#This Row],[PT.LastID.Row]]</f>
        <v>0</v>
      </c>
    </row>
    <row r="499" spans="2:18" s="1" customFormat="1" ht="16.5" customHeight="1" x14ac:dyDescent="0.2">
      <c r="B499" s="55" t="s">
        <v>523</v>
      </c>
      <c r="C499" s="27" t="str">
        <f>INDEX(Organizations[],MATCH(Main3WData[[#This Row],[Acronym]],AcronymList,0),1)</f>
        <v>Save the Children</v>
      </c>
      <c r="D499" s="27" t="str">
        <f>INDEX(Organizations[],MATCH(Main3WData[[#This Row],[Acronym]],AcronymList,0),3)</f>
        <v>International NGO</v>
      </c>
      <c r="E499" s="54" t="s">
        <v>360</v>
      </c>
      <c r="F499" s="53" t="s">
        <v>82</v>
      </c>
      <c r="G499" s="54" t="s">
        <v>390</v>
      </c>
      <c r="H499" s="28" t="str">
        <f>VLOOKUP(Main3WData[[#This Row],[Admin Unit Name]],AdminUnits[],2,FALSE)</f>
        <v>GIN004003</v>
      </c>
      <c r="I499" s="57">
        <v>0</v>
      </c>
      <c r="J499" s="67" t="str">
        <f>Main3WData[[#This Row],[Acronym]]&amp;Main3WData[[#This Row],[Sector]]&amp;Main3WData[[#This Row],[Activity Type]]&amp;Main3WData[[#This Row],[Pcode]]</f>
        <v>save the childrenCoordinationOngoingGIN004003</v>
      </c>
      <c r="K499" s="69">
        <f>COUNTIF(Main3WData[Concatenate],Main3WData[[#This Row],[Concatenate]])</f>
        <v>1</v>
      </c>
      <c r="L499" s="61" t="str">
        <f>Main3WData[[#This Row],[Sector]]&amp;Main3WData[[#This Row],[Pcode]]</f>
        <v>CoordinationGIN004003</v>
      </c>
      <c r="M499" s="71">
        <f>COUNTIF($L$5:L499,Main3WData[[#This Row],[PT.Concat]])</f>
        <v>5</v>
      </c>
      <c r="N499" s="70">
        <f>MATCH(Main3WData[[#This Row],[PT.Concat]],$L$5:L499,0)</f>
        <v>491</v>
      </c>
      <c r="O499" s="62" t="b">
        <f>Main3WData[[#This Row],[Count PT.Concat]]=1</f>
        <v>0</v>
      </c>
      <c r="P499" s="62">
        <f t="array" ref="P499">MAX(($N$4:N498=Main3WData[[#This Row],[PT.ID]])*ROW($N$4:N498))</f>
        <v>498</v>
      </c>
      <c r="Q499" s="62" t="str">
        <f>IF(Main3WData[[#This Row],[PT.FirstID]],Main3WData[[#This Row],[Acronym]],INDEX($Q$4:Q498,Main3WData[[#This Row],[PT.LastID.Row]]-ROW($Q$4)+1) &amp; ", "&amp;Main3WData[[#This Row],[Acronym]])</f>
        <v>USAID, UNMEER, UNFPA, UNDP, save the children</v>
      </c>
      <c r="R499" s="62" t="b">
        <f t="array" ref="R499">MAX(IF(Main3WData[PT.ID]=Main3WData[[#This Row],[PT.ID]],Main3WData[PT.LastID.Row]))=Main3WData[[#This Row],[PT.LastID.Row]]</f>
        <v>0</v>
      </c>
    </row>
    <row r="500" spans="2:18" s="1" customFormat="1" ht="16.5" customHeight="1" x14ac:dyDescent="0.2">
      <c r="B500" s="55" t="s">
        <v>512</v>
      </c>
      <c r="C500" s="27" t="str">
        <f>INDEX(Organizations[],MATCH(Main3WData[[#This Row],[Acronym]],AcronymList,0),1)</f>
        <v>World Health Organization</v>
      </c>
      <c r="D500" s="27" t="str">
        <f>INDEX(Organizations[],MATCH(Main3WData[[#This Row],[Acronym]],AcronymList,0),3)</f>
        <v>UN Agency</v>
      </c>
      <c r="E500" s="54" t="s">
        <v>360</v>
      </c>
      <c r="F500" s="53" t="s">
        <v>82</v>
      </c>
      <c r="G500" s="54" t="s">
        <v>390</v>
      </c>
      <c r="H500" s="28" t="str">
        <f>VLOOKUP(Main3WData[[#This Row],[Admin Unit Name]],AdminUnits[],2,FALSE)</f>
        <v>GIN004003</v>
      </c>
      <c r="I500" s="57">
        <v>0</v>
      </c>
      <c r="J500" s="67" t="str">
        <f>Main3WData[[#This Row],[Acronym]]&amp;Main3WData[[#This Row],[Sector]]&amp;Main3WData[[#This Row],[Activity Type]]&amp;Main3WData[[#This Row],[Pcode]]</f>
        <v>OMSCoordinationOngoingGIN004003</v>
      </c>
      <c r="K500" s="69">
        <f>COUNTIF(Main3WData[Concatenate],Main3WData[[#This Row],[Concatenate]])</f>
        <v>1</v>
      </c>
      <c r="L500" s="61" t="str">
        <f>Main3WData[[#This Row],[Sector]]&amp;Main3WData[[#This Row],[Pcode]]</f>
        <v>CoordinationGIN004003</v>
      </c>
      <c r="M500" s="71">
        <f>COUNTIF($L$5:L500,Main3WData[[#This Row],[PT.Concat]])</f>
        <v>6</v>
      </c>
      <c r="N500" s="70">
        <f>MATCH(Main3WData[[#This Row],[PT.Concat]],$L$5:L500,0)</f>
        <v>491</v>
      </c>
      <c r="O500" s="62" t="b">
        <f>Main3WData[[#This Row],[Count PT.Concat]]=1</f>
        <v>0</v>
      </c>
      <c r="P500" s="62">
        <f t="array" ref="P500">MAX(($N$4:N499=Main3WData[[#This Row],[PT.ID]])*ROW($N$4:N499))</f>
        <v>499</v>
      </c>
      <c r="Q500" s="62" t="str">
        <f>IF(Main3WData[[#This Row],[PT.FirstID]],Main3WData[[#This Row],[Acronym]],INDEX($Q$4:Q499,Main3WData[[#This Row],[PT.LastID.Row]]-ROW($Q$4)+1) &amp; ", "&amp;Main3WData[[#This Row],[Acronym]])</f>
        <v>USAID, UNMEER, UNFPA, UNDP, save the children, OMS</v>
      </c>
      <c r="R500" s="62" t="b">
        <f t="array" ref="R500">MAX(IF(Main3WData[PT.ID]=Main3WData[[#This Row],[PT.ID]],Main3WData[PT.LastID.Row]))=Main3WData[[#This Row],[PT.LastID.Row]]</f>
        <v>0</v>
      </c>
    </row>
    <row r="501" spans="2:18" ht="16.5" customHeight="1" x14ac:dyDescent="0.2">
      <c r="B501" s="55" t="s">
        <v>71</v>
      </c>
      <c r="C501" s="27" t="str">
        <f>INDEX(Organizations[],MATCH(Main3WData[[#This Row],[Acronym]],AcronymList,0),1)</f>
        <v>Medecins sans Frontieres</v>
      </c>
      <c r="D501" s="27" t="str">
        <f>INDEX(Organizations[],MATCH(Main3WData[[#This Row],[Acronym]],AcronymList,0),3)</f>
        <v>International NGO</v>
      </c>
      <c r="E501" s="54" t="s">
        <v>360</v>
      </c>
      <c r="F501" s="53" t="s">
        <v>82</v>
      </c>
      <c r="G501" s="54" t="s">
        <v>390</v>
      </c>
      <c r="H501" s="28" t="str">
        <f>VLOOKUP(Main3WData[[#This Row],[Admin Unit Name]],AdminUnits[],2,FALSE)</f>
        <v>GIN004003</v>
      </c>
      <c r="I501" s="57">
        <v>0</v>
      </c>
      <c r="J501" s="67" t="str">
        <f>Main3WData[[#This Row],[Acronym]]&amp;Main3WData[[#This Row],[Sector]]&amp;Main3WData[[#This Row],[Activity Type]]&amp;Main3WData[[#This Row],[Pcode]]</f>
        <v>MSFCoordinationOngoingGIN004003</v>
      </c>
      <c r="K501" s="69">
        <f>COUNTIF(Main3WData[Concatenate],Main3WData[[#This Row],[Concatenate]])</f>
        <v>1</v>
      </c>
      <c r="L501" s="61" t="str">
        <f>Main3WData[[#This Row],[Sector]]&amp;Main3WData[[#This Row],[Pcode]]</f>
        <v>CoordinationGIN004003</v>
      </c>
      <c r="M501" s="71">
        <f>COUNTIF($L$5:L501,Main3WData[[#This Row],[PT.Concat]])</f>
        <v>7</v>
      </c>
      <c r="N501" s="70">
        <f>MATCH(Main3WData[[#This Row],[PT.Concat]],$L$5:L501,0)</f>
        <v>491</v>
      </c>
      <c r="O501" s="62" t="b">
        <f>Main3WData[[#This Row],[Count PT.Concat]]=1</f>
        <v>0</v>
      </c>
      <c r="P501" s="62">
        <f t="array" ref="P501">MAX(($N$4:N500=Main3WData[[#This Row],[PT.ID]])*ROW($N$4:N500))</f>
        <v>500</v>
      </c>
      <c r="Q501" s="62" t="str">
        <f>IF(Main3WData[[#This Row],[PT.FirstID]],Main3WData[[#This Row],[Acronym]],INDEX($Q$4:Q500,Main3WData[[#This Row],[PT.LastID.Row]]-ROW($Q$4)+1) &amp; ", "&amp;Main3WData[[#This Row],[Acronym]])</f>
        <v>USAID, UNMEER, UNFPA, UNDP, save the children, OMS, MSF</v>
      </c>
      <c r="R501" s="62" t="b">
        <f t="array" ref="R501">MAX(IF(Main3WData[PT.ID]=Main3WData[[#This Row],[PT.ID]],Main3WData[PT.LastID.Row]))=Main3WData[[#This Row],[PT.LastID.Row]]</f>
        <v>0</v>
      </c>
    </row>
    <row r="502" spans="2:18" ht="16.5" customHeight="1" x14ac:dyDescent="0.2">
      <c r="B502" s="55" t="s">
        <v>507</v>
      </c>
      <c r="C502" s="27" t="str">
        <f>INDEX(Organizations[],MATCH(Main3WData[[#This Row],[Acronym]],AcronymList,0),1)</f>
        <v>eHealth Africa</v>
      </c>
      <c r="D502" s="27" t="str">
        <f>INDEX(Organizations[],MATCH(Main3WData[[#This Row],[Acronym]],AcronymList,0),3)</f>
        <v>International Organization</v>
      </c>
      <c r="E502" s="54" t="s">
        <v>360</v>
      </c>
      <c r="F502" s="53" t="s">
        <v>82</v>
      </c>
      <c r="G502" s="54" t="s">
        <v>390</v>
      </c>
      <c r="H502" s="28" t="str">
        <f>VLOOKUP(Main3WData[[#This Row],[Admin Unit Name]],AdminUnits[],2,FALSE)</f>
        <v>GIN004003</v>
      </c>
      <c r="I502" s="57">
        <v>0</v>
      </c>
      <c r="J502" s="67" t="str">
        <f>Main3WData[[#This Row],[Acronym]]&amp;Main3WData[[#This Row],[Sector]]&amp;Main3WData[[#This Row],[Activity Type]]&amp;Main3WData[[#This Row],[Pcode]]</f>
        <v>eHealth AfricaCoordinationOngoingGIN004003</v>
      </c>
      <c r="K502" s="69">
        <f>COUNTIF(Main3WData[Concatenate],Main3WData[[#This Row],[Concatenate]])</f>
        <v>1</v>
      </c>
      <c r="L502" s="61" t="str">
        <f>Main3WData[[#This Row],[Sector]]&amp;Main3WData[[#This Row],[Pcode]]</f>
        <v>CoordinationGIN004003</v>
      </c>
      <c r="M502" s="71">
        <f>COUNTIF($L$5:L502,Main3WData[[#This Row],[PT.Concat]])</f>
        <v>8</v>
      </c>
      <c r="N502" s="70">
        <f>MATCH(Main3WData[[#This Row],[PT.Concat]],$L$5:L502,0)</f>
        <v>491</v>
      </c>
      <c r="O502" s="62" t="b">
        <f>Main3WData[[#This Row],[Count PT.Concat]]=1</f>
        <v>0</v>
      </c>
      <c r="P502" s="62">
        <f t="array" ref="P502">MAX(($N$4:N501=Main3WData[[#This Row],[PT.ID]])*ROW($N$4:N501))</f>
        <v>501</v>
      </c>
      <c r="Q502" s="62" t="str">
        <f>IF(Main3WData[[#This Row],[PT.FirstID]],Main3WData[[#This Row],[Acronym]],INDEX($Q$4:Q501,Main3WData[[#This Row],[PT.LastID.Row]]-ROW($Q$4)+1) &amp; ", "&amp;Main3WData[[#This Row],[Acronym]])</f>
        <v>USAID, UNMEER, UNFPA, UNDP, save the children, OMS, MSF, eHealth Africa</v>
      </c>
      <c r="R502" s="62" t="b">
        <f t="array" ref="R502">MAX(IF(Main3WData[PT.ID]=Main3WData[[#This Row],[PT.ID]],Main3WData[PT.LastID.Row]))=Main3WData[[#This Row],[PT.LastID.Row]]</f>
        <v>1</v>
      </c>
    </row>
    <row r="503" spans="2:18" ht="16.5" customHeight="1" x14ac:dyDescent="0.2">
      <c r="B503" s="55" t="s">
        <v>473</v>
      </c>
      <c r="C503" s="27" t="str">
        <f>INDEX(Organizations[],MATCH(Main3WData[[#This Row],[Acronym]],AcronymList,0),1)</f>
        <v>United Nations Development Programme</v>
      </c>
      <c r="D503" s="27" t="str">
        <f>INDEX(Organizations[],MATCH(Main3WData[[#This Row],[Acronym]],AcronymList,0),3)</f>
        <v>UN Agency</v>
      </c>
      <c r="E503" s="54" t="s">
        <v>359</v>
      </c>
      <c r="F503" s="53" t="s">
        <v>82</v>
      </c>
      <c r="G503" s="54" t="s">
        <v>390</v>
      </c>
      <c r="H503" s="28" t="str">
        <f>VLOOKUP(Main3WData[[#This Row],[Admin Unit Name]],AdminUnits[],2,FALSE)</f>
        <v>GIN004003</v>
      </c>
      <c r="I503" s="57">
        <v>0</v>
      </c>
      <c r="J503" s="67" t="str">
        <f>Main3WData[[#This Row],[Acronym]]&amp;Main3WData[[#This Row],[Sector]]&amp;Main3WData[[#This Row],[Activity Type]]&amp;Main3WData[[#This Row],[Pcode]]</f>
        <v>UNDPFinanceOngoingGIN004003</v>
      </c>
      <c r="K503" s="69">
        <f>COUNTIF(Main3WData[Concatenate],Main3WData[[#This Row],[Concatenate]])</f>
        <v>1</v>
      </c>
      <c r="L503" s="61" t="str">
        <f>Main3WData[[#This Row],[Sector]]&amp;Main3WData[[#This Row],[Pcode]]</f>
        <v>FinanceGIN004003</v>
      </c>
      <c r="M503" s="71">
        <f>COUNTIF($L$5:L503,Main3WData[[#This Row],[PT.Concat]])</f>
        <v>1</v>
      </c>
      <c r="N503" s="70">
        <f>MATCH(Main3WData[[#This Row],[PT.Concat]],$L$5:L503,0)</f>
        <v>499</v>
      </c>
      <c r="O503" s="62" t="b">
        <f>Main3WData[[#This Row],[Count PT.Concat]]=1</f>
        <v>1</v>
      </c>
      <c r="P503" s="62">
        <f t="array" ref="P503">MAX(($N$4:N502=Main3WData[[#This Row],[PT.ID]])*ROW($N$4:N502))</f>
        <v>0</v>
      </c>
      <c r="Q503" s="62" t="str">
        <f>IF(Main3WData[[#This Row],[PT.FirstID]],Main3WData[[#This Row],[Acronym]],INDEX($Q$4:Q502,Main3WData[[#This Row],[PT.LastID.Row]]-ROW($Q$4)+1) &amp; ", "&amp;Main3WData[[#This Row],[Acronym]])</f>
        <v>UNDP</v>
      </c>
      <c r="R503" s="62" t="b">
        <f t="array" ref="R503">MAX(IF(Main3WData[PT.ID]=Main3WData[[#This Row],[PT.ID]],Main3WData[PT.LastID.Row]))=Main3WData[[#This Row],[PT.LastID.Row]]</f>
        <v>1</v>
      </c>
    </row>
    <row r="504" spans="2:18" ht="16.5" customHeight="1" x14ac:dyDescent="0.2">
      <c r="B504" s="55" t="s">
        <v>451</v>
      </c>
      <c r="C504" s="27" t="str">
        <f>INDEX(Organizations[],MATCH(Main3WData[[#This Row],[Acronym]],AcronymList,0),1)</f>
        <v>Croix-Rouge Guinée</v>
      </c>
      <c r="D504" s="27" t="str">
        <f>INDEX(Organizations[],MATCH(Main3WData[[#This Row],[Acronym]],AcronymList,0),3)</f>
        <v>Red Cross Movement</v>
      </c>
      <c r="E504" s="54" t="s">
        <v>354</v>
      </c>
      <c r="F504" s="53" t="s">
        <v>82</v>
      </c>
      <c r="G504" s="54" t="s">
        <v>390</v>
      </c>
      <c r="H504" s="28" t="str">
        <f>VLOOKUP(Main3WData[[#This Row],[Admin Unit Name]],AdminUnits[],2,FALSE)</f>
        <v>GIN004003</v>
      </c>
      <c r="I504" s="57">
        <v>0</v>
      </c>
      <c r="J504" s="67" t="str">
        <f>Main3WData[[#This Row],[Acronym]]&amp;Main3WData[[#This Row],[Sector]]&amp;Main3WData[[#This Row],[Activity Type]]&amp;Main3WData[[#This Row],[Pcode]]</f>
        <v>CRGGestion des corps et desinfectionOngoingGIN004003</v>
      </c>
      <c r="K504" s="69">
        <f>COUNTIF(Main3WData[Concatenate],Main3WData[[#This Row],[Concatenate]])</f>
        <v>1</v>
      </c>
      <c r="L504" s="61" t="str">
        <f>Main3WData[[#This Row],[Sector]]&amp;Main3WData[[#This Row],[Pcode]]</f>
        <v>Gestion des corps et desinfectionGIN004003</v>
      </c>
      <c r="M504" s="71">
        <f>COUNTIF($L$5:L504,Main3WData[[#This Row],[PT.Concat]])</f>
        <v>1</v>
      </c>
      <c r="N504" s="70">
        <f>MATCH(Main3WData[[#This Row],[PT.Concat]],$L$5:L504,0)</f>
        <v>500</v>
      </c>
      <c r="O504" s="62" t="b">
        <f>Main3WData[[#This Row],[Count PT.Concat]]=1</f>
        <v>1</v>
      </c>
      <c r="P504" s="62">
        <f t="array" ref="P504">MAX(($N$4:N503=Main3WData[[#This Row],[PT.ID]])*ROW($N$4:N503))</f>
        <v>0</v>
      </c>
      <c r="Q504" s="62" t="str">
        <f>IF(Main3WData[[#This Row],[PT.FirstID]],Main3WData[[#This Row],[Acronym]],INDEX($Q$4:Q503,Main3WData[[#This Row],[PT.LastID.Row]]-ROW($Q$4)+1) &amp; ", "&amp;Main3WData[[#This Row],[Acronym]])</f>
        <v>CRG</v>
      </c>
      <c r="R504" s="62" t="b">
        <f t="array" ref="R504">MAX(IF(Main3WData[PT.ID]=Main3WData[[#This Row],[PT.ID]],Main3WData[PT.LastID.Row]))=Main3WData[[#This Row],[PT.LastID.Row]]</f>
        <v>1</v>
      </c>
    </row>
    <row r="505" spans="2:18" ht="16.5" customHeight="1" x14ac:dyDescent="0.2">
      <c r="B505" s="55" t="s">
        <v>516</v>
      </c>
      <c r="C505" s="27" t="str">
        <f>INDEX(Organizations[],MATCH(Main3WData[[#This Row],[Acronym]],AcronymList,0),1)</f>
        <v>UNITED NATION MISSION FOR EBOLA  EMERGENCY RESPONSE</v>
      </c>
      <c r="D505" s="27" t="str">
        <f>INDEX(Organizations[],MATCH(Main3WData[[#This Row],[Acronym]],AcronymList,0),3)</f>
        <v>UN Agency</v>
      </c>
      <c r="E505" s="54" t="s">
        <v>356</v>
      </c>
      <c r="F505" s="53" t="s">
        <v>82</v>
      </c>
      <c r="G505" s="54" t="s">
        <v>390</v>
      </c>
      <c r="H505" s="28" t="str">
        <f>VLOOKUP(Main3WData[[#This Row],[Admin Unit Name]],AdminUnits[],2,FALSE)</f>
        <v>GIN004003</v>
      </c>
      <c r="I505" s="57">
        <v>0</v>
      </c>
      <c r="J505" s="67" t="str">
        <f>Main3WData[[#This Row],[Acronym]]&amp;Main3WData[[#This Row],[Sector]]&amp;Main3WData[[#This Row],[Activity Type]]&amp;Main3WData[[#This Row],[Pcode]]</f>
        <v>UNMEERGestion des donnéesOngoingGIN004003</v>
      </c>
      <c r="K505" s="69">
        <f>COUNTIF(Main3WData[Concatenate],Main3WData[[#This Row],[Concatenate]])</f>
        <v>1</v>
      </c>
      <c r="L505" s="61" t="str">
        <f>Main3WData[[#This Row],[Sector]]&amp;Main3WData[[#This Row],[Pcode]]</f>
        <v>Gestion des donnéesGIN004003</v>
      </c>
      <c r="M505" s="71">
        <f>COUNTIF($L$5:L505,Main3WData[[#This Row],[PT.Concat]])</f>
        <v>1</v>
      </c>
      <c r="N505" s="70">
        <f>MATCH(Main3WData[[#This Row],[PT.Concat]],$L$5:L505,0)</f>
        <v>501</v>
      </c>
      <c r="O505" s="62" t="b">
        <f>Main3WData[[#This Row],[Count PT.Concat]]=1</f>
        <v>1</v>
      </c>
      <c r="P505" s="62">
        <f t="array" ref="P505">MAX(($N$4:N504=Main3WData[[#This Row],[PT.ID]])*ROW($N$4:N504))</f>
        <v>0</v>
      </c>
      <c r="Q505" s="62" t="str">
        <f>IF(Main3WData[[#This Row],[PT.FirstID]],Main3WData[[#This Row],[Acronym]],INDEX($Q$4:Q504,Main3WData[[#This Row],[PT.LastID.Row]]-ROW($Q$4)+1) &amp; ", "&amp;Main3WData[[#This Row],[Acronym]])</f>
        <v>UNMEER</v>
      </c>
      <c r="R505" s="62" t="b">
        <f t="array" ref="R505">MAX(IF(Main3WData[PT.ID]=Main3WData[[#This Row],[PT.ID]],Main3WData[PT.LastID.Row]))=Main3WData[[#This Row],[PT.LastID.Row]]</f>
        <v>0</v>
      </c>
    </row>
    <row r="506" spans="2:18" ht="16.5" customHeight="1" x14ac:dyDescent="0.2">
      <c r="B506" s="55" t="s">
        <v>512</v>
      </c>
      <c r="C506" s="27" t="str">
        <f>INDEX(Organizations[],MATCH(Main3WData[[#This Row],[Acronym]],AcronymList,0),1)</f>
        <v>World Health Organization</v>
      </c>
      <c r="D506" s="27" t="str">
        <f>INDEX(Organizations[],MATCH(Main3WData[[#This Row],[Acronym]],AcronymList,0),3)</f>
        <v>UN Agency</v>
      </c>
      <c r="E506" s="54" t="s">
        <v>356</v>
      </c>
      <c r="F506" s="53" t="s">
        <v>82</v>
      </c>
      <c r="G506" s="54" t="s">
        <v>390</v>
      </c>
      <c r="H506" s="28" t="str">
        <f>VLOOKUP(Main3WData[[#This Row],[Admin Unit Name]],AdminUnits[],2,FALSE)</f>
        <v>GIN004003</v>
      </c>
      <c r="I506" s="57">
        <v>0</v>
      </c>
      <c r="J506" s="67" t="str">
        <f>Main3WData[[#This Row],[Acronym]]&amp;Main3WData[[#This Row],[Sector]]&amp;Main3WData[[#This Row],[Activity Type]]&amp;Main3WData[[#This Row],[Pcode]]</f>
        <v>OMSGestion des donnéesOngoingGIN004003</v>
      </c>
      <c r="K506" s="69">
        <f>COUNTIF(Main3WData[Concatenate],Main3WData[[#This Row],[Concatenate]])</f>
        <v>1</v>
      </c>
      <c r="L506" s="61" t="str">
        <f>Main3WData[[#This Row],[Sector]]&amp;Main3WData[[#This Row],[Pcode]]</f>
        <v>Gestion des donnéesGIN004003</v>
      </c>
      <c r="M506" s="71">
        <f>COUNTIF($L$5:L506,Main3WData[[#This Row],[PT.Concat]])</f>
        <v>2</v>
      </c>
      <c r="N506" s="70">
        <f>MATCH(Main3WData[[#This Row],[PT.Concat]],$L$5:L506,0)</f>
        <v>501</v>
      </c>
      <c r="O506" s="62" t="b">
        <f>Main3WData[[#This Row],[Count PT.Concat]]=1</f>
        <v>0</v>
      </c>
      <c r="P506" s="62">
        <f t="array" ref="P506">MAX(($N$4:N505=Main3WData[[#This Row],[PT.ID]])*ROW($N$4:N505))</f>
        <v>505</v>
      </c>
      <c r="Q506" s="62" t="str">
        <f>IF(Main3WData[[#This Row],[PT.FirstID]],Main3WData[[#This Row],[Acronym]],INDEX($Q$4:Q505,Main3WData[[#This Row],[PT.LastID.Row]]-ROW($Q$4)+1) &amp; ", "&amp;Main3WData[[#This Row],[Acronym]])</f>
        <v>UNMEER, OMS</v>
      </c>
      <c r="R506" s="62" t="b">
        <f t="array" ref="R506">MAX(IF(Main3WData[PT.ID]=Main3WData[[#This Row],[PT.ID]],Main3WData[PT.LastID.Row]))=Main3WData[[#This Row],[PT.LastID.Row]]</f>
        <v>1</v>
      </c>
    </row>
    <row r="507" spans="2:18" ht="16.5" customHeight="1" x14ac:dyDescent="0.2">
      <c r="B507" s="55" t="s">
        <v>512</v>
      </c>
      <c r="C507" s="27" t="str">
        <f>INDEX(Organizations[],MATCH(Main3WData[[#This Row],[Acronym]],AcronymList,0),1)</f>
        <v>World Health Organization</v>
      </c>
      <c r="D507" s="27" t="str">
        <f>INDEX(Organizations[],MATCH(Main3WData[[#This Row],[Acronym]],AcronymList,0),3)</f>
        <v>UN Agency</v>
      </c>
      <c r="E507" s="54" t="s">
        <v>358</v>
      </c>
      <c r="F507" s="53" t="s">
        <v>82</v>
      </c>
      <c r="G507" s="54" t="s">
        <v>390</v>
      </c>
      <c r="H507" s="28" t="str">
        <f>VLOOKUP(Main3WData[[#This Row],[Admin Unit Name]],AdminUnits[],2,FALSE)</f>
        <v>GIN004003</v>
      </c>
      <c r="I507" s="57">
        <v>0</v>
      </c>
      <c r="J507" s="67" t="str">
        <f>Main3WData[[#This Row],[Acronym]]&amp;Main3WData[[#This Row],[Sector]]&amp;Main3WData[[#This Row],[Activity Type]]&amp;Main3WData[[#This Row],[Pcode]]</f>
        <v>OMSLogistiquesOngoingGIN004003</v>
      </c>
      <c r="K507" s="69">
        <f>COUNTIF(Main3WData[Concatenate],Main3WData[[#This Row],[Concatenate]])</f>
        <v>1</v>
      </c>
      <c r="L507" s="61" t="str">
        <f>Main3WData[[#This Row],[Sector]]&amp;Main3WData[[#This Row],[Pcode]]</f>
        <v>LogistiquesGIN004003</v>
      </c>
      <c r="M507" s="71">
        <f>COUNTIF($L$5:L507,Main3WData[[#This Row],[PT.Concat]])</f>
        <v>1</v>
      </c>
      <c r="N507" s="70">
        <f>MATCH(Main3WData[[#This Row],[PT.Concat]],$L$5:L507,0)</f>
        <v>503</v>
      </c>
      <c r="O507" s="62" t="b">
        <f>Main3WData[[#This Row],[Count PT.Concat]]=1</f>
        <v>1</v>
      </c>
      <c r="P507" s="62">
        <f t="array" ref="P507">MAX(($N$4:N506=Main3WData[[#This Row],[PT.ID]])*ROW($N$4:N506))</f>
        <v>0</v>
      </c>
      <c r="Q507" s="62" t="str">
        <f>IF(Main3WData[[#This Row],[PT.FirstID]],Main3WData[[#This Row],[Acronym]],INDEX($Q$4:Q506,Main3WData[[#This Row],[PT.LastID.Row]]-ROW($Q$4)+1) &amp; ", "&amp;Main3WData[[#This Row],[Acronym]])</f>
        <v>OMS</v>
      </c>
      <c r="R507" s="62" t="b">
        <f t="array" ref="R507">MAX(IF(Main3WData[PT.ID]=Main3WData[[#This Row],[PT.ID]],Main3WData[PT.LastID.Row]))=Main3WData[[#This Row],[PT.LastID.Row]]</f>
        <v>1</v>
      </c>
    </row>
    <row r="508" spans="2:18" ht="16.5" customHeight="1" x14ac:dyDescent="0.2">
      <c r="B508" s="55" t="s">
        <v>78</v>
      </c>
      <c r="C508" s="27" t="str">
        <f>INDEX(Organizations[],MATCH(Main3WData[[#This Row],[Acronym]],AcronymList,0),1)</f>
        <v>World Food Programme</v>
      </c>
      <c r="D508" s="27" t="str">
        <f>INDEX(Organizations[],MATCH(Main3WData[[#This Row],[Acronym]],AcronymList,0),3)</f>
        <v>UN Agency</v>
      </c>
      <c r="E508" s="54" t="s">
        <v>355</v>
      </c>
      <c r="F508" s="53" t="s">
        <v>82</v>
      </c>
      <c r="G508" s="54" t="s">
        <v>390</v>
      </c>
      <c r="H508" s="28" t="str">
        <f>VLOOKUP(Main3WData[[#This Row],[Admin Unit Name]],AdminUnits[],2,FALSE)</f>
        <v>GIN004003</v>
      </c>
      <c r="I508" s="57">
        <v>0</v>
      </c>
      <c r="J508" s="67" t="str">
        <f>Main3WData[[#This Row],[Acronym]]&amp;Main3WData[[#This Row],[Sector]]&amp;Main3WData[[#This Row],[Activity Type]]&amp;Main3WData[[#This Row],[Pcode]]</f>
        <v>WFPSoutien nutritionnel et socialOngoingGIN004003</v>
      </c>
      <c r="K508" s="69">
        <f>COUNTIF(Main3WData[Concatenate],Main3WData[[#This Row],[Concatenate]])</f>
        <v>1</v>
      </c>
      <c r="L508" s="61" t="str">
        <f>Main3WData[[#This Row],[Sector]]&amp;Main3WData[[#This Row],[Pcode]]</f>
        <v>Soutien nutritionnel et socialGIN004003</v>
      </c>
      <c r="M508" s="71">
        <f>COUNTIF($L$5:L508,Main3WData[[#This Row],[PT.Concat]])</f>
        <v>1</v>
      </c>
      <c r="N508" s="70">
        <f>MATCH(Main3WData[[#This Row],[PT.Concat]],$L$5:L508,0)</f>
        <v>504</v>
      </c>
      <c r="O508" s="62" t="b">
        <f>Main3WData[[#This Row],[Count PT.Concat]]=1</f>
        <v>1</v>
      </c>
      <c r="P508" s="62">
        <f t="array" ref="P508">MAX(($N$4:N507=Main3WData[[#This Row],[PT.ID]])*ROW($N$4:N507))</f>
        <v>0</v>
      </c>
      <c r="Q508" s="62" t="str">
        <f>IF(Main3WData[[#This Row],[PT.FirstID]],Main3WData[[#This Row],[Acronym]],INDEX($Q$4:Q507,Main3WData[[#This Row],[PT.LastID.Row]]-ROW($Q$4)+1) &amp; ", "&amp;Main3WData[[#This Row],[Acronym]])</f>
        <v>WFP</v>
      </c>
      <c r="R508" s="62" t="b">
        <f t="array" ref="R508">MAX(IF(Main3WData[PT.ID]=Main3WData[[#This Row],[PT.ID]],Main3WData[PT.LastID.Row]))=Main3WData[[#This Row],[PT.LastID.Row]]</f>
        <v>1</v>
      </c>
    </row>
    <row r="509" spans="2:18" ht="16.5" customHeight="1" x14ac:dyDescent="0.2">
      <c r="B509" s="55" t="s">
        <v>477</v>
      </c>
      <c r="C509" s="27" t="str">
        <f>INDEX(Organizations[],MATCH(Main3WData[[#This Row],[Acronym]],AcronymList,0),1)</f>
        <v>United States Agency for International Development</v>
      </c>
      <c r="D509" s="27" t="str">
        <f>INDEX(Organizations[],MATCH(Main3WData[[#This Row],[Acronym]],AcronymList,0),3)</f>
        <v>Donors</v>
      </c>
      <c r="E509" s="54" t="s">
        <v>351</v>
      </c>
      <c r="F509" s="53" t="s">
        <v>82</v>
      </c>
      <c r="G509" s="54" t="s">
        <v>390</v>
      </c>
      <c r="H509" s="28" t="str">
        <f>VLOOKUP(Main3WData[[#This Row],[Admin Unit Name]],AdminUnits[],2,FALSE)</f>
        <v>GIN004003</v>
      </c>
      <c r="I509" s="57">
        <v>0</v>
      </c>
      <c r="J509" s="67" t="str">
        <f>Main3WData[[#This Row],[Acronym]]&amp;Main3WData[[#This Row],[Sector]]&amp;Main3WData[[#This Row],[Activity Type]]&amp;Main3WData[[#This Row],[Pcode]]</f>
        <v>USAIDSurveillance &amp; suiviOngoingGIN004003</v>
      </c>
      <c r="K509" s="69">
        <f>COUNTIF(Main3WData[Concatenate],Main3WData[[#This Row],[Concatenate]])</f>
        <v>1</v>
      </c>
      <c r="L509" s="61" t="str">
        <f>Main3WData[[#This Row],[Sector]]&amp;Main3WData[[#This Row],[Pcode]]</f>
        <v>Surveillance &amp; suiviGIN004003</v>
      </c>
      <c r="M509" s="71">
        <f>COUNTIF($L$5:L509,Main3WData[[#This Row],[PT.Concat]])</f>
        <v>1</v>
      </c>
      <c r="N509" s="70">
        <f>MATCH(Main3WData[[#This Row],[PT.Concat]],$L$5:L509,0)</f>
        <v>505</v>
      </c>
      <c r="O509" s="62" t="b">
        <f>Main3WData[[#This Row],[Count PT.Concat]]=1</f>
        <v>1</v>
      </c>
      <c r="P509" s="62">
        <f t="array" ref="P509">MAX(($N$4:N508=Main3WData[[#This Row],[PT.ID]])*ROW($N$4:N508))</f>
        <v>0</v>
      </c>
      <c r="Q509" s="62" t="str">
        <f>IF(Main3WData[[#This Row],[PT.FirstID]],Main3WData[[#This Row],[Acronym]],INDEX($Q$4:Q508,Main3WData[[#This Row],[PT.LastID.Row]]-ROW($Q$4)+1) &amp; ", "&amp;Main3WData[[#This Row],[Acronym]])</f>
        <v>USAID</v>
      </c>
      <c r="R509" s="62" t="b">
        <f t="array" ref="R509">MAX(IF(Main3WData[PT.ID]=Main3WData[[#This Row],[PT.ID]],Main3WData[PT.LastID.Row]))=Main3WData[[#This Row],[PT.LastID.Row]]</f>
        <v>0</v>
      </c>
    </row>
    <row r="510" spans="2:18" ht="16.5" customHeight="1" x14ac:dyDescent="0.2">
      <c r="B510" s="55" t="s">
        <v>75</v>
      </c>
      <c r="C510" s="27" t="str">
        <f>INDEX(Organizations[],MATCH(Main3WData[[#This Row],[Acronym]],AcronymList,0),1)</f>
        <v>United Nations Population Fund</v>
      </c>
      <c r="D510" s="27" t="str">
        <f>INDEX(Organizations[],MATCH(Main3WData[[#This Row],[Acronym]],AcronymList,0),3)</f>
        <v>UN Agency</v>
      </c>
      <c r="E510" s="54" t="s">
        <v>351</v>
      </c>
      <c r="F510" s="53" t="s">
        <v>82</v>
      </c>
      <c r="G510" s="54" t="s">
        <v>390</v>
      </c>
      <c r="H510" s="28" t="str">
        <f>VLOOKUP(Main3WData[[#This Row],[Admin Unit Name]],AdminUnits[],2,FALSE)</f>
        <v>GIN004003</v>
      </c>
      <c r="I510" s="57">
        <v>0</v>
      </c>
      <c r="J510" s="67" t="str">
        <f>Main3WData[[#This Row],[Acronym]]&amp;Main3WData[[#This Row],[Sector]]&amp;Main3WData[[#This Row],[Activity Type]]&amp;Main3WData[[#This Row],[Pcode]]</f>
        <v>UNFPASurveillance &amp; suiviOngoingGIN004003</v>
      </c>
      <c r="K510" s="69">
        <f>COUNTIF(Main3WData[Concatenate],Main3WData[[#This Row],[Concatenate]])</f>
        <v>1</v>
      </c>
      <c r="L510" s="61" t="str">
        <f>Main3WData[[#This Row],[Sector]]&amp;Main3WData[[#This Row],[Pcode]]</f>
        <v>Surveillance &amp; suiviGIN004003</v>
      </c>
      <c r="M510" s="71">
        <f>COUNTIF($L$5:L510,Main3WData[[#This Row],[PT.Concat]])</f>
        <v>2</v>
      </c>
      <c r="N510" s="70">
        <f>MATCH(Main3WData[[#This Row],[PT.Concat]],$L$5:L510,0)</f>
        <v>505</v>
      </c>
      <c r="O510" s="62" t="b">
        <f>Main3WData[[#This Row],[Count PT.Concat]]=1</f>
        <v>0</v>
      </c>
      <c r="P510" s="62">
        <f t="array" ref="P510">MAX(($N$4:N509=Main3WData[[#This Row],[PT.ID]])*ROW($N$4:N509))</f>
        <v>509</v>
      </c>
      <c r="Q510" s="62" t="str">
        <f>IF(Main3WData[[#This Row],[PT.FirstID]],Main3WData[[#This Row],[Acronym]],INDEX($Q$4:Q509,Main3WData[[#This Row],[PT.LastID.Row]]-ROW($Q$4)+1) &amp; ", "&amp;Main3WData[[#This Row],[Acronym]])</f>
        <v>USAID, UNFPA</v>
      </c>
      <c r="R510" s="62" t="b">
        <f t="array" ref="R510">MAX(IF(Main3WData[PT.ID]=Main3WData[[#This Row],[PT.ID]],Main3WData[PT.LastID.Row]))=Main3WData[[#This Row],[PT.LastID.Row]]</f>
        <v>0</v>
      </c>
    </row>
    <row r="511" spans="2:18" ht="16.5" customHeight="1" x14ac:dyDescent="0.2">
      <c r="B511" s="55" t="s">
        <v>73</v>
      </c>
      <c r="C511" s="27" t="str">
        <f>INDEX(Organizations[],MATCH(Main3WData[[#This Row],[Acronym]],AcronymList,0),1)</f>
        <v>Save the Children</v>
      </c>
      <c r="D511" s="27" t="str">
        <f>INDEX(Organizations[],MATCH(Main3WData[[#This Row],[Acronym]],AcronymList,0),3)</f>
        <v>International NGO</v>
      </c>
      <c r="E511" s="54" t="s">
        <v>351</v>
      </c>
      <c r="F511" s="53" t="s">
        <v>82</v>
      </c>
      <c r="G511" s="54" t="s">
        <v>390</v>
      </c>
      <c r="H511" s="28" t="str">
        <f>VLOOKUP(Main3WData[[#This Row],[Admin Unit Name]],AdminUnits[],2,FALSE)</f>
        <v>GIN004003</v>
      </c>
      <c r="I511" s="57">
        <v>0</v>
      </c>
      <c r="J511" s="67" t="str">
        <f>Main3WData[[#This Row],[Acronym]]&amp;Main3WData[[#This Row],[Sector]]&amp;Main3WData[[#This Row],[Activity Type]]&amp;Main3WData[[#This Row],[Pcode]]</f>
        <v>Save the ChildrenSurveillance &amp; suiviOngoingGIN004003</v>
      </c>
      <c r="K511" s="69">
        <f>COUNTIF(Main3WData[Concatenate],Main3WData[[#This Row],[Concatenate]])</f>
        <v>1</v>
      </c>
      <c r="L511" s="61" t="str">
        <f>Main3WData[[#This Row],[Sector]]&amp;Main3WData[[#This Row],[Pcode]]</f>
        <v>Surveillance &amp; suiviGIN004003</v>
      </c>
      <c r="M511" s="71">
        <f>COUNTIF($L$5:L511,Main3WData[[#This Row],[PT.Concat]])</f>
        <v>3</v>
      </c>
      <c r="N511" s="70">
        <f>MATCH(Main3WData[[#This Row],[PT.Concat]],$L$5:L511,0)</f>
        <v>505</v>
      </c>
      <c r="O511" s="62" t="b">
        <f>Main3WData[[#This Row],[Count PT.Concat]]=1</f>
        <v>0</v>
      </c>
      <c r="P511" s="62">
        <f t="array" ref="P511">MAX(($N$4:N510=Main3WData[[#This Row],[PT.ID]])*ROW($N$4:N510))</f>
        <v>510</v>
      </c>
      <c r="Q511" s="62" t="str">
        <f>IF(Main3WData[[#This Row],[PT.FirstID]],Main3WData[[#This Row],[Acronym]],INDEX($Q$4:Q510,Main3WData[[#This Row],[PT.LastID.Row]]-ROW($Q$4)+1) &amp; ", "&amp;Main3WData[[#This Row],[Acronym]])</f>
        <v>USAID, UNFPA, Save the Children</v>
      </c>
      <c r="R511" s="62" t="b">
        <f t="array" ref="R511">MAX(IF(Main3WData[PT.ID]=Main3WData[[#This Row],[PT.ID]],Main3WData[PT.LastID.Row]))=Main3WData[[#This Row],[PT.LastID.Row]]</f>
        <v>0</v>
      </c>
    </row>
    <row r="512" spans="2:18" ht="16.5" customHeight="1" x14ac:dyDescent="0.2">
      <c r="B512" s="55" t="s">
        <v>512</v>
      </c>
      <c r="C512" s="27" t="str">
        <f>INDEX(Organizations[],MATCH(Main3WData[[#This Row],[Acronym]],AcronymList,0),1)</f>
        <v>World Health Organization</v>
      </c>
      <c r="D512" s="27" t="str">
        <f>INDEX(Organizations[],MATCH(Main3WData[[#This Row],[Acronym]],AcronymList,0),3)</f>
        <v>UN Agency</v>
      </c>
      <c r="E512" s="54" t="s">
        <v>351</v>
      </c>
      <c r="F512" s="53" t="s">
        <v>82</v>
      </c>
      <c r="G512" s="54" t="s">
        <v>390</v>
      </c>
      <c r="H512" s="28" t="str">
        <f>VLOOKUP(Main3WData[[#This Row],[Admin Unit Name]],AdminUnits[],2,FALSE)</f>
        <v>GIN004003</v>
      </c>
      <c r="I512" s="57">
        <v>0</v>
      </c>
      <c r="J512" s="67" t="str">
        <f>Main3WData[[#This Row],[Acronym]]&amp;Main3WData[[#This Row],[Sector]]&amp;Main3WData[[#This Row],[Activity Type]]&amp;Main3WData[[#This Row],[Pcode]]</f>
        <v>OMSSurveillance &amp; suiviOngoingGIN004003</v>
      </c>
      <c r="K512" s="69">
        <f>COUNTIF(Main3WData[Concatenate],Main3WData[[#This Row],[Concatenate]])</f>
        <v>1</v>
      </c>
      <c r="L512" s="61" t="str">
        <f>Main3WData[[#This Row],[Sector]]&amp;Main3WData[[#This Row],[Pcode]]</f>
        <v>Surveillance &amp; suiviGIN004003</v>
      </c>
      <c r="M512" s="71">
        <f>COUNTIF($L$5:L512,Main3WData[[#This Row],[PT.Concat]])</f>
        <v>4</v>
      </c>
      <c r="N512" s="70">
        <f>MATCH(Main3WData[[#This Row],[PT.Concat]],$L$5:L512,0)</f>
        <v>505</v>
      </c>
      <c r="O512" s="62" t="b">
        <f>Main3WData[[#This Row],[Count PT.Concat]]=1</f>
        <v>0</v>
      </c>
      <c r="P512" s="62">
        <f t="array" ref="P512">MAX(($N$4:N511=Main3WData[[#This Row],[PT.ID]])*ROW($N$4:N511))</f>
        <v>511</v>
      </c>
      <c r="Q512" s="62" t="str">
        <f>IF(Main3WData[[#This Row],[PT.FirstID]],Main3WData[[#This Row],[Acronym]],INDEX($Q$4:Q511,Main3WData[[#This Row],[PT.LastID.Row]]-ROW($Q$4)+1) &amp; ", "&amp;Main3WData[[#This Row],[Acronym]])</f>
        <v>USAID, UNFPA, Save the Children, OMS</v>
      </c>
      <c r="R512" s="62" t="b">
        <f t="array" ref="R512">MAX(IF(Main3WData[PT.ID]=Main3WData[[#This Row],[PT.ID]],Main3WData[PT.LastID.Row]))=Main3WData[[#This Row],[PT.LastID.Row]]</f>
        <v>0</v>
      </c>
    </row>
    <row r="513" spans="2:18" ht="16.5" customHeight="1" x14ac:dyDescent="0.2">
      <c r="B513" s="55" t="s">
        <v>496</v>
      </c>
      <c r="C513" s="27" t="str">
        <f>INDEX(Organizations[],MATCH(Main3WData[[#This Row],[Acronym]],AcronymList,0),1)</f>
        <v>Columbia University</v>
      </c>
      <c r="D513" s="27" t="str">
        <f>INDEX(Organizations[],MATCH(Main3WData[[#This Row],[Acronym]],AcronymList,0),3)</f>
        <v>Education</v>
      </c>
      <c r="E513" s="54" t="s">
        <v>351</v>
      </c>
      <c r="F513" s="53" t="s">
        <v>82</v>
      </c>
      <c r="G513" s="54" t="s">
        <v>390</v>
      </c>
      <c r="H513" s="28" t="str">
        <f>VLOOKUP(Main3WData[[#This Row],[Admin Unit Name]],AdminUnits[],2,FALSE)</f>
        <v>GIN004003</v>
      </c>
      <c r="I513" s="57">
        <v>0</v>
      </c>
      <c r="J513" s="67" t="str">
        <f>Main3WData[[#This Row],[Acronym]]&amp;Main3WData[[#This Row],[Sector]]&amp;Main3WData[[#This Row],[Activity Type]]&amp;Main3WData[[#This Row],[Pcode]]</f>
        <v>Columbia UnivSurveillance &amp; suiviOngoingGIN004003</v>
      </c>
      <c r="K513" s="69">
        <f>COUNTIF(Main3WData[Concatenate],Main3WData[[#This Row],[Concatenate]])</f>
        <v>1</v>
      </c>
      <c r="L513" s="61" t="str">
        <f>Main3WData[[#This Row],[Sector]]&amp;Main3WData[[#This Row],[Pcode]]</f>
        <v>Surveillance &amp; suiviGIN004003</v>
      </c>
      <c r="M513" s="71">
        <f>COUNTIF($L$5:L513,Main3WData[[#This Row],[PT.Concat]])</f>
        <v>5</v>
      </c>
      <c r="N513" s="70">
        <f>MATCH(Main3WData[[#This Row],[PT.Concat]],$L$5:L513,0)</f>
        <v>505</v>
      </c>
      <c r="O513" s="62" t="b">
        <f>Main3WData[[#This Row],[Count PT.Concat]]=1</f>
        <v>0</v>
      </c>
      <c r="P513" s="62">
        <f t="array" ref="P513">MAX(($N$4:N512=Main3WData[[#This Row],[PT.ID]])*ROW($N$4:N512))</f>
        <v>512</v>
      </c>
      <c r="Q513" s="62" t="str">
        <f>IF(Main3WData[[#This Row],[PT.FirstID]],Main3WData[[#This Row],[Acronym]],INDEX($Q$4:Q512,Main3WData[[#This Row],[PT.LastID.Row]]-ROW($Q$4)+1) &amp; ", "&amp;Main3WData[[#This Row],[Acronym]])</f>
        <v>USAID, UNFPA, Save the Children, OMS, Columbia Univ</v>
      </c>
      <c r="R513" s="62" t="b">
        <f t="array" ref="R513">MAX(IF(Main3WData[PT.ID]=Main3WData[[#This Row],[PT.ID]],Main3WData[PT.LastID.Row]))=Main3WData[[#This Row],[PT.LastID.Row]]</f>
        <v>0</v>
      </c>
    </row>
    <row r="514" spans="2:18" ht="16.5" customHeight="1" x14ac:dyDescent="0.2">
      <c r="B514" s="55" t="s">
        <v>64</v>
      </c>
      <c r="C514" s="27" t="str">
        <f>INDEX(Organizations[],MATCH(Main3WData[[#This Row],[Acronym]],AcronymList,0),1)</f>
        <v>CDC</v>
      </c>
      <c r="D514" s="27" t="str">
        <f>INDEX(Organizations[],MATCH(Main3WData[[#This Row],[Acronym]],AcronymList,0),3)</f>
        <v>International NGO</v>
      </c>
      <c r="E514" s="54" t="s">
        <v>351</v>
      </c>
      <c r="F514" s="53" t="s">
        <v>82</v>
      </c>
      <c r="G514" s="54" t="s">
        <v>390</v>
      </c>
      <c r="H514" s="28" t="str">
        <f>VLOOKUP(Main3WData[[#This Row],[Admin Unit Name]],AdminUnits[],2,FALSE)</f>
        <v>GIN004003</v>
      </c>
      <c r="I514" s="57">
        <v>0</v>
      </c>
      <c r="J514" s="67" t="str">
        <f>Main3WData[[#This Row],[Acronym]]&amp;Main3WData[[#This Row],[Sector]]&amp;Main3WData[[#This Row],[Activity Type]]&amp;Main3WData[[#This Row],[Pcode]]</f>
        <v>CDCSurveillance &amp; suiviOngoingGIN004003</v>
      </c>
      <c r="K514" s="69">
        <f>COUNTIF(Main3WData[Concatenate],Main3WData[[#This Row],[Concatenate]])</f>
        <v>1</v>
      </c>
      <c r="L514" s="61" t="str">
        <f>Main3WData[[#This Row],[Sector]]&amp;Main3WData[[#This Row],[Pcode]]</f>
        <v>Surveillance &amp; suiviGIN004003</v>
      </c>
      <c r="M514" s="71">
        <f>COUNTIF($L$5:L514,Main3WData[[#This Row],[PT.Concat]])</f>
        <v>6</v>
      </c>
      <c r="N514" s="70">
        <f>MATCH(Main3WData[[#This Row],[PT.Concat]],$L$5:L514,0)</f>
        <v>505</v>
      </c>
      <c r="O514" s="62" t="b">
        <f>Main3WData[[#This Row],[Count PT.Concat]]=1</f>
        <v>0</v>
      </c>
      <c r="P514" s="62">
        <f t="array" ref="P514">MAX(($N$4:N513=Main3WData[[#This Row],[PT.ID]])*ROW($N$4:N513))</f>
        <v>513</v>
      </c>
      <c r="Q514" s="62" t="str">
        <f>IF(Main3WData[[#This Row],[PT.FirstID]],Main3WData[[#This Row],[Acronym]],INDEX($Q$4:Q513,Main3WData[[#This Row],[PT.LastID.Row]]-ROW($Q$4)+1) &amp; ", "&amp;Main3WData[[#This Row],[Acronym]])</f>
        <v>USAID, UNFPA, Save the Children, OMS, Columbia Univ, CDC</v>
      </c>
      <c r="R514" s="62" t="b">
        <f t="array" ref="R514">MAX(IF(Main3WData[PT.ID]=Main3WData[[#This Row],[PT.ID]],Main3WData[PT.LastID.Row]))=Main3WData[[#This Row],[PT.LastID.Row]]</f>
        <v>1</v>
      </c>
    </row>
    <row r="515" spans="2:18" ht="16.5" customHeight="1" x14ac:dyDescent="0.2">
      <c r="B515" s="55" t="s">
        <v>77</v>
      </c>
      <c r="C515" s="27" t="str">
        <f>INDEX(Organizations[],MATCH(Main3WData[[#This Row],[Acronym]],AcronymList,0),1)</f>
        <v>United Nations Children's Fund</v>
      </c>
      <c r="D515" s="27" t="str">
        <f>INDEX(Organizations[],MATCH(Main3WData[[#This Row],[Acronym]],AcronymList,0),3)</f>
        <v>UN Agency</v>
      </c>
      <c r="E515" s="54" t="s">
        <v>350</v>
      </c>
      <c r="F515" s="53" t="s">
        <v>82</v>
      </c>
      <c r="G515" s="54" t="s">
        <v>410</v>
      </c>
      <c r="H515" s="28" t="str">
        <f>VLOOKUP(Main3WData[[#This Row],[Admin Unit Name]],AdminUnits[],2,FALSE)</f>
        <v>GIN006002</v>
      </c>
      <c r="I515" s="57">
        <v>0</v>
      </c>
      <c r="J515" s="67" t="str">
        <f>Main3WData[[#This Row],[Acronym]]&amp;Main3WData[[#This Row],[Sector]]&amp;Main3WData[[#This Row],[Activity Type]]&amp;Main3WData[[#This Row],[Pcode]]</f>
        <v>UNICEFCommunication/Mobilisation socialeOngoingGIN006002</v>
      </c>
      <c r="K515" s="69">
        <f>COUNTIF(Main3WData[Concatenate],Main3WData[[#This Row],[Concatenate]])</f>
        <v>1</v>
      </c>
      <c r="L515" s="61" t="str">
        <f>Main3WData[[#This Row],[Sector]]&amp;Main3WData[[#This Row],[Pcode]]</f>
        <v>Communication/Mobilisation socialeGIN006002</v>
      </c>
      <c r="M515" s="71">
        <f>COUNTIF($L$5:L515,Main3WData[[#This Row],[PT.Concat]])</f>
        <v>1</v>
      </c>
      <c r="N515" s="70">
        <f>MATCH(Main3WData[[#This Row],[PT.Concat]],$L$5:L515,0)</f>
        <v>511</v>
      </c>
      <c r="O515" s="62" t="b">
        <f>Main3WData[[#This Row],[Count PT.Concat]]=1</f>
        <v>1</v>
      </c>
      <c r="P515" s="62">
        <f t="array" ref="P515">MAX(($N$4:N514=Main3WData[[#This Row],[PT.ID]])*ROW($N$4:N514))</f>
        <v>0</v>
      </c>
      <c r="Q515" s="62" t="str">
        <f>IF(Main3WData[[#This Row],[PT.FirstID]],Main3WData[[#This Row],[Acronym]],INDEX($Q$4:Q514,Main3WData[[#This Row],[PT.LastID.Row]]-ROW($Q$4)+1) &amp; ", "&amp;Main3WData[[#This Row],[Acronym]])</f>
        <v>UNICEF</v>
      </c>
      <c r="R515" s="62" t="b">
        <f t="array" ref="R515">MAX(IF(Main3WData[PT.ID]=Main3WData[[#This Row],[PT.ID]],Main3WData[PT.LastID.Row]))=Main3WData[[#This Row],[PT.LastID.Row]]</f>
        <v>0</v>
      </c>
    </row>
    <row r="516" spans="2:18" ht="16.5" customHeight="1" x14ac:dyDescent="0.2">
      <c r="B516" s="55" t="s">
        <v>75</v>
      </c>
      <c r="C516" s="27" t="str">
        <f>INDEX(Organizations[],MATCH(Main3WData[[#This Row],[Acronym]],AcronymList,0),1)</f>
        <v>United Nations Population Fund</v>
      </c>
      <c r="D516" s="27" t="str">
        <f>INDEX(Organizations[],MATCH(Main3WData[[#This Row],[Acronym]],AcronymList,0),3)</f>
        <v>UN Agency</v>
      </c>
      <c r="E516" s="54" t="s">
        <v>350</v>
      </c>
      <c r="F516" s="53" t="s">
        <v>82</v>
      </c>
      <c r="G516" s="54" t="s">
        <v>410</v>
      </c>
      <c r="H516" s="28" t="str">
        <f>VLOOKUP(Main3WData[[#This Row],[Admin Unit Name]],AdminUnits[],2,FALSE)</f>
        <v>GIN006002</v>
      </c>
      <c r="I516" s="57">
        <v>0</v>
      </c>
      <c r="J516" s="67" t="str">
        <f>Main3WData[[#This Row],[Acronym]]&amp;Main3WData[[#This Row],[Sector]]&amp;Main3WData[[#This Row],[Activity Type]]&amp;Main3WData[[#This Row],[Pcode]]</f>
        <v>UNFPACommunication/Mobilisation socialeOngoingGIN006002</v>
      </c>
      <c r="K516" s="69">
        <f>COUNTIF(Main3WData[Concatenate],Main3WData[[#This Row],[Concatenate]])</f>
        <v>1</v>
      </c>
      <c r="L516" s="61" t="str">
        <f>Main3WData[[#This Row],[Sector]]&amp;Main3WData[[#This Row],[Pcode]]</f>
        <v>Communication/Mobilisation socialeGIN006002</v>
      </c>
      <c r="M516" s="71">
        <f>COUNTIF($L$5:L516,Main3WData[[#This Row],[PT.Concat]])</f>
        <v>2</v>
      </c>
      <c r="N516" s="70">
        <f>MATCH(Main3WData[[#This Row],[PT.Concat]],$L$5:L516,0)</f>
        <v>511</v>
      </c>
      <c r="O516" s="62" t="b">
        <f>Main3WData[[#This Row],[Count PT.Concat]]=1</f>
        <v>0</v>
      </c>
      <c r="P516" s="62">
        <f t="array" ref="P516">MAX(($N$4:N515=Main3WData[[#This Row],[PT.ID]])*ROW($N$4:N515))</f>
        <v>515</v>
      </c>
      <c r="Q516" s="62" t="str">
        <f>IF(Main3WData[[#This Row],[PT.FirstID]],Main3WData[[#This Row],[Acronym]],INDEX($Q$4:Q515,Main3WData[[#This Row],[PT.LastID.Row]]-ROW($Q$4)+1) &amp; ", "&amp;Main3WData[[#This Row],[Acronym]])</f>
        <v>UNICEF, UNFPA</v>
      </c>
      <c r="R516" s="62" t="b">
        <f t="array" ref="R516">MAX(IF(Main3WData[PT.ID]=Main3WData[[#This Row],[PT.ID]],Main3WData[PT.LastID.Row]))=Main3WData[[#This Row],[PT.LastID.Row]]</f>
        <v>0</v>
      </c>
    </row>
    <row r="517" spans="2:18" ht="16.5" customHeight="1" x14ac:dyDescent="0.2">
      <c r="B517" s="55" t="s">
        <v>473</v>
      </c>
      <c r="C517" s="27" t="str">
        <f>INDEX(Organizations[],MATCH(Main3WData[[#This Row],[Acronym]],AcronymList,0),1)</f>
        <v>United Nations Development Programme</v>
      </c>
      <c r="D517" s="27" t="str">
        <f>INDEX(Organizations[],MATCH(Main3WData[[#This Row],[Acronym]],AcronymList,0),3)</f>
        <v>UN Agency</v>
      </c>
      <c r="E517" s="54" t="s">
        <v>350</v>
      </c>
      <c r="F517" s="53" t="s">
        <v>82</v>
      </c>
      <c r="G517" s="54" t="s">
        <v>410</v>
      </c>
      <c r="H517" s="28" t="str">
        <f>VLOOKUP(Main3WData[[#This Row],[Admin Unit Name]],AdminUnits[],2,FALSE)</f>
        <v>GIN006002</v>
      </c>
      <c r="I517" s="57">
        <v>0</v>
      </c>
      <c r="J517" s="67" t="str">
        <f>Main3WData[[#This Row],[Acronym]]&amp;Main3WData[[#This Row],[Sector]]&amp;Main3WData[[#This Row],[Activity Type]]&amp;Main3WData[[#This Row],[Pcode]]</f>
        <v>UNDPCommunication/Mobilisation socialeOngoingGIN006002</v>
      </c>
      <c r="K517" s="69">
        <f>COUNTIF(Main3WData[Concatenate],Main3WData[[#This Row],[Concatenate]])</f>
        <v>1</v>
      </c>
      <c r="L517" s="61" t="str">
        <f>Main3WData[[#This Row],[Sector]]&amp;Main3WData[[#This Row],[Pcode]]</f>
        <v>Communication/Mobilisation socialeGIN006002</v>
      </c>
      <c r="M517" s="71">
        <f>COUNTIF($L$5:L517,Main3WData[[#This Row],[PT.Concat]])</f>
        <v>3</v>
      </c>
      <c r="N517" s="70">
        <f>MATCH(Main3WData[[#This Row],[PT.Concat]],$L$5:L517,0)</f>
        <v>511</v>
      </c>
      <c r="O517" s="62" t="b">
        <f>Main3WData[[#This Row],[Count PT.Concat]]=1</f>
        <v>0</v>
      </c>
      <c r="P517" s="62">
        <f t="array" ref="P517">MAX(($N$4:N516=Main3WData[[#This Row],[PT.ID]])*ROW($N$4:N516))</f>
        <v>516</v>
      </c>
      <c r="Q517" s="62" t="str">
        <f>IF(Main3WData[[#This Row],[PT.FirstID]],Main3WData[[#This Row],[Acronym]],INDEX($Q$4:Q516,Main3WData[[#This Row],[PT.LastID.Row]]-ROW($Q$4)+1) &amp; ", "&amp;Main3WData[[#This Row],[Acronym]])</f>
        <v>UNICEF, UNFPA, UNDP</v>
      </c>
      <c r="R517" s="62" t="b">
        <f t="array" ref="R517">MAX(IF(Main3WData[PT.ID]=Main3WData[[#This Row],[PT.ID]],Main3WData[PT.LastID.Row]))=Main3WData[[#This Row],[PT.LastID.Row]]</f>
        <v>0</v>
      </c>
    </row>
    <row r="518" spans="2:18" ht="16.5" customHeight="1" x14ac:dyDescent="0.2">
      <c r="B518" s="55" t="s">
        <v>72</v>
      </c>
      <c r="C518" s="27" t="str">
        <f>INDEX(Organizations[],MATCH(Main3WData[[#This Row],[Acronym]],AcronymList,0),1)</f>
        <v>PLAN</v>
      </c>
      <c r="D518" s="27" t="str">
        <f>INDEX(Organizations[],MATCH(Main3WData[[#This Row],[Acronym]],AcronymList,0),3)</f>
        <v>International Organization</v>
      </c>
      <c r="E518" s="54" t="s">
        <v>350</v>
      </c>
      <c r="F518" s="53" t="s">
        <v>82</v>
      </c>
      <c r="G518" s="54" t="s">
        <v>410</v>
      </c>
      <c r="H518" s="28" t="str">
        <f>VLOOKUP(Main3WData[[#This Row],[Admin Unit Name]],AdminUnits[],2,FALSE)</f>
        <v>GIN006002</v>
      </c>
      <c r="I518" s="57">
        <v>0</v>
      </c>
      <c r="J518" s="67" t="str">
        <f>Main3WData[[#This Row],[Acronym]]&amp;Main3WData[[#This Row],[Sector]]&amp;Main3WData[[#This Row],[Activity Type]]&amp;Main3WData[[#This Row],[Pcode]]</f>
        <v>PLANCommunication/Mobilisation socialeOngoingGIN006002</v>
      </c>
      <c r="K518" s="69">
        <f>COUNTIF(Main3WData[Concatenate],Main3WData[[#This Row],[Concatenate]])</f>
        <v>1</v>
      </c>
      <c r="L518" s="61" t="str">
        <f>Main3WData[[#This Row],[Sector]]&amp;Main3WData[[#This Row],[Pcode]]</f>
        <v>Communication/Mobilisation socialeGIN006002</v>
      </c>
      <c r="M518" s="71">
        <f>COUNTIF($L$5:L518,Main3WData[[#This Row],[PT.Concat]])</f>
        <v>4</v>
      </c>
      <c r="N518" s="70">
        <f>MATCH(Main3WData[[#This Row],[PT.Concat]],$L$5:L518,0)</f>
        <v>511</v>
      </c>
      <c r="O518" s="62" t="b">
        <f>Main3WData[[#This Row],[Count PT.Concat]]=1</f>
        <v>0</v>
      </c>
      <c r="P518" s="62">
        <f t="array" ref="P518">MAX(($N$4:N517=Main3WData[[#This Row],[PT.ID]])*ROW($N$4:N517))</f>
        <v>517</v>
      </c>
      <c r="Q518" s="62" t="str">
        <f>IF(Main3WData[[#This Row],[PT.FirstID]],Main3WData[[#This Row],[Acronym]],INDEX($Q$4:Q517,Main3WData[[#This Row],[PT.LastID.Row]]-ROW($Q$4)+1) &amp; ", "&amp;Main3WData[[#This Row],[Acronym]])</f>
        <v>UNICEF, UNFPA, UNDP, PLAN</v>
      </c>
      <c r="R518" s="62" t="b">
        <f t="array" ref="R518">MAX(IF(Main3WData[PT.ID]=Main3WData[[#This Row],[PT.ID]],Main3WData[PT.LastID.Row]))=Main3WData[[#This Row],[PT.LastID.Row]]</f>
        <v>0</v>
      </c>
    </row>
    <row r="519" spans="2:18" ht="16.5" customHeight="1" x14ac:dyDescent="0.2">
      <c r="B519" s="55" t="s">
        <v>512</v>
      </c>
      <c r="C519" s="27" t="str">
        <f>INDEX(Organizations[],MATCH(Main3WData[[#This Row],[Acronym]],AcronymList,0),1)</f>
        <v>World Health Organization</v>
      </c>
      <c r="D519" s="27" t="str">
        <f>INDEX(Organizations[],MATCH(Main3WData[[#This Row],[Acronym]],AcronymList,0),3)</f>
        <v>UN Agency</v>
      </c>
      <c r="E519" s="54" t="s">
        <v>350</v>
      </c>
      <c r="F519" s="53" t="s">
        <v>82</v>
      </c>
      <c r="G519" s="54" t="s">
        <v>410</v>
      </c>
      <c r="H519" s="28" t="str">
        <f>VLOOKUP(Main3WData[[#This Row],[Admin Unit Name]],AdminUnits[],2,FALSE)</f>
        <v>GIN006002</v>
      </c>
      <c r="I519" s="57">
        <v>0</v>
      </c>
      <c r="J519" s="67" t="str">
        <f>Main3WData[[#This Row],[Acronym]]&amp;Main3WData[[#This Row],[Sector]]&amp;Main3WData[[#This Row],[Activity Type]]&amp;Main3WData[[#This Row],[Pcode]]</f>
        <v>OMSCommunication/Mobilisation socialeOngoingGIN006002</v>
      </c>
      <c r="K519" s="69">
        <f>COUNTIF(Main3WData[Concatenate],Main3WData[[#This Row],[Concatenate]])</f>
        <v>1</v>
      </c>
      <c r="L519" s="61" t="str">
        <f>Main3WData[[#This Row],[Sector]]&amp;Main3WData[[#This Row],[Pcode]]</f>
        <v>Communication/Mobilisation socialeGIN006002</v>
      </c>
      <c r="M519" s="71">
        <f>COUNTIF($L$5:L519,Main3WData[[#This Row],[PT.Concat]])</f>
        <v>5</v>
      </c>
      <c r="N519" s="70">
        <f>MATCH(Main3WData[[#This Row],[PT.Concat]],$L$5:L519,0)</f>
        <v>511</v>
      </c>
      <c r="O519" s="62" t="b">
        <f>Main3WData[[#This Row],[Count PT.Concat]]=1</f>
        <v>0</v>
      </c>
      <c r="P519" s="62">
        <f t="array" ref="P519">MAX(($N$4:N518=Main3WData[[#This Row],[PT.ID]])*ROW($N$4:N518))</f>
        <v>518</v>
      </c>
      <c r="Q519" s="62" t="str">
        <f>IF(Main3WData[[#This Row],[PT.FirstID]],Main3WData[[#This Row],[Acronym]],INDEX($Q$4:Q518,Main3WData[[#This Row],[PT.LastID.Row]]-ROW($Q$4)+1) &amp; ", "&amp;Main3WData[[#This Row],[Acronym]])</f>
        <v>UNICEF, UNFPA, UNDP, PLAN, OMS</v>
      </c>
      <c r="R519" s="62" t="b">
        <f t="array" ref="R519">MAX(IF(Main3WData[PT.ID]=Main3WData[[#This Row],[PT.ID]],Main3WData[PT.LastID.Row]))=Main3WData[[#This Row],[PT.LastID.Row]]</f>
        <v>0</v>
      </c>
    </row>
    <row r="520" spans="2:18" ht="16.5" customHeight="1" x14ac:dyDescent="0.2">
      <c r="B520" s="55" t="s">
        <v>499</v>
      </c>
      <c r="C520" s="27" t="str">
        <f>INDEX(Organizations[],MATCH(Main3WData[[#This Row],[Acronym]],AcronymList,0),1)</f>
        <v>Croix-Rouge Guinée/Fédération internationale de la Croix-Rouge</v>
      </c>
      <c r="D520" s="27" t="str">
        <f>INDEX(Organizations[],MATCH(Main3WData[[#This Row],[Acronym]],AcronymList,0),3)</f>
        <v>International Organization</v>
      </c>
      <c r="E520" s="54" t="s">
        <v>350</v>
      </c>
      <c r="F520" s="53" t="s">
        <v>82</v>
      </c>
      <c r="G520" s="54" t="s">
        <v>410</v>
      </c>
      <c r="H520" s="28" t="str">
        <f>VLOOKUP(Main3WData[[#This Row],[Admin Unit Name]],AdminUnits[],2,FALSE)</f>
        <v>GIN006002</v>
      </c>
      <c r="I520" s="57">
        <v>0</v>
      </c>
      <c r="J520" s="67" t="str">
        <f>Main3WData[[#This Row],[Acronym]]&amp;Main3WData[[#This Row],[Sector]]&amp;Main3WData[[#This Row],[Activity Type]]&amp;Main3WData[[#This Row],[Pcode]]</f>
        <v>CRG/FICRCommunication/Mobilisation socialeOngoingGIN006002</v>
      </c>
      <c r="K520" s="69">
        <f>COUNTIF(Main3WData[Concatenate],Main3WData[[#This Row],[Concatenate]])</f>
        <v>1</v>
      </c>
      <c r="L520" s="61" t="str">
        <f>Main3WData[[#This Row],[Sector]]&amp;Main3WData[[#This Row],[Pcode]]</f>
        <v>Communication/Mobilisation socialeGIN006002</v>
      </c>
      <c r="M520" s="71">
        <f>COUNTIF($L$5:L520,Main3WData[[#This Row],[PT.Concat]])</f>
        <v>6</v>
      </c>
      <c r="N520" s="70">
        <f>MATCH(Main3WData[[#This Row],[PT.Concat]],$L$5:L520,0)</f>
        <v>511</v>
      </c>
      <c r="O520" s="62" t="b">
        <f>Main3WData[[#This Row],[Count PT.Concat]]=1</f>
        <v>0</v>
      </c>
      <c r="P520" s="62">
        <f t="array" ref="P520">MAX(($N$4:N519=Main3WData[[#This Row],[PT.ID]])*ROW($N$4:N519))</f>
        <v>519</v>
      </c>
      <c r="Q520" s="62" t="str">
        <f>IF(Main3WData[[#This Row],[PT.FirstID]],Main3WData[[#This Row],[Acronym]],INDEX($Q$4:Q519,Main3WData[[#This Row],[PT.LastID.Row]]-ROW($Q$4)+1) &amp; ", "&amp;Main3WData[[#This Row],[Acronym]])</f>
        <v>UNICEF, UNFPA, UNDP, PLAN, OMS, CRG/FICR</v>
      </c>
      <c r="R520" s="62" t="b">
        <f t="array" ref="R520">MAX(IF(Main3WData[PT.ID]=Main3WData[[#This Row],[PT.ID]],Main3WData[PT.LastID.Row]))=Main3WData[[#This Row],[PT.LastID.Row]]</f>
        <v>1</v>
      </c>
    </row>
    <row r="521" spans="2:18" ht="16.5" customHeight="1" x14ac:dyDescent="0.2">
      <c r="B521" s="55" t="s">
        <v>516</v>
      </c>
      <c r="C521" s="27" t="str">
        <f>INDEX(Organizations[],MATCH(Main3WData[[#This Row],[Acronym]],AcronymList,0),1)</f>
        <v>UNITED NATION MISSION FOR EBOLA  EMERGENCY RESPONSE</v>
      </c>
      <c r="D521" s="27" t="str">
        <f>INDEX(Organizations[],MATCH(Main3WData[[#This Row],[Acronym]],AcronymList,0),3)</f>
        <v>UN Agency</v>
      </c>
      <c r="E521" s="54" t="s">
        <v>360</v>
      </c>
      <c r="F521" s="53" t="s">
        <v>82</v>
      </c>
      <c r="G521" s="54" t="s">
        <v>410</v>
      </c>
      <c r="H521" s="28" t="str">
        <f>VLOOKUP(Main3WData[[#This Row],[Admin Unit Name]],AdminUnits[],2,FALSE)</f>
        <v>GIN006002</v>
      </c>
      <c r="I521" s="57">
        <v>0</v>
      </c>
      <c r="J521" s="67" t="str">
        <f>Main3WData[[#This Row],[Acronym]]&amp;Main3WData[[#This Row],[Sector]]&amp;Main3WData[[#This Row],[Activity Type]]&amp;Main3WData[[#This Row],[Pcode]]</f>
        <v>UNMEERCoordinationOngoingGIN006002</v>
      </c>
      <c r="K521" s="69">
        <f>COUNTIF(Main3WData[Concatenate],Main3WData[[#This Row],[Concatenate]])</f>
        <v>1</v>
      </c>
      <c r="L521" s="61" t="str">
        <f>Main3WData[[#This Row],[Sector]]&amp;Main3WData[[#This Row],[Pcode]]</f>
        <v>CoordinationGIN006002</v>
      </c>
      <c r="M521" s="71">
        <f>COUNTIF($L$5:L521,Main3WData[[#This Row],[PT.Concat]])</f>
        <v>1</v>
      </c>
      <c r="N521" s="70">
        <f>MATCH(Main3WData[[#This Row],[PT.Concat]],$L$5:L521,0)</f>
        <v>517</v>
      </c>
      <c r="O521" s="62" t="b">
        <f>Main3WData[[#This Row],[Count PT.Concat]]=1</f>
        <v>1</v>
      </c>
      <c r="P521" s="62">
        <f t="array" ref="P521">MAX(($N$4:N520=Main3WData[[#This Row],[PT.ID]])*ROW($N$4:N520))</f>
        <v>0</v>
      </c>
      <c r="Q521" s="62" t="str">
        <f>IF(Main3WData[[#This Row],[PT.FirstID]],Main3WData[[#This Row],[Acronym]],INDEX($Q$4:Q520,Main3WData[[#This Row],[PT.LastID.Row]]-ROW($Q$4)+1) &amp; ", "&amp;Main3WData[[#This Row],[Acronym]])</f>
        <v>UNMEER</v>
      </c>
      <c r="R521" s="62" t="b">
        <f t="array" ref="R521">MAX(IF(Main3WData[PT.ID]=Main3WData[[#This Row],[PT.ID]],Main3WData[PT.LastID.Row]))=Main3WData[[#This Row],[PT.LastID.Row]]</f>
        <v>0</v>
      </c>
    </row>
    <row r="522" spans="2:18" ht="16.5" customHeight="1" x14ac:dyDescent="0.2">
      <c r="B522" s="55" t="s">
        <v>75</v>
      </c>
      <c r="C522" s="27" t="str">
        <f>INDEX(Organizations[],MATCH(Main3WData[[#This Row],[Acronym]],AcronymList,0),1)</f>
        <v>United Nations Population Fund</v>
      </c>
      <c r="D522" s="27" t="str">
        <f>INDEX(Organizations[],MATCH(Main3WData[[#This Row],[Acronym]],AcronymList,0),3)</f>
        <v>UN Agency</v>
      </c>
      <c r="E522" s="54" t="s">
        <v>360</v>
      </c>
      <c r="F522" s="53" t="s">
        <v>82</v>
      </c>
      <c r="G522" s="54" t="s">
        <v>410</v>
      </c>
      <c r="H522" s="28" t="str">
        <f>VLOOKUP(Main3WData[[#This Row],[Admin Unit Name]],AdminUnits[],2,FALSE)</f>
        <v>GIN006002</v>
      </c>
      <c r="I522" s="57">
        <v>0</v>
      </c>
      <c r="J522" s="67" t="str">
        <f>Main3WData[[#This Row],[Acronym]]&amp;Main3WData[[#This Row],[Sector]]&amp;Main3WData[[#This Row],[Activity Type]]&amp;Main3WData[[#This Row],[Pcode]]</f>
        <v>UNFPACoordinationOngoingGIN006002</v>
      </c>
      <c r="K522" s="69">
        <f>COUNTIF(Main3WData[Concatenate],Main3WData[[#This Row],[Concatenate]])</f>
        <v>1</v>
      </c>
      <c r="L522" s="61" t="str">
        <f>Main3WData[[#This Row],[Sector]]&amp;Main3WData[[#This Row],[Pcode]]</f>
        <v>CoordinationGIN006002</v>
      </c>
      <c r="M522" s="71">
        <f>COUNTIF($L$5:L522,Main3WData[[#This Row],[PT.Concat]])</f>
        <v>2</v>
      </c>
      <c r="N522" s="70">
        <f>MATCH(Main3WData[[#This Row],[PT.Concat]],$L$5:L522,0)</f>
        <v>517</v>
      </c>
      <c r="O522" s="62" t="b">
        <f>Main3WData[[#This Row],[Count PT.Concat]]=1</f>
        <v>0</v>
      </c>
      <c r="P522" s="62">
        <f t="array" ref="P522">MAX(($N$4:N521=Main3WData[[#This Row],[PT.ID]])*ROW($N$4:N521))</f>
        <v>521</v>
      </c>
      <c r="Q522" s="62" t="str">
        <f>IF(Main3WData[[#This Row],[PT.FirstID]],Main3WData[[#This Row],[Acronym]],INDEX($Q$4:Q521,Main3WData[[#This Row],[PT.LastID.Row]]-ROW($Q$4)+1) &amp; ", "&amp;Main3WData[[#This Row],[Acronym]])</f>
        <v>UNMEER, UNFPA</v>
      </c>
      <c r="R522" s="62" t="b">
        <f t="array" ref="R522">MAX(IF(Main3WData[PT.ID]=Main3WData[[#This Row],[PT.ID]],Main3WData[PT.LastID.Row]))=Main3WData[[#This Row],[PT.LastID.Row]]</f>
        <v>0</v>
      </c>
    </row>
    <row r="523" spans="2:18" ht="16.5" customHeight="1" x14ac:dyDescent="0.2">
      <c r="B523" s="55" t="s">
        <v>473</v>
      </c>
      <c r="C523" s="27" t="str">
        <f>INDEX(Organizations[],MATCH(Main3WData[[#This Row],[Acronym]],AcronymList,0),1)</f>
        <v>United Nations Development Programme</v>
      </c>
      <c r="D523" s="27" t="str">
        <f>INDEX(Organizations[],MATCH(Main3WData[[#This Row],[Acronym]],AcronymList,0),3)</f>
        <v>UN Agency</v>
      </c>
      <c r="E523" s="54" t="s">
        <v>360</v>
      </c>
      <c r="F523" s="53" t="s">
        <v>82</v>
      </c>
      <c r="G523" s="54" t="s">
        <v>410</v>
      </c>
      <c r="H523" s="28" t="str">
        <f>VLOOKUP(Main3WData[[#This Row],[Admin Unit Name]],AdminUnits[],2,FALSE)</f>
        <v>GIN006002</v>
      </c>
      <c r="I523" s="57">
        <v>0</v>
      </c>
      <c r="J523" s="67" t="str">
        <f>Main3WData[[#This Row],[Acronym]]&amp;Main3WData[[#This Row],[Sector]]&amp;Main3WData[[#This Row],[Activity Type]]&amp;Main3WData[[#This Row],[Pcode]]</f>
        <v>UNDPCoordinationOngoingGIN006002</v>
      </c>
      <c r="K523" s="69">
        <f>COUNTIF(Main3WData[Concatenate],Main3WData[[#This Row],[Concatenate]])</f>
        <v>1</v>
      </c>
      <c r="L523" s="61" t="str">
        <f>Main3WData[[#This Row],[Sector]]&amp;Main3WData[[#This Row],[Pcode]]</f>
        <v>CoordinationGIN006002</v>
      </c>
      <c r="M523" s="71">
        <f>COUNTIF($L$5:L523,Main3WData[[#This Row],[PT.Concat]])</f>
        <v>3</v>
      </c>
      <c r="N523" s="70">
        <f>MATCH(Main3WData[[#This Row],[PT.Concat]],$L$5:L523,0)</f>
        <v>517</v>
      </c>
      <c r="O523" s="62" t="b">
        <f>Main3WData[[#This Row],[Count PT.Concat]]=1</f>
        <v>0</v>
      </c>
      <c r="P523" s="62">
        <f t="array" ref="P523">MAX(($N$4:N522=Main3WData[[#This Row],[PT.ID]])*ROW($N$4:N522))</f>
        <v>522</v>
      </c>
      <c r="Q523" s="62" t="str">
        <f>IF(Main3WData[[#This Row],[PT.FirstID]],Main3WData[[#This Row],[Acronym]],INDEX($Q$4:Q522,Main3WData[[#This Row],[PT.LastID.Row]]-ROW($Q$4)+1) &amp; ", "&amp;Main3WData[[#This Row],[Acronym]])</f>
        <v>UNMEER, UNFPA, UNDP</v>
      </c>
      <c r="R523" s="62" t="b">
        <f t="array" ref="R523">MAX(IF(Main3WData[PT.ID]=Main3WData[[#This Row],[PT.ID]],Main3WData[PT.LastID.Row]))=Main3WData[[#This Row],[PT.LastID.Row]]</f>
        <v>0</v>
      </c>
    </row>
    <row r="524" spans="2:18" ht="16.5" customHeight="1" x14ac:dyDescent="0.2">
      <c r="B524" s="55" t="s">
        <v>512</v>
      </c>
      <c r="C524" s="27" t="str">
        <f>INDEX(Organizations[],MATCH(Main3WData[[#This Row],[Acronym]],AcronymList,0),1)</f>
        <v>World Health Organization</v>
      </c>
      <c r="D524" s="27" t="str">
        <f>INDEX(Organizations[],MATCH(Main3WData[[#This Row],[Acronym]],AcronymList,0),3)</f>
        <v>UN Agency</v>
      </c>
      <c r="E524" s="54" t="s">
        <v>360</v>
      </c>
      <c r="F524" s="53" t="s">
        <v>82</v>
      </c>
      <c r="G524" s="54" t="s">
        <v>410</v>
      </c>
      <c r="H524" s="28" t="str">
        <f>VLOOKUP(Main3WData[[#This Row],[Admin Unit Name]],AdminUnits[],2,FALSE)</f>
        <v>GIN006002</v>
      </c>
      <c r="I524" s="57">
        <v>0</v>
      </c>
      <c r="J524" s="67" t="str">
        <f>Main3WData[[#This Row],[Acronym]]&amp;Main3WData[[#This Row],[Sector]]&amp;Main3WData[[#This Row],[Activity Type]]&amp;Main3WData[[#This Row],[Pcode]]</f>
        <v>OMSCoordinationOngoingGIN006002</v>
      </c>
      <c r="K524" s="69">
        <f>COUNTIF(Main3WData[Concatenate],Main3WData[[#This Row],[Concatenate]])</f>
        <v>1</v>
      </c>
      <c r="L524" s="61" t="str">
        <f>Main3WData[[#This Row],[Sector]]&amp;Main3WData[[#This Row],[Pcode]]</f>
        <v>CoordinationGIN006002</v>
      </c>
      <c r="M524" s="71">
        <f>COUNTIF($L$5:L524,Main3WData[[#This Row],[PT.Concat]])</f>
        <v>4</v>
      </c>
      <c r="N524" s="70">
        <f>MATCH(Main3WData[[#This Row],[PT.Concat]],$L$5:L524,0)</f>
        <v>517</v>
      </c>
      <c r="O524" s="62" t="b">
        <f>Main3WData[[#This Row],[Count PT.Concat]]=1</f>
        <v>0</v>
      </c>
      <c r="P524" s="62">
        <f t="array" ref="P524">MAX(($N$4:N523=Main3WData[[#This Row],[PT.ID]])*ROW($N$4:N523))</f>
        <v>523</v>
      </c>
      <c r="Q524" s="62" t="str">
        <f>IF(Main3WData[[#This Row],[PT.FirstID]],Main3WData[[#This Row],[Acronym]],INDEX($Q$4:Q523,Main3WData[[#This Row],[PT.LastID.Row]]-ROW($Q$4)+1) &amp; ", "&amp;Main3WData[[#This Row],[Acronym]])</f>
        <v>UNMEER, UNFPA, UNDP, OMS</v>
      </c>
      <c r="R524" s="62" t="b">
        <f t="array" ref="R524">MAX(IF(Main3WData[PT.ID]=Main3WData[[#This Row],[PT.ID]],Main3WData[PT.LastID.Row]))=Main3WData[[#This Row],[PT.LastID.Row]]</f>
        <v>0</v>
      </c>
    </row>
    <row r="525" spans="2:18" ht="16.5" customHeight="1" x14ac:dyDescent="0.2">
      <c r="B525" s="55" t="s">
        <v>71</v>
      </c>
      <c r="C525" s="27" t="str">
        <f>INDEX(Organizations[],MATCH(Main3WData[[#This Row],[Acronym]],AcronymList,0),1)</f>
        <v>Medecins sans Frontieres</v>
      </c>
      <c r="D525" s="27" t="str">
        <f>INDEX(Organizations[],MATCH(Main3WData[[#This Row],[Acronym]],AcronymList,0),3)</f>
        <v>International NGO</v>
      </c>
      <c r="E525" s="54" t="s">
        <v>360</v>
      </c>
      <c r="F525" s="53" t="s">
        <v>82</v>
      </c>
      <c r="G525" s="54" t="s">
        <v>410</v>
      </c>
      <c r="H525" s="28" t="str">
        <f>VLOOKUP(Main3WData[[#This Row],[Admin Unit Name]],AdminUnits[],2,FALSE)</f>
        <v>GIN006002</v>
      </c>
      <c r="I525" s="57">
        <v>0</v>
      </c>
      <c r="J525" s="67" t="str">
        <f>Main3WData[[#This Row],[Acronym]]&amp;Main3WData[[#This Row],[Sector]]&amp;Main3WData[[#This Row],[Activity Type]]&amp;Main3WData[[#This Row],[Pcode]]</f>
        <v>MSFCoordinationOngoingGIN006002</v>
      </c>
      <c r="K525" s="69">
        <f>COUNTIF(Main3WData[Concatenate],Main3WData[[#This Row],[Concatenate]])</f>
        <v>1</v>
      </c>
      <c r="L525" s="61" t="str">
        <f>Main3WData[[#This Row],[Sector]]&amp;Main3WData[[#This Row],[Pcode]]</f>
        <v>CoordinationGIN006002</v>
      </c>
      <c r="M525" s="71">
        <f>COUNTIF($L$5:L525,Main3WData[[#This Row],[PT.Concat]])</f>
        <v>5</v>
      </c>
      <c r="N525" s="70">
        <f>MATCH(Main3WData[[#This Row],[PT.Concat]],$L$5:L525,0)</f>
        <v>517</v>
      </c>
      <c r="O525" s="62" t="b">
        <f>Main3WData[[#This Row],[Count PT.Concat]]=1</f>
        <v>0</v>
      </c>
      <c r="P525" s="62">
        <f t="array" ref="P525">MAX(($N$4:N524=Main3WData[[#This Row],[PT.ID]])*ROW($N$4:N524))</f>
        <v>524</v>
      </c>
      <c r="Q525" s="62" t="str">
        <f>IF(Main3WData[[#This Row],[PT.FirstID]],Main3WData[[#This Row],[Acronym]],INDEX($Q$4:Q524,Main3WData[[#This Row],[PT.LastID.Row]]-ROW($Q$4)+1) &amp; ", "&amp;Main3WData[[#This Row],[Acronym]])</f>
        <v>UNMEER, UNFPA, UNDP, OMS, MSF</v>
      </c>
      <c r="R525" s="62" t="b">
        <f t="array" ref="R525">MAX(IF(Main3WData[PT.ID]=Main3WData[[#This Row],[PT.ID]],Main3WData[PT.LastID.Row]))=Main3WData[[#This Row],[PT.LastID.Row]]</f>
        <v>0</v>
      </c>
    </row>
    <row r="526" spans="2:18" ht="16.5" customHeight="1" x14ac:dyDescent="0.2">
      <c r="B526" s="55" t="s">
        <v>507</v>
      </c>
      <c r="C526" s="27" t="str">
        <f>INDEX(Organizations[],MATCH(Main3WData[[#This Row],[Acronym]],AcronymList,0),1)</f>
        <v>eHealth Africa</v>
      </c>
      <c r="D526" s="27" t="str">
        <f>INDEX(Organizations[],MATCH(Main3WData[[#This Row],[Acronym]],AcronymList,0),3)</f>
        <v>International Organization</v>
      </c>
      <c r="E526" s="54" t="s">
        <v>360</v>
      </c>
      <c r="F526" s="53" t="s">
        <v>82</v>
      </c>
      <c r="G526" s="54" t="s">
        <v>410</v>
      </c>
      <c r="H526" s="28" t="str">
        <f>VLOOKUP(Main3WData[[#This Row],[Admin Unit Name]],AdminUnits[],2,FALSE)</f>
        <v>GIN006002</v>
      </c>
      <c r="I526" s="57">
        <v>0</v>
      </c>
      <c r="J526" s="67" t="str">
        <f>Main3WData[[#This Row],[Acronym]]&amp;Main3WData[[#This Row],[Sector]]&amp;Main3WData[[#This Row],[Activity Type]]&amp;Main3WData[[#This Row],[Pcode]]</f>
        <v>eHealth AfricaCoordinationOngoingGIN006002</v>
      </c>
      <c r="K526" s="69">
        <f>COUNTIF(Main3WData[Concatenate],Main3WData[[#This Row],[Concatenate]])</f>
        <v>1</v>
      </c>
      <c r="L526" s="61" t="str">
        <f>Main3WData[[#This Row],[Sector]]&amp;Main3WData[[#This Row],[Pcode]]</f>
        <v>CoordinationGIN006002</v>
      </c>
      <c r="M526" s="71">
        <f>COUNTIF($L$5:L526,Main3WData[[#This Row],[PT.Concat]])</f>
        <v>6</v>
      </c>
      <c r="N526" s="70">
        <f>MATCH(Main3WData[[#This Row],[PT.Concat]],$L$5:L526,0)</f>
        <v>517</v>
      </c>
      <c r="O526" s="62" t="b">
        <f>Main3WData[[#This Row],[Count PT.Concat]]=1</f>
        <v>0</v>
      </c>
      <c r="P526" s="62">
        <f t="array" ref="P526">MAX(($N$4:N525=Main3WData[[#This Row],[PT.ID]])*ROW($N$4:N525))</f>
        <v>525</v>
      </c>
      <c r="Q526" s="62" t="str">
        <f>IF(Main3WData[[#This Row],[PT.FirstID]],Main3WData[[#This Row],[Acronym]],INDEX($Q$4:Q525,Main3WData[[#This Row],[PT.LastID.Row]]-ROW($Q$4)+1) &amp; ", "&amp;Main3WData[[#This Row],[Acronym]])</f>
        <v>UNMEER, UNFPA, UNDP, OMS, MSF, eHealth Africa</v>
      </c>
      <c r="R526" s="62" t="b">
        <f t="array" ref="R526">MAX(IF(Main3WData[PT.ID]=Main3WData[[#This Row],[PT.ID]],Main3WData[PT.LastID.Row]))=Main3WData[[#This Row],[PT.LastID.Row]]</f>
        <v>1</v>
      </c>
    </row>
    <row r="527" spans="2:18" ht="16.5" customHeight="1" x14ac:dyDescent="0.2">
      <c r="B527" s="55" t="s">
        <v>473</v>
      </c>
      <c r="C527" s="27" t="str">
        <f>INDEX(Organizations[],MATCH(Main3WData[[#This Row],[Acronym]],AcronymList,0),1)</f>
        <v>United Nations Development Programme</v>
      </c>
      <c r="D527" s="27" t="str">
        <f>INDEX(Organizations[],MATCH(Main3WData[[#This Row],[Acronym]],AcronymList,0),3)</f>
        <v>UN Agency</v>
      </c>
      <c r="E527" s="54" t="s">
        <v>359</v>
      </c>
      <c r="F527" s="53" t="s">
        <v>82</v>
      </c>
      <c r="G527" s="54" t="s">
        <v>410</v>
      </c>
      <c r="H527" s="28" t="str">
        <f>VLOOKUP(Main3WData[[#This Row],[Admin Unit Name]],AdminUnits[],2,FALSE)</f>
        <v>GIN006002</v>
      </c>
      <c r="I527" s="57">
        <v>0</v>
      </c>
      <c r="J527" s="67" t="str">
        <f>Main3WData[[#This Row],[Acronym]]&amp;Main3WData[[#This Row],[Sector]]&amp;Main3WData[[#This Row],[Activity Type]]&amp;Main3WData[[#This Row],[Pcode]]</f>
        <v>UNDPFinanceOngoingGIN006002</v>
      </c>
      <c r="K527" s="69">
        <f>COUNTIF(Main3WData[Concatenate],Main3WData[[#This Row],[Concatenate]])</f>
        <v>1</v>
      </c>
      <c r="L527" s="61" t="str">
        <f>Main3WData[[#This Row],[Sector]]&amp;Main3WData[[#This Row],[Pcode]]</f>
        <v>FinanceGIN006002</v>
      </c>
      <c r="M527" s="71">
        <f>COUNTIF($L$5:L527,Main3WData[[#This Row],[PT.Concat]])</f>
        <v>1</v>
      </c>
      <c r="N527" s="70">
        <f>MATCH(Main3WData[[#This Row],[PT.Concat]],$L$5:L527,0)</f>
        <v>523</v>
      </c>
      <c r="O527" s="62" t="b">
        <f>Main3WData[[#This Row],[Count PT.Concat]]=1</f>
        <v>1</v>
      </c>
      <c r="P527" s="62">
        <f t="array" ref="P527">MAX(($N$4:N526=Main3WData[[#This Row],[PT.ID]])*ROW($N$4:N526))</f>
        <v>0</v>
      </c>
      <c r="Q527" s="62" t="str">
        <f>IF(Main3WData[[#This Row],[PT.FirstID]],Main3WData[[#This Row],[Acronym]],INDEX($Q$4:Q526,Main3WData[[#This Row],[PT.LastID.Row]]-ROW($Q$4)+1) &amp; ", "&amp;Main3WData[[#This Row],[Acronym]])</f>
        <v>UNDP</v>
      </c>
      <c r="R527" s="62" t="b">
        <f t="array" ref="R527">MAX(IF(Main3WData[PT.ID]=Main3WData[[#This Row],[PT.ID]],Main3WData[PT.LastID.Row]))=Main3WData[[#This Row],[PT.LastID.Row]]</f>
        <v>1</v>
      </c>
    </row>
    <row r="528" spans="2:18" ht="16.5" customHeight="1" x14ac:dyDescent="0.2">
      <c r="B528" s="55" t="s">
        <v>451</v>
      </c>
      <c r="C528" s="27" t="str">
        <f>INDEX(Organizations[],MATCH(Main3WData[[#This Row],[Acronym]],AcronymList,0),1)</f>
        <v>Croix-Rouge Guinée</v>
      </c>
      <c r="D528" s="27" t="str">
        <f>INDEX(Organizations[],MATCH(Main3WData[[#This Row],[Acronym]],AcronymList,0),3)</f>
        <v>Red Cross Movement</v>
      </c>
      <c r="E528" s="54" t="s">
        <v>354</v>
      </c>
      <c r="F528" s="53" t="s">
        <v>82</v>
      </c>
      <c r="G528" s="54" t="s">
        <v>410</v>
      </c>
      <c r="H528" s="28" t="str">
        <f>VLOOKUP(Main3WData[[#This Row],[Admin Unit Name]],AdminUnits[],2,FALSE)</f>
        <v>GIN006002</v>
      </c>
      <c r="I528" s="57">
        <v>0</v>
      </c>
      <c r="J528" s="67" t="str">
        <f>Main3WData[[#This Row],[Acronym]]&amp;Main3WData[[#This Row],[Sector]]&amp;Main3WData[[#This Row],[Activity Type]]&amp;Main3WData[[#This Row],[Pcode]]</f>
        <v>CRGGestion des corps et desinfectionOngoingGIN006002</v>
      </c>
      <c r="K528" s="69">
        <f>COUNTIF(Main3WData[Concatenate],Main3WData[[#This Row],[Concatenate]])</f>
        <v>1</v>
      </c>
      <c r="L528" s="61" t="str">
        <f>Main3WData[[#This Row],[Sector]]&amp;Main3WData[[#This Row],[Pcode]]</f>
        <v>Gestion des corps et desinfectionGIN006002</v>
      </c>
      <c r="M528" s="71">
        <f>COUNTIF($L$5:L528,Main3WData[[#This Row],[PT.Concat]])</f>
        <v>1</v>
      </c>
      <c r="N528" s="70">
        <f>MATCH(Main3WData[[#This Row],[PT.Concat]],$L$5:L528,0)</f>
        <v>524</v>
      </c>
      <c r="O528" s="62" t="b">
        <f>Main3WData[[#This Row],[Count PT.Concat]]=1</f>
        <v>1</v>
      </c>
      <c r="P528" s="62">
        <f t="array" ref="P528">MAX(($N$4:N527=Main3WData[[#This Row],[PT.ID]])*ROW($N$4:N527))</f>
        <v>0</v>
      </c>
      <c r="Q528" s="62" t="str">
        <f>IF(Main3WData[[#This Row],[PT.FirstID]],Main3WData[[#This Row],[Acronym]],INDEX($Q$4:Q527,Main3WData[[#This Row],[PT.LastID.Row]]-ROW($Q$4)+1) &amp; ", "&amp;Main3WData[[#This Row],[Acronym]])</f>
        <v>CRG</v>
      </c>
      <c r="R528" s="62" t="b">
        <f t="array" ref="R528">MAX(IF(Main3WData[PT.ID]=Main3WData[[#This Row],[PT.ID]],Main3WData[PT.LastID.Row]))=Main3WData[[#This Row],[PT.LastID.Row]]</f>
        <v>1</v>
      </c>
    </row>
    <row r="529" spans="2:18" ht="16.5" customHeight="1" x14ac:dyDescent="0.2">
      <c r="B529" s="55" t="s">
        <v>516</v>
      </c>
      <c r="C529" s="27" t="str">
        <f>INDEX(Organizations[],MATCH(Main3WData[[#This Row],[Acronym]],AcronymList,0),1)</f>
        <v>UNITED NATION MISSION FOR EBOLA  EMERGENCY RESPONSE</v>
      </c>
      <c r="D529" s="27" t="str">
        <f>INDEX(Organizations[],MATCH(Main3WData[[#This Row],[Acronym]],AcronymList,0),3)</f>
        <v>UN Agency</v>
      </c>
      <c r="E529" s="54" t="s">
        <v>356</v>
      </c>
      <c r="F529" s="53" t="s">
        <v>82</v>
      </c>
      <c r="G529" s="54" t="s">
        <v>410</v>
      </c>
      <c r="H529" s="28" t="str">
        <f>VLOOKUP(Main3WData[[#This Row],[Admin Unit Name]],AdminUnits[],2,FALSE)</f>
        <v>GIN006002</v>
      </c>
      <c r="I529" s="57">
        <v>0</v>
      </c>
      <c r="J529" s="67" t="str">
        <f>Main3WData[[#This Row],[Acronym]]&amp;Main3WData[[#This Row],[Sector]]&amp;Main3WData[[#This Row],[Activity Type]]&amp;Main3WData[[#This Row],[Pcode]]</f>
        <v>UNMEERGestion des donnéesOngoingGIN006002</v>
      </c>
      <c r="K529" s="69">
        <f>COUNTIF(Main3WData[Concatenate],Main3WData[[#This Row],[Concatenate]])</f>
        <v>1</v>
      </c>
      <c r="L529" s="61" t="str">
        <f>Main3WData[[#This Row],[Sector]]&amp;Main3WData[[#This Row],[Pcode]]</f>
        <v>Gestion des donnéesGIN006002</v>
      </c>
      <c r="M529" s="71">
        <f>COUNTIF($L$5:L529,Main3WData[[#This Row],[PT.Concat]])</f>
        <v>1</v>
      </c>
      <c r="N529" s="70">
        <f>MATCH(Main3WData[[#This Row],[PT.Concat]],$L$5:L529,0)</f>
        <v>525</v>
      </c>
      <c r="O529" s="62" t="b">
        <f>Main3WData[[#This Row],[Count PT.Concat]]=1</f>
        <v>1</v>
      </c>
      <c r="P529" s="62">
        <f t="array" ref="P529">MAX(($N$4:N528=Main3WData[[#This Row],[PT.ID]])*ROW($N$4:N528))</f>
        <v>0</v>
      </c>
      <c r="Q529" s="62" t="str">
        <f>IF(Main3WData[[#This Row],[PT.FirstID]],Main3WData[[#This Row],[Acronym]],INDEX($Q$4:Q528,Main3WData[[#This Row],[PT.LastID.Row]]-ROW($Q$4)+1) &amp; ", "&amp;Main3WData[[#This Row],[Acronym]])</f>
        <v>UNMEER</v>
      </c>
      <c r="R529" s="62" t="b">
        <f t="array" ref="R529">MAX(IF(Main3WData[PT.ID]=Main3WData[[#This Row],[PT.ID]],Main3WData[PT.LastID.Row]))=Main3WData[[#This Row],[PT.LastID.Row]]</f>
        <v>0</v>
      </c>
    </row>
    <row r="530" spans="2:18" ht="16.5" customHeight="1" x14ac:dyDescent="0.2">
      <c r="B530" s="55" t="s">
        <v>512</v>
      </c>
      <c r="C530" s="27" t="str">
        <f>INDEX(Organizations[],MATCH(Main3WData[[#This Row],[Acronym]],AcronymList,0),1)</f>
        <v>World Health Organization</v>
      </c>
      <c r="D530" s="27" t="str">
        <f>INDEX(Organizations[],MATCH(Main3WData[[#This Row],[Acronym]],AcronymList,0),3)</f>
        <v>UN Agency</v>
      </c>
      <c r="E530" s="54" t="s">
        <v>356</v>
      </c>
      <c r="F530" s="53" t="s">
        <v>82</v>
      </c>
      <c r="G530" s="54" t="s">
        <v>410</v>
      </c>
      <c r="H530" s="28" t="str">
        <f>VLOOKUP(Main3WData[[#This Row],[Admin Unit Name]],AdminUnits[],2,FALSE)</f>
        <v>GIN006002</v>
      </c>
      <c r="I530" s="57">
        <v>0</v>
      </c>
      <c r="J530" s="67" t="str">
        <f>Main3WData[[#This Row],[Acronym]]&amp;Main3WData[[#This Row],[Sector]]&amp;Main3WData[[#This Row],[Activity Type]]&amp;Main3WData[[#This Row],[Pcode]]</f>
        <v>OMSGestion des donnéesOngoingGIN006002</v>
      </c>
      <c r="K530" s="69">
        <f>COUNTIF(Main3WData[Concatenate],Main3WData[[#This Row],[Concatenate]])</f>
        <v>1</v>
      </c>
      <c r="L530" s="61" t="str">
        <f>Main3WData[[#This Row],[Sector]]&amp;Main3WData[[#This Row],[Pcode]]</f>
        <v>Gestion des donnéesGIN006002</v>
      </c>
      <c r="M530" s="71">
        <f>COUNTIF($L$5:L530,Main3WData[[#This Row],[PT.Concat]])</f>
        <v>2</v>
      </c>
      <c r="N530" s="70">
        <f>MATCH(Main3WData[[#This Row],[PT.Concat]],$L$5:L530,0)</f>
        <v>525</v>
      </c>
      <c r="O530" s="62" t="b">
        <f>Main3WData[[#This Row],[Count PT.Concat]]=1</f>
        <v>0</v>
      </c>
      <c r="P530" s="62">
        <f t="array" ref="P530">MAX(($N$4:N529=Main3WData[[#This Row],[PT.ID]])*ROW($N$4:N529))</f>
        <v>529</v>
      </c>
      <c r="Q530" s="62" t="str">
        <f>IF(Main3WData[[#This Row],[PT.FirstID]],Main3WData[[#This Row],[Acronym]],INDEX($Q$4:Q529,Main3WData[[#This Row],[PT.LastID.Row]]-ROW($Q$4)+1) &amp; ", "&amp;Main3WData[[#This Row],[Acronym]])</f>
        <v>UNMEER, OMS</v>
      </c>
      <c r="R530" s="62" t="b">
        <f t="array" ref="R530">MAX(IF(Main3WData[PT.ID]=Main3WData[[#This Row],[PT.ID]],Main3WData[PT.LastID.Row]))=Main3WData[[#This Row],[PT.LastID.Row]]</f>
        <v>1</v>
      </c>
    </row>
    <row r="531" spans="2:18" ht="16.5" customHeight="1" x14ac:dyDescent="0.2">
      <c r="B531" s="55" t="s">
        <v>75</v>
      </c>
      <c r="C531" s="27" t="str">
        <f>INDEX(Organizations[],MATCH(Main3WData[[#This Row],[Acronym]],AcronymList,0),1)</f>
        <v>United Nations Population Fund</v>
      </c>
      <c r="D531" s="27" t="str">
        <f>INDEX(Organizations[],MATCH(Main3WData[[#This Row],[Acronym]],AcronymList,0),3)</f>
        <v>UN Agency</v>
      </c>
      <c r="E531" s="54" t="s">
        <v>351</v>
      </c>
      <c r="F531" s="53" t="s">
        <v>82</v>
      </c>
      <c r="G531" s="54" t="s">
        <v>410</v>
      </c>
      <c r="H531" s="28" t="str">
        <f>VLOOKUP(Main3WData[[#This Row],[Admin Unit Name]],AdminUnits[],2,FALSE)</f>
        <v>GIN006002</v>
      </c>
      <c r="I531" s="57">
        <v>0</v>
      </c>
      <c r="J531" s="67" t="str">
        <f>Main3WData[[#This Row],[Acronym]]&amp;Main3WData[[#This Row],[Sector]]&amp;Main3WData[[#This Row],[Activity Type]]&amp;Main3WData[[#This Row],[Pcode]]</f>
        <v>UNFPASurveillance &amp; suiviOngoingGIN006002</v>
      </c>
      <c r="K531" s="69">
        <f>COUNTIF(Main3WData[Concatenate],Main3WData[[#This Row],[Concatenate]])</f>
        <v>1</v>
      </c>
      <c r="L531" s="61" t="str">
        <f>Main3WData[[#This Row],[Sector]]&amp;Main3WData[[#This Row],[Pcode]]</f>
        <v>Surveillance &amp; suiviGIN006002</v>
      </c>
      <c r="M531" s="71">
        <f>COUNTIF($L$5:L531,Main3WData[[#This Row],[PT.Concat]])</f>
        <v>1</v>
      </c>
      <c r="N531" s="70">
        <f>MATCH(Main3WData[[#This Row],[PT.Concat]],$L$5:L531,0)</f>
        <v>527</v>
      </c>
      <c r="O531" s="62" t="b">
        <f>Main3WData[[#This Row],[Count PT.Concat]]=1</f>
        <v>1</v>
      </c>
      <c r="P531" s="62">
        <f t="array" ref="P531">MAX(($N$4:N530=Main3WData[[#This Row],[PT.ID]])*ROW($N$4:N530))</f>
        <v>0</v>
      </c>
      <c r="Q531" s="62" t="str">
        <f>IF(Main3WData[[#This Row],[PT.FirstID]],Main3WData[[#This Row],[Acronym]],INDEX($Q$4:Q530,Main3WData[[#This Row],[PT.LastID.Row]]-ROW($Q$4)+1) &amp; ", "&amp;Main3WData[[#This Row],[Acronym]])</f>
        <v>UNFPA</v>
      </c>
      <c r="R531" s="62" t="b">
        <f t="array" ref="R531">MAX(IF(Main3WData[PT.ID]=Main3WData[[#This Row],[PT.ID]],Main3WData[PT.LastID.Row]))=Main3WData[[#This Row],[PT.LastID.Row]]</f>
        <v>0</v>
      </c>
    </row>
    <row r="532" spans="2:18" ht="16.5" customHeight="1" x14ac:dyDescent="0.2">
      <c r="B532" s="55" t="s">
        <v>512</v>
      </c>
      <c r="C532" s="27" t="str">
        <f>INDEX(Organizations[],MATCH(Main3WData[[#This Row],[Acronym]],AcronymList,0),1)</f>
        <v>World Health Organization</v>
      </c>
      <c r="D532" s="27" t="str">
        <f>INDEX(Organizations[],MATCH(Main3WData[[#This Row],[Acronym]],AcronymList,0),3)</f>
        <v>UN Agency</v>
      </c>
      <c r="E532" s="54" t="s">
        <v>351</v>
      </c>
      <c r="F532" s="53" t="s">
        <v>82</v>
      </c>
      <c r="G532" s="54" t="s">
        <v>410</v>
      </c>
      <c r="H532" s="28" t="str">
        <f>VLOOKUP(Main3WData[[#This Row],[Admin Unit Name]],AdminUnits[],2,FALSE)</f>
        <v>GIN006002</v>
      </c>
      <c r="I532" s="57">
        <v>0</v>
      </c>
      <c r="J532" s="67" t="str">
        <f>Main3WData[[#This Row],[Acronym]]&amp;Main3WData[[#This Row],[Sector]]&amp;Main3WData[[#This Row],[Activity Type]]&amp;Main3WData[[#This Row],[Pcode]]</f>
        <v>OMSSurveillance &amp; suiviOngoingGIN006002</v>
      </c>
      <c r="K532" s="69">
        <f>COUNTIF(Main3WData[Concatenate],Main3WData[[#This Row],[Concatenate]])</f>
        <v>1</v>
      </c>
      <c r="L532" s="61" t="str">
        <f>Main3WData[[#This Row],[Sector]]&amp;Main3WData[[#This Row],[Pcode]]</f>
        <v>Surveillance &amp; suiviGIN006002</v>
      </c>
      <c r="M532" s="71">
        <f>COUNTIF($L$5:L532,Main3WData[[#This Row],[PT.Concat]])</f>
        <v>2</v>
      </c>
      <c r="N532" s="70">
        <f>MATCH(Main3WData[[#This Row],[PT.Concat]],$L$5:L532,0)</f>
        <v>527</v>
      </c>
      <c r="O532" s="62" t="b">
        <f>Main3WData[[#This Row],[Count PT.Concat]]=1</f>
        <v>0</v>
      </c>
      <c r="P532" s="62">
        <f t="array" ref="P532">MAX(($N$4:N531=Main3WData[[#This Row],[PT.ID]])*ROW($N$4:N531))</f>
        <v>531</v>
      </c>
      <c r="Q532" s="62" t="str">
        <f>IF(Main3WData[[#This Row],[PT.FirstID]],Main3WData[[#This Row],[Acronym]],INDEX($Q$4:Q531,Main3WData[[#This Row],[PT.LastID.Row]]-ROW($Q$4)+1) &amp; ", "&amp;Main3WData[[#This Row],[Acronym]])</f>
        <v>UNFPA, OMS</v>
      </c>
      <c r="R532" s="62" t="b">
        <f t="array" ref="R532">MAX(IF(Main3WData[PT.ID]=Main3WData[[#This Row],[PT.ID]],Main3WData[PT.LastID.Row]))=Main3WData[[#This Row],[PT.LastID.Row]]</f>
        <v>0</v>
      </c>
    </row>
    <row r="533" spans="2:18" ht="16.5" customHeight="1" x14ac:dyDescent="0.2">
      <c r="B533" s="55" t="s">
        <v>496</v>
      </c>
      <c r="C533" s="27" t="str">
        <f>INDEX(Organizations[],MATCH(Main3WData[[#This Row],[Acronym]],AcronymList,0),1)</f>
        <v>Columbia University</v>
      </c>
      <c r="D533" s="27" t="str">
        <f>INDEX(Organizations[],MATCH(Main3WData[[#This Row],[Acronym]],AcronymList,0),3)</f>
        <v>Education</v>
      </c>
      <c r="E533" s="54" t="s">
        <v>351</v>
      </c>
      <c r="F533" s="53" t="s">
        <v>82</v>
      </c>
      <c r="G533" s="54" t="s">
        <v>410</v>
      </c>
      <c r="H533" s="28" t="str">
        <f>VLOOKUP(Main3WData[[#This Row],[Admin Unit Name]],AdminUnits[],2,FALSE)</f>
        <v>GIN006002</v>
      </c>
      <c r="I533" s="57">
        <v>0</v>
      </c>
      <c r="J533" s="67" t="str">
        <f>Main3WData[[#This Row],[Acronym]]&amp;Main3WData[[#This Row],[Sector]]&amp;Main3WData[[#This Row],[Activity Type]]&amp;Main3WData[[#This Row],[Pcode]]</f>
        <v>Columbia UnivSurveillance &amp; suiviOngoingGIN006002</v>
      </c>
      <c r="K533" s="69">
        <f>COUNTIF(Main3WData[Concatenate],Main3WData[[#This Row],[Concatenate]])</f>
        <v>1</v>
      </c>
      <c r="L533" s="61" t="str">
        <f>Main3WData[[#This Row],[Sector]]&amp;Main3WData[[#This Row],[Pcode]]</f>
        <v>Surveillance &amp; suiviGIN006002</v>
      </c>
      <c r="M533" s="71">
        <f>COUNTIF($L$5:L533,Main3WData[[#This Row],[PT.Concat]])</f>
        <v>3</v>
      </c>
      <c r="N533" s="70">
        <f>MATCH(Main3WData[[#This Row],[PT.Concat]],$L$5:L533,0)</f>
        <v>527</v>
      </c>
      <c r="O533" s="62" t="b">
        <f>Main3WData[[#This Row],[Count PT.Concat]]=1</f>
        <v>0</v>
      </c>
      <c r="P533" s="62">
        <f t="array" ref="P533">MAX(($N$4:N532=Main3WData[[#This Row],[PT.ID]])*ROW($N$4:N532))</f>
        <v>532</v>
      </c>
      <c r="Q533" s="62" t="str">
        <f>IF(Main3WData[[#This Row],[PT.FirstID]],Main3WData[[#This Row],[Acronym]],INDEX($Q$4:Q532,Main3WData[[#This Row],[PT.LastID.Row]]-ROW($Q$4)+1) &amp; ", "&amp;Main3WData[[#This Row],[Acronym]])</f>
        <v>UNFPA, OMS, Columbia Univ</v>
      </c>
      <c r="R533" s="62" t="b">
        <f t="array" ref="R533">MAX(IF(Main3WData[PT.ID]=Main3WData[[#This Row],[PT.ID]],Main3WData[PT.LastID.Row]))=Main3WData[[#This Row],[PT.LastID.Row]]</f>
        <v>0</v>
      </c>
    </row>
    <row r="534" spans="2:18" ht="16.5" customHeight="1" x14ac:dyDescent="0.2">
      <c r="B534" s="55" t="s">
        <v>64</v>
      </c>
      <c r="C534" s="27" t="str">
        <f>INDEX(Organizations[],MATCH(Main3WData[[#This Row],[Acronym]],AcronymList,0),1)</f>
        <v>CDC</v>
      </c>
      <c r="D534" s="27" t="str">
        <f>INDEX(Organizations[],MATCH(Main3WData[[#This Row],[Acronym]],AcronymList,0),3)</f>
        <v>International NGO</v>
      </c>
      <c r="E534" s="54" t="s">
        <v>351</v>
      </c>
      <c r="F534" s="53" t="s">
        <v>82</v>
      </c>
      <c r="G534" s="54" t="s">
        <v>410</v>
      </c>
      <c r="H534" s="28" t="str">
        <f>VLOOKUP(Main3WData[[#This Row],[Admin Unit Name]],AdminUnits[],2,FALSE)</f>
        <v>GIN006002</v>
      </c>
      <c r="I534" s="57">
        <v>0</v>
      </c>
      <c r="J534" s="67" t="str">
        <f>Main3WData[[#This Row],[Acronym]]&amp;Main3WData[[#This Row],[Sector]]&amp;Main3WData[[#This Row],[Activity Type]]&amp;Main3WData[[#This Row],[Pcode]]</f>
        <v>CDCSurveillance &amp; suiviOngoingGIN006002</v>
      </c>
      <c r="K534" s="69">
        <f>COUNTIF(Main3WData[Concatenate],Main3WData[[#This Row],[Concatenate]])</f>
        <v>1</v>
      </c>
      <c r="L534" s="61" t="str">
        <f>Main3WData[[#This Row],[Sector]]&amp;Main3WData[[#This Row],[Pcode]]</f>
        <v>Surveillance &amp; suiviGIN006002</v>
      </c>
      <c r="M534" s="71">
        <f>COUNTIF($L$5:L534,Main3WData[[#This Row],[PT.Concat]])</f>
        <v>4</v>
      </c>
      <c r="N534" s="70">
        <f>MATCH(Main3WData[[#This Row],[PT.Concat]],$L$5:L534,0)</f>
        <v>527</v>
      </c>
      <c r="O534" s="62" t="b">
        <f>Main3WData[[#This Row],[Count PT.Concat]]=1</f>
        <v>0</v>
      </c>
      <c r="P534" s="62">
        <f t="array" ref="P534">MAX(($N$4:N533=Main3WData[[#This Row],[PT.ID]])*ROW($N$4:N533))</f>
        <v>533</v>
      </c>
      <c r="Q534" s="62" t="str">
        <f>IF(Main3WData[[#This Row],[PT.FirstID]],Main3WData[[#This Row],[Acronym]],INDEX($Q$4:Q533,Main3WData[[#This Row],[PT.LastID.Row]]-ROW($Q$4)+1) &amp; ", "&amp;Main3WData[[#This Row],[Acronym]])</f>
        <v>UNFPA, OMS, Columbia Univ, CDC</v>
      </c>
      <c r="R534" s="62" t="b">
        <f t="array" ref="R534">MAX(IF(Main3WData[PT.ID]=Main3WData[[#This Row],[PT.ID]],Main3WData[PT.LastID.Row]))=Main3WData[[#This Row],[PT.LastID.Row]]</f>
        <v>0</v>
      </c>
    </row>
    <row r="535" spans="2:18" ht="16.5" customHeight="1" x14ac:dyDescent="0.2">
      <c r="B535" s="55" t="s">
        <v>437</v>
      </c>
      <c r="C535" s="27" t="str">
        <f>INDEX(Organizations[],MATCH(Main3WData[[#This Row],[Acronym]],AcronymList,0),1)</f>
        <v>Action Contre la Faim Espagne</v>
      </c>
      <c r="D535" s="27" t="str">
        <f>INDEX(Organizations[],MATCH(Main3WData[[#This Row],[Acronym]],AcronymList,0),3)</f>
        <v>International NGO</v>
      </c>
      <c r="E535" s="54" t="s">
        <v>351</v>
      </c>
      <c r="F535" s="53" t="s">
        <v>82</v>
      </c>
      <c r="G535" s="54" t="s">
        <v>410</v>
      </c>
      <c r="H535" s="28" t="str">
        <f>VLOOKUP(Main3WData[[#This Row],[Admin Unit Name]],AdminUnits[],2,FALSE)</f>
        <v>GIN006002</v>
      </c>
      <c r="I535" s="57">
        <v>0</v>
      </c>
      <c r="J535" s="67" t="str">
        <f>Main3WData[[#This Row],[Acronym]]&amp;Main3WData[[#This Row],[Sector]]&amp;Main3WData[[#This Row],[Activity Type]]&amp;Main3WData[[#This Row],[Pcode]]</f>
        <v>ACF-ESurveillance &amp; suiviOngoingGIN006002</v>
      </c>
      <c r="K535" s="69">
        <f>COUNTIF(Main3WData[Concatenate],Main3WData[[#This Row],[Concatenate]])</f>
        <v>1</v>
      </c>
      <c r="L535" s="61" t="str">
        <f>Main3WData[[#This Row],[Sector]]&amp;Main3WData[[#This Row],[Pcode]]</f>
        <v>Surveillance &amp; suiviGIN006002</v>
      </c>
      <c r="M535" s="71">
        <f>COUNTIF($L$5:L535,Main3WData[[#This Row],[PT.Concat]])</f>
        <v>5</v>
      </c>
      <c r="N535" s="70">
        <f>MATCH(Main3WData[[#This Row],[PT.Concat]],$L$5:L535,0)</f>
        <v>527</v>
      </c>
      <c r="O535" s="62" t="b">
        <f>Main3WData[[#This Row],[Count PT.Concat]]=1</f>
        <v>0</v>
      </c>
      <c r="P535" s="62">
        <f t="array" ref="P535">MAX(($N$4:N534=Main3WData[[#This Row],[PT.ID]])*ROW($N$4:N534))</f>
        <v>534</v>
      </c>
      <c r="Q535" s="62" t="str">
        <f>IF(Main3WData[[#This Row],[PT.FirstID]],Main3WData[[#This Row],[Acronym]],INDEX($Q$4:Q534,Main3WData[[#This Row],[PT.LastID.Row]]-ROW($Q$4)+1) &amp; ", "&amp;Main3WData[[#This Row],[Acronym]])</f>
        <v>UNFPA, OMS, Columbia Univ, CDC, ACF-E</v>
      </c>
      <c r="R535" s="62" t="b">
        <f t="array" ref="R535">MAX(IF(Main3WData[PT.ID]=Main3WData[[#This Row],[PT.ID]],Main3WData[PT.LastID.Row]))=Main3WData[[#This Row],[PT.LastID.Row]]</f>
        <v>1</v>
      </c>
    </row>
    <row r="536" spans="2:18" ht="16.5" customHeight="1" x14ac:dyDescent="0.2">
      <c r="B536" s="55" t="s">
        <v>77</v>
      </c>
      <c r="C536" s="27" t="str">
        <f>INDEX(Organizations[],MATCH(Main3WData[[#This Row],[Acronym]],AcronymList,0),1)</f>
        <v>United Nations Children's Fund</v>
      </c>
      <c r="D536" s="27" t="str">
        <f>INDEX(Organizations[],MATCH(Main3WData[[#This Row],[Acronym]],AcronymList,0),3)</f>
        <v>UN Agency</v>
      </c>
      <c r="E536" s="54" t="s">
        <v>350</v>
      </c>
      <c r="F536" s="53" t="s">
        <v>82</v>
      </c>
      <c r="G536" s="54" t="s">
        <v>412</v>
      </c>
      <c r="H536" s="28" t="str">
        <f>VLOOKUP(Main3WData[[#This Row],[Admin Unit Name]],AdminUnits[],2,FALSE)</f>
        <v>GIN006003</v>
      </c>
      <c r="I536" s="57">
        <v>0</v>
      </c>
      <c r="J536" s="67" t="str">
        <f>Main3WData[[#This Row],[Acronym]]&amp;Main3WData[[#This Row],[Sector]]&amp;Main3WData[[#This Row],[Activity Type]]&amp;Main3WData[[#This Row],[Pcode]]</f>
        <v>UNICEFCommunication/Mobilisation socialeOngoingGIN006003</v>
      </c>
      <c r="K536" s="69">
        <f>COUNTIF(Main3WData[Concatenate],Main3WData[[#This Row],[Concatenate]])</f>
        <v>1</v>
      </c>
      <c r="L536" s="61" t="str">
        <f>Main3WData[[#This Row],[Sector]]&amp;Main3WData[[#This Row],[Pcode]]</f>
        <v>Communication/Mobilisation socialeGIN006003</v>
      </c>
      <c r="M536" s="71">
        <f>COUNTIF($L$5:L536,Main3WData[[#This Row],[PT.Concat]])</f>
        <v>1</v>
      </c>
      <c r="N536" s="70">
        <f>MATCH(Main3WData[[#This Row],[PT.Concat]],$L$5:L536,0)</f>
        <v>532</v>
      </c>
      <c r="O536" s="62" t="b">
        <f>Main3WData[[#This Row],[Count PT.Concat]]=1</f>
        <v>1</v>
      </c>
      <c r="P536" s="62">
        <f t="array" ref="P536">MAX(($N$4:N535=Main3WData[[#This Row],[PT.ID]])*ROW($N$4:N535))</f>
        <v>0</v>
      </c>
      <c r="Q536" s="62" t="str">
        <f>IF(Main3WData[[#This Row],[PT.FirstID]],Main3WData[[#This Row],[Acronym]],INDEX($Q$4:Q535,Main3WData[[#This Row],[PT.LastID.Row]]-ROW($Q$4)+1) &amp; ", "&amp;Main3WData[[#This Row],[Acronym]])</f>
        <v>UNICEF</v>
      </c>
      <c r="R536" s="62" t="b">
        <f t="array" ref="R536">MAX(IF(Main3WData[PT.ID]=Main3WData[[#This Row],[PT.ID]],Main3WData[PT.LastID.Row]))=Main3WData[[#This Row],[PT.LastID.Row]]</f>
        <v>0</v>
      </c>
    </row>
    <row r="537" spans="2:18" ht="16.5" customHeight="1" x14ac:dyDescent="0.2">
      <c r="B537" s="55" t="s">
        <v>72</v>
      </c>
      <c r="C537" s="27" t="str">
        <f>INDEX(Organizations[],MATCH(Main3WData[[#This Row],[Acronym]],AcronymList,0),1)</f>
        <v>PLAN</v>
      </c>
      <c r="D537" s="27" t="str">
        <f>INDEX(Organizations[],MATCH(Main3WData[[#This Row],[Acronym]],AcronymList,0),3)</f>
        <v>International Organization</v>
      </c>
      <c r="E537" s="54" t="s">
        <v>350</v>
      </c>
      <c r="F537" s="53" t="s">
        <v>82</v>
      </c>
      <c r="G537" s="54" t="s">
        <v>412</v>
      </c>
      <c r="H537" s="28" t="str">
        <f>VLOOKUP(Main3WData[[#This Row],[Admin Unit Name]],AdminUnits[],2,FALSE)</f>
        <v>GIN006003</v>
      </c>
      <c r="I537" s="57">
        <v>0</v>
      </c>
      <c r="J537" s="67" t="str">
        <f>Main3WData[[#This Row],[Acronym]]&amp;Main3WData[[#This Row],[Sector]]&amp;Main3WData[[#This Row],[Activity Type]]&amp;Main3WData[[#This Row],[Pcode]]</f>
        <v>PLANCommunication/Mobilisation socialeOngoingGIN006003</v>
      </c>
      <c r="K537" s="69">
        <f>COUNTIF(Main3WData[Concatenate],Main3WData[[#This Row],[Concatenate]])</f>
        <v>1</v>
      </c>
      <c r="L537" s="61" t="str">
        <f>Main3WData[[#This Row],[Sector]]&amp;Main3WData[[#This Row],[Pcode]]</f>
        <v>Communication/Mobilisation socialeGIN006003</v>
      </c>
      <c r="M537" s="71">
        <f>COUNTIF($L$5:L537,Main3WData[[#This Row],[PT.Concat]])</f>
        <v>2</v>
      </c>
      <c r="N537" s="70">
        <f>MATCH(Main3WData[[#This Row],[PT.Concat]],$L$5:L537,0)</f>
        <v>532</v>
      </c>
      <c r="O537" s="62" t="b">
        <f>Main3WData[[#This Row],[Count PT.Concat]]=1</f>
        <v>0</v>
      </c>
      <c r="P537" s="62">
        <f t="array" ref="P537">MAX(($N$4:N536=Main3WData[[#This Row],[PT.ID]])*ROW($N$4:N536))</f>
        <v>536</v>
      </c>
      <c r="Q537" s="62" t="str">
        <f>IF(Main3WData[[#This Row],[PT.FirstID]],Main3WData[[#This Row],[Acronym]],INDEX($Q$4:Q536,Main3WData[[#This Row],[PT.LastID.Row]]-ROW($Q$4)+1) &amp; ", "&amp;Main3WData[[#This Row],[Acronym]])</f>
        <v>UNICEF, PLAN</v>
      </c>
      <c r="R537" s="62" t="b">
        <f t="array" ref="R537">MAX(IF(Main3WData[PT.ID]=Main3WData[[#This Row],[PT.ID]],Main3WData[PT.LastID.Row]))=Main3WData[[#This Row],[PT.LastID.Row]]</f>
        <v>1</v>
      </c>
    </row>
    <row r="538" spans="2:18" ht="16.5" customHeight="1" x14ac:dyDescent="0.2">
      <c r="B538" s="55" t="s">
        <v>516</v>
      </c>
      <c r="C538" s="27" t="str">
        <f>INDEX(Organizations[],MATCH(Main3WData[[#This Row],[Acronym]],AcronymList,0),1)</f>
        <v>UNITED NATION MISSION FOR EBOLA  EMERGENCY RESPONSE</v>
      </c>
      <c r="D538" s="27" t="str">
        <f>INDEX(Organizations[],MATCH(Main3WData[[#This Row],[Acronym]],AcronymList,0),3)</f>
        <v>UN Agency</v>
      </c>
      <c r="E538" s="54" t="s">
        <v>360</v>
      </c>
      <c r="F538" s="53" t="s">
        <v>82</v>
      </c>
      <c r="G538" s="54" t="s">
        <v>412</v>
      </c>
      <c r="H538" s="28" t="str">
        <f>VLOOKUP(Main3WData[[#This Row],[Admin Unit Name]],AdminUnits[],2,FALSE)</f>
        <v>GIN006003</v>
      </c>
      <c r="I538" s="57">
        <v>0</v>
      </c>
      <c r="J538" s="67" t="str">
        <f>Main3WData[[#This Row],[Acronym]]&amp;Main3WData[[#This Row],[Sector]]&amp;Main3WData[[#This Row],[Activity Type]]&amp;Main3WData[[#This Row],[Pcode]]</f>
        <v>UNMEERCoordinationOngoingGIN006003</v>
      </c>
      <c r="K538" s="69">
        <f>COUNTIF(Main3WData[Concatenate],Main3WData[[#This Row],[Concatenate]])</f>
        <v>1</v>
      </c>
      <c r="L538" s="61" t="str">
        <f>Main3WData[[#This Row],[Sector]]&amp;Main3WData[[#This Row],[Pcode]]</f>
        <v>CoordinationGIN006003</v>
      </c>
      <c r="M538" s="71">
        <f>COUNTIF($L$5:L538,Main3WData[[#This Row],[PT.Concat]])</f>
        <v>1</v>
      </c>
      <c r="N538" s="70">
        <f>MATCH(Main3WData[[#This Row],[PT.Concat]],$L$5:L538,0)</f>
        <v>534</v>
      </c>
      <c r="O538" s="62" t="b">
        <f>Main3WData[[#This Row],[Count PT.Concat]]=1</f>
        <v>1</v>
      </c>
      <c r="P538" s="62">
        <f t="array" ref="P538">MAX(($N$4:N537=Main3WData[[#This Row],[PT.ID]])*ROW($N$4:N537))</f>
        <v>0</v>
      </c>
      <c r="Q538" s="62" t="str">
        <f>IF(Main3WData[[#This Row],[PT.FirstID]],Main3WData[[#This Row],[Acronym]],INDEX($Q$4:Q537,Main3WData[[#This Row],[PT.LastID.Row]]-ROW($Q$4)+1) &amp; ", "&amp;Main3WData[[#This Row],[Acronym]])</f>
        <v>UNMEER</v>
      </c>
      <c r="R538" s="62" t="b">
        <f t="array" ref="R538">MAX(IF(Main3WData[PT.ID]=Main3WData[[#This Row],[PT.ID]],Main3WData[PT.LastID.Row]))=Main3WData[[#This Row],[PT.LastID.Row]]</f>
        <v>0</v>
      </c>
    </row>
    <row r="539" spans="2:18" ht="16.5" customHeight="1" x14ac:dyDescent="0.2">
      <c r="B539" s="55" t="s">
        <v>75</v>
      </c>
      <c r="C539" s="27" t="str">
        <f>INDEX(Organizations[],MATCH(Main3WData[[#This Row],[Acronym]],AcronymList,0),1)</f>
        <v>United Nations Population Fund</v>
      </c>
      <c r="D539" s="27" t="str">
        <f>INDEX(Organizations[],MATCH(Main3WData[[#This Row],[Acronym]],AcronymList,0),3)</f>
        <v>UN Agency</v>
      </c>
      <c r="E539" s="54" t="s">
        <v>360</v>
      </c>
      <c r="F539" s="53" t="s">
        <v>82</v>
      </c>
      <c r="G539" s="54" t="s">
        <v>412</v>
      </c>
      <c r="H539" s="28" t="str">
        <f>VLOOKUP(Main3WData[[#This Row],[Admin Unit Name]],AdminUnits[],2,FALSE)</f>
        <v>GIN006003</v>
      </c>
      <c r="I539" s="57">
        <v>0</v>
      </c>
      <c r="J539" s="67" t="str">
        <f>Main3WData[[#This Row],[Acronym]]&amp;Main3WData[[#This Row],[Sector]]&amp;Main3WData[[#This Row],[Activity Type]]&amp;Main3WData[[#This Row],[Pcode]]</f>
        <v>UNFPACoordinationOngoingGIN006003</v>
      </c>
      <c r="K539" s="69">
        <f>COUNTIF(Main3WData[Concatenate],Main3WData[[#This Row],[Concatenate]])</f>
        <v>1</v>
      </c>
      <c r="L539" s="61" t="str">
        <f>Main3WData[[#This Row],[Sector]]&amp;Main3WData[[#This Row],[Pcode]]</f>
        <v>CoordinationGIN006003</v>
      </c>
      <c r="M539" s="71">
        <f>COUNTIF($L$5:L539,Main3WData[[#This Row],[PT.Concat]])</f>
        <v>2</v>
      </c>
      <c r="N539" s="70">
        <f>MATCH(Main3WData[[#This Row],[PT.Concat]],$L$5:L539,0)</f>
        <v>534</v>
      </c>
      <c r="O539" s="62" t="b">
        <f>Main3WData[[#This Row],[Count PT.Concat]]=1</f>
        <v>0</v>
      </c>
      <c r="P539" s="62">
        <f t="array" ref="P539">MAX(($N$4:N538=Main3WData[[#This Row],[PT.ID]])*ROW($N$4:N538))</f>
        <v>538</v>
      </c>
      <c r="Q539" s="62" t="str">
        <f>IF(Main3WData[[#This Row],[PT.FirstID]],Main3WData[[#This Row],[Acronym]],INDEX($Q$4:Q538,Main3WData[[#This Row],[PT.LastID.Row]]-ROW($Q$4)+1) &amp; ", "&amp;Main3WData[[#This Row],[Acronym]])</f>
        <v>UNMEER, UNFPA</v>
      </c>
      <c r="R539" s="62" t="b">
        <f t="array" ref="R539">MAX(IF(Main3WData[PT.ID]=Main3WData[[#This Row],[PT.ID]],Main3WData[PT.LastID.Row]))=Main3WData[[#This Row],[PT.LastID.Row]]</f>
        <v>0</v>
      </c>
    </row>
    <row r="540" spans="2:18" ht="16.5" customHeight="1" x14ac:dyDescent="0.2">
      <c r="B540" s="55" t="s">
        <v>473</v>
      </c>
      <c r="C540" s="27" t="str">
        <f>INDEX(Organizations[],MATCH(Main3WData[[#This Row],[Acronym]],AcronymList,0),1)</f>
        <v>United Nations Development Programme</v>
      </c>
      <c r="D540" s="27" t="str">
        <f>INDEX(Organizations[],MATCH(Main3WData[[#This Row],[Acronym]],AcronymList,0),3)</f>
        <v>UN Agency</v>
      </c>
      <c r="E540" s="54" t="s">
        <v>360</v>
      </c>
      <c r="F540" s="53" t="s">
        <v>82</v>
      </c>
      <c r="G540" s="54" t="s">
        <v>412</v>
      </c>
      <c r="H540" s="28" t="str">
        <f>VLOOKUP(Main3WData[[#This Row],[Admin Unit Name]],AdminUnits[],2,FALSE)</f>
        <v>GIN006003</v>
      </c>
      <c r="I540" s="57">
        <v>0</v>
      </c>
      <c r="J540" s="67" t="str">
        <f>Main3WData[[#This Row],[Acronym]]&amp;Main3WData[[#This Row],[Sector]]&amp;Main3WData[[#This Row],[Activity Type]]&amp;Main3WData[[#This Row],[Pcode]]</f>
        <v>UNDPCoordinationOngoingGIN006003</v>
      </c>
      <c r="K540" s="69">
        <f>COUNTIF(Main3WData[Concatenate],Main3WData[[#This Row],[Concatenate]])</f>
        <v>1</v>
      </c>
      <c r="L540" s="61" t="str">
        <f>Main3WData[[#This Row],[Sector]]&amp;Main3WData[[#This Row],[Pcode]]</f>
        <v>CoordinationGIN006003</v>
      </c>
      <c r="M540" s="71">
        <f>COUNTIF($L$5:L540,Main3WData[[#This Row],[PT.Concat]])</f>
        <v>3</v>
      </c>
      <c r="N540" s="70">
        <f>MATCH(Main3WData[[#This Row],[PT.Concat]],$L$5:L540,0)</f>
        <v>534</v>
      </c>
      <c r="O540" s="62" t="b">
        <f>Main3WData[[#This Row],[Count PT.Concat]]=1</f>
        <v>0</v>
      </c>
      <c r="P540" s="62">
        <f t="array" ref="P540">MAX(($N$4:N539=Main3WData[[#This Row],[PT.ID]])*ROW($N$4:N539))</f>
        <v>539</v>
      </c>
      <c r="Q540" s="62" t="str">
        <f>IF(Main3WData[[#This Row],[PT.FirstID]],Main3WData[[#This Row],[Acronym]],INDEX($Q$4:Q539,Main3WData[[#This Row],[PT.LastID.Row]]-ROW($Q$4)+1) &amp; ", "&amp;Main3WData[[#This Row],[Acronym]])</f>
        <v>UNMEER, UNFPA, UNDP</v>
      </c>
      <c r="R540" s="62" t="b">
        <f t="array" ref="R540">MAX(IF(Main3WData[PT.ID]=Main3WData[[#This Row],[PT.ID]],Main3WData[PT.LastID.Row]))=Main3WData[[#This Row],[PT.LastID.Row]]</f>
        <v>0</v>
      </c>
    </row>
    <row r="541" spans="2:18" ht="16.5" customHeight="1" x14ac:dyDescent="0.2">
      <c r="B541" s="55" t="s">
        <v>512</v>
      </c>
      <c r="C541" s="27" t="str">
        <f>INDEX(Organizations[],MATCH(Main3WData[[#This Row],[Acronym]],AcronymList,0),1)</f>
        <v>World Health Organization</v>
      </c>
      <c r="D541" s="27" t="str">
        <f>INDEX(Organizations[],MATCH(Main3WData[[#This Row],[Acronym]],AcronymList,0),3)</f>
        <v>UN Agency</v>
      </c>
      <c r="E541" s="54" t="s">
        <v>360</v>
      </c>
      <c r="F541" s="53" t="s">
        <v>82</v>
      </c>
      <c r="G541" s="54" t="s">
        <v>412</v>
      </c>
      <c r="H541" s="28" t="str">
        <f>VLOOKUP(Main3WData[[#This Row],[Admin Unit Name]],AdminUnits[],2,FALSE)</f>
        <v>GIN006003</v>
      </c>
      <c r="I541" s="57">
        <v>0</v>
      </c>
      <c r="J541" s="67" t="str">
        <f>Main3WData[[#This Row],[Acronym]]&amp;Main3WData[[#This Row],[Sector]]&amp;Main3WData[[#This Row],[Activity Type]]&amp;Main3WData[[#This Row],[Pcode]]</f>
        <v>OMSCoordinationOngoingGIN006003</v>
      </c>
      <c r="K541" s="69">
        <f>COUNTIF(Main3WData[Concatenate],Main3WData[[#This Row],[Concatenate]])</f>
        <v>1</v>
      </c>
      <c r="L541" s="61" t="str">
        <f>Main3WData[[#This Row],[Sector]]&amp;Main3WData[[#This Row],[Pcode]]</f>
        <v>CoordinationGIN006003</v>
      </c>
      <c r="M541" s="71">
        <f>COUNTIF($L$5:L541,Main3WData[[#This Row],[PT.Concat]])</f>
        <v>4</v>
      </c>
      <c r="N541" s="70">
        <f>MATCH(Main3WData[[#This Row],[PT.Concat]],$L$5:L541,0)</f>
        <v>534</v>
      </c>
      <c r="O541" s="62" t="b">
        <f>Main3WData[[#This Row],[Count PT.Concat]]=1</f>
        <v>0</v>
      </c>
      <c r="P541" s="62">
        <f t="array" ref="P541">MAX(($N$4:N540=Main3WData[[#This Row],[PT.ID]])*ROW($N$4:N540))</f>
        <v>540</v>
      </c>
      <c r="Q541" s="62" t="str">
        <f>IF(Main3WData[[#This Row],[PT.FirstID]],Main3WData[[#This Row],[Acronym]],INDEX($Q$4:Q540,Main3WData[[#This Row],[PT.LastID.Row]]-ROW($Q$4)+1) &amp; ", "&amp;Main3WData[[#This Row],[Acronym]])</f>
        <v>UNMEER, UNFPA, UNDP, OMS</v>
      </c>
      <c r="R541" s="62" t="b">
        <f t="array" ref="R541">MAX(IF(Main3WData[PT.ID]=Main3WData[[#This Row],[PT.ID]],Main3WData[PT.LastID.Row]))=Main3WData[[#This Row],[PT.LastID.Row]]</f>
        <v>0</v>
      </c>
    </row>
    <row r="542" spans="2:18" ht="16.5" customHeight="1" x14ac:dyDescent="0.2">
      <c r="B542" s="55" t="s">
        <v>71</v>
      </c>
      <c r="C542" s="27" t="str">
        <f>INDEX(Organizations[],MATCH(Main3WData[[#This Row],[Acronym]],AcronymList,0),1)</f>
        <v>Medecins sans Frontieres</v>
      </c>
      <c r="D542" s="27" t="str">
        <f>INDEX(Organizations[],MATCH(Main3WData[[#This Row],[Acronym]],AcronymList,0),3)</f>
        <v>International NGO</v>
      </c>
      <c r="E542" s="54" t="s">
        <v>360</v>
      </c>
      <c r="F542" s="53" t="s">
        <v>82</v>
      </c>
      <c r="G542" s="54" t="s">
        <v>412</v>
      </c>
      <c r="H542" s="28" t="str">
        <f>VLOOKUP(Main3WData[[#This Row],[Admin Unit Name]],AdminUnits[],2,FALSE)</f>
        <v>GIN006003</v>
      </c>
      <c r="I542" s="57">
        <v>0</v>
      </c>
      <c r="J542" s="67" t="str">
        <f>Main3WData[[#This Row],[Acronym]]&amp;Main3WData[[#This Row],[Sector]]&amp;Main3WData[[#This Row],[Activity Type]]&amp;Main3WData[[#This Row],[Pcode]]</f>
        <v>MSFCoordinationOngoingGIN006003</v>
      </c>
      <c r="K542" s="69">
        <f>COUNTIF(Main3WData[Concatenate],Main3WData[[#This Row],[Concatenate]])</f>
        <v>1</v>
      </c>
      <c r="L542" s="61" t="str">
        <f>Main3WData[[#This Row],[Sector]]&amp;Main3WData[[#This Row],[Pcode]]</f>
        <v>CoordinationGIN006003</v>
      </c>
      <c r="M542" s="71">
        <f>COUNTIF($L$5:L542,Main3WData[[#This Row],[PT.Concat]])</f>
        <v>5</v>
      </c>
      <c r="N542" s="70">
        <f>MATCH(Main3WData[[#This Row],[PT.Concat]],$L$5:L542,0)</f>
        <v>534</v>
      </c>
      <c r="O542" s="62" t="b">
        <f>Main3WData[[#This Row],[Count PT.Concat]]=1</f>
        <v>0</v>
      </c>
      <c r="P542" s="62">
        <f t="array" ref="P542">MAX(($N$4:N541=Main3WData[[#This Row],[PT.ID]])*ROW($N$4:N541))</f>
        <v>541</v>
      </c>
      <c r="Q542" s="62" t="str">
        <f>IF(Main3WData[[#This Row],[PT.FirstID]],Main3WData[[#This Row],[Acronym]],INDEX($Q$4:Q541,Main3WData[[#This Row],[PT.LastID.Row]]-ROW($Q$4)+1) &amp; ", "&amp;Main3WData[[#This Row],[Acronym]])</f>
        <v>UNMEER, UNFPA, UNDP, OMS, MSF</v>
      </c>
      <c r="R542" s="62" t="b">
        <f t="array" ref="R542">MAX(IF(Main3WData[PT.ID]=Main3WData[[#This Row],[PT.ID]],Main3WData[PT.LastID.Row]))=Main3WData[[#This Row],[PT.LastID.Row]]</f>
        <v>0</v>
      </c>
    </row>
    <row r="543" spans="2:18" ht="16.5" customHeight="1" x14ac:dyDescent="0.2">
      <c r="B543" s="55" t="s">
        <v>507</v>
      </c>
      <c r="C543" s="27" t="str">
        <f>INDEX(Organizations[],MATCH(Main3WData[[#This Row],[Acronym]],AcronymList,0),1)</f>
        <v>eHealth Africa</v>
      </c>
      <c r="D543" s="27" t="str">
        <f>INDEX(Organizations[],MATCH(Main3WData[[#This Row],[Acronym]],AcronymList,0),3)</f>
        <v>International Organization</v>
      </c>
      <c r="E543" s="54" t="s">
        <v>360</v>
      </c>
      <c r="F543" s="53" t="s">
        <v>82</v>
      </c>
      <c r="G543" s="54" t="s">
        <v>412</v>
      </c>
      <c r="H543" s="28" t="str">
        <f>VLOOKUP(Main3WData[[#This Row],[Admin Unit Name]],AdminUnits[],2,FALSE)</f>
        <v>GIN006003</v>
      </c>
      <c r="I543" s="57">
        <v>0</v>
      </c>
      <c r="J543" s="67" t="str">
        <f>Main3WData[[#This Row],[Acronym]]&amp;Main3WData[[#This Row],[Sector]]&amp;Main3WData[[#This Row],[Activity Type]]&amp;Main3WData[[#This Row],[Pcode]]</f>
        <v>eHealth AfricaCoordinationOngoingGIN006003</v>
      </c>
      <c r="K543" s="69">
        <f>COUNTIF(Main3WData[Concatenate],Main3WData[[#This Row],[Concatenate]])</f>
        <v>1</v>
      </c>
      <c r="L543" s="61" t="str">
        <f>Main3WData[[#This Row],[Sector]]&amp;Main3WData[[#This Row],[Pcode]]</f>
        <v>CoordinationGIN006003</v>
      </c>
      <c r="M543" s="71">
        <f>COUNTIF($L$5:L543,Main3WData[[#This Row],[PT.Concat]])</f>
        <v>6</v>
      </c>
      <c r="N543" s="70">
        <f>MATCH(Main3WData[[#This Row],[PT.Concat]],$L$5:L543,0)</f>
        <v>534</v>
      </c>
      <c r="O543" s="62" t="b">
        <f>Main3WData[[#This Row],[Count PT.Concat]]=1</f>
        <v>0</v>
      </c>
      <c r="P543" s="62">
        <f t="array" ref="P543">MAX(($N$4:N542=Main3WData[[#This Row],[PT.ID]])*ROW($N$4:N542))</f>
        <v>542</v>
      </c>
      <c r="Q543" s="62" t="str">
        <f>IF(Main3WData[[#This Row],[PT.FirstID]],Main3WData[[#This Row],[Acronym]],INDEX($Q$4:Q542,Main3WData[[#This Row],[PT.LastID.Row]]-ROW($Q$4)+1) &amp; ", "&amp;Main3WData[[#This Row],[Acronym]])</f>
        <v>UNMEER, UNFPA, UNDP, OMS, MSF, eHealth Africa</v>
      </c>
      <c r="R543" s="62" t="b">
        <f t="array" ref="R543">MAX(IF(Main3WData[PT.ID]=Main3WData[[#This Row],[PT.ID]],Main3WData[PT.LastID.Row]))=Main3WData[[#This Row],[PT.LastID.Row]]</f>
        <v>1</v>
      </c>
    </row>
    <row r="544" spans="2:18" ht="16.5" customHeight="1" x14ac:dyDescent="0.2">
      <c r="B544" s="55" t="s">
        <v>473</v>
      </c>
      <c r="C544" s="27" t="str">
        <f>INDEX(Organizations[],MATCH(Main3WData[[#This Row],[Acronym]],AcronymList,0),1)</f>
        <v>United Nations Development Programme</v>
      </c>
      <c r="D544" s="27" t="str">
        <f>INDEX(Organizations[],MATCH(Main3WData[[#This Row],[Acronym]],AcronymList,0),3)</f>
        <v>UN Agency</v>
      </c>
      <c r="E544" s="54" t="s">
        <v>359</v>
      </c>
      <c r="F544" s="53" t="s">
        <v>82</v>
      </c>
      <c r="G544" s="54" t="s">
        <v>412</v>
      </c>
      <c r="H544" s="28" t="str">
        <f>VLOOKUP(Main3WData[[#This Row],[Admin Unit Name]],AdminUnits[],2,FALSE)</f>
        <v>GIN006003</v>
      </c>
      <c r="I544" s="57">
        <v>0</v>
      </c>
      <c r="J544" s="67" t="str">
        <f>Main3WData[[#This Row],[Acronym]]&amp;Main3WData[[#This Row],[Sector]]&amp;Main3WData[[#This Row],[Activity Type]]&amp;Main3WData[[#This Row],[Pcode]]</f>
        <v>UNDPFinanceOngoingGIN006003</v>
      </c>
      <c r="K544" s="69">
        <f>COUNTIF(Main3WData[Concatenate],Main3WData[[#This Row],[Concatenate]])</f>
        <v>1</v>
      </c>
      <c r="L544" s="61" t="str">
        <f>Main3WData[[#This Row],[Sector]]&amp;Main3WData[[#This Row],[Pcode]]</f>
        <v>FinanceGIN006003</v>
      </c>
      <c r="M544" s="71">
        <f>COUNTIF($L$5:L544,Main3WData[[#This Row],[PT.Concat]])</f>
        <v>1</v>
      </c>
      <c r="N544" s="70">
        <f>MATCH(Main3WData[[#This Row],[PT.Concat]],$L$5:L544,0)</f>
        <v>540</v>
      </c>
      <c r="O544" s="62" t="b">
        <f>Main3WData[[#This Row],[Count PT.Concat]]=1</f>
        <v>1</v>
      </c>
      <c r="P544" s="62">
        <f t="array" ref="P544">MAX(($N$4:N543=Main3WData[[#This Row],[PT.ID]])*ROW($N$4:N543))</f>
        <v>0</v>
      </c>
      <c r="Q544" s="62" t="str">
        <f>IF(Main3WData[[#This Row],[PT.FirstID]],Main3WData[[#This Row],[Acronym]],INDEX($Q$4:Q543,Main3WData[[#This Row],[PT.LastID.Row]]-ROW($Q$4)+1) &amp; ", "&amp;Main3WData[[#This Row],[Acronym]])</f>
        <v>UNDP</v>
      </c>
      <c r="R544" s="62" t="b">
        <f t="array" ref="R544">MAX(IF(Main3WData[PT.ID]=Main3WData[[#This Row],[PT.ID]],Main3WData[PT.LastID.Row]))=Main3WData[[#This Row],[PT.LastID.Row]]</f>
        <v>1</v>
      </c>
    </row>
    <row r="545" spans="2:18" ht="16.5" customHeight="1" x14ac:dyDescent="0.2">
      <c r="B545" s="55" t="s">
        <v>451</v>
      </c>
      <c r="C545" s="27" t="str">
        <f>INDEX(Organizations[],MATCH(Main3WData[[#This Row],[Acronym]],AcronymList,0),1)</f>
        <v>Croix-Rouge Guinée</v>
      </c>
      <c r="D545" s="27" t="str">
        <f>INDEX(Organizations[],MATCH(Main3WData[[#This Row],[Acronym]],AcronymList,0),3)</f>
        <v>Red Cross Movement</v>
      </c>
      <c r="E545" s="54" t="s">
        <v>354</v>
      </c>
      <c r="F545" s="53" t="s">
        <v>82</v>
      </c>
      <c r="G545" s="54" t="s">
        <v>412</v>
      </c>
      <c r="H545" s="28" t="str">
        <f>VLOOKUP(Main3WData[[#This Row],[Admin Unit Name]],AdminUnits[],2,FALSE)</f>
        <v>GIN006003</v>
      </c>
      <c r="I545" s="57">
        <v>0</v>
      </c>
      <c r="J545" s="67" t="str">
        <f>Main3WData[[#This Row],[Acronym]]&amp;Main3WData[[#This Row],[Sector]]&amp;Main3WData[[#This Row],[Activity Type]]&amp;Main3WData[[#This Row],[Pcode]]</f>
        <v>CRGGestion des corps et desinfectionOngoingGIN006003</v>
      </c>
      <c r="K545" s="69">
        <f>COUNTIF(Main3WData[Concatenate],Main3WData[[#This Row],[Concatenate]])</f>
        <v>1</v>
      </c>
      <c r="L545" s="61" t="str">
        <f>Main3WData[[#This Row],[Sector]]&amp;Main3WData[[#This Row],[Pcode]]</f>
        <v>Gestion des corps et desinfectionGIN006003</v>
      </c>
      <c r="M545" s="71">
        <f>COUNTIF($L$5:L545,Main3WData[[#This Row],[PT.Concat]])</f>
        <v>1</v>
      </c>
      <c r="N545" s="70">
        <f>MATCH(Main3WData[[#This Row],[PT.Concat]],$L$5:L545,0)</f>
        <v>541</v>
      </c>
      <c r="O545" s="62" t="b">
        <f>Main3WData[[#This Row],[Count PT.Concat]]=1</f>
        <v>1</v>
      </c>
      <c r="P545" s="62">
        <f t="array" ref="P545">MAX(($N$4:N544=Main3WData[[#This Row],[PT.ID]])*ROW($N$4:N544))</f>
        <v>0</v>
      </c>
      <c r="Q545" s="62" t="str">
        <f>IF(Main3WData[[#This Row],[PT.FirstID]],Main3WData[[#This Row],[Acronym]],INDEX($Q$4:Q544,Main3WData[[#This Row],[PT.LastID.Row]]-ROW($Q$4)+1) &amp; ", "&amp;Main3WData[[#This Row],[Acronym]])</f>
        <v>CRG</v>
      </c>
      <c r="R545" s="62" t="b">
        <f t="array" ref="R545">MAX(IF(Main3WData[PT.ID]=Main3WData[[#This Row],[PT.ID]],Main3WData[PT.LastID.Row]))=Main3WData[[#This Row],[PT.LastID.Row]]</f>
        <v>1</v>
      </c>
    </row>
    <row r="546" spans="2:18" ht="16.5" customHeight="1" x14ac:dyDescent="0.2">
      <c r="B546" s="55" t="s">
        <v>516</v>
      </c>
      <c r="C546" s="27" t="str">
        <f>INDEX(Organizations[],MATCH(Main3WData[[#This Row],[Acronym]],AcronymList,0),1)</f>
        <v>UNITED NATION MISSION FOR EBOLA  EMERGENCY RESPONSE</v>
      </c>
      <c r="D546" s="27" t="str">
        <f>INDEX(Organizations[],MATCH(Main3WData[[#This Row],[Acronym]],AcronymList,0),3)</f>
        <v>UN Agency</v>
      </c>
      <c r="E546" s="54" t="s">
        <v>356</v>
      </c>
      <c r="F546" s="53" t="s">
        <v>82</v>
      </c>
      <c r="G546" s="54" t="s">
        <v>412</v>
      </c>
      <c r="H546" s="28" t="str">
        <f>VLOOKUP(Main3WData[[#This Row],[Admin Unit Name]],AdminUnits[],2,FALSE)</f>
        <v>GIN006003</v>
      </c>
      <c r="I546" s="57">
        <v>0</v>
      </c>
      <c r="J546" s="67" t="str">
        <f>Main3WData[[#This Row],[Acronym]]&amp;Main3WData[[#This Row],[Sector]]&amp;Main3WData[[#This Row],[Activity Type]]&amp;Main3WData[[#This Row],[Pcode]]</f>
        <v>UNMEERGestion des donnéesOngoingGIN006003</v>
      </c>
      <c r="K546" s="69">
        <f>COUNTIF(Main3WData[Concatenate],Main3WData[[#This Row],[Concatenate]])</f>
        <v>1</v>
      </c>
      <c r="L546" s="61" t="str">
        <f>Main3WData[[#This Row],[Sector]]&amp;Main3WData[[#This Row],[Pcode]]</f>
        <v>Gestion des donnéesGIN006003</v>
      </c>
      <c r="M546" s="71">
        <f>COUNTIF($L$5:L546,Main3WData[[#This Row],[PT.Concat]])</f>
        <v>1</v>
      </c>
      <c r="N546" s="70">
        <f>MATCH(Main3WData[[#This Row],[PT.Concat]],$L$5:L546,0)</f>
        <v>542</v>
      </c>
      <c r="O546" s="62" t="b">
        <f>Main3WData[[#This Row],[Count PT.Concat]]=1</f>
        <v>1</v>
      </c>
      <c r="P546" s="62">
        <f t="array" ref="P546">MAX(($N$4:N545=Main3WData[[#This Row],[PT.ID]])*ROW($N$4:N545))</f>
        <v>0</v>
      </c>
      <c r="Q546" s="62" t="str">
        <f>IF(Main3WData[[#This Row],[PT.FirstID]],Main3WData[[#This Row],[Acronym]],INDEX($Q$4:Q545,Main3WData[[#This Row],[PT.LastID.Row]]-ROW($Q$4)+1) &amp; ", "&amp;Main3WData[[#This Row],[Acronym]])</f>
        <v>UNMEER</v>
      </c>
      <c r="R546" s="62" t="b">
        <f t="array" ref="R546">MAX(IF(Main3WData[PT.ID]=Main3WData[[#This Row],[PT.ID]],Main3WData[PT.LastID.Row]))=Main3WData[[#This Row],[PT.LastID.Row]]</f>
        <v>0</v>
      </c>
    </row>
    <row r="547" spans="2:18" ht="16.5" customHeight="1" x14ac:dyDescent="0.2">
      <c r="B547" s="55" t="s">
        <v>512</v>
      </c>
      <c r="C547" s="27" t="str">
        <f>INDEX(Organizations[],MATCH(Main3WData[[#This Row],[Acronym]],AcronymList,0),1)</f>
        <v>World Health Organization</v>
      </c>
      <c r="D547" s="27" t="str">
        <f>INDEX(Organizations[],MATCH(Main3WData[[#This Row],[Acronym]],AcronymList,0),3)</f>
        <v>UN Agency</v>
      </c>
      <c r="E547" s="54" t="s">
        <v>356</v>
      </c>
      <c r="F547" s="53" t="s">
        <v>82</v>
      </c>
      <c r="G547" s="54" t="s">
        <v>412</v>
      </c>
      <c r="H547" s="28" t="str">
        <f>VLOOKUP(Main3WData[[#This Row],[Admin Unit Name]],AdminUnits[],2,FALSE)</f>
        <v>GIN006003</v>
      </c>
      <c r="I547" s="57">
        <v>0</v>
      </c>
      <c r="J547" s="67" t="str">
        <f>Main3WData[[#This Row],[Acronym]]&amp;Main3WData[[#This Row],[Sector]]&amp;Main3WData[[#This Row],[Activity Type]]&amp;Main3WData[[#This Row],[Pcode]]</f>
        <v>OMSGestion des donnéesOngoingGIN006003</v>
      </c>
      <c r="K547" s="69">
        <f>COUNTIF(Main3WData[Concatenate],Main3WData[[#This Row],[Concatenate]])</f>
        <v>1</v>
      </c>
      <c r="L547" s="61" t="str">
        <f>Main3WData[[#This Row],[Sector]]&amp;Main3WData[[#This Row],[Pcode]]</f>
        <v>Gestion des donnéesGIN006003</v>
      </c>
      <c r="M547" s="71">
        <f>COUNTIF($L$5:L547,Main3WData[[#This Row],[PT.Concat]])</f>
        <v>2</v>
      </c>
      <c r="N547" s="70">
        <f>MATCH(Main3WData[[#This Row],[PT.Concat]],$L$5:L547,0)</f>
        <v>542</v>
      </c>
      <c r="O547" s="62" t="b">
        <f>Main3WData[[#This Row],[Count PT.Concat]]=1</f>
        <v>0</v>
      </c>
      <c r="P547" s="62">
        <f t="array" ref="P547">MAX(($N$4:N546=Main3WData[[#This Row],[PT.ID]])*ROW($N$4:N546))</f>
        <v>546</v>
      </c>
      <c r="Q547" s="62" t="str">
        <f>IF(Main3WData[[#This Row],[PT.FirstID]],Main3WData[[#This Row],[Acronym]],INDEX($Q$4:Q546,Main3WData[[#This Row],[PT.LastID.Row]]-ROW($Q$4)+1) &amp; ", "&amp;Main3WData[[#This Row],[Acronym]])</f>
        <v>UNMEER, OMS</v>
      </c>
      <c r="R547" s="62" t="b">
        <f t="array" ref="R547">MAX(IF(Main3WData[PT.ID]=Main3WData[[#This Row],[PT.ID]],Main3WData[PT.LastID.Row]))=Main3WData[[#This Row],[PT.LastID.Row]]</f>
        <v>1</v>
      </c>
    </row>
    <row r="548" spans="2:18" ht="16.5" customHeight="1" x14ac:dyDescent="0.2">
      <c r="B548" s="55" t="s">
        <v>64</v>
      </c>
      <c r="C548" s="27" t="str">
        <f>INDEX(Organizations[],MATCH(Main3WData[[#This Row],[Acronym]],AcronymList,0),1)</f>
        <v>CDC</v>
      </c>
      <c r="D548" s="27" t="str">
        <f>INDEX(Organizations[],MATCH(Main3WData[[#This Row],[Acronym]],AcronymList,0),3)</f>
        <v>International NGO</v>
      </c>
      <c r="E548" s="54" t="s">
        <v>351</v>
      </c>
      <c r="F548" s="53" t="s">
        <v>82</v>
      </c>
      <c r="G548" s="54" t="s">
        <v>412</v>
      </c>
      <c r="H548" s="28" t="str">
        <f>VLOOKUP(Main3WData[[#This Row],[Admin Unit Name]],AdminUnits[],2,FALSE)</f>
        <v>GIN006003</v>
      </c>
      <c r="I548" s="57">
        <v>0</v>
      </c>
      <c r="J548" s="67" t="str">
        <f>Main3WData[[#This Row],[Acronym]]&amp;Main3WData[[#This Row],[Sector]]&amp;Main3WData[[#This Row],[Activity Type]]&amp;Main3WData[[#This Row],[Pcode]]</f>
        <v>CDCSurveillance &amp; suiviOngoingGIN006003</v>
      </c>
      <c r="K548" s="69">
        <f>COUNTIF(Main3WData[Concatenate],Main3WData[[#This Row],[Concatenate]])</f>
        <v>1</v>
      </c>
      <c r="L548" s="61" t="str">
        <f>Main3WData[[#This Row],[Sector]]&amp;Main3WData[[#This Row],[Pcode]]</f>
        <v>Surveillance &amp; suiviGIN006003</v>
      </c>
      <c r="M548" s="71">
        <f>COUNTIF($L$5:L548,Main3WData[[#This Row],[PT.Concat]])</f>
        <v>1</v>
      </c>
      <c r="N548" s="70">
        <f>MATCH(Main3WData[[#This Row],[PT.Concat]],$L$5:L548,0)</f>
        <v>544</v>
      </c>
      <c r="O548" s="62" t="b">
        <f>Main3WData[[#This Row],[Count PT.Concat]]=1</f>
        <v>1</v>
      </c>
      <c r="P548" s="62">
        <f t="array" ref="P548">MAX(($N$4:N547=Main3WData[[#This Row],[PT.ID]])*ROW($N$4:N547))</f>
        <v>0</v>
      </c>
      <c r="Q548" s="62" t="str">
        <f>IF(Main3WData[[#This Row],[PT.FirstID]],Main3WData[[#This Row],[Acronym]],INDEX($Q$4:Q547,Main3WData[[#This Row],[PT.LastID.Row]]-ROW($Q$4)+1) &amp; ", "&amp;Main3WData[[#This Row],[Acronym]])</f>
        <v>CDC</v>
      </c>
      <c r="R548" s="62" t="b">
        <f t="array" ref="R548">MAX(IF(Main3WData[PT.ID]=Main3WData[[#This Row],[PT.ID]],Main3WData[PT.LastID.Row]))=Main3WData[[#This Row],[PT.LastID.Row]]</f>
        <v>0</v>
      </c>
    </row>
    <row r="549" spans="2:18" ht="16.5" customHeight="1" x14ac:dyDescent="0.2">
      <c r="B549" s="55" t="s">
        <v>437</v>
      </c>
      <c r="C549" s="27" t="str">
        <f>INDEX(Organizations[],MATCH(Main3WData[[#This Row],[Acronym]],AcronymList,0),1)</f>
        <v>Action Contre la Faim Espagne</v>
      </c>
      <c r="D549" s="27" t="str">
        <f>INDEX(Organizations[],MATCH(Main3WData[[#This Row],[Acronym]],AcronymList,0),3)</f>
        <v>International NGO</v>
      </c>
      <c r="E549" s="54" t="s">
        <v>351</v>
      </c>
      <c r="F549" s="53" t="s">
        <v>82</v>
      </c>
      <c r="G549" s="54" t="s">
        <v>412</v>
      </c>
      <c r="H549" s="28" t="str">
        <f>VLOOKUP(Main3WData[[#This Row],[Admin Unit Name]],AdminUnits[],2,FALSE)</f>
        <v>GIN006003</v>
      </c>
      <c r="I549" s="57">
        <v>0</v>
      </c>
      <c r="J549" s="67" t="str">
        <f>Main3WData[[#This Row],[Acronym]]&amp;Main3WData[[#This Row],[Sector]]&amp;Main3WData[[#This Row],[Activity Type]]&amp;Main3WData[[#This Row],[Pcode]]</f>
        <v>ACF-ESurveillance &amp; suiviOngoingGIN006003</v>
      </c>
      <c r="K549" s="69">
        <f>COUNTIF(Main3WData[Concatenate],Main3WData[[#This Row],[Concatenate]])</f>
        <v>1</v>
      </c>
      <c r="L549" s="61" t="str">
        <f>Main3WData[[#This Row],[Sector]]&amp;Main3WData[[#This Row],[Pcode]]</f>
        <v>Surveillance &amp; suiviGIN006003</v>
      </c>
      <c r="M549" s="71">
        <f>COUNTIF($L$5:L549,Main3WData[[#This Row],[PT.Concat]])</f>
        <v>2</v>
      </c>
      <c r="N549" s="70">
        <f>MATCH(Main3WData[[#This Row],[PT.Concat]],$L$5:L549,0)</f>
        <v>544</v>
      </c>
      <c r="O549" s="62" t="b">
        <f>Main3WData[[#This Row],[Count PT.Concat]]=1</f>
        <v>0</v>
      </c>
      <c r="P549" s="62">
        <f t="array" ref="P549">MAX(($N$4:N548=Main3WData[[#This Row],[PT.ID]])*ROW($N$4:N548))</f>
        <v>548</v>
      </c>
      <c r="Q549" s="62" t="str">
        <f>IF(Main3WData[[#This Row],[PT.FirstID]],Main3WData[[#This Row],[Acronym]],INDEX($Q$4:Q548,Main3WData[[#This Row],[PT.LastID.Row]]-ROW($Q$4)+1) &amp; ", "&amp;Main3WData[[#This Row],[Acronym]])</f>
        <v>CDC, ACF-E</v>
      </c>
      <c r="R549" s="62" t="b">
        <f t="array" ref="R549">MAX(IF(Main3WData[PT.ID]=Main3WData[[#This Row],[PT.ID]],Main3WData[PT.LastID.Row]))=Main3WData[[#This Row],[PT.LastID.Row]]</f>
        <v>1</v>
      </c>
    </row>
    <row r="550" spans="2:18" ht="16.5" customHeight="1" x14ac:dyDescent="0.2">
      <c r="B550" s="55" t="s">
        <v>77</v>
      </c>
      <c r="C550" s="27" t="str">
        <f>INDEX(Organizations[],MATCH(Main3WData[[#This Row],[Acronym]],AcronymList,0),1)</f>
        <v>United Nations Children's Fund</v>
      </c>
      <c r="D550" s="27" t="str">
        <f>INDEX(Organizations[],MATCH(Main3WData[[#This Row],[Acronym]],AcronymList,0),3)</f>
        <v>UN Agency</v>
      </c>
      <c r="E550" s="54" t="s">
        <v>350</v>
      </c>
      <c r="F550" s="53" t="s">
        <v>82</v>
      </c>
      <c r="G550" s="54" t="s">
        <v>428</v>
      </c>
      <c r="H550" s="28" t="str">
        <f>VLOOKUP(Main3WData[[#This Row],[Admin Unit Name]],AdminUnits[],2,FALSE)</f>
        <v>GIN008003</v>
      </c>
      <c r="I550" s="57">
        <v>0</v>
      </c>
      <c r="J550" s="67" t="str">
        <f>Main3WData[[#This Row],[Acronym]]&amp;Main3WData[[#This Row],[Sector]]&amp;Main3WData[[#This Row],[Activity Type]]&amp;Main3WData[[#This Row],[Pcode]]</f>
        <v>UNICEFCommunication/Mobilisation socialeOngoingGIN008003</v>
      </c>
      <c r="K550" s="69">
        <f>COUNTIF(Main3WData[Concatenate],Main3WData[[#This Row],[Concatenate]])</f>
        <v>1</v>
      </c>
      <c r="L550" s="61" t="str">
        <f>Main3WData[[#This Row],[Sector]]&amp;Main3WData[[#This Row],[Pcode]]</f>
        <v>Communication/Mobilisation socialeGIN008003</v>
      </c>
      <c r="M550" s="71">
        <f>COUNTIF($L$5:L550,Main3WData[[#This Row],[PT.Concat]])</f>
        <v>1</v>
      </c>
      <c r="N550" s="70">
        <f>MATCH(Main3WData[[#This Row],[PT.Concat]],$L$5:L550,0)</f>
        <v>546</v>
      </c>
      <c r="O550" s="62" t="b">
        <f>Main3WData[[#This Row],[Count PT.Concat]]=1</f>
        <v>1</v>
      </c>
      <c r="P550" s="62">
        <f t="array" ref="P550">MAX(($N$4:N549=Main3WData[[#This Row],[PT.ID]])*ROW($N$4:N549))</f>
        <v>0</v>
      </c>
      <c r="Q550" s="62" t="str">
        <f>IF(Main3WData[[#This Row],[PT.FirstID]],Main3WData[[#This Row],[Acronym]],INDEX($Q$4:Q549,Main3WData[[#This Row],[PT.LastID.Row]]-ROW($Q$4)+1) &amp; ", "&amp;Main3WData[[#This Row],[Acronym]])</f>
        <v>UNICEF</v>
      </c>
      <c r="R550" s="62" t="b">
        <f t="array" ref="R550">MAX(IF(Main3WData[PT.ID]=Main3WData[[#This Row],[PT.ID]],Main3WData[PT.LastID.Row]))=Main3WData[[#This Row],[PT.LastID.Row]]</f>
        <v>0</v>
      </c>
    </row>
    <row r="551" spans="2:18" ht="16.5" customHeight="1" x14ac:dyDescent="0.2">
      <c r="B551" s="55" t="s">
        <v>75</v>
      </c>
      <c r="C551" s="27" t="str">
        <f>INDEX(Organizations[],MATCH(Main3WData[[#This Row],[Acronym]],AcronymList,0),1)</f>
        <v>United Nations Population Fund</v>
      </c>
      <c r="D551" s="27" t="str">
        <f>INDEX(Organizations[],MATCH(Main3WData[[#This Row],[Acronym]],AcronymList,0),3)</f>
        <v>UN Agency</v>
      </c>
      <c r="E551" s="54" t="s">
        <v>350</v>
      </c>
      <c r="F551" s="53" t="s">
        <v>82</v>
      </c>
      <c r="G551" s="54" t="s">
        <v>428</v>
      </c>
      <c r="H551" s="28" t="str">
        <f>VLOOKUP(Main3WData[[#This Row],[Admin Unit Name]],AdminUnits[],2,FALSE)</f>
        <v>GIN008003</v>
      </c>
      <c r="I551" s="57">
        <v>0</v>
      </c>
      <c r="J551" s="67" t="str">
        <f>Main3WData[[#This Row],[Acronym]]&amp;Main3WData[[#This Row],[Sector]]&amp;Main3WData[[#This Row],[Activity Type]]&amp;Main3WData[[#This Row],[Pcode]]</f>
        <v>UNFPACommunication/Mobilisation socialeOngoingGIN008003</v>
      </c>
      <c r="K551" s="69">
        <f>COUNTIF(Main3WData[Concatenate],Main3WData[[#This Row],[Concatenate]])</f>
        <v>1</v>
      </c>
      <c r="L551" s="61" t="str">
        <f>Main3WData[[#This Row],[Sector]]&amp;Main3WData[[#This Row],[Pcode]]</f>
        <v>Communication/Mobilisation socialeGIN008003</v>
      </c>
      <c r="M551" s="71">
        <f>COUNTIF($L$5:L551,Main3WData[[#This Row],[PT.Concat]])</f>
        <v>2</v>
      </c>
      <c r="N551" s="70">
        <f>MATCH(Main3WData[[#This Row],[PT.Concat]],$L$5:L551,0)</f>
        <v>546</v>
      </c>
      <c r="O551" s="62" t="b">
        <f>Main3WData[[#This Row],[Count PT.Concat]]=1</f>
        <v>0</v>
      </c>
      <c r="P551" s="62">
        <f t="array" ref="P551">MAX(($N$4:N550=Main3WData[[#This Row],[PT.ID]])*ROW($N$4:N550))</f>
        <v>550</v>
      </c>
      <c r="Q551" s="62" t="str">
        <f>IF(Main3WData[[#This Row],[PT.FirstID]],Main3WData[[#This Row],[Acronym]],INDEX($Q$4:Q550,Main3WData[[#This Row],[PT.LastID.Row]]-ROW($Q$4)+1) &amp; ", "&amp;Main3WData[[#This Row],[Acronym]])</f>
        <v>UNICEF, UNFPA</v>
      </c>
      <c r="R551" s="62" t="b">
        <f t="array" ref="R551">MAX(IF(Main3WData[PT.ID]=Main3WData[[#This Row],[PT.ID]],Main3WData[PT.LastID.Row]))=Main3WData[[#This Row],[PT.LastID.Row]]</f>
        <v>0</v>
      </c>
    </row>
    <row r="552" spans="2:18" ht="16.5" customHeight="1" x14ac:dyDescent="0.2">
      <c r="B552" s="55" t="s">
        <v>473</v>
      </c>
      <c r="C552" s="27" t="str">
        <f>INDEX(Organizations[],MATCH(Main3WData[[#This Row],[Acronym]],AcronymList,0),1)</f>
        <v>United Nations Development Programme</v>
      </c>
      <c r="D552" s="27" t="str">
        <f>INDEX(Organizations[],MATCH(Main3WData[[#This Row],[Acronym]],AcronymList,0),3)</f>
        <v>UN Agency</v>
      </c>
      <c r="E552" s="54" t="s">
        <v>350</v>
      </c>
      <c r="F552" s="53" t="s">
        <v>82</v>
      </c>
      <c r="G552" s="54" t="s">
        <v>428</v>
      </c>
      <c r="H552" s="28" t="str">
        <f>VLOOKUP(Main3WData[[#This Row],[Admin Unit Name]],AdminUnits[],2,FALSE)</f>
        <v>GIN008003</v>
      </c>
      <c r="I552" s="57">
        <v>0</v>
      </c>
      <c r="J552" s="67" t="str">
        <f>Main3WData[[#This Row],[Acronym]]&amp;Main3WData[[#This Row],[Sector]]&amp;Main3WData[[#This Row],[Activity Type]]&amp;Main3WData[[#This Row],[Pcode]]</f>
        <v>UNDPCommunication/Mobilisation socialeOngoingGIN008003</v>
      </c>
      <c r="K552" s="69">
        <f>COUNTIF(Main3WData[Concatenate],Main3WData[[#This Row],[Concatenate]])</f>
        <v>1</v>
      </c>
      <c r="L552" s="61" t="str">
        <f>Main3WData[[#This Row],[Sector]]&amp;Main3WData[[#This Row],[Pcode]]</f>
        <v>Communication/Mobilisation socialeGIN008003</v>
      </c>
      <c r="M552" s="71">
        <f>COUNTIF($L$5:L552,Main3WData[[#This Row],[PT.Concat]])</f>
        <v>3</v>
      </c>
      <c r="N552" s="70">
        <f>MATCH(Main3WData[[#This Row],[PT.Concat]],$L$5:L552,0)</f>
        <v>546</v>
      </c>
      <c r="O552" s="62" t="b">
        <f>Main3WData[[#This Row],[Count PT.Concat]]=1</f>
        <v>0</v>
      </c>
      <c r="P552" s="62">
        <f t="array" ref="P552">MAX(($N$4:N551=Main3WData[[#This Row],[PT.ID]])*ROW($N$4:N551))</f>
        <v>551</v>
      </c>
      <c r="Q552" s="62" t="str">
        <f>IF(Main3WData[[#This Row],[PT.FirstID]],Main3WData[[#This Row],[Acronym]],INDEX($Q$4:Q551,Main3WData[[#This Row],[PT.LastID.Row]]-ROW($Q$4)+1) &amp; ", "&amp;Main3WData[[#This Row],[Acronym]])</f>
        <v>UNICEF, UNFPA, UNDP</v>
      </c>
      <c r="R552" s="62" t="b">
        <f t="array" ref="R552">MAX(IF(Main3WData[PT.ID]=Main3WData[[#This Row],[PT.ID]],Main3WData[PT.LastID.Row]))=Main3WData[[#This Row],[PT.LastID.Row]]</f>
        <v>0</v>
      </c>
    </row>
    <row r="553" spans="2:18" ht="16.5" customHeight="1" x14ac:dyDescent="0.2">
      <c r="B553" s="55" t="s">
        <v>73</v>
      </c>
      <c r="C553" s="27" t="str">
        <f>INDEX(Organizations[],MATCH(Main3WData[[#This Row],[Acronym]],AcronymList,0),1)</f>
        <v>Save the Children</v>
      </c>
      <c r="D553" s="27" t="str">
        <f>INDEX(Organizations[],MATCH(Main3WData[[#This Row],[Acronym]],AcronymList,0),3)</f>
        <v>International NGO</v>
      </c>
      <c r="E553" s="54" t="s">
        <v>350</v>
      </c>
      <c r="F553" s="53" t="s">
        <v>82</v>
      </c>
      <c r="G553" s="54" t="s">
        <v>428</v>
      </c>
      <c r="H553" s="28" t="str">
        <f>VLOOKUP(Main3WData[[#This Row],[Admin Unit Name]],AdminUnits[],2,FALSE)</f>
        <v>GIN008003</v>
      </c>
      <c r="I553" s="57">
        <v>0</v>
      </c>
      <c r="J553" s="67" t="str">
        <f>Main3WData[[#This Row],[Acronym]]&amp;Main3WData[[#This Row],[Sector]]&amp;Main3WData[[#This Row],[Activity Type]]&amp;Main3WData[[#This Row],[Pcode]]</f>
        <v>Save the ChildrenCommunication/Mobilisation socialeOngoingGIN008003</v>
      </c>
      <c r="K553" s="69">
        <f>COUNTIF(Main3WData[Concatenate],Main3WData[[#This Row],[Concatenate]])</f>
        <v>1</v>
      </c>
      <c r="L553" s="61" t="str">
        <f>Main3WData[[#This Row],[Sector]]&amp;Main3WData[[#This Row],[Pcode]]</f>
        <v>Communication/Mobilisation socialeGIN008003</v>
      </c>
      <c r="M553" s="71">
        <f>COUNTIF($L$5:L553,Main3WData[[#This Row],[PT.Concat]])</f>
        <v>4</v>
      </c>
      <c r="N553" s="70">
        <f>MATCH(Main3WData[[#This Row],[PT.Concat]],$L$5:L553,0)</f>
        <v>546</v>
      </c>
      <c r="O553" s="62" t="b">
        <f>Main3WData[[#This Row],[Count PT.Concat]]=1</f>
        <v>0</v>
      </c>
      <c r="P553" s="62">
        <f t="array" ref="P553">MAX(($N$4:N552=Main3WData[[#This Row],[PT.ID]])*ROW($N$4:N552))</f>
        <v>552</v>
      </c>
      <c r="Q553" s="62" t="str">
        <f>IF(Main3WData[[#This Row],[PT.FirstID]],Main3WData[[#This Row],[Acronym]],INDEX($Q$4:Q552,Main3WData[[#This Row],[PT.LastID.Row]]-ROW($Q$4)+1) &amp; ", "&amp;Main3WData[[#This Row],[Acronym]])</f>
        <v>UNICEF, UNFPA, UNDP, Save the Children</v>
      </c>
      <c r="R553" s="62" t="b">
        <f t="array" ref="R553">MAX(IF(Main3WData[PT.ID]=Main3WData[[#This Row],[PT.ID]],Main3WData[PT.LastID.Row]))=Main3WData[[#This Row],[PT.LastID.Row]]</f>
        <v>0</v>
      </c>
    </row>
    <row r="554" spans="2:18" ht="16.5" customHeight="1" x14ac:dyDescent="0.2">
      <c r="B554" s="55" t="s">
        <v>72</v>
      </c>
      <c r="C554" s="27" t="str">
        <f>INDEX(Organizations[],MATCH(Main3WData[[#This Row],[Acronym]],AcronymList,0),1)</f>
        <v>PLAN</v>
      </c>
      <c r="D554" s="27" t="str">
        <f>INDEX(Organizations[],MATCH(Main3WData[[#This Row],[Acronym]],AcronymList,0),3)</f>
        <v>International Organization</v>
      </c>
      <c r="E554" s="54" t="s">
        <v>350</v>
      </c>
      <c r="F554" s="53" t="s">
        <v>82</v>
      </c>
      <c r="G554" s="54" t="s">
        <v>428</v>
      </c>
      <c r="H554" s="28" t="str">
        <f>VLOOKUP(Main3WData[[#This Row],[Admin Unit Name]],AdminUnits[],2,FALSE)</f>
        <v>GIN008003</v>
      </c>
      <c r="I554" s="57">
        <v>0</v>
      </c>
      <c r="J554" s="67" t="str">
        <f>Main3WData[[#This Row],[Acronym]]&amp;Main3WData[[#This Row],[Sector]]&amp;Main3WData[[#This Row],[Activity Type]]&amp;Main3WData[[#This Row],[Pcode]]</f>
        <v>PLANCommunication/Mobilisation socialeOngoingGIN008003</v>
      </c>
      <c r="K554" s="69">
        <f>COUNTIF(Main3WData[Concatenate],Main3WData[[#This Row],[Concatenate]])</f>
        <v>1</v>
      </c>
      <c r="L554" s="61" t="str">
        <f>Main3WData[[#This Row],[Sector]]&amp;Main3WData[[#This Row],[Pcode]]</f>
        <v>Communication/Mobilisation socialeGIN008003</v>
      </c>
      <c r="M554" s="71">
        <f>COUNTIF($L$5:L554,Main3WData[[#This Row],[PT.Concat]])</f>
        <v>5</v>
      </c>
      <c r="N554" s="70">
        <f>MATCH(Main3WData[[#This Row],[PT.Concat]],$L$5:L554,0)</f>
        <v>546</v>
      </c>
      <c r="O554" s="62" t="b">
        <f>Main3WData[[#This Row],[Count PT.Concat]]=1</f>
        <v>0</v>
      </c>
      <c r="P554" s="62">
        <f t="array" ref="P554">MAX(($N$4:N553=Main3WData[[#This Row],[PT.ID]])*ROW($N$4:N553))</f>
        <v>553</v>
      </c>
      <c r="Q554" s="62" t="str">
        <f>IF(Main3WData[[#This Row],[PT.FirstID]],Main3WData[[#This Row],[Acronym]],INDEX($Q$4:Q553,Main3WData[[#This Row],[PT.LastID.Row]]-ROW($Q$4)+1) &amp; ", "&amp;Main3WData[[#This Row],[Acronym]])</f>
        <v>UNICEF, UNFPA, UNDP, Save the Children, PLAN</v>
      </c>
      <c r="R554" s="62" t="b">
        <f t="array" ref="R554">MAX(IF(Main3WData[PT.ID]=Main3WData[[#This Row],[PT.ID]],Main3WData[PT.LastID.Row]))=Main3WData[[#This Row],[PT.LastID.Row]]</f>
        <v>0</v>
      </c>
    </row>
    <row r="555" spans="2:18" ht="16.5" customHeight="1" x14ac:dyDescent="0.2">
      <c r="B555" s="55" t="s">
        <v>512</v>
      </c>
      <c r="C555" s="27" t="str">
        <f>INDEX(Organizations[],MATCH(Main3WData[[#This Row],[Acronym]],AcronymList,0),1)</f>
        <v>World Health Organization</v>
      </c>
      <c r="D555" s="27" t="str">
        <f>INDEX(Organizations[],MATCH(Main3WData[[#This Row],[Acronym]],AcronymList,0),3)</f>
        <v>UN Agency</v>
      </c>
      <c r="E555" s="54" t="s">
        <v>350</v>
      </c>
      <c r="F555" s="53" t="s">
        <v>82</v>
      </c>
      <c r="G555" s="54" t="s">
        <v>428</v>
      </c>
      <c r="H555" s="28" t="str">
        <f>VLOOKUP(Main3WData[[#This Row],[Admin Unit Name]],AdminUnits[],2,FALSE)</f>
        <v>GIN008003</v>
      </c>
      <c r="I555" s="57">
        <v>0</v>
      </c>
      <c r="J555" s="67" t="str">
        <f>Main3WData[[#This Row],[Acronym]]&amp;Main3WData[[#This Row],[Sector]]&amp;Main3WData[[#This Row],[Activity Type]]&amp;Main3WData[[#This Row],[Pcode]]</f>
        <v>OMSCommunication/Mobilisation socialeOngoingGIN008003</v>
      </c>
      <c r="K555" s="69">
        <f>COUNTIF(Main3WData[Concatenate],Main3WData[[#This Row],[Concatenate]])</f>
        <v>1</v>
      </c>
      <c r="L555" s="61" t="str">
        <f>Main3WData[[#This Row],[Sector]]&amp;Main3WData[[#This Row],[Pcode]]</f>
        <v>Communication/Mobilisation socialeGIN008003</v>
      </c>
      <c r="M555" s="71">
        <f>COUNTIF($L$5:L555,Main3WData[[#This Row],[PT.Concat]])</f>
        <v>6</v>
      </c>
      <c r="N555" s="70">
        <f>MATCH(Main3WData[[#This Row],[PT.Concat]],$L$5:L555,0)</f>
        <v>546</v>
      </c>
      <c r="O555" s="62" t="b">
        <f>Main3WData[[#This Row],[Count PT.Concat]]=1</f>
        <v>0</v>
      </c>
      <c r="P555" s="62">
        <f t="array" ref="P555">MAX(($N$4:N554=Main3WData[[#This Row],[PT.ID]])*ROW($N$4:N554))</f>
        <v>554</v>
      </c>
      <c r="Q555" s="62" t="str">
        <f>IF(Main3WData[[#This Row],[PT.FirstID]],Main3WData[[#This Row],[Acronym]],INDEX($Q$4:Q554,Main3WData[[#This Row],[PT.LastID.Row]]-ROW($Q$4)+1) &amp; ", "&amp;Main3WData[[#This Row],[Acronym]])</f>
        <v>UNICEF, UNFPA, UNDP, Save the Children, PLAN, OMS</v>
      </c>
      <c r="R555" s="62" t="b">
        <f t="array" ref="R555">MAX(IF(Main3WData[PT.ID]=Main3WData[[#This Row],[PT.ID]],Main3WData[PT.LastID.Row]))=Main3WData[[#This Row],[PT.LastID.Row]]</f>
        <v>0</v>
      </c>
    </row>
    <row r="556" spans="2:18" ht="16.5" customHeight="1" x14ac:dyDescent="0.2">
      <c r="B556" s="55" t="s">
        <v>499</v>
      </c>
      <c r="C556" s="27" t="str">
        <f>INDEX(Organizations[],MATCH(Main3WData[[#This Row],[Acronym]],AcronymList,0),1)</f>
        <v>Croix-Rouge Guinée/Fédération internationale de la Croix-Rouge</v>
      </c>
      <c r="D556" s="27" t="str">
        <f>INDEX(Organizations[],MATCH(Main3WData[[#This Row],[Acronym]],AcronymList,0),3)</f>
        <v>International Organization</v>
      </c>
      <c r="E556" s="54" t="s">
        <v>350</v>
      </c>
      <c r="F556" s="53" t="s">
        <v>82</v>
      </c>
      <c r="G556" s="54" t="s">
        <v>428</v>
      </c>
      <c r="H556" s="28" t="str">
        <f>VLOOKUP(Main3WData[[#This Row],[Admin Unit Name]],AdminUnits[],2,FALSE)</f>
        <v>GIN008003</v>
      </c>
      <c r="I556" s="57">
        <v>0</v>
      </c>
      <c r="J556" s="67" t="str">
        <f>Main3WData[[#This Row],[Acronym]]&amp;Main3WData[[#This Row],[Sector]]&amp;Main3WData[[#This Row],[Activity Type]]&amp;Main3WData[[#This Row],[Pcode]]</f>
        <v>CRG/FICRCommunication/Mobilisation socialeOngoingGIN008003</v>
      </c>
      <c r="K556" s="69">
        <f>COUNTIF(Main3WData[Concatenate],Main3WData[[#This Row],[Concatenate]])</f>
        <v>1</v>
      </c>
      <c r="L556" s="61" t="str">
        <f>Main3WData[[#This Row],[Sector]]&amp;Main3WData[[#This Row],[Pcode]]</f>
        <v>Communication/Mobilisation socialeGIN008003</v>
      </c>
      <c r="M556" s="71">
        <f>COUNTIF($L$5:L556,Main3WData[[#This Row],[PT.Concat]])</f>
        <v>7</v>
      </c>
      <c r="N556" s="70">
        <f>MATCH(Main3WData[[#This Row],[PT.Concat]],$L$5:L556,0)</f>
        <v>546</v>
      </c>
      <c r="O556" s="62" t="b">
        <f>Main3WData[[#This Row],[Count PT.Concat]]=1</f>
        <v>0</v>
      </c>
      <c r="P556" s="62">
        <f t="array" ref="P556">MAX(($N$4:N555=Main3WData[[#This Row],[PT.ID]])*ROW($N$4:N555))</f>
        <v>555</v>
      </c>
      <c r="Q556" s="62" t="str">
        <f>IF(Main3WData[[#This Row],[PT.FirstID]],Main3WData[[#This Row],[Acronym]],INDEX($Q$4:Q555,Main3WData[[#This Row],[PT.LastID.Row]]-ROW($Q$4)+1) &amp; ", "&amp;Main3WData[[#This Row],[Acronym]])</f>
        <v>UNICEF, UNFPA, UNDP, Save the Children, PLAN, OMS, CRG/FICR</v>
      </c>
      <c r="R556" s="62" t="b">
        <f t="array" ref="R556">MAX(IF(Main3WData[PT.ID]=Main3WData[[#This Row],[PT.ID]],Main3WData[PT.LastID.Row]))=Main3WData[[#This Row],[PT.LastID.Row]]</f>
        <v>1</v>
      </c>
    </row>
    <row r="557" spans="2:18" x14ac:dyDescent="0.2">
      <c r="B557" s="55" t="s">
        <v>516</v>
      </c>
      <c r="C557" s="27" t="str">
        <f>INDEX(Organizations[],MATCH(Main3WData[[#This Row],[Acronym]],AcronymList,0),1)</f>
        <v>UNITED NATION MISSION FOR EBOLA  EMERGENCY RESPONSE</v>
      </c>
      <c r="D557" s="27" t="str">
        <f>INDEX(Organizations[],MATCH(Main3WData[[#This Row],[Acronym]],AcronymList,0),3)</f>
        <v>UN Agency</v>
      </c>
      <c r="E557" s="54" t="s">
        <v>360</v>
      </c>
      <c r="F557" s="53" t="s">
        <v>82</v>
      </c>
      <c r="G557" s="54" t="s">
        <v>428</v>
      </c>
      <c r="H557" s="28" t="str">
        <f>VLOOKUP(Main3WData[[#This Row],[Admin Unit Name]],AdminUnits[],2,FALSE)</f>
        <v>GIN008003</v>
      </c>
      <c r="I557" s="57">
        <v>0</v>
      </c>
      <c r="J557" s="67" t="str">
        <f>Main3WData[[#This Row],[Acronym]]&amp;Main3WData[[#This Row],[Sector]]&amp;Main3WData[[#This Row],[Activity Type]]&amp;Main3WData[[#This Row],[Pcode]]</f>
        <v>UNMEERCoordinationOngoingGIN008003</v>
      </c>
      <c r="K557" s="69">
        <f>COUNTIF(Main3WData[Concatenate],Main3WData[[#This Row],[Concatenate]])</f>
        <v>1</v>
      </c>
      <c r="L557" s="61" t="str">
        <f>Main3WData[[#This Row],[Sector]]&amp;Main3WData[[#This Row],[Pcode]]</f>
        <v>CoordinationGIN008003</v>
      </c>
      <c r="M557" s="71">
        <f>COUNTIF($L$5:L557,Main3WData[[#This Row],[PT.Concat]])</f>
        <v>1</v>
      </c>
      <c r="N557" s="70">
        <f>MATCH(Main3WData[[#This Row],[PT.Concat]],$L$5:L557,0)</f>
        <v>553</v>
      </c>
      <c r="O557" s="62" t="b">
        <f>Main3WData[[#This Row],[Count PT.Concat]]=1</f>
        <v>1</v>
      </c>
      <c r="P557" s="62">
        <f t="array" ref="P557">MAX(($N$4:N556=Main3WData[[#This Row],[PT.ID]])*ROW($N$4:N556))</f>
        <v>0</v>
      </c>
      <c r="Q557" s="62" t="str">
        <f>IF(Main3WData[[#This Row],[PT.FirstID]],Main3WData[[#This Row],[Acronym]],INDEX($Q$4:Q556,Main3WData[[#This Row],[PT.LastID.Row]]-ROW($Q$4)+1) &amp; ", "&amp;Main3WData[[#This Row],[Acronym]])</f>
        <v>UNMEER</v>
      </c>
      <c r="R557" s="62" t="b">
        <f t="array" ref="R557">MAX(IF(Main3WData[PT.ID]=Main3WData[[#This Row],[PT.ID]],Main3WData[PT.LastID.Row]))=Main3WData[[#This Row],[PT.LastID.Row]]</f>
        <v>0</v>
      </c>
    </row>
    <row r="558" spans="2:18" x14ac:dyDescent="0.2">
      <c r="B558" s="55" t="s">
        <v>75</v>
      </c>
      <c r="C558" s="27" t="str">
        <f>INDEX(Organizations[],MATCH(Main3WData[[#This Row],[Acronym]],AcronymList,0),1)</f>
        <v>United Nations Population Fund</v>
      </c>
      <c r="D558" s="27" t="str">
        <f>INDEX(Organizations[],MATCH(Main3WData[[#This Row],[Acronym]],AcronymList,0),3)</f>
        <v>UN Agency</v>
      </c>
      <c r="E558" s="54" t="s">
        <v>360</v>
      </c>
      <c r="F558" s="53" t="s">
        <v>82</v>
      </c>
      <c r="G558" s="54" t="s">
        <v>428</v>
      </c>
      <c r="H558" s="28" t="str">
        <f>VLOOKUP(Main3WData[[#This Row],[Admin Unit Name]],AdminUnits[],2,FALSE)</f>
        <v>GIN008003</v>
      </c>
      <c r="I558" s="57">
        <v>0</v>
      </c>
      <c r="J558" s="67" t="str">
        <f>Main3WData[[#This Row],[Acronym]]&amp;Main3WData[[#This Row],[Sector]]&amp;Main3WData[[#This Row],[Activity Type]]&amp;Main3WData[[#This Row],[Pcode]]</f>
        <v>UNFPACoordinationOngoingGIN008003</v>
      </c>
      <c r="K558" s="69">
        <f>COUNTIF(Main3WData[Concatenate],Main3WData[[#This Row],[Concatenate]])</f>
        <v>1</v>
      </c>
      <c r="L558" s="61" t="str">
        <f>Main3WData[[#This Row],[Sector]]&amp;Main3WData[[#This Row],[Pcode]]</f>
        <v>CoordinationGIN008003</v>
      </c>
      <c r="M558" s="71">
        <f>COUNTIF($L$5:L558,Main3WData[[#This Row],[PT.Concat]])</f>
        <v>2</v>
      </c>
      <c r="N558" s="70">
        <f>MATCH(Main3WData[[#This Row],[PT.Concat]],$L$5:L558,0)</f>
        <v>553</v>
      </c>
      <c r="O558" s="62" t="b">
        <f>Main3WData[[#This Row],[Count PT.Concat]]=1</f>
        <v>0</v>
      </c>
      <c r="P558" s="62">
        <f t="array" ref="P558">MAX(($N$4:N557=Main3WData[[#This Row],[PT.ID]])*ROW($N$4:N557))</f>
        <v>557</v>
      </c>
      <c r="Q558" s="62" t="str">
        <f>IF(Main3WData[[#This Row],[PT.FirstID]],Main3WData[[#This Row],[Acronym]],INDEX($Q$4:Q557,Main3WData[[#This Row],[PT.LastID.Row]]-ROW($Q$4)+1) &amp; ", "&amp;Main3WData[[#This Row],[Acronym]])</f>
        <v>UNMEER, UNFPA</v>
      </c>
      <c r="R558" s="62" t="b">
        <f t="array" ref="R558">MAX(IF(Main3WData[PT.ID]=Main3WData[[#This Row],[PT.ID]],Main3WData[PT.LastID.Row]))=Main3WData[[#This Row],[PT.LastID.Row]]</f>
        <v>0</v>
      </c>
    </row>
    <row r="559" spans="2:18" x14ac:dyDescent="0.2">
      <c r="B559" s="55" t="s">
        <v>473</v>
      </c>
      <c r="C559" s="27" t="str">
        <f>INDEX(Organizations[],MATCH(Main3WData[[#This Row],[Acronym]],AcronymList,0),1)</f>
        <v>United Nations Development Programme</v>
      </c>
      <c r="D559" s="27" t="str">
        <f>INDEX(Organizations[],MATCH(Main3WData[[#This Row],[Acronym]],AcronymList,0),3)</f>
        <v>UN Agency</v>
      </c>
      <c r="E559" s="54" t="s">
        <v>360</v>
      </c>
      <c r="F559" s="53" t="s">
        <v>82</v>
      </c>
      <c r="G559" s="54" t="s">
        <v>428</v>
      </c>
      <c r="H559" s="28" t="str">
        <f>VLOOKUP(Main3WData[[#This Row],[Admin Unit Name]],AdminUnits[],2,FALSE)</f>
        <v>GIN008003</v>
      </c>
      <c r="I559" s="57">
        <v>0</v>
      </c>
      <c r="J559" s="67" t="str">
        <f>Main3WData[[#This Row],[Acronym]]&amp;Main3WData[[#This Row],[Sector]]&amp;Main3WData[[#This Row],[Activity Type]]&amp;Main3WData[[#This Row],[Pcode]]</f>
        <v>UNDPCoordinationOngoingGIN008003</v>
      </c>
      <c r="K559" s="69">
        <f>COUNTIF(Main3WData[Concatenate],Main3WData[[#This Row],[Concatenate]])</f>
        <v>1</v>
      </c>
      <c r="L559" s="61" t="str">
        <f>Main3WData[[#This Row],[Sector]]&amp;Main3WData[[#This Row],[Pcode]]</f>
        <v>CoordinationGIN008003</v>
      </c>
      <c r="M559" s="71">
        <f>COUNTIF($L$5:L559,Main3WData[[#This Row],[PT.Concat]])</f>
        <v>3</v>
      </c>
      <c r="N559" s="70">
        <f>MATCH(Main3WData[[#This Row],[PT.Concat]],$L$5:L559,0)</f>
        <v>553</v>
      </c>
      <c r="O559" s="62" t="b">
        <f>Main3WData[[#This Row],[Count PT.Concat]]=1</f>
        <v>0</v>
      </c>
      <c r="P559" s="62">
        <f t="array" ref="P559">MAX(($N$4:N558=Main3WData[[#This Row],[PT.ID]])*ROW($N$4:N558))</f>
        <v>558</v>
      </c>
      <c r="Q559" s="62" t="str">
        <f>IF(Main3WData[[#This Row],[PT.FirstID]],Main3WData[[#This Row],[Acronym]],INDEX($Q$4:Q558,Main3WData[[#This Row],[PT.LastID.Row]]-ROW($Q$4)+1) &amp; ", "&amp;Main3WData[[#This Row],[Acronym]])</f>
        <v>UNMEER, UNFPA, UNDP</v>
      </c>
      <c r="R559" s="62" t="b">
        <f t="array" ref="R559">MAX(IF(Main3WData[PT.ID]=Main3WData[[#This Row],[PT.ID]],Main3WData[PT.LastID.Row]))=Main3WData[[#This Row],[PT.LastID.Row]]</f>
        <v>0</v>
      </c>
    </row>
    <row r="560" spans="2:18" x14ac:dyDescent="0.2">
      <c r="B560" s="55" t="s">
        <v>512</v>
      </c>
      <c r="C560" s="27" t="str">
        <f>INDEX(Organizations[],MATCH(Main3WData[[#This Row],[Acronym]],AcronymList,0),1)</f>
        <v>World Health Organization</v>
      </c>
      <c r="D560" s="27" t="str">
        <f>INDEX(Organizations[],MATCH(Main3WData[[#This Row],[Acronym]],AcronymList,0),3)</f>
        <v>UN Agency</v>
      </c>
      <c r="E560" s="54" t="s">
        <v>360</v>
      </c>
      <c r="F560" s="53" t="s">
        <v>82</v>
      </c>
      <c r="G560" s="54" t="s">
        <v>428</v>
      </c>
      <c r="H560" s="28" t="str">
        <f>VLOOKUP(Main3WData[[#This Row],[Admin Unit Name]],AdminUnits[],2,FALSE)</f>
        <v>GIN008003</v>
      </c>
      <c r="I560" s="57">
        <v>0</v>
      </c>
      <c r="J560" s="67" t="str">
        <f>Main3WData[[#This Row],[Acronym]]&amp;Main3WData[[#This Row],[Sector]]&amp;Main3WData[[#This Row],[Activity Type]]&amp;Main3WData[[#This Row],[Pcode]]</f>
        <v>OMSCoordinationOngoingGIN008003</v>
      </c>
      <c r="K560" s="69">
        <f>COUNTIF(Main3WData[Concatenate],Main3WData[[#This Row],[Concatenate]])</f>
        <v>1</v>
      </c>
      <c r="L560" s="61" t="str">
        <f>Main3WData[[#This Row],[Sector]]&amp;Main3WData[[#This Row],[Pcode]]</f>
        <v>CoordinationGIN008003</v>
      </c>
      <c r="M560" s="71">
        <f>COUNTIF($L$5:L560,Main3WData[[#This Row],[PT.Concat]])</f>
        <v>4</v>
      </c>
      <c r="N560" s="70">
        <f>MATCH(Main3WData[[#This Row],[PT.Concat]],$L$5:L560,0)</f>
        <v>553</v>
      </c>
      <c r="O560" s="62" t="b">
        <f>Main3WData[[#This Row],[Count PT.Concat]]=1</f>
        <v>0</v>
      </c>
      <c r="P560" s="62">
        <f t="array" ref="P560">MAX(($N$4:N559=Main3WData[[#This Row],[PT.ID]])*ROW($N$4:N559))</f>
        <v>559</v>
      </c>
      <c r="Q560" s="62" t="str">
        <f>IF(Main3WData[[#This Row],[PT.FirstID]],Main3WData[[#This Row],[Acronym]],INDEX($Q$4:Q559,Main3WData[[#This Row],[PT.LastID.Row]]-ROW($Q$4)+1) &amp; ", "&amp;Main3WData[[#This Row],[Acronym]])</f>
        <v>UNMEER, UNFPA, UNDP, OMS</v>
      </c>
      <c r="R560" s="62" t="b">
        <f t="array" ref="R560">MAX(IF(Main3WData[PT.ID]=Main3WData[[#This Row],[PT.ID]],Main3WData[PT.LastID.Row]))=Main3WData[[#This Row],[PT.LastID.Row]]</f>
        <v>0</v>
      </c>
    </row>
    <row r="561" spans="2:18" x14ac:dyDescent="0.2">
      <c r="B561" s="55" t="s">
        <v>71</v>
      </c>
      <c r="C561" s="27" t="str">
        <f>INDEX(Organizations[],MATCH(Main3WData[[#This Row],[Acronym]],AcronymList,0),1)</f>
        <v>Medecins sans Frontieres</v>
      </c>
      <c r="D561" s="27" t="str">
        <f>INDEX(Organizations[],MATCH(Main3WData[[#This Row],[Acronym]],AcronymList,0),3)</f>
        <v>International NGO</v>
      </c>
      <c r="E561" s="54" t="s">
        <v>360</v>
      </c>
      <c r="F561" s="53" t="s">
        <v>82</v>
      </c>
      <c r="G561" s="54" t="s">
        <v>428</v>
      </c>
      <c r="H561" s="28" t="str">
        <f>VLOOKUP(Main3WData[[#This Row],[Admin Unit Name]],AdminUnits[],2,FALSE)</f>
        <v>GIN008003</v>
      </c>
      <c r="I561" s="57">
        <v>0</v>
      </c>
      <c r="J561" s="67" t="str">
        <f>Main3WData[[#This Row],[Acronym]]&amp;Main3WData[[#This Row],[Sector]]&amp;Main3WData[[#This Row],[Activity Type]]&amp;Main3WData[[#This Row],[Pcode]]</f>
        <v>MSFCoordinationOngoingGIN008003</v>
      </c>
      <c r="K561" s="69">
        <f>COUNTIF(Main3WData[Concatenate],Main3WData[[#This Row],[Concatenate]])</f>
        <v>1</v>
      </c>
      <c r="L561" s="61" t="str">
        <f>Main3WData[[#This Row],[Sector]]&amp;Main3WData[[#This Row],[Pcode]]</f>
        <v>CoordinationGIN008003</v>
      </c>
      <c r="M561" s="71">
        <f>COUNTIF($L$5:L561,Main3WData[[#This Row],[PT.Concat]])</f>
        <v>5</v>
      </c>
      <c r="N561" s="70">
        <f>MATCH(Main3WData[[#This Row],[PT.Concat]],$L$5:L561,0)</f>
        <v>553</v>
      </c>
      <c r="O561" s="62" t="b">
        <f>Main3WData[[#This Row],[Count PT.Concat]]=1</f>
        <v>0</v>
      </c>
      <c r="P561" s="62">
        <f t="array" ref="P561">MAX(($N$4:N560=Main3WData[[#This Row],[PT.ID]])*ROW($N$4:N560))</f>
        <v>560</v>
      </c>
      <c r="Q561" s="62" t="str">
        <f>IF(Main3WData[[#This Row],[PT.FirstID]],Main3WData[[#This Row],[Acronym]],INDEX($Q$4:Q560,Main3WData[[#This Row],[PT.LastID.Row]]-ROW($Q$4)+1) &amp; ", "&amp;Main3WData[[#This Row],[Acronym]])</f>
        <v>UNMEER, UNFPA, UNDP, OMS, MSF</v>
      </c>
      <c r="R561" s="62" t="b">
        <f t="array" ref="R561">MAX(IF(Main3WData[PT.ID]=Main3WData[[#This Row],[PT.ID]],Main3WData[PT.LastID.Row]))=Main3WData[[#This Row],[PT.LastID.Row]]</f>
        <v>0</v>
      </c>
    </row>
    <row r="562" spans="2:18" x14ac:dyDescent="0.2">
      <c r="B562" s="55" t="s">
        <v>507</v>
      </c>
      <c r="C562" s="27" t="str">
        <f>INDEX(Organizations[],MATCH(Main3WData[[#This Row],[Acronym]],AcronymList,0),1)</f>
        <v>eHealth Africa</v>
      </c>
      <c r="D562" s="27" t="str">
        <f>INDEX(Organizations[],MATCH(Main3WData[[#This Row],[Acronym]],AcronymList,0),3)</f>
        <v>International Organization</v>
      </c>
      <c r="E562" s="54" t="s">
        <v>360</v>
      </c>
      <c r="F562" s="53" t="s">
        <v>82</v>
      </c>
      <c r="G562" s="54" t="s">
        <v>428</v>
      </c>
      <c r="H562" s="28" t="str">
        <f>VLOOKUP(Main3WData[[#This Row],[Admin Unit Name]],AdminUnits[],2,FALSE)</f>
        <v>GIN008003</v>
      </c>
      <c r="I562" s="57">
        <v>0</v>
      </c>
      <c r="J562" s="67" t="str">
        <f>Main3WData[[#This Row],[Acronym]]&amp;Main3WData[[#This Row],[Sector]]&amp;Main3WData[[#This Row],[Activity Type]]&amp;Main3WData[[#This Row],[Pcode]]</f>
        <v>eHealth AfricaCoordinationOngoingGIN008003</v>
      </c>
      <c r="K562" s="69">
        <f>COUNTIF(Main3WData[Concatenate],Main3WData[[#This Row],[Concatenate]])</f>
        <v>1</v>
      </c>
      <c r="L562" s="61" t="str">
        <f>Main3WData[[#This Row],[Sector]]&amp;Main3WData[[#This Row],[Pcode]]</f>
        <v>CoordinationGIN008003</v>
      </c>
      <c r="M562" s="71">
        <f>COUNTIF($L$5:L562,Main3WData[[#This Row],[PT.Concat]])</f>
        <v>6</v>
      </c>
      <c r="N562" s="70">
        <f>MATCH(Main3WData[[#This Row],[PT.Concat]],$L$5:L562,0)</f>
        <v>553</v>
      </c>
      <c r="O562" s="62" t="b">
        <f>Main3WData[[#This Row],[Count PT.Concat]]=1</f>
        <v>0</v>
      </c>
      <c r="P562" s="62">
        <f t="array" ref="P562">MAX(($N$4:N561=Main3WData[[#This Row],[PT.ID]])*ROW($N$4:N561))</f>
        <v>561</v>
      </c>
      <c r="Q562" s="62" t="str">
        <f>IF(Main3WData[[#This Row],[PT.FirstID]],Main3WData[[#This Row],[Acronym]],INDEX($Q$4:Q561,Main3WData[[#This Row],[PT.LastID.Row]]-ROW($Q$4)+1) &amp; ", "&amp;Main3WData[[#This Row],[Acronym]])</f>
        <v>UNMEER, UNFPA, UNDP, OMS, MSF, eHealth Africa</v>
      </c>
      <c r="R562" s="62" t="b">
        <f t="array" ref="R562">MAX(IF(Main3WData[PT.ID]=Main3WData[[#This Row],[PT.ID]],Main3WData[PT.LastID.Row]))=Main3WData[[#This Row],[PT.LastID.Row]]</f>
        <v>1</v>
      </c>
    </row>
    <row r="563" spans="2:18" x14ac:dyDescent="0.2">
      <c r="B563" s="55" t="s">
        <v>473</v>
      </c>
      <c r="C563" s="27" t="str">
        <f>INDEX(Organizations[],MATCH(Main3WData[[#This Row],[Acronym]],AcronymList,0),1)</f>
        <v>United Nations Development Programme</v>
      </c>
      <c r="D563" s="27" t="str">
        <f>INDEX(Organizations[],MATCH(Main3WData[[#This Row],[Acronym]],AcronymList,0),3)</f>
        <v>UN Agency</v>
      </c>
      <c r="E563" s="54" t="s">
        <v>359</v>
      </c>
      <c r="F563" s="53" t="s">
        <v>82</v>
      </c>
      <c r="G563" s="54" t="s">
        <v>428</v>
      </c>
      <c r="H563" s="28" t="str">
        <f>VLOOKUP(Main3WData[[#This Row],[Admin Unit Name]],AdminUnits[],2,FALSE)</f>
        <v>GIN008003</v>
      </c>
      <c r="I563" s="57">
        <v>0</v>
      </c>
      <c r="J563" s="67" t="str">
        <f>Main3WData[[#This Row],[Acronym]]&amp;Main3WData[[#This Row],[Sector]]&amp;Main3WData[[#This Row],[Activity Type]]&amp;Main3WData[[#This Row],[Pcode]]</f>
        <v>UNDPFinanceOngoingGIN008003</v>
      </c>
      <c r="K563" s="69">
        <f>COUNTIF(Main3WData[Concatenate],Main3WData[[#This Row],[Concatenate]])</f>
        <v>1</v>
      </c>
      <c r="L563" s="61" t="str">
        <f>Main3WData[[#This Row],[Sector]]&amp;Main3WData[[#This Row],[Pcode]]</f>
        <v>FinanceGIN008003</v>
      </c>
      <c r="M563" s="71">
        <f>COUNTIF($L$5:L563,Main3WData[[#This Row],[PT.Concat]])</f>
        <v>1</v>
      </c>
      <c r="N563" s="70">
        <f>MATCH(Main3WData[[#This Row],[PT.Concat]],$L$5:L563,0)</f>
        <v>559</v>
      </c>
      <c r="O563" s="62" t="b">
        <f>Main3WData[[#This Row],[Count PT.Concat]]=1</f>
        <v>1</v>
      </c>
      <c r="P563" s="62">
        <f t="array" ref="P563">MAX(($N$4:N562=Main3WData[[#This Row],[PT.ID]])*ROW($N$4:N562))</f>
        <v>0</v>
      </c>
      <c r="Q563" s="62" t="str">
        <f>IF(Main3WData[[#This Row],[PT.FirstID]],Main3WData[[#This Row],[Acronym]],INDEX($Q$4:Q562,Main3WData[[#This Row],[PT.LastID.Row]]-ROW($Q$4)+1) &amp; ", "&amp;Main3WData[[#This Row],[Acronym]])</f>
        <v>UNDP</v>
      </c>
      <c r="R563" s="62" t="b">
        <f t="array" ref="R563">MAX(IF(Main3WData[PT.ID]=Main3WData[[#This Row],[PT.ID]],Main3WData[PT.LastID.Row]))=Main3WData[[#This Row],[PT.LastID.Row]]</f>
        <v>1</v>
      </c>
    </row>
    <row r="564" spans="2:18" x14ac:dyDescent="0.2">
      <c r="B564" s="55" t="s">
        <v>451</v>
      </c>
      <c r="C564" s="27" t="str">
        <f>INDEX(Organizations[],MATCH(Main3WData[[#This Row],[Acronym]],AcronymList,0),1)</f>
        <v>Croix-Rouge Guinée</v>
      </c>
      <c r="D564" s="27" t="str">
        <f>INDEX(Organizations[],MATCH(Main3WData[[#This Row],[Acronym]],AcronymList,0),3)</f>
        <v>Red Cross Movement</v>
      </c>
      <c r="E564" s="54" t="s">
        <v>354</v>
      </c>
      <c r="F564" s="53" t="s">
        <v>82</v>
      </c>
      <c r="G564" s="54" t="s">
        <v>428</v>
      </c>
      <c r="H564" s="28" t="str">
        <f>VLOOKUP(Main3WData[[#This Row],[Admin Unit Name]],AdminUnits[],2,FALSE)</f>
        <v>GIN008003</v>
      </c>
      <c r="I564" s="57">
        <v>0</v>
      </c>
      <c r="J564" s="67" t="str">
        <f>Main3WData[[#This Row],[Acronym]]&amp;Main3WData[[#This Row],[Sector]]&amp;Main3WData[[#This Row],[Activity Type]]&amp;Main3WData[[#This Row],[Pcode]]</f>
        <v>CRGGestion des corps et desinfectionOngoingGIN008003</v>
      </c>
      <c r="K564" s="69">
        <f>COUNTIF(Main3WData[Concatenate],Main3WData[[#This Row],[Concatenate]])</f>
        <v>1</v>
      </c>
      <c r="L564" s="61" t="str">
        <f>Main3WData[[#This Row],[Sector]]&amp;Main3WData[[#This Row],[Pcode]]</f>
        <v>Gestion des corps et desinfectionGIN008003</v>
      </c>
      <c r="M564" s="71">
        <f>COUNTIF($L$5:L564,Main3WData[[#This Row],[PT.Concat]])</f>
        <v>1</v>
      </c>
      <c r="N564" s="70">
        <f>MATCH(Main3WData[[#This Row],[PT.Concat]],$L$5:L564,0)</f>
        <v>560</v>
      </c>
      <c r="O564" s="62" t="b">
        <f>Main3WData[[#This Row],[Count PT.Concat]]=1</f>
        <v>1</v>
      </c>
      <c r="P564" s="62">
        <f t="array" ref="P564">MAX(($N$4:N563=Main3WData[[#This Row],[PT.ID]])*ROW($N$4:N563))</f>
        <v>0</v>
      </c>
      <c r="Q564" s="62" t="str">
        <f>IF(Main3WData[[#This Row],[PT.FirstID]],Main3WData[[#This Row],[Acronym]],INDEX($Q$4:Q563,Main3WData[[#This Row],[PT.LastID.Row]]-ROW($Q$4)+1) &amp; ", "&amp;Main3WData[[#This Row],[Acronym]])</f>
        <v>CRG</v>
      </c>
      <c r="R564" s="62" t="b">
        <f t="array" ref="R564">MAX(IF(Main3WData[PT.ID]=Main3WData[[#This Row],[PT.ID]],Main3WData[PT.LastID.Row]))=Main3WData[[#This Row],[PT.LastID.Row]]</f>
        <v>1</v>
      </c>
    </row>
    <row r="565" spans="2:18" x14ac:dyDescent="0.2">
      <c r="B565" s="55" t="s">
        <v>516</v>
      </c>
      <c r="C565" s="27" t="str">
        <f>INDEX(Organizations[],MATCH(Main3WData[[#This Row],[Acronym]],AcronymList,0),1)</f>
        <v>UNITED NATION MISSION FOR EBOLA  EMERGENCY RESPONSE</v>
      </c>
      <c r="D565" s="27" t="str">
        <f>INDEX(Organizations[],MATCH(Main3WData[[#This Row],[Acronym]],AcronymList,0),3)</f>
        <v>UN Agency</v>
      </c>
      <c r="E565" s="54" t="s">
        <v>356</v>
      </c>
      <c r="F565" s="53" t="s">
        <v>82</v>
      </c>
      <c r="G565" s="54" t="s">
        <v>428</v>
      </c>
      <c r="H565" s="28" t="str">
        <f>VLOOKUP(Main3WData[[#This Row],[Admin Unit Name]],AdminUnits[],2,FALSE)</f>
        <v>GIN008003</v>
      </c>
      <c r="I565" s="57">
        <v>0</v>
      </c>
      <c r="J565" s="67" t="str">
        <f>Main3WData[[#This Row],[Acronym]]&amp;Main3WData[[#This Row],[Sector]]&amp;Main3WData[[#This Row],[Activity Type]]&amp;Main3WData[[#This Row],[Pcode]]</f>
        <v>UNMEERGestion des donnéesOngoingGIN008003</v>
      </c>
      <c r="K565" s="69">
        <f>COUNTIF(Main3WData[Concatenate],Main3WData[[#This Row],[Concatenate]])</f>
        <v>1</v>
      </c>
      <c r="L565" s="61" t="str">
        <f>Main3WData[[#This Row],[Sector]]&amp;Main3WData[[#This Row],[Pcode]]</f>
        <v>Gestion des donnéesGIN008003</v>
      </c>
      <c r="M565" s="71">
        <f>COUNTIF($L$5:L565,Main3WData[[#This Row],[PT.Concat]])</f>
        <v>1</v>
      </c>
      <c r="N565" s="70">
        <f>MATCH(Main3WData[[#This Row],[PT.Concat]],$L$5:L565,0)</f>
        <v>561</v>
      </c>
      <c r="O565" s="62" t="b">
        <f>Main3WData[[#This Row],[Count PT.Concat]]=1</f>
        <v>1</v>
      </c>
      <c r="P565" s="62">
        <f t="array" ref="P565">MAX(($N$4:N564=Main3WData[[#This Row],[PT.ID]])*ROW($N$4:N564))</f>
        <v>0</v>
      </c>
      <c r="Q565" s="62" t="str">
        <f>IF(Main3WData[[#This Row],[PT.FirstID]],Main3WData[[#This Row],[Acronym]],INDEX($Q$4:Q564,Main3WData[[#This Row],[PT.LastID.Row]]-ROW($Q$4)+1) &amp; ", "&amp;Main3WData[[#This Row],[Acronym]])</f>
        <v>UNMEER</v>
      </c>
      <c r="R565" s="62" t="b">
        <f t="array" ref="R565">MAX(IF(Main3WData[PT.ID]=Main3WData[[#This Row],[PT.ID]],Main3WData[PT.LastID.Row]))=Main3WData[[#This Row],[PT.LastID.Row]]</f>
        <v>0</v>
      </c>
    </row>
    <row r="566" spans="2:18" x14ac:dyDescent="0.2">
      <c r="B566" s="55" t="s">
        <v>512</v>
      </c>
      <c r="C566" s="27" t="str">
        <f>INDEX(Organizations[],MATCH(Main3WData[[#This Row],[Acronym]],AcronymList,0),1)</f>
        <v>World Health Organization</v>
      </c>
      <c r="D566" s="27" t="str">
        <f>INDEX(Organizations[],MATCH(Main3WData[[#This Row],[Acronym]],AcronymList,0),3)</f>
        <v>UN Agency</v>
      </c>
      <c r="E566" s="54" t="s">
        <v>356</v>
      </c>
      <c r="F566" s="53" t="s">
        <v>82</v>
      </c>
      <c r="G566" s="54" t="s">
        <v>428</v>
      </c>
      <c r="H566" s="28" t="str">
        <f>VLOOKUP(Main3WData[[#This Row],[Admin Unit Name]],AdminUnits[],2,FALSE)</f>
        <v>GIN008003</v>
      </c>
      <c r="I566" s="57">
        <v>0</v>
      </c>
      <c r="J566" s="67" t="str">
        <f>Main3WData[[#This Row],[Acronym]]&amp;Main3WData[[#This Row],[Sector]]&amp;Main3WData[[#This Row],[Activity Type]]&amp;Main3WData[[#This Row],[Pcode]]</f>
        <v>OMSGestion des donnéesOngoingGIN008003</v>
      </c>
      <c r="K566" s="69">
        <f>COUNTIF(Main3WData[Concatenate],Main3WData[[#This Row],[Concatenate]])</f>
        <v>1</v>
      </c>
      <c r="L566" s="61" t="str">
        <f>Main3WData[[#This Row],[Sector]]&amp;Main3WData[[#This Row],[Pcode]]</f>
        <v>Gestion des donnéesGIN008003</v>
      </c>
      <c r="M566" s="71">
        <f>COUNTIF($L$5:L566,Main3WData[[#This Row],[PT.Concat]])</f>
        <v>2</v>
      </c>
      <c r="N566" s="70">
        <f>MATCH(Main3WData[[#This Row],[PT.Concat]],$L$5:L566,0)</f>
        <v>561</v>
      </c>
      <c r="O566" s="62" t="b">
        <f>Main3WData[[#This Row],[Count PT.Concat]]=1</f>
        <v>0</v>
      </c>
      <c r="P566" s="62">
        <f t="array" ref="P566">MAX(($N$4:N565=Main3WData[[#This Row],[PT.ID]])*ROW($N$4:N565))</f>
        <v>565</v>
      </c>
      <c r="Q566" s="62" t="str">
        <f>IF(Main3WData[[#This Row],[PT.FirstID]],Main3WData[[#This Row],[Acronym]],INDEX($Q$4:Q565,Main3WData[[#This Row],[PT.LastID.Row]]-ROW($Q$4)+1) &amp; ", "&amp;Main3WData[[#This Row],[Acronym]])</f>
        <v>UNMEER, OMS</v>
      </c>
      <c r="R566" s="62" t="b">
        <f t="array" ref="R566">MAX(IF(Main3WData[PT.ID]=Main3WData[[#This Row],[PT.ID]],Main3WData[PT.LastID.Row]))=Main3WData[[#This Row],[PT.LastID.Row]]</f>
        <v>1</v>
      </c>
    </row>
    <row r="567" spans="2:18" x14ac:dyDescent="0.2">
      <c r="B567" s="55" t="s">
        <v>453</v>
      </c>
      <c r="C567" s="27" t="str">
        <f>INDEX(Organizations[],MATCH(Main3WData[[#This Row],[Acronym]],AcronymList,0),1)</f>
        <v>European Union</v>
      </c>
      <c r="D567" s="27" t="str">
        <f>INDEX(Organizations[],MATCH(Main3WData[[#This Row],[Acronym]],AcronymList,0),3)</f>
        <v>Donors</v>
      </c>
      <c r="E567" s="54" t="s">
        <v>353</v>
      </c>
      <c r="F567" s="53" t="s">
        <v>82</v>
      </c>
      <c r="G567" s="54" t="s">
        <v>428</v>
      </c>
      <c r="H567" s="28" t="str">
        <f>VLOOKUP(Main3WData[[#This Row],[Admin Unit Name]],AdminUnits[],2,FALSE)</f>
        <v>GIN008003</v>
      </c>
      <c r="I567" s="57">
        <v>0</v>
      </c>
      <c r="J567" s="67" t="str">
        <f>Main3WData[[#This Row],[Acronym]]&amp;Main3WData[[#This Row],[Sector]]&amp;Main3WData[[#This Row],[Activity Type]]&amp;Main3WData[[#This Row],[Pcode]]</f>
        <v>EUPrise en chargeOngoingGIN008003</v>
      </c>
      <c r="K567" s="69">
        <f>COUNTIF(Main3WData[Concatenate],Main3WData[[#This Row],[Concatenate]])</f>
        <v>1</v>
      </c>
      <c r="L567" s="61" t="str">
        <f>Main3WData[[#This Row],[Sector]]&amp;Main3WData[[#This Row],[Pcode]]</f>
        <v>Prise en chargeGIN008003</v>
      </c>
      <c r="M567" s="71">
        <f>COUNTIF($L$5:L567,Main3WData[[#This Row],[PT.Concat]])</f>
        <v>1</v>
      </c>
      <c r="N567" s="70">
        <f>MATCH(Main3WData[[#This Row],[PT.Concat]],$L$5:L567,0)</f>
        <v>563</v>
      </c>
      <c r="O567" s="62" t="b">
        <f>Main3WData[[#This Row],[Count PT.Concat]]=1</f>
        <v>1</v>
      </c>
      <c r="P567" s="62">
        <f t="array" ref="P567">MAX(($N$4:N566=Main3WData[[#This Row],[PT.ID]])*ROW($N$4:N566))</f>
        <v>0</v>
      </c>
      <c r="Q567" s="62" t="str">
        <f>IF(Main3WData[[#This Row],[PT.FirstID]],Main3WData[[#This Row],[Acronym]],INDEX($Q$4:Q566,Main3WData[[#This Row],[PT.LastID.Row]]-ROW($Q$4)+1) &amp; ", "&amp;Main3WData[[#This Row],[Acronym]])</f>
        <v>EU</v>
      </c>
      <c r="R567" s="62" t="b">
        <f t="array" ref="R567">MAX(IF(Main3WData[PT.ID]=Main3WData[[#This Row],[PT.ID]],Main3WData[PT.LastID.Row]))=Main3WData[[#This Row],[PT.LastID.Row]]</f>
        <v>1</v>
      </c>
    </row>
    <row r="568" spans="2:18" x14ac:dyDescent="0.2">
      <c r="B568" s="55" t="s">
        <v>78</v>
      </c>
      <c r="C568" s="27" t="str">
        <f>INDEX(Organizations[],MATCH(Main3WData[[#This Row],[Acronym]],AcronymList,0),1)</f>
        <v>World Food Programme</v>
      </c>
      <c r="D568" s="27" t="str">
        <f>INDEX(Organizations[],MATCH(Main3WData[[#This Row],[Acronym]],AcronymList,0),3)</f>
        <v>UN Agency</v>
      </c>
      <c r="E568" s="54" t="s">
        <v>355</v>
      </c>
      <c r="F568" s="53" t="s">
        <v>82</v>
      </c>
      <c r="G568" s="54" t="s">
        <v>428</v>
      </c>
      <c r="H568" s="28" t="str">
        <f>VLOOKUP(Main3WData[[#This Row],[Admin Unit Name]],AdminUnits[],2,FALSE)</f>
        <v>GIN008003</v>
      </c>
      <c r="I568" s="57">
        <v>0</v>
      </c>
      <c r="J568" s="67" t="str">
        <f>Main3WData[[#This Row],[Acronym]]&amp;Main3WData[[#This Row],[Sector]]&amp;Main3WData[[#This Row],[Activity Type]]&amp;Main3WData[[#This Row],[Pcode]]</f>
        <v>WFPSoutien nutritionnel et socialOngoingGIN008003</v>
      </c>
      <c r="K568" s="69">
        <f>COUNTIF(Main3WData[Concatenate],Main3WData[[#This Row],[Concatenate]])</f>
        <v>1</v>
      </c>
      <c r="L568" s="61" t="str">
        <f>Main3WData[[#This Row],[Sector]]&amp;Main3WData[[#This Row],[Pcode]]</f>
        <v>Soutien nutritionnel et socialGIN008003</v>
      </c>
      <c r="M568" s="71">
        <f>COUNTIF($L$5:L568,Main3WData[[#This Row],[PT.Concat]])</f>
        <v>1</v>
      </c>
      <c r="N568" s="70">
        <f>MATCH(Main3WData[[#This Row],[PT.Concat]],$L$5:L568,0)</f>
        <v>564</v>
      </c>
      <c r="O568" s="62" t="b">
        <f>Main3WData[[#This Row],[Count PT.Concat]]=1</f>
        <v>1</v>
      </c>
      <c r="P568" s="62">
        <f t="array" ref="P568">MAX(($N$4:N567=Main3WData[[#This Row],[PT.ID]])*ROW($N$4:N567))</f>
        <v>0</v>
      </c>
      <c r="Q568" s="62" t="str">
        <f>IF(Main3WData[[#This Row],[PT.FirstID]],Main3WData[[#This Row],[Acronym]],INDEX($Q$4:Q567,Main3WData[[#This Row],[PT.LastID.Row]]-ROW($Q$4)+1) &amp; ", "&amp;Main3WData[[#This Row],[Acronym]])</f>
        <v>WFP</v>
      </c>
      <c r="R568" s="62" t="b">
        <f t="array" ref="R568">MAX(IF(Main3WData[PT.ID]=Main3WData[[#This Row],[PT.ID]],Main3WData[PT.LastID.Row]))=Main3WData[[#This Row],[PT.LastID.Row]]</f>
        <v>0</v>
      </c>
    </row>
    <row r="569" spans="2:18" x14ac:dyDescent="0.2">
      <c r="B569" s="55" t="s">
        <v>503</v>
      </c>
      <c r="C569" s="27" t="str">
        <f>INDEX(Organizations[],MATCH(Main3WData[[#This Row],[Acronym]],AcronymList,0),1)</f>
        <v>Danish Refugee Council</v>
      </c>
      <c r="D569" s="27" t="str">
        <f>INDEX(Organizations[],MATCH(Main3WData[[#This Row],[Acronym]],AcronymList,0),3)</f>
        <v>International NGO</v>
      </c>
      <c r="E569" s="54" t="s">
        <v>355</v>
      </c>
      <c r="F569" s="53" t="s">
        <v>82</v>
      </c>
      <c r="G569" s="54" t="s">
        <v>428</v>
      </c>
      <c r="H569" s="28" t="str">
        <f>VLOOKUP(Main3WData[[#This Row],[Admin Unit Name]],AdminUnits[],2,FALSE)</f>
        <v>GIN008003</v>
      </c>
      <c r="I569" s="57">
        <v>0</v>
      </c>
      <c r="J569" s="67" t="str">
        <f>Main3WData[[#This Row],[Acronym]]&amp;Main3WData[[#This Row],[Sector]]&amp;Main3WData[[#This Row],[Activity Type]]&amp;Main3WData[[#This Row],[Pcode]]</f>
        <v>DRCSoutien nutritionnel et socialOngoingGIN008003</v>
      </c>
      <c r="K569" s="69">
        <f>COUNTIF(Main3WData[Concatenate],Main3WData[[#This Row],[Concatenate]])</f>
        <v>1</v>
      </c>
      <c r="L569" s="61" t="str">
        <f>Main3WData[[#This Row],[Sector]]&amp;Main3WData[[#This Row],[Pcode]]</f>
        <v>Soutien nutritionnel et socialGIN008003</v>
      </c>
      <c r="M569" s="71">
        <f>COUNTIF($L$5:L569,Main3WData[[#This Row],[PT.Concat]])</f>
        <v>2</v>
      </c>
      <c r="N569" s="70">
        <f>MATCH(Main3WData[[#This Row],[PT.Concat]],$L$5:L569,0)</f>
        <v>564</v>
      </c>
      <c r="O569" s="62" t="b">
        <f>Main3WData[[#This Row],[Count PT.Concat]]=1</f>
        <v>0</v>
      </c>
      <c r="P569" s="62">
        <f t="array" ref="P569">MAX(($N$4:N568=Main3WData[[#This Row],[PT.ID]])*ROW($N$4:N568))</f>
        <v>568</v>
      </c>
      <c r="Q569" s="62" t="str">
        <f>IF(Main3WData[[#This Row],[PT.FirstID]],Main3WData[[#This Row],[Acronym]],INDEX($Q$4:Q568,Main3WData[[#This Row],[PT.LastID.Row]]-ROW($Q$4)+1) &amp; ", "&amp;Main3WData[[#This Row],[Acronym]])</f>
        <v>WFP, DRC</v>
      </c>
      <c r="R569" s="62" t="b">
        <f t="array" ref="R569">MAX(IF(Main3WData[PT.ID]=Main3WData[[#This Row],[PT.ID]],Main3WData[PT.LastID.Row]))=Main3WData[[#This Row],[PT.LastID.Row]]</f>
        <v>0</v>
      </c>
    </row>
    <row r="570" spans="2:18" x14ac:dyDescent="0.2">
      <c r="B570" s="55" t="s">
        <v>66</v>
      </c>
      <c r="C570" s="27" t="str">
        <f>INDEX(Organizations[],MATCH(Main3WData[[#This Row],[Acronym]],AcronymList,0),1)</f>
        <v>Catholic Relief Services</v>
      </c>
      <c r="D570" s="27" t="str">
        <f>INDEX(Organizations[],MATCH(Main3WData[[#This Row],[Acronym]],AcronymList,0),3)</f>
        <v>International NGO</v>
      </c>
      <c r="E570" s="54" t="s">
        <v>355</v>
      </c>
      <c r="F570" s="53" t="s">
        <v>82</v>
      </c>
      <c r="G570" s="54" t="s">
        <v>428</v>
      </c>
      <c r="H570" s="28" t="str">
        <f>VLOOKUP(Main3WData[[#This Row],[Admin Unit Name]],AdminUnits[],2,FALSE)</f>
        <v>GIN008003</v>
      </c>
      <c r="I570" s="57">
        <v>0</v>
      </c>
      <c r="J570" s="67" t="str">
        <f>Main3WData[[#This Row],[Acronym]]&amp;Main3WData[[#This Row],[Sector]]&amp;Main3WData[[#This Row],[Activity Type]]&amp;Main3WData[[#This Row],[Pcode]]</f>
        <v>CRSSoutien nutritionnel et socialOngoingGIN008003</v>
      </c>
      <c r="K570" s="69">
        <f>COUNTIF(Main3WData[Concatenate],Main3WData[[#This Row],[Concatenate]])</f>
        <v>1</v>
      </c>
      <c r="L570" s="61" t="str">
        <f>Main3WData[[#This Row],[Sector]]&amp;Main3WData[[#This Row],[Pcode]]</f>
        <v>Soutien nutritionnel et socialGIN008003</v>
      </c>
      <c r="M570" s="71">
        <f>COUNTIF($L$5:L570,Main3WData[[#This Row],[PT.Concat]])</f>
        <v>3</v>
      </c>
      <c r="N570" s="70">
        <f>MATCH(Main3WData[[#This Row],[PT.Concat]],$L$5:L570,0)</f>
        <v>564</v>
      </c>
      <c r="O570" s="62" t="b">
        <f>Main3WData[[#This Row],[Count PT.Concat]]=1</f>
        <v>0</v>
      </c>
      <c r="P570" s="62">
        <f t="array" ref="P570">MAX(($N$4:N569=Main3WData[[#This Row],[PT.ID]])*ROW($N$4:N569))</f>
        <v>569</v>
      </c>
      <c r="Q570" s="62" t="str">
        <f>IF(Main3WData[[#This Row],[PT.FirstID]],Main3WData[[#This Row],[Acronym]],INDEX($Q$4:Q569,Main3WData[[#This Row],[PT.LastID.Row]]-ROW($Q$4)+1) &amp; ", "&amp;Main3WData[[#This Row],[Acronym]])</f>
        <v>WFP, DRC, CRS</v>
      </c>
      <c r="R570" s="62" t="b">
        <f t="array" ref="R570">MAX(IF(Main3WData[PT.ID]=Main3WData[[#This Row],[PT.ID]],Main3WData[PT.LastID.Row]))=Main3WData[[#This Row],[PT.LastID.Row]]</f>
        <v>1</v>
      </c>
    </row>
    <row r="571" spans="2:18" x14ac:dyDescent="0.2">
      <c r="B571" s="55" t="s">
        <v>75</v>
      </c>
      <c r="C571" s="27" t="str">
        <f>INDEX(Organizations[],MATCH(Main3WData[[#This Row],[Acronym]],AcronymList,0),1)</f>
        <v>United Nations Population Fund</v>
      </c>
      <c r="D571" s="27" t="str">
        <f>INDEX(Organizations[],MATCH(Main3WData[[#This Row],[Acronym]],AcronymList,0),3)</f>
        <v>UN Agency</v>
      </c>
      <c r="E571" s="54" t="s">
        <v>351</v>
      </c>
      <c r="F571" s="53" t="s">
        <v>82</v>
      </c>
      <c r="G571" s="54" t="s">
        <v>428</v>
      </c>
      <c r="H571" s="28" t="str">
        <f>VLOOKUP(Main3WData[[#This Row],[Admin Unit Name]],AdminUnits[],2,FALSE)</f>
        <v>GIN008003</v>
      </c>
      <c r="I571" s="57">
        <v>0</v>
      </c>
      <c r="J571" s="67" t="str">
        <f>Main3WData[[#This Row],[Acronym]]&amp;Main3WData[[#This Row],[Sector]]&amp;Main3WData[[#This Row],[Activity Type]]&amp;Main3WData[[#This Row],[Pcode]]</f>
        <v>UNFPASurveillance &amp; suiviOngoingGIN008003</v>
      </c>
      <c r="K571" s="69">
        <f>COUNTIF(Main3WData[Concatenate],Main3WData[[#This Row],[Concatenate]])</f>
        <v>1</v>
      </c>
      <c r="L571" s="61" t="str">
        <f>Main3WData[[#This Row],[Sector]]&amp;Main3WData[[#This Row],[Pcode]]</f>
        <v>Surveillance &amp; suiviGIN008003</v>
      </c>
      <c r="M571" s="71">
        <f>COUNTIF($L$5:L571,Main3WData[[#This Row],[PT.Concat]])</f>
        <v>1</v>
      </c>
      <c r="N571" s="70">
        <f>MATCH(Main3WData[[#This Row],[PT.Concat]],$L$5:L571,0)</f>
        <v>567</v>
      </c>
      <c r="O571" s="62" t="b">
        <f>Main3WData[[#This Row],[Count PT.Concat]]=1</f>
        <v>1</v>
      </c>
      <c r="P571" s="62">
        <f t="array" ref="P571">MAX(($N$4:N570=Main3WData[[#This Row],[PT.ID]])*ROW($N$4:N570))</f>
        <v>0</v>
      </c>
      <c r="Q571" s="62" t="str">
        <f>IF(Main3WData[[#This Row],[PT.FirstID]],Main3WData[[#This Row],[Acronym]],INDEX($Q$4:Q570,Main3WData[[#This Row],[PT.LastID.Row]]-ROW($Q$4)+1) &amp; ", "&amp;Main3WData[[#This Row],[Acronym]])</f>
        <v>UNFPA</v>
      </c>
      <c r="R571" s="62" t="b">
        <f t="array" ref="R571">MAX(IF(Main3WData[PT.ID]=Main3WData[[#This Row],[PT.ID]],Main3WData[PT.LastID.Row]))=Main3WData[[#This Row],[PT.LastID.Row]]</f>
        <v>0</v>
      </c>
    </row>
    <row r="572" spans="2:18" x14ac:dyDescent="0.2">
      <c r="B572" s="55" t="s">
        <v>512</v>
      </c>
      <c r="C572" s="27" t="str">
        <f>INDEX(Organizations[],MATCH(Main3WData[[#This Row],[Acronym]],AcronymList,0),1)</f>
        <v>World Health Organization</v>
      </c>
      <c r="D572" s="27" t="str">
        <f>INDEX(Organizations[],MATCH(Main3WData[[#This Row],[Acronym]],AcronymList,0),3)</f>
        <v>UN Agency</v>
      </c>
      <c r="E572" s="54" t="s">
        <v>351</v>
      </c>
      <c r="F572" s="53" t="s">
        <v>82</v>
      </c>
      <c r="G572" s="54" t="s">
        <v>428</v>
      </c>
      <c r="H572" s="28" t="str">
        <f>VLOOKUP(Main3WData[[#This Row],[Admin Unit Name]],AdminUnits[],2,FALSE)</f>
        <v>GIN008003</v>
      </c>
      <c r="I572" s="57">
        <v>0</v>
      </c>
      <c r="J572" s="67" t="str">
        <f>Main3WData[[#This Row],[Acronym]]&amp;Main3WData[[#This Row],[Sector]]&amp;Main3WData[[#This Row],[Activity Type]]&amp;Main3WData[[#This Row],[Pcode]]</f>
        <v>OMSSurveillance &amp; suiviOngoingGIN008003</v>
      </c>
      <c r="K572" s="69">
        <f>COUNTIF(Main3WData[Concatenate],Main3WData[[#This Row],[Concatenate]])</f>
        <v>1</v>
      </c>
      <c r="L572" s="61" t="str">
        <f>Main3WData[[#This Row],[Sector]]&amp;Main3WData[[#This Row],[Pcode]]</f>
        <v>Surveillance &amp; suiviGIN008003</v>
      </c>
      <c r="M572" s="71">
        <f>COUNTIF($L$5:L572,Main3WData[[#This Row],[PT.Concat]])</f>
        <v>2</v>
      </c>
      <c r="N572" s="70">
        <f>MATCH(Main3WData[[#This Row],[PT.Concat]],$L$5:L572,0)</f>
        <v>567</v>
      </c>
      <c r="O572" s="62" t="b">
        <f>Main3WData[[#This Row],[Count PT.Concat]]=1</f>
        <v>0</v>
      </c>
      <c r="P572" s="62">
        <f t="array" ref="P572">MAX(($N$4:N571=Main3WData[[#This Row],[PT.ID]])*ROW($N$4:N571))</f>
        <v>571</v>
      </c>
      <c r="Q572" s="62" t="str">
        <f>IF(Main3WData[[#This Row],[PT.FirstID]],Main3WData[[#This Row],[Acronym]],INDEX($Q$4:Q571,Main3WData[[#This Row],[PT.LastID.Row]]-ROW($Q$4)+1) &amp; ", "&amp;Main3WData[[#This Row],[Acronym]])</f>
        <v>UNFPA, OMS</v>
      </c>
      <c r="R572" s="62" t="b">
        <f t="array" ref="R572">MAX(IF(Main3WData[PT.ID]=Main3WData[[#This Row],[PT.ID]],Main3WData[PT.LastID.Row]))=Main3WData[[#This Row],[PT.LastID.Row]]</f>
        <v>0</v>
      </c>
    </row>
    <row r="573" spans="2:18" x14ac:dyDescent="0.2">
      <c r="B573" s="55" t="s">
        <v>496</v>
      </c>
      <c r="C573" s="27" t="str">
        <f>INDEX(Organizations[],MATCH(Main3WData[[#This Row],[Acronym]],AcronymList,0),1)</f>
        <v>Columbia University</v>
      </c>
      <c r="D573" s="27" t="str">
        <f>INDEX(Organizations[],MATCH(Main3WData[[#This Row],[Acronym]],AcronymList,0),3)</f>
        <v>Education</v>
      </c>
      <c r="E573" s="54" t="s">
        <v>351</v>
      </c>
      <c r="F573" s="53" t="s">
        <v>82</v>
      </c>
      <c r="G573" s="54" t="s">
        <v>428</v>
      </c>
      <c r="H573" s="28" t="str">
        <f>VLOOKUP(Main3WData[[#This Row],[Admin Unit Name]],AdminUnits[],2,FALSE)</f>
        <v>GIN008003</v>
      </c>
      <c r="I573" s="57">
        <v>0</v>
      </c>
      <c r="J573" s="67" t="str">
        <f>Main3WData[[#This Row],[Acronym]]&amp;Main3WData[[#This Row],[Sector]]&amp;Main3WData[[#This Row],[Activity Type]]&amp;Main3WData[[#This Row],[Pcode]]</f>
        <v>Columbia UnivSurveillance &amp; suiviOngoingGIN008003</v>
      </c>
      <c r="K573" s="69">
        <f>COUNTIF(Main3WData[Concatenate],Main3WData[[#This Row],[Concatenate]])</f>
        <v>1</v>
      </c>
      <c r="L573" s="61" t="str">
        <f>Main3WData[[#This Row],[Sector]]&amp;Main3WData[[#This Row],[Pcode]]</f>
        <v>Surveillance &amp; suiviGIN008003</v>
      </c>
      <c r="M573" s="71">
        <f>COUNTIF($L$5:L573,Main3WData[[#This Row],[PT.Concat]])</f>
        <v>3</v>
      </c>
      <c r="N573" s="70">
        <f>MATCH(Main3WData[[#This Row],[PT.Concat]],$L$5:L573,0)</f>
        <v>567</v>
      </c>
      <c r="O573" s="62" t="b">
        <f>Main3WData[[#This Row],[Count PT.Concat]]=1</f>
        <v>0</v>
      </c>
      <c r="P573" s="62">
        <f t="array" ref="P573">MAX(($N$4:N572=Main3WData[[#This Row],[PT.ID]])*ROW($N$4:N572))</f>
        <v>572</v>
      </c>
      <c r="Q573" s="62" t="str">
        <f>IF(Main3WData[[#This Row],[PT.FirstID]],Main3WData[[#This Row],[Acronym]],INDEX($Q$4:Q572,Main3WData[[#This Row],[PT.LastID.Row]]-ROW($Q$4)+1) &amp; ", "&amp;Main3WData[[#This Row],[Acronym]])</f>
        <v>UNFPA, OMS, Columbia Univ</v>
      </c>
      <c r="R573" s="62" t="b">
        <f t="array" ref="R573">MAX(IF(Main3WData[PT.ID]=Main3WData[[#This Row],[PT.ID]],Main3WData[PT.LastID.Row]))=Main3WData[[#This Row],[PT.LastID.Row]]</f>
        <v>0</v>
      </c>
    </row>
    <row r="574" spans="2:18" x14ac:dyDescent="0.2">
      <c r="B574" s="55" t="s">
        <v>64</v>
      </c>
      <c r="C574" s="27" t="str">
        <f>INDEX(Organizations[],MATCH(Main3WData[[#This Row],[Acronym]],AcronymList,0),1)</f>
        <v>CDC</v>
      </c>
      <c r="D574" s="27" t="str">
        <f>INDEX(Organizations[],MATCH(Main3WData[[#This Row],[Acronym]],AcronymList,0),3)</f>
        <v>International NGO</v>
      </c>
      <c r="E574" s="54" t="s">
        <v>351</v>
      </c>
      <c r="F574" s="53" t="s">
        <v>82</v>
      </c>
      <c r="G574" s="54" t="s">
        <v>428</v>
      </c>
      <c r="H574" s="28" t="str">
        <f>VLOOKUP(Main3WData[[#This Row],[Admin Unit Name]],AdminUnits[],2,FALSE)</f>
        <v>GIN008003</v>
      </c>
      <c r="I574" s="57">
        <v>0</v>
      </c>
      <c r="J574" s="67" t="str">
        <f>Main3WData[[#This Row],[Acronym]]&amp;Main3WData[[#This Row],[Sector]]&amp;Main3WData[[#This Row],[Activity Type]]&amp;Main3WData[[#This Row],[Pcode]]</f>
        <v>CDCSurveillance &amp; suiviOngoingGIN008003</v>
      </c>
      <c r="K574" s="69">
        <f>COUNTIF(Main3WData[Concatenate],Main3WData[[#This Row],[Concatenate]])</f>
        <v>1</v>
      </c>
      <c r="L574" s="61" t="str">
        <f>Main3WData[[#This Row],[Sector]]&amp;Main3WData[[#This Row],[Pcode]]</f>
        <v>Surveillance &amp; suiviGIN008003</v>
      </c>
      <c r="M574" s="71">
        <f>COUNTIF($L$5:L574,Main3WData[[#This Row],[PT.Concat]])</f>
        <v>4</v>
      </c>
      <c r="N574" s="70">
        <f>MATCH(Main3WData[[#This Row],[PT.Concat]],$L$5:L574,0)</f>
        <v>567</v>
      </c>
      <c r="O574" s="62" t="b">
        <f>Main3WData[[#This Row],[Count PT.Concat]]=1</f>
        <v>0</v>
      </c>
      <c r="P574" s="62">
        <f t="array" ref="P574">MAX(($N$4:N573=Main3WData[[#This Row],[PT.ID]])*ROW($N$4:N573))</f>
        <v>573</v>
      </c>
      <c r="Q574" s="62" t="str">
        <f>IF(Main3WData[[#This Row],[PT.FirstID]],Main3WData[[#This Row],[Acronym]],INDEX($Q$4:Q573,Main3WData[[#This Row],[PT.LastID.Row]]-ROW($Q$4)+1) &amp; ", "&amp;Main3WData[[#This Row],[Acronym]])</f>
        <v>UNFPA, OMS, Columbia Univ, CDC</v>
      </c>
      <c r="R574" s="62" t="b">
        <f t="array" ref="R574">MAX(IF(Main3WData[PT.ID]=Main3WData[[#This Row],[PT.ID]],Main3WData[PT.LastID.Row]))=Main3WData[[#This Row],[PT.LastID.Row]]</f>
        <v>1</v>
      </c>
    </row>
    <row r="575" spans="2:18" x14ac:dyDescent="0.2">
      <c r="B575" s="55" t="s">
        <v>77</v>
      </c>
      <c r="C575" s="27" t="str">
        <f>INDEX(Organizations[],MATCH(Main3WData[[#This Row],[Acronym]],AcronymList,0),1)</f>
        <v>United Nations Children's Fund</v>
      </c>
      <c r="D575" s="27" t="str">
        <f>INDEX(Organizations[],MATCH(Main3WData[[#This Row],[Acronym]],AcronymList,0),3)</f>
        <v>UN Agency</v>
      </c>
      <c r="E575" s="54" t="s">
        <v>350</v>
      </c>
      <c r="F575" s="53" t="s">
        <v>82</v>
      </c>
      <c r="G575" s="54" t="s">
        <v>430</v>
      </c>
      <c r="H575" s="28" t="str">
        <f>VLOOKUP(Main3WData[[#This Row],[Admin Unit Name]],AdminUnits[],2,FALSE)</f>
        <v>GIN008004</v>
      </c>
      <c r="I575" s="57">
        <v>0</v>
      </c>
      <c r="J575" s="67" t="str">
        <f>Main3WData[[#This Row],[Acronym]]&amp;Main3WData[[#This Row],[Sector]]&amp;Main3WData[[#This Row],[Activity Type]]&amp;Main3WData[[#This Row],[Pcode]]</f>
        <v>UNICEFCommunication/Mobilisation socialeOngoingGIN008004</v>
      </c>
      <c r="K575" s="69">
        <f>COUNTIF(Main3WData[Concatenate],Main3WData[[#This Row],[Concatenate]])</f>
        <v>1</v>
      </c>
      <c r="L575" s="61" t="str">
        <f>Main3WData[[#This Row],[Sector]]&amp;Main3WData[[#This Row],[Pcode]]</f>
        <v>Communication/Mobilisation socialeGIN008004</v>
      </c>
      <c r="M575" s="71">
        <f>COUNTIF($L$5:L575,Main3WData[[#This Row],[PT.Concat]])</f>
        <v>1</v>
      </c>
      <c r="N575" s="70">
        <f>MATCH(Main3WData[[#This Row],[PT.Concat]],$L$5:L575,0)</f>
        <v>571</v>
      </c>
      <c r="O575" s="62" t="b">
        <f>Main3WData[[#This Row],[Count PT.Concat]]=1</f>
        <v>1</v>
      </c>
      <c r="P575" s="62">
        <f t="array" ref="P575">MAX(($N$4:N574=Main3WData[[#This Row],[PT.ID]])*ROW($N$4:N574))</f>
        <v>0</v>
      </c>
      <c r="Q575" s="62" t="str">
        <f>IF(Main3WData[[#This Row],[PT.FirstID]],Main3WData[[#This Row],[Acronym]],INDEX($Q$4:Q574,Main3WData[[#This Row],[PT.LastID.Row]]-ROW($Q$4)+1) &amp; ", "&amp;Main3WData[[#This Row],[Acronym]])</f>
        <v>UNICEF</v>
      </c>
      <c r="R575" s="62" t="b">
        <f t="array" ref="R575">MAX(IF(Main3WData[PT.ID]=Main3WData[[#This Row],[PT.ID]],Main3WData[PT.LastID.Row]))=Main3WData[[#This Row],[PT.LastID.Row]]</f>
        <v>0</v>
      </c>
    </row>
    <row r="576" spans="2:18" x14ac:dyDescent="0.2">
      <c r="B576" s="55" t="s">
        <v>75</v>
      </c>
      <c r="C576" s="27" t="str">
        <f>INDEX(Organizations[],MATCH(Main3WData[[#This Row],[Acronym]],AcronymList,0),1)</f>
        <v>United Nations Population Fund</v>
      </c>
      <c r="D576" s="27" t="str">
        <f>INDEX(Organizations[],MATCH(Main3WData[[#This Row],[Acronym]],AcronymList,0),3)</f>
        <v>UN Agency</v>
      </c>
      <c r="E576" s="54" t="s">
        <v>350</v>
      </c>
      <c r="F576" s="53" t="s">
        <v>82</v>
      </c>
      <c r="G576" s="54" t="s">
        <v>430</v>
      </c>
      <c r="H576" s="28" t="str">
        <f>VLOOKUP(Main3WData[[#This Row],[Admin Unit Name]],AdminUnits[],2,FALSE)</f>
        <v>GIN008004</v>
      </c>
      <c r="I576" s="57">
        <v>0</v>
      </c>
      <c r="J576" s="67" t="str">
        <f>Main3WData[[#This Row],[Acronym]]&amp;Main3WData[[#This Row],[Sector]]&amp;Main3WData[[#This Row],[Activity Type]]&amp;Main3WData[[#This Row],[Pcode]]</f>
        <v>UNFPACommunication/Mobilisation socialeOngoingGIN008004</v>
      </c>
      <c r="K576" s="69">
        <f>COUNTIF(Main3WData[Concatenate],Main3WData[[#This Row],[Concatenate]])</f>
        <v>1</v>
      </c>
      <c r="L576" s="61" t="str">
        <f>Main3WData[[#This Row],[Sector]]&amp;Main3WData[[#This Row],[Pcode]]</f>
        <v>Communication/Mobilisation socialeGIN008004</v>
      </c>
      <c r="M576" s="71">
        <f>COUNTIF($L$5:L576,Main3WData[[#This Row],[PT.Concat]])</f>
        <v>2</v>
      </c>
      <c r="N576" s="70">
        <f>MATCH(Main3WData[[#This Row],[PT.Concat]],$L$5:L576,0)</f>
        <v>571</v>
      </c>
      <c r="O576" s="62" t="b">
        <f>Main3WData[[#This Row],[Count PT.Concat]]=1</f>
        <v>0</v>
      </c>
      <c r="P576" s="62">
        <f t="array" ref="P576">MAX(($N$4:N575=Main3WData[[#This Row],[PT.ID]])*ROW($N$4:N575))</f>
        <v>575</v>
      </c>
      <c r="Q576" s="62" t="str">
        <f>IF(Main3WData[[#This Row],[PT.FirstID]],Main3WData[[#This Row],[Acronym]],INDEX($Q$4:Q575,Main3WData[[#This Row],[PT.LastID.Row]]-ROW($Q$4)+1) &amp; ", "&amp;Main3WData[[#This Row],[Acronym]])</f>
        <v>UNICEF, UNFPA</v>
      </c>
      <c r="R576" s="62" t="b">
        <f t="array" ref="R576">MAX(IF(Main3WData[PT.ID]=Main3WData[[#This Row],[PT.ID]],Main3WData[PT.LastID.Row]))=Main3WData[[#This Row],[PT.LastID.Row]]</f>
        <v>0</v>
      </c>
    </row>
    <row r="577" spans="2:18" x14ac:dyDescent="0.2">
      <c r="B577" s="55" t="s">
        <v>473</v>
      </c>
      <c r="C577" s="27" t="str">
        <f>INDEX(Organizations[],MATCH(Main3WData[[#This Row],[Acronym]],AcronymList,0),1)</f>
        <v>United Nations Development Programme</v>
      </c>
      <c r="D577" s="27" t="str">
        <f>INDEX(Organizations[],MATCH(Main3WData[[#This Row],[Acronym]],AcronymList,0),3)</f>
        <v>UN Agency</v>
      </c>
      <c r="E577" s="54" t="s">
        <v>350</v>
      </c>
      <c r="F577" s="53" t="s">
        <v>82</v>
      </c>
      <c r="G577" s="54" t="s">
        <v>430</v>
      </c>
      <c r="H577" s="28" t="str">
        <f>VLOOKUP(Main3WData[[#This Row],[Admin Unit Name]],AdminUnits[],2,FALSE)</f>
        <v>GIN008004</v>
      </c>
      <c r="I577" s="57">
        <v>0</v>
      </c>
      <c r="J577" s="67" t="str">
        <f>Main3WData[[#This Row],[Acronym]]&amp;Main3WData[[#This Row],[Sector]]&amp;Main3WData[[#This Row],[Activity Type]]&amp;Main3WData[[#This Row],[Pcode]]</f>
        <v>UNDPCommunication/Mobilisation socialeOngoingGIN008004</v>
      </c>
      <c r="K577" s="69">
        <f>COUNTIF(Main3WData[Concatenate],Main3WData[[#This Row],[Concatenate]])</f>
        <v>1</v>
      </c>
      <c r="L577" s="61" t="str">
        <f>Main3WData[[#This Row],[Sector]]&amp;Main3WData[[#This Row],[Pcode]]</f>
        <v>Communication/Mobilisation socialeGIN008004</v>
      </c>
      <c r="M577" s="71">
        <f>COUNTIF($L$5:L577,Main3WData[[#This Row],[PT.Concat]])</f>
        <v>3</v>
      </c>
      <c r="N577" s="70">
        <f>MATCH(Main3WData[[#This Row],[PT.Concat]],$L$5:L577,0)</f>
        <v>571</v>
      </c>
      <c r="O577" s="62" t="b">
        <f>Main3WData[[#This Row],[Count PT.Concat]]=1</f>
        <v>0</v>
      </c>
      <c r="P577" s="62">
        <f t="array" ref="P577">MAX(($N$4:N576=Main3WData[[#This Row],[PT.ID]])*ROW($N$4:N576))</f>
        <v>576</v>
      </c>
      <c r="Q577" s="62" t="str">
        <f>IF(Main3WData[[#This Row],[PT.FirstID]],Main3WData[[#This Row],[Acronym]],INDEX($Q$4:Q576,Main3WData[[#This Row],[PT.LastID.Row]]-ROW($Q$4)+1) &amp; ", "&amp;Main3WData[[#This Row],[Acronym]])</f>
        <v>UNICEF, UNFPA, UNDP</v>
      </c>
      <c r="R577" s="62" t="b">
        <f t="array" ref="R577">MAX(IF(Main3WData[PT.ID]=Main3WData[[#This Row],[PT.ID]],Main3WData[PT.LastID.Row]))=Main3WData[[#This Row],[PT.LastID.Row]]</f>
        <v>0</v>
      </c>
    </row>
    <row r="578" spans="2:18" x14ac:dyDescent="0.2">
      <c r="B578" s="55" t="s">
        <v>72</v>
      </c>
      <c r="C578" s="27" t="str">
        <f>INDEX(Organizations[],MATCH(Main3WData[[#This Row],[Acronym]],AcronymList,0),1)</f>
        <v>PLAN</v>
      </c>
      <c r="D578" s="27" t="str">
        <f>INDEX(Organizations[],MATCH(Main3WData[[#This Row],[Acronym]],AcronymList,0),3)</f>
        <v>International Organization</v>
      </c>
      <c r="E578" s="54" t="s">
        <v>350</v>
      </c>
      <c r="F578" s="53" t="s">
        <v>82</v>
      </c>
      <c r="G578" s="54" t="s">
        <v>430</v>
      </c>
      <c r="H578" s="28" t="str">
        <f>VLOOKUP(Main3WData[[#This Row],[Admin Unit Name]],AdminUnits[],2,FALSE)</f>
        <v>GIN008004</v>
      </c>
      <c r="I578" s="57">
        <v>0</v>
      </c>
      <c r="J578" s="67" t="str">
        <f>Main3WData[[#This Row],[Acronym]]&amp;Main3WData[[#This Row],[Sector]]&amp;Main3WData[[#This Row],[Activity Type]]&amp;Main3WData[[#This Row],[Pcode]]</f>
        <v>PLANCommunication/Mobilisation socialeOngoingGIN008004</v>
      </c>
      <c r="K578" s="69">
        <f>COUNTIF(Main3WData[Concatenate],Main3WData[[#This Row],[Concatenate]])</f>
        <v>1</v>
      </c>
      <c r="L578" s="61" t="str">
        <f>Main3WData[[#This Row],[Sector]]&amp;Main3WData[[#This Row],[Pcode]]</f>
        <v>Communication/Mobilisation socialeGIN008004</v>
      </c>
      <c r="M578" s="71">
        <f>COUNTIF($L$5:L578,Main3WData[[#This Row],[PT.Concat]])</f>
        <v>4</v>
      </c>
      <c r="N578" s="70">
        <f>MATCH(Main3WData[[#This Row],[PT.Concat]],$L$5:L578,0)</f>
        <v>571</v>
      </c>
      <c r="O578" s="62" t="b">
        <f>Main3WData[[#This Row],[Count PT.Concat]]=1</f>
        <v>0</v>
      </c>
      <c r="P578" s="62">
        <f t="array" ref="P578">MAX(($N$4:N577=Main3WData[[#This Row],[PT.ID]])*ROW($N$4:N577))</f>
        <v>577</v>
      </c>
      <c r="Q578" s="62" t="str">
        <f>IF(Main3WData[[#This Row],[PT.FirstID]],Main3WData[[#This Row],[Acronym]],INDEX($Q$4:Q577,Main3WData[[#This Row],[PT.LastID.Row]]-ROW($Q$4)+1) &amp; ", "&amp;Main3WData[[#This Row],[Acronym]])</f>
        <v>UNICEF, UNFPA, UNDP, PLAN</v>
      </c>
      <c r="R578" s="62" t="b">
        <f t="array" ref="R578">MAX(IF(Main3WData[PT.ID]=Main3WData[[#This Row],[PT.ID]],Main3WData[PT.LastID.Row]))=Main3WData[[#This Row],[PT.LastID.Row]]</f>
        <v>0</v>
      </c>
    </row>
    <row r="579" spans="2:18" x14ac:dyDescent="0.2">
      <c r="B579" s="55" t="s">
        <v>512</v>
      </c>
      <c r="C579" s="27" t="str">
        <f>INDEX(Organizations[],MATCH(Main3WData[[#This Row],[Acronym]],AcronymList,0),1)</f>
        <v>World Health Organization</v>
      </c>
      <c r="D579" s="27" t="str">
        <f>INDEX(Organizations[],MATCH(Main3WData[[#This Row],[Acronym]],AcronymList,0),3)</f>
        <v>UN Agency</v>
      </c>
      <c r="E579" s="54" t="s">
        <v>350</v>
      </c>
      <c r="F579" s="53" t="s">
        <v>82</v>
      </c>
      <c r="G579" s="54" t="s">
        <v>430</v>
      </c>
      <c r="H579" s="28" t="str">
        <f>VLOOKUP(Main3WData[[#This Row],[Admin Unit Name]],AdminUnits[],2,FALSE)</f>
        <v>GIN008004</v>
      </c>
      <c r="I579" s="57">
        <v>0</v>
      </c>
      <c r="J579" s="67" t="str">
        <f>Main3WData[[#This Row],[Acronym]]&amp;Main3WData[[#This Row],[Sector]]&amp;Main3WData[[#This Row],[Activity Type]]&amp;Main3WData[[#This Row],[Pcode]]</f>
        <v>OMSCommunication/Mobilisation socialeOngoingGIN008004</v>
      </c>
      <c r="K579" s="69">
        <f>COUNTIF(Main3WData[Concatenate],Main3WData[[#This Row],[Concatenate]])</f>
        <v>1</v>
      </c>
      <c r="L579" s="61" t="str">
        <f>Main3WData[[#This Row],[Sector]]&amp;Main3WData[[#This Row],[Pcode]]</f>
        <v>Communication/Mobilisation socialeGIN008004</v>
      </c>
      <c r="M579" s="71">
        <f>COUNTIF($L$5:L579,Main3WData[[#This Row],[PT.Concat]])</f>
        <v>5</v>
      </c>
      <c r="N579" s="70">
        <f>MATCH(Main3WData[[#This Row],[PT.Concat]],$L$5:L579,0)</f>
        <v>571</v>
      </c>
      <c r="O579" s="62" t="b">
        <f>Main3WData[[#This Row],[Count PT.Concat]]=1</f>
        <v>0</v>
      </c>
      <c r="P579" s="62">
        <f t="array" ref="P579">MAX(($N$4:N578=Main3WData[[#This Row],[PT.ID]])*ROW($N$4:N578))</f>
        <v>578</v>
      </c>
      <c r="Q579" s="62" t="str">
        <f>IF(Main3WData[[#This Row],[PT.FirstID]],Main3WData[[#This Row],[Acronym]],INDEX($Q$4:Q578,Main3WData[[#This Row],[PT.LastID.Row]]-ROW($Q$4)+1) &amp; ", "&amp;Main3WData[[#This Row],[Acronym]])</f>
        <v>UNICEF, UNFPA, UNDP, PLAN, OMS</v>
      </c>
      <c r="R579" s="62" t="b">
        <f t="array" ref="R579">MAX(IF(Main3WData[PT.ID]=Main3WData[[#This Row],[PT.ID]],Main3WData[PT.LastID.Row]))=Main3WData[[#This Row],[PT.LastID.Row]]</f>
        <v>0</v>
      </c>
    </row>
    <row r="580" spans="2:18" x14ac:dyDescent="0.2">
      <c r="B580" s="55" t="s">
        <v>499</v>
      </c>
      <c r="C580" s="27" t="str">
        <f>INDEX(Organizations[],MATCH(Main3WData[[#This Row],[Acronym]],AcronymList,0),1)</f>
        <v>Croix-Rouge Guinée/Fédération internationale de la Croix-Rouge</v>
      </c>
      <c r="D580" s="27" t="str">
        <f>INDEX(Organizations[],MATCH(Main3WData[[#This Row],[Acronym]],AcronymList,0),3)</f>
        <v>International Organization</v>
      </c>
      <c r="E580" s="54" t="s">
        <v>350</v>
      </c>
      <c r="F580" s="53" t="s">
        <v>82</v>
      </c>
      <c r="G580" s="54" t="s">
        <v>430</v>
      </c>
      <c r="H580" s="28" t="str">
        <f>VLOOKUP(Main3WData[[#This Row],[Admin Unit Name]],AdminUnits[],2,FALSE)</f>
        <v>GIN008004</v>
      </c>
      <c r="I580" s="57">
        <v>0</v>
      </c>
      <c r="J580" s="67" t="str">
        <f>Main3WData[[#This Row],[Acronym]]&amp;Main3WData[[#This Row],[Sector]]&amp;Main3WData[[#This Row],[Activity Type]]&amp;Main3WData[[#This Row],[Pcode]]</f>
        <v>CRG/FICRCommunication/Mobilisation socialeOngoingGIN008004</v>
      </c>
      <c r="K580" s="69">
        <f>COUNTIF(Main3WData[Concatenate],Main3WData[[#This Row],[Concatenate]])</f>
        <v>1</v>
      </c>
      <c r="L580" s="61" t="str">
        <f>Main3WData[[#This Row],[Sector]]&amp;Main3WData[[#This Row],[Pcode]]</f>
        <v>Communication/Mobilisation socialeGIN008004</v>
      </c>
      <c r="M580" s="71">
        <f>COUNTIF($L$5:L580,Main3WData[[#This Row],[PT.Concat]])</f>
        <v>6</v>
      </c>
      <c r="N580" s="70">
        <f>MATCH(Main3WData[[#This Row],[PT.Concat]],$L$5:L580,0)</f>
        <v>571</v>
      </c>
      <c r="O580" s="62" t="b">
        <f>Main3WData[[#This Row],[Count PT.Concat]]=1</f>
        <v>0</v>
      </c>
      <c r="P580" s="62">
        <f t="array" ref="P580">MAX(($N$4:N579=Main3WData[[#This Row],[PT.ID]])*ROW($N$4:N579))</f>
        <v>579</v>
      </c>
      <c r="Q580" s="62" t="str">
        <f>IF(Main3WData[[#This Row],[PT.FirstID]],Main3WData[[#This Row],[Acronym]],INDEX($Q$4:Q579,Main3WData[[#This Row],[PT.LastID.Row]]-ROW($Q$4)+1) &amp; ", "&amp;Main3WData[[#This Row],[Acronym]])</f>
        <v>UNICEF, UNFPA, UNDP, PLAN, OMS, CRG/FICR</v>
      </c>
      <c r="R580" s="62" t="b">
        <f t="array" ref="R580">MAX(IF(Main3WData[PT.ID]=Main3WData[[#This Row],[PT.ID]],Main3WData[PT.LastID.Row]))=Main3WData[[#This Row],[PT.LastID.Row]]</f>
        <v>1</v>
      </c>
    </row>
    <row r="581" spans="2:18" x14ac:dyDescent="0.2">
      <c r="B581" s="55" t="s">
        <v>516</v>
      </c>
      <c r="C581" s="27" t="str">
        <f>INDEX(Organizations[],MATCH(Main3WData[[#This Row],[Acronym]],AcronymList,0),1)</f>
        <v>UNITED NATION MISSION FOR EBOLA  EMERGENCY RESPONSE</v>
      </c>
      <c r="D581" s="27" t="str">
        <f>INDEX(Organizations[],MATCH(Main3WData[[#This Row],[Acronym]],AcronymList,0),3)</f>
        <v>UN Agency</v>
      </c>
      <c r="E581" s="54" t="s">
        <v>360</v>
      </c>
      <c r="F581" s="53" t="s">
        <v>82</v>
      </c>
      <c r="G581" s="54" t="s">
        <v>430</v>
      </c>
      <c r="H581" s="28" t="str">
        <f>VLOOKUP(Main3WData[[#This Row],[Admin Unit Name]],AdminUnits[],2,FALSE)</f>
        <v>GIN008004</v>
      </c>
      <c r="I581" s="57">
        <v>0</v>
      </c>
      <c r="J581" s="67" t="str">
        <f>Main3WData[[#This Row],[Acronym]]&amp;Main3WData[[#This Row],[Sector]]&amp;Main3WData[[#This Row],[Activity Type]]&amp;Main3WData[[#This Row],[Pcode]]</f>
        <v>UNMEERCoordinationOngoingGIN008004</v>
      </c>
      <c r="K581" s="69">
        <f>COUNTIF(Main3WData[Concatenate],Main3WData[[#This Row],[Concatenate]])</f>
        <v>1</v>
      </c>
      <c r="L581" s="61" t="str">
        <f>Main3WData[[#This Row],[Sector]]&amp;Main3WData[[#This Row],[Pcode]]</f>
        <v>CoordinationGIN008004</v>
      </c>
      <c r="M581" s="71">
        <f>COUNTIF($L$5:L581,Main3WData[[#This Row],[PT.Concat]])</f>
        <v>1</v>
      </c>
      <c r="N581" s="70">
        <f>MATCH(Main3WData[[#This Row],[PT.Concat]],$L$5:L581,0)</f>
        <v>577</v>
      </c>
      <c r="O581" s="62" t="b">
        <f>Main3WData[[#This Row],[Count PT.Concat]]=1</f>
        <v>1</v>
      </c>
      <c r="P581" s="62">
        <f t="array" ref="P581">MAX(($N$4:N580=Main3WData[[#This Row],[PT.ID]])*ROW($N$4:N580))</f>
        <v>0</v>
      </c>
      <c r="Q581" s="62" t="str">
        <f>IF(Main3WData[[#This Row],[PT.FirstID]],Main3WData[[#This Row],[Acronym]],INDEX($Q$4:Q580,Main3WData[[#This Row],[PT.LastID.Row]]-ROW($Q$4)+1) &amp; ", "&amp;Main3WData[[#This Row],[Acronym]])</f>
        <v>UNMEER</v>
      </c>
      <c r="R581" s="62" t="b">
        <f t="array" ref="R581">MAX(IF(Main3WData[PT.ID]=Main3WData[[#This Row],[PT.ID]],Main3WData[PT.LastID.Row]))=Main3WData[[#This Row],[PT.LastID.Row]]</f>
        <v>0</v>
      </c>
    </row>
    <row r="582" spans="2:18" x14ac:dyDescent="0.2">
      <c r="B582" s="55" t="s">
        <v>75</v>
      </c>
      <c r="C582" s="27" t="str">
        <f>INDEX(Organizations[],MATCH(Main3WData[[#This Row],[Acronym]],AcronymList,0),1)</f>
        <v>United Nations Population Fund</v>
      </c>
      <c r="D582" s="27" t="str">
        <f>INDEX(Organizations[],MATCH(Main3WData[[#This Row],[Acronym]],AcronymList,0),3)</f>
        <v>UN Agency</v>
      </c>
      <c r="E582" s="54" t="s">
        <v>360</v>
      </c>
      <c r="F582" s="53" t="s">
        <v>82</v>
      </c>
      <c r="G582" s="54" t="s">
        <v>430</v>
      </c>
      <c r="H582" s="28" t="str">
        <f>VLOOKUP(Main3WData[[#This Row],[Admin Unit Name]],AdminUnits[],2,FALSE)</f>
        <v>GIN008004</v>
      </c>
      <c r="I582" s="57">
        <v>0</v>
      </c>
      <c r="J582" s="67" t="str">
        <f>Main3WData[[#This Row],[Acronym]]&amp;Main3WData[[#This Row],[Sector]]&amp;Main3WData[[#This Row],[Activity Type]]&amp;Main3WData[[#This Row],[Pcode]]</f>
        <v>UNFPACoordinationOngoingGIN008004</v>
      </c>
      <c r="K582" s="69">
        <f>COUNTIF(Main3WData[Concatenate],Main3WData[[#This Row],[Concatenate]])</f>
        <v>1</v>
      </c>
      <c r="L582" s="61" t="str">
        <f>Main3WData[[#This Row],[Sector]]&amp;Main3WData[[#This Row],[Pcode]]</f>
        <v>CoordinationGIN008004</v>
      </c>
      <c r="M582" s="71">
        <f>COUNTIF($L$5:L582,Main3WData[[#This Row],[PT.Concat]])</f>
        <v>2</v>
      </c>
      <c r="N582" s="70">
        <f>MATCH(Main3WData[[#This Row],[PT.Concat]],$L$5:L582,0)</f>
        <v>577</v>
      </c>
      <c r="O582" s="62" t="b">
        <f>Main3WData[[#This Row],[Count PT.Concat]]=1</f>
        <v>0</v>
      </c>
      <c r="P582" s="62">
        <f t="array" ref="P582">MAX(($N$4:N581=Main3WData[[#This Row],[PT.ID]])*ROW($N$4:N581))</f>
        <v>581</v>
      </c>
      <c r="Q582" s="62" t="str">
        <f>IF(Main3WData[[#This Row],[PT.FirstID]],Main3WData[[#This Row],[Acronym]],INDEX($Q$4:Q581,Main3WData[[#This Row],[PT.LastID.Row]]-ROW($Q$4)+1) &amp; ", "&amp;Main3WData[[#This Row],[Acronym]])</f>
        <v>UNMEER, UNFPA</v>
      </c>
      <c r="R582" s="62" t="b">
        <f t="array" ref="R582">MAX(IF(Main3WData[PT.ID]=Main3WData[[#This Row],[PT.ID]],Main3WData[PT.LastID.Row]))=Main3WData[[#This Row],[PT.LastID.Row]]</f>
        <v>0</v>
      </c>
    </row>
    <row r="583" spans="2:18" x14ac:dyDescent="0.2">
      <c r="B583" s="55" t="s">
        <v>473</v>
      </c>
      <c r="C583" s="27" t="str">
        <f>INDEX(Organizations[],MATCH(Main3WData[[#This Row],[Acronym]],AcronymList,0),1)</f>
        <v>United Nations Development Programme</v>
      </c>
      <c r="D583" s="27" t="str">
        <f>INDEX(Organizations[],MATCH(Main3WData[[#This Row],[Acronym]],AcronymList,0),3)</f>
        <v>UN Agency</v>
      </c>
      <c r="E583" s="54" t="s">
        <v>360</v>
      </c>
      <c r="F583" s="53" t="s">
        <v>82</v>
      </c>
      <c r="G583" s="54" t="s">
        <v>430</v>
      </c>
      <c r="H583" s="28" t="str">
        <f>VLOOKUP(Main3WData[[#This Row],[Admin Unit Name]],AdminUnits[],2,FALSE)</f>
        <v>GIN008004</v>
      </c>
      <c r="I583" s="57">
        <v>0</v>
      </c>
      <c r="J583" s="67" t="str">
        <f>Main3WData[[#This Row],[Acronym]]&amp;Main3WData[[#This Row],[Sector]]&amp;Main3WData[[#This Row],[Activity Type]]&amp;Main3WData[[#This Row],[Pcode]]</f>
        <v>UNDPCoordinationOngoingGIN008004</v>
      </c>
      <c r="K583" s="69">
        <f>COUNTIF(Main3WData[Concatenate],Main3WData[[#This Row],[Concatenate]])</f>
        <v>1</v>
      </c>
      <c r="L583" s="61" t="str">
        <f>Main3WData[[#This Row],[Sector]]&amp;Main3WData[[#This Row],[Pcode]]</f>
        <v>CoordinationGIN008004</v>
      </c>
      <c r="M583" s="71">
        <f>COUNTIF($L$5:L583,Main3WData[[#This Row],[PT.Concat]])</f>
        <v>3</v>
      </c>
      <c r="N583" s="70">
        <f>MATCH(Main3WData[[#This Row],[PT.Concat]],$L$5:L583,0)</f>
        <v>577</v>
      </c>
      <c r="O583" s="62" t="b">
        <f>Main3WData[[#This Row],[Count PT.Concat]]=1</f>
        <v>0</v>
      </c>
      <c r="P583" s="62">
        <f t="array" ref="P583">MAX(($N$4:N582=Main3WData[[#This Row],[PT.ID]])*ROW($N$4:N582))</f>
        <v>582</v>
      </c>
      <c r="Q583" s="62" t="str">
        <f>IF(Main3WData[[#This Row],[PT.FirstID]],Main3WData[[#This Row],[Acronym]],INDEX($Q$4:Q582,Main3WData[[#This Row],[PT.LastID.Row]]-ROW($Q$4)+1) &amp; ", "&amp;Main3WData[[#This Row],[Acronym]])</f>
        <v>UNMEER, UNFPA, UNDP</v>
      </c>
      <c r="R583" s="62" t="b">
        <f t="array" ref="R583">MAX(IF(Main3WData[PT.ID]=Main3WData[[#This Row],[PT.ID]],Main3WData[PT.LastID.Row]))=Main3WData[[#This Row],[PT.LastID.Row]]</f>
        <v>0</v>
      </c>
    </row>
    <row r="584" spans="2:18" x14ac:dyDescent="0.2">
      <c r="B584" s="55" t="s">
        <v>512</v>
      </c>
      <c r="C584" s="27" t="str">
        <f>INDEX(Organizations[],MATCH(Main3WData[[#This Row],[Acronym]],AcronymList,0),1)</f>
        <v>World Health Organization</v>
      </c>
      <c r="D584" s="27" t="str">
        <f>INDEX(Organizations[],MATCH(Main3WData[[#This Row],[Acronym]],AcronymList,0),3)</f>
        <v>UN Agency</v>
      </c>
      <c r="E584" s="54" t="s">
        <v>360</v>
      </c>
      <c r="F584" s="53" t="s">
        <v>82</v>
      </c>
      <c r="G584" s="54" t="s">
        <v>430</v>
      </c>
      <c r="H584" s="28" t="str">
        <f>VLOOKUP(Main3WData[[#This Row],[Admin Unit Name]],AdminUnits[],2,FALSE)</f>
        <v>GIN008004</v>
      </c>
      <c r="I584" s="57">
        <v>0</v>
      </c>
      <c r="J584" s="67" t="str">
        <f>Main3WData[[#This Row],[Acronym]]&amp;Main3WData[[#This Row],[Sector]]&amp;Main3WData[[#This Row],[Activity Type]]&amp;Main3WData[[#This Row],[Pcode]]</f>
        <v>OMSCoordinationOngoingGIN008004</v>
      </c>
      <c r="K584" s="69">
        <f>COUNTIF(Main3WData[Concatenate],Main3WData[[#This Row],[Concatenate]])</f>
        <v>1</v>
      </c>
      <c r="L584" s="61" t="str">
        <f>Main3WData[[#This Row],[Sector]]&amp;Main3WData[[#This Row],[Pcode]]</f>
        <v>CoordinationGIN008004</v>
      </c>
      <c r="M584" s="71">
        <f>COUNTIF($L$5:L584,Main3WData[[#This Row],[PT.Concat]])</f>
        <v>4</v>
      </c>
      <c r="N584" s="70">
        <f>MATCH(Main3WData[[#This Row],[PT.Concat]],$L$5:L584,0)</f>
        <v>577</v>
      </c>
      <c r="O584" s="62" t="b">
        <f>Main3WData[[#This Row],[Count PT.Concat]]=1</f>
        <v>0</v>
      </c>
      <c r="P584" s="62">
        <f t="array" ref="P584">MAX(($N$4:N583=Main3WData[[#This Row],[PT.ID]])*ROW($N$4:N583))</f>
        <v>583</v>
      </c>
      <c r="Q584" s="62" t="str">
        <f>IF(Main3WData[[#This Row],[PT.FirstID]],Main3WData[[#This Row],[Acronym]],INDEX($Q$4:Q583,Main3WData[[#This Row],[PT.LastID.Row]]-ROW($Q$4)+1) &amp; ", "&amp;Main3WData[[#This Row],[Acronym]])</f>
        <v>UNMEER, UNFPA, UNDP, OMS</v>
      </c>
      <c r="R584" s="62" t="b">
        <f t="array" ref="R584">MAX(IF(Main3WData[PT.ID]=Main3WData[[#This Row],[PT.ID]],Main3WData[PT.LastID.Row]))=Main3WData[[#This Row],[PT.LastID.Row]]</f>
        <v>0</v>
      </c>
    </row>
    <row r="585" spans="2:18" x14ac:dyDescent="0.2">
      <c r="B585" s="55" t="s">
        <v>71</v>
      </c>
      <c r="C585" s="27" t="str">
        <f>INDEX(Organizations[],MATCH(Main3WData[[#This Row],[Acronym]],AcronymList,0),1)</f>
        <v>Medecins sans Frontieres</v>
      </c>
      <c r="D585" s="27" t="str">
        <f>INDEX(Organizations[],MATCH(Main3WData[[#This Row],[Acronym]],AcronymList,0),3)</f>
        <v>International NGO</v>
      </c>
      <c r="E585" s="54" t="s">
        <v>360</v>
      </c>
      <c r="F585" s="53" t="s">
        <v>82</v>
      </c>
      <c r="G585" s="54" t="s">
        <v>430</v>
      </c>
      <c r="H585" s="28" t="str">
        <f>VLOOKUP(Main3WData[[#This Row],[Admin Unit Name]],AdminUnits[],2,FALSE)</f>
        <v>GIN008004</v>
      </c>
      <c r="I585" s="57">
        <v>0</v>
      </c>
      <c r="J585" s="67" t="str">
        <f>Main3WData[[#This Row],[Acronym]]&amp;Main3WData[[#This Row],[Sector]]&amp;Main3WData[[#This Row],[Activity Type]]&amp;Main3WData[[#This Row],[Pcode]]</f>
        <v>MSFCoordinationOngoingGIN008004</v>
      </c>
      <c r="K585" s="69">
        <f>COUNTIF(Main3WData[Concatenate],Main3WData[[#This Row],[Concatenate]])</f>
        <v>1</v>
      </c>
      <c r="L585" s="61" t="str">
        <f>Main3WData[[#This Row],[Sector]]&amp;Main3WData[[#This Row],[Pcode]]</f>
        <v>CoordinationGIN008004</v>
      </c>
      <c r="M585" s="71">
        <f>COUNTIF($L$5:L585,Main3WData[[#This Row],[PT.Concat]])</f>
        <v>5</v>
      </c>
      <c r="N585" s="70">
        <f>MATCH(Main3WData[[#This Row],[PT.Concat]],$L$5:L585,0)</f>
        <v>577</v>
      </c>
      <c r="O585" s="62" t="b">
        <f>Main3WData[[#This Row],[Count PT.Concat]]=1</f>
        <v>0</v>
      </c>
      <c r="P585" s="62">
        <f t="array" ref="P585">MAX(($N$4:N584=Main3WData[[#This Row],[PT.ID]])*ROW($N$4:N584))</f>
        <v>584</v>
      </c>
      <c r="Q585" s="62" t="str">
        <f>IF(Main3WData[[#This Row],[PT.FirstID]],Main3WData[[#This Row],[Acronym]],INDEX($Q$4:Q584,Main3WData[[#This Row],[PT.LastID.Row]]-ROW($Q$4)+1) &amp; ", "&amp;Main3WData[[#This Row],[Acronym]])</f>
        <v>UNMEER, UNFPA, UNDP, OMS, MSF</v>
      </c>
      <c r="R585" s="62" t="b">
        <f t="array" ref="R585">MAX(IF(Main3WData[PT.ID]=Main3WData[[#This Row],[PT.ID]],Main3WData[PT.LastID.Row]))=Main3WData[[#This Row],[PT.LastID.Row]]</f>
        <v>0</v>
      </c>
    </row>
    <row r="586" spans="2:18" x14ac:dyDescent="0.2">
      <c r="B586" s="55" t="s">
        <v>507</v>
      </c>
      <c r="C586" s="27" t="str">
        <f>INDEX(Organizations[],MATCH(Main3WData[[#This Row],[Acronym]],AcronymList,0),1)</f>
        <v>eHealth Africa</v>
      </c>
      <c r="D586" s="27" t="str">
        <f>INDEX(Organizations[],MATCH(Main3WData[[#This Row],[Acronym]],AcronymList,0),3)</f>
        <v>International Organization</v>
      </c>
      <c r="E586" s="54" t="s">
        <v>360</v>
      </c>
      <c r="F586" s="53" t="s">
        <v>82</v>
      </c>
      <c r="G586" s="54" t="s">
        <v>430</v>
      </c>
      <c r="H586" s="28" t="str">
        <f>VLOOKUP(Main3WData[[#This Row],[Admin Unit Name]],AdminUnits[],2,FALSE)</f>
        <v>GIN008004</v>
      </c>
      <c r="I586" s="57">
        <v>0</v>
      </c>
      <c r="J586" s="67" t="str">
        <f>Main3WData[[#This Row],[Acronym]]&amp;Main3WData[[#This Row],[Sector]]&amp;Main3WData[[#This Row],[Activity Type]]&amp;Main3WData[[#This Row],[Pcode]]</f>
        <v>eHealth AfricaCoordinationOngoingGIN008004</v>
      </c>
      <c r="K586" s="69">
        <f>COUNTIF(Main3WData[Concatenate],Main3WData[[#This Row],[Concatenate]])</f>
        <v>1</v>
      </c>
      <c r="L586" s="61" t="str">
        <f>Main3WData[[#This Row],[Sector]]&amp;Main3WData[[#This Row],[Pcode]]</f>
        <v>CoordinationGIN008004</v>
      </c>
      <c r="M586" s="71">
        <f>COUNTIF($L$5:L586,Main3WData[[#This Row],[PT.Concat]])</f>
        <v>6</v>
      </c>
      <c r="N586" s="70">
        <f>MATCH(Main3WData[[#This Row],[PT.Concat]],$L$5:L586,0)</f>
        <v>577</v>
      </c>
      <c r="O586" s="62" t="b">
        <f>Main3WData[[#This Row],[Count PT.Concat]]=1</f>
        <v>0</v>
      </c>
      <c r="P586" s="62">
        <f t="array" ref="P586">MAX(($N$4:N585=Main3WData[[#This Row],[PT.ID]])*ROW($N$4:N585))</f>
        <v>585</v>
      </c>
      <c r="Q586" s="62" t="str">
        <f>IF(Main3WData[[#This Row],[PT.FirstID]],Main3WData[[#This Row],[Acronym]],INDEX($Q$4:Q585,Main3WData[[#This Row],[PT.LastID.Row]]-ROW($Q$4)+1) &amp; ", "&amp;Main3WData[[#This Row],[Acronym]])</f>
        <v>UNMEER, UNFPA, UNDP, OMS, MSF, eHealth Africa</v>
      </c>
      <c r="R586" s="62" t="b">
        <f t="array" ref="R586">MAX(IF(Main3WData[PT.ID]=Main3WData[[#This Row],[PT.ID]],Main3WData[PT.LastID.Row]))=Main3WData[[#This Row],[PT.LastID.Row]]</f>
        <v>1</v>
      </c>
    </row>
    <row r="587" spans="2:18" x14ac:dyDescent="0.2">
      <c r="B587" s="55" t="s">
        <v>473</v>
      </c>
      <c r="C587" s="27" t="str">
        <f>INDEX(Organizations[],MATCH(Main3WData[[#This Row],[Acronym]],AcronymList,0),1)</f>
        <v>United Nations Development Programme</v>
      </c>
      <c r="D587" s="27" t="str">
        <f>INDEX(Organizations[],MATCH(Main3WData[[#This Row],[Acronym]],AcronymList,0),3)</f>
        <v>UN Agency</v>
      </c>
      <c r="E587" s="54" t="s">
        <v>359</v>
      </c>
      <c r="F587" s="53" t="s">
        <v>82</v>
      </c>
      <c r="G587" s="54" t="s">
        <v>430</v>
      </c>
      <c r="H587" s="28" t="str">
        <f>VLOOKUP(Main3WData[[#This Row],[Admin Unit Name]],AdminUnits[],2,FALSE)</f>
        <v>GIN008004</v>
      </c>
      <c r="I587" s="57">
        <v>0</v>
      </c>
      <c r="J587" s="67" t="str">
        <f>Main3WData[[#This Row],[Acronym]]&amp;Main3WData[[#This Row],[Sector]]&amp;Main3WData[[#This Row],[Activity Type]]&amp;Main3WData[[#This Row],[Pcode]]</f>
        <v>UNDPFinanceOngoingGIN008004</v>
      </c>
      <c r="K587" s="69">
        <f>COUNTIF(Main3WData[Concatenate],Main3WData[[#This Row],[Concatenate]])</f>
        <v>1</v>
      </c>
      <c r="L587" s="61" t="str">
        <f>Main3WData[[#This Row],[Sector]]&amp;Main3WData[[#This Row],[Pcode]]</f>
        <v>FinanceGIN008004</v>
      </c>
      <c r="M587" s="71">
        <f>COUNTIF($L$5:L587,Main3WData[[#This Row],[PT.Concat]])</f>
        <v>1</v>
      </c>
      <c r="N587" s="70">
        <f>MATCH(Main3WData[[#This Row],[PT.Concat]],$L$5:L587,0)</f>
        <v>583</v>
      </c>
      <c r="O587" s="62" t="b">
        <f>Main3WData[[#This Row],[Count PT.Concat]]=1</f>
        <v>1</v>
      </c>
      <c r="P587" s="62">
        <f t="array" ref="P587">MAX(($N$4:N586=Main3WData[[#This Row],[PT.ID]])*ROW($N$4:N586))</f>
        <v>0</v>
      </c>
      <c r="Q587" s="62" t="str">
        <f>IF(Main3WData[[#This Row],[PT.FirstID]],Main3WData[[#This Row],[Acronym]],INDEX($Q$4:Q586,Main3WData[[#This Row],[PT.LastID.Row]]-ROW($Q$4)+1) &amp; ", "&amp;Main3WData[[#This Row],[Acronym]])</f>
        <v>UNDP</v>
      </c>
      <c r="R587" s="62" t="b">
        <f t="array" ref="R587">MAX(IF(Main3WData[PT.ID]=Main3WData[[#This Row],[PT.ID]],Main3WData[PT.LastID.Row]))=Main3WData[[#This Row],[PT.LastID.Row]]</f>
        <v>1</v>
      </c>
    </row>
    <row r="588" spans="2:18" x14ac:dyDescent="0.2">
      <c r="B588" s="55" t="s">
        <v>451</v>
      </c>
      <c r="C588" s="27" t="str">
        <f>INDEX(Organizations[],MATCH(Main3WData[[#This Row],[Acronym]],AcronymList,0),1)</f>
        <v>Croix-Rouge Guinée</v>
      </c>
      <c r="D588" s="27" t="str">
        <f>INDEX(Organizations[],MATCH(Main3WData[[#This Row],[Acronym]],AcronymList,0),3)</f>
        <v>Red Cross Movement</v>
      </c>
      <c r="E588" s="54" t="s">
        <v>354</v>
      </c>
      <c r="F588" s="53" t="s">
        <v>82</v>
      </c>
      <c r="G588" s="54" t="s">
        <v>430</v>
      </c>
      <c r="H588" s="28" t="str">
        <f>VLOOKUP(Main3WData[[#This Row],[Admin Unit Name]],AdminUnits[],2,FALSE)</f>
        <v>GIN008004</v>
      </c>
      <c r="I588" s="57">
        <v>0</v>
      </c>
      <c r="J588" s="67" t="str">
        <f>Main3WData[[#This Row],[Acronym]]&amp;Main3WData[[#This Row],[Sector]]&amp;Main3WData[[#This Row],[Activity Type]]&amp;Main3WData[[#This Row],[Pcode]]</f>
        <v>CRGGestion des corps et desinfectionOngoingGIN008004</v>
      </c>
      <c r="K588" s="69">
        <f>COUNTIF(Main3WData[Concatenate],Main3WData[[#This Row],[Concatenate]])</f>
        <v>1</v>
      </c>
      <c r="L588" s="61" t="str">
        <f>Main3WData[[#This Row],[Sector]]&amp;Main3WData[[#This Row],[Pcode]]</f>
        <v>Gestion des corps et desinfectionGIN008004</v>
      </c>
      <c r="M588" s="71">
        <f>COUNTIF($L$5:L588,Main3WData[[#This Row],[PT.Concat]])</f>
        <v>1</v>
      </c>
      <c r="N588" s="70">
        <f>MATCH(Main3WData[[#This Row],[PT.Concat]],$L$5:L588,0)</f>
        <v>584</v>
      </c>
      <c r="O588" s="62" t="b">
        <f>Main3WData[[#This Row],[Count PT.Concat]]=1</f>
        <v>1</v>
      </c>
      <c r="P588" s="62">
        <f t="array" ref="P588">MAX(($N$4:N587=Main3WData[[#This Row],[PT.ID]])*ROW($N$4:N587))</f>
        <v>0</v>
      </c>
      <c r="Q588" s="62" t="str">
        <f>IF(Main3WData[[#This Row],[PT.FirstID]],Main3WData[[#This Row],[Acronym]],INDEX($Q$4:Q587,Main3WData[[#This Row],[PT.LastID.Row]]-ROW($Q$4)+1) &amp; ", "&amp;Main3WData[[#This Row],[Acronym]])</f>
        <v>CRG</v>
      </c>
      <c r="R588" s="62" t="b">
        <f t="array" ref="R588">MAX(IF(Main3WData[PT.ID]=Main3WData[[#This Row],[PT.ID]],Main3WData[PT.LastID.Row]))=Main3WData[[#This Row],[PT.LastID.Row]]</f>
        <v>1</v>
      </c>
    </row>
    <row r="589" spans="2:18" x14ac:dyDescent="0.2">
      <c r="B589" s="55" t="s">
        <v>516</v>
      </c>
      <c r="C589" s="27" t="str">
        <f>INDEX(Organizations[],MATCH(Main3WData[[#This Row],[Acronym]],AcronymList,0),1)</f>
        <v>UNITED NATION MISSION FOR EBOLA  EMERGENCY RESPONSE</v>
      </c>
      <c r="D589" s="27" t="str">
        <f>INDEX(Organizations[],MATCH(Main3WData[[#This Row],[Acronym]],AcronymList,0),3)</f>
        <v>UN Agency</v>
      </c>
      <c r="E589" s="54" t="s">
        <v>356</v>
      </c>
      <c r="F589" s="53" t="s">
        <v>82</v>
      </c>
      <c r="G589" s="54" t="s">
        <v>430</v>
      </c>
      <c r="H589" s="28" t="str">
        <f>VLOOKUP(Main3WData[[#This Row],[Admin Unit Name]],AdminUnits[],2,FALSE)</f>
        <v>GIN008004</v>
      </c>
      <c r="I589" s="57">
        <v>0</v>
      </c>
      <c r="J589" s="67" t="str">
        <f>Main3WData[[#This Row],[Acronym]]&amp;Main3WData[[#This Row],[Sector]]&amp;Main3WData[[#This Row],[Activity Type]]&amp;Main3WData[[#This Row],[Pcode]]</f>
        <v>UNMEERGestion des donnéesOngoingGIN008004</v>
      </c>
      <c r="K589" s="69">
        <f>COUNTIF(Main3WData[Concatenate],Main3WData[[#This Row],[Concatenate]])</f>
        <v>1</v>
      </c>
      <c r="L589" s="61" t="str">
        <f>Main3WData[[#This Row],[Sector]]&amp;Main3WData[[#This Row],[Pcode]]</f>
        <v>Gestion des donnéesGIN008004</v>
      </c>
      <c r="M589" s="71">
        <f>COUNTIF($L$5:L589,Main3WData[[#This Row],[PT.Concat]])</f>
        <v>1</v>
      </c>
      <c r="N589" s="70">
        <f>MATCH(Main3WData[[#This Row],[PT.Concat]],$L$5:L589,0)</f>
        <v>585</v>
      </c>
      <c r="O589" s="62" t="b">
        <f>Main3WData[[#This Row],[Count PT.Concat]]=1</f>
        <v>1</v>
      </c>
      <c r="P589" s="62">
        <f t="array" ref="P589">MAX(($N$4:N588=Main3WData[[#This Row],[PT.ID]])*ROW($N$4:N588))</f>
        <v>0</v>
      </c>
      <c r="Q589" s="62" t="str">
        <f>IF(Main3WData[[#This Row],[PT.FirstID]],Main3WData[[#This Row],[Acronym]],INDEX($Q$4:Q588,Main3WData[[#This Row],[PT.LastID.Row]]-ROW($Q$4)+1) &amp; ", "&amp;Main3WData[[#This Row],[Acronym]])</f>
        <v>UNMEER</v>
      </c>
      <c r="R589" s="62" t="b">
        <f t="array" ref="R589">MAX(IF(Main3WData[PT.ID]=Main3WData[[#This Row],[PT.ID]],Main3WData[PT.LastID.Row]))=Main3WData[[#This Row],[PT.LastID.Row]]</f>
        <v>0</v>
      </c>
    </row>
    <row r="590" spans="2:18" x14ac:dyDescent="0.2">
      <c r="B590" s="55" t="s">
        <v>473</v>
      </c>
      <c r="C590" s="27" t="str">
        <f>INDEX(Organizations[],MATCH(Main3WData[[#This Row],[Acronym]],AcronymList,0),1)</f>
        <v>United Nations Development Programme</v>
      </c>
      <c r="D590" s="27" t="str">
        <f>INDEX(Organizations[],MATCH(Main3WData[[#This Row],[Acronym]],AcronymList,0),3)</f>
        <v>UN Agency</v>
      </c>
      <c r="E590" s="54" t="s">
        <v>356</v>
      </c>
      <c r="F590" s="53" t="s">
        <v>82</v>
      </c>
      <c r="G590" s="54" t="s">
        <v>430</v>
      </c>
      <c r="H590" s="28" t="str">
        <f>VLOOKUP(Main3WData[[#This Row],[Admin Unit Name]],AdminUnits[],2,FALSE)</f>
        <v>GIN008004</v>
      </c>
      <c r="I590" s="57">
        <v>0</v>
      </c>
      <c r="J590" s="67" t="str">
        <f>Main3WData[[#This Row],[Acronym]]&amp;Main3WData[[#This Row],[Sector]]&amp;Main3WData[[#This Row],[Activity Type]]&amp;Main3WData[[#This Row],[Pcode]]</f>
        <v>UNDPGestion des donnéesOngoingGIN008004</v>
      </c>
      <c r="K590" s="69">
        <f>COUNTIF(Main3WData[Concatenate],Main3WData[[#This Row],[Concatenate]])</f>
        <v>1</v>
      </c>
      <c r="L590" s="61" t="str">
        <f>Main3WData[[#This Row],[Sector]]&amp;Main3WData[[#This Row],[Pcode]]</f>
        <v>Gestion des donnéesGIN008004</v>
      </c>
      <c r="M590" s="71">
        <f>COUNTIF($L$5:L590,Main3WData[[#This Row],[PT.Concat]])</f>
        <v>2</v>
      </c>
      <c r="N590" s="70">
        <f>MATCH(Main3WData[[#This Row],[PT.Concat]],$L$5:L590,0)</f>
        <v>585</v>
      </c>
      <c r="O590" s="62" t="b">
        <f>Main3WData[[#This Row],[Count PT.Concat]]=1</f>
        <v>0</v>
      </c>
      <c r="P590" s="62">
        <f t="array" ref="P590">MAX(($N$4:N589=Main3WData[[#This Row],[PT.ID]])*ROW($N$4:N589))</f>
        <v>589</v>
      </c>
      <c r="Q590" s="62" t="str">
        <f>IF(Main3WData[[#This Row],[PT.FirstID]],Main3WData[[#This Row],[Acronym]],INDEX($Q$4:Q589,Main3WData[[#This Row],[PT.LastID.Row]]-ROW($Q$4)+1) &amp; ", "&amp;Main3WData[[#This Row],[Acronym]])</f>
        <v>UNMEER, UNDP</v>
      </c>
      <c r="R590" s="62" t="b">
        <f t="array" ref="R590">MAX(IF(Main3WData[PT.ID]=Main3WData[[#This Row],[PT.ID]],Main3WData[PT.LastID.Row]))=Main3WData[[#This Row],[PT.LastID.Row]]</f>
        <v>0</v>
      </c>
    </row>
    <row r="591" spans="2:18" x14ac:dyDescent="0.2">
      <c r="B591" s="55" t="s">
        <v>72</v>
      </c>
      <c r="C591" s="27" t="str">
        <f>INDEX(Organizations[],MATCH(Main3WData[[#This Row],[Acronym]],AcronymList,0),1)</f>
        <v>PLAN</v>
      </c>
      <c r="D591" s="27" t="str">
        <f>INDEX(Organizations[],MATCH(Main3WData[[#This Row],[Acronym]],AcronymList,0),3)</f>
        <v>International Organization</v>
      </c>
      <c r="E591" s="54" t="s">
        <v>356</v>
      </c>
      <c r="F591" s="53" t="s">
        <v>82</v>
      </c>
      <c r="G591" s="54" t="s">
        <v>430</v>
      </c>
      <c r="H591" s="28" t="str">
        <f>VLOOKUP(Main3WData[[#This Row],[Admin Unit Name]],AdminUnits[],2,FALSE)</f>
        <v>GIN008004</v>
      </c>
      <c r="I591" s="57">
        <v>0</v>
      </c>
      <c r="J591" s="67" t="str">
        <f>Main3WData[[#This Row],[Acronym]]&amp;Main3WData[[#This Row],[Sector]]&amp;Main3WData[[#This Row],[Activity Type]]&amp;Main3WData[[#This Row],[Pcode]]</f>
        <v>PLANGestion des donnéesOngoingGIN008004</v>
      </c>
      <c r="K591" s="69">
        <f>COUNTIF(Main3WData[Concatenate],Main3WData[[#This Row],[Concatenate]])</f>
        <v>1</v>
      </c>
      <c r="L591" s="61" t="str">
        <f>Main3WData[[#This Row],[Sector]]&amp;Main3WData[[#This Row],[Pcode]]</f>
        <v>Gestion des donnéesGIN008004</v>
      </c>
      <c r="M591" s="71">
        <f>COUNTIF($L$5:L591,Main3WData[[#This Row],[PT.Concat]])</f>
        <v>3</v>
      </c>
      <c r="N591" s="70">
        <f>MATCH(Main3WData[[#This Row],[PT.Concat]],$L$5:L591,0)</f>
        <v>585</v>
      </c>
      <c r="O591" s="62" t="b">
        <f>Main3WData[[#This Row],[Count PT.Concat]]=1</f>
        <v>0</v>
      </c>
      <c r="P591" s="62">
        <f t="array" ref="P591">MAX(($N$4:N590=Main3WData[[#This Row],[PT.ID]])*ROW($N$4:N590))</f>
        <v>590</v>
      </c>
      <c r="Q591" s="62" t="str">
        <f>IF(Main3WData[[#This Row],[PT.FirstID]],Main3WData[[#This Row],[Acronym]],INDEX($Q$4:Q590,Main3WData[[#This Row],[PT.LastID.Row]]-ROW($Q$4)+1) &amp; ", "&amp;Main3WData[[#This Row],[Acronym]])</f>
        <v>UNMEER, UNDP, PLAN</v>
      </c>
      <c r="R591" s="62" t="b">
        <f t="array" ref="R591">MAX(IF(Main3WData[PT.ID]=Main3WData[[#This Row],[PT.ID]],Main3WData[PT.LastID.Row]))=Main3WData[[#This Row],[PT.LastID.Row]]</f>
        <v>0</v>
      </c>
    </row>
    <row r="592" spans="2:18" x14ac:dyDescent="0.2">
      <c r="B592" s="55" t="s">
        <v>512</v>
      </c>
      <c r="C592" s="27" t="str">
        <f>INDEX(Organizations[],MATCH(Main3WData[[#This Row],[Acronym]],AcronymList,0),1)</f>
        <v>World Health Organization</v>
      </c>
      <c r="D592" s="27" t="str">
        <f>INDEX(Organizations[],MATCH(Main3WData[[#This Row],[Acronym]],AcronymList,0),3)</f>
        <v>UN Agency</v>
      </c>
      <c r="E592" s="54" t="s">
        <v>356</v>
      </c>
      <c r="F592" s="53" t="s">
        <v>82</v>
      </c>
      <c r="G592" s="54" t="s">
        <v>430</v>
      </c>
      <c r="H592" s="28" t="str">
        <f>VLOOKUP(Main3WData[[#This Row],[Admin Unit Name]],AdminUnits[],2,FALSE)</f>
        <v>GIN008004</v>
      </c>
      <c r="I592" s="57">
        <v>0</v>
      </c>
      <c r="J592" s="67" t="str">
        <f>Main3WData[[#This Row],[Acronym]]&amp;Main3WData[[#This Row],[Sector]]&amp;Main3WData[[#This Row],[Activity Type]]&amp;Main3WData[[#This Row],[Pcode]]</f>
        <v>OMSGestion des donnéesOngoingGIN008004</v>
      </c>
      <c r="K592" s="69">
        <f>COUNTIF(Main3WData[Concatenate],Main3WData[[#This Row],[Concatenate]])</f>
        <v>1</v>
      </c>
      <c r="L592" s="61" t="str">
        <f>Main3WData[[#This Row],[Sector]]&amp;Main3WData[[#This Row],[Pcode]]</f>
        <v>Gestion des donnéesGIN008004</v>
      </c>
      <c r="M592" s="71">
        <f>COUNTIF($L$5:L592,Main3WData[[#This Row],[PT.Concat]])</f>
        <v>4</v>
      </c>
      <c r="N592" s="70">
        <f>MATCH(Main3WData[[#This Row],[PT.Concat]],$L$5:L592,0)</f>
        <v>585</v>
      </c>
      <c r="O592" s="62" t="b">
        <f>Main3WData[[#This Row],[Count PT.Concat]]=1</f>
        <v>0</v>
      </c>
      <c r="P592" s="62">
        <f t="array" ref="P592">MAX(($N$4:N591=Main3WData[[#This Row],[PT.ID]])*ROW($N$4:N591))</f>
        <v>591</v>
      </c>
      <c r="Q592" s="62" t="str">
        <f>IF(Main3WData[[#This Row],[PT.FirstID]],Main3WData[[#This Row],[Acronym]],INDEX($Q$4:Q591,Main3WData[[#This Row],[PT.LastID.Row]]-ROW($Q$4)+1) &amp; ", "&amp;Main3WData[[#This Row],[Acronym]])</f>
        <v>UNMEER, UNDP, PLAN, OMS</v>
      </c>
      <c r="R592" s="62" t="b">
        <f t="array" ref="R592">MAX(IF(Main3WData[PT.ID]=Main3WData[[#This Row],[PT.ID]],Main3WData[PT.LastID.Row]))=Main3WData[[#This Row],[PT.LastID.Row]]</f>
        <v>1</v>
      </c>
    </row>
    <row r="593" spans="2:18" x14ac:dyDescent="0.2">
      <c r="B593" s="55" t="s">
        <v>516</v>
      </c>
      <c r="C593" s="27" t="str">
        <f>INDEX(Organizations[],MATCH(Main3WData[[#This Row],[Acronym]],AcronymList,0),1)</f>
        <v>UNITED NATION MISSION FOR EBOLA  EMERGENCY RESPONSE</v>
      </c>
      <c r="D593" s="27" t="str">
        <f>INDEX(Organizations[],MATCH(Main3WData[[#This Row],[Acronym]],AcronymList,0),3)</f>
        <v>UN Agency</v>
      </c>
      <c r="E593" s="54" t="s">
        <v>358</v>
      </c>
      <c r="F593" s="53" t="s">
        <v>82</v>
      </c>
      <c r="G593" s="54" t="s">
        <v>430</v>
      </c>
      <c r="H593" s="28" t="str">
        <f>VLOOKUP(Main3WData[[#This Row],[Admin Unit Name]],AdminUnits[],2,FALSE)</f>
        <v>GIN008004</v>
      </c>
      <c r="I593" s="57">
        <v>0</v>
      </c>
      <c r="J593" s="67" t="str">
        <f>Main3WData[[#This Row],[Acronym]]&amp;Main3WData[[#This Row],[Sector]]&amp;Main3WData[[#This Row],[Activity Type]]&amp;Main3WData[[#This Row],[Pcode]]</f>
        <v>UNMEERLogistiquesOngoingGIN008004</v>
      </c>
      <c r="K593" s="69">
        <f>COUNTIF(Main3WData[Concatenate],Main3WData[[#This Row],[Concatenate]])</f>
        <v>1</v>
      </c>
      <c r="L593" s="61" t="str">
        <f>Main3WData[[#This Row],[Sector]]&amp;Main3WData[[#This Row],[Pcode]]</f>
        <v>LogistiquesGIN008004</v>
      </c>
      <c r="M593" s="71">
        <f>COUNTIF($L$5:L593,Main3WData[[#This Row],[PT.Concat]])</f>
        <v>1</v>
      </c>
      <c r="N593" s="70">
        <f>MATCH(Main3WData[[#This Row],[PT.Concat]],$L$5:L593,0)</f>
        <v>589</v>
      </c>
      <c r="O593" s="62" t="b">
        <f>Main3WData[[#This Row],[Count PT.Concat]]=1</f>
        <v>1</v>
      </c>
      <c r="P593" s="62">
        <f t="array" ref="P593">MAX(($N$4:N592=Main3WData[[#This Row],[PT.ID]])*ROW($N$4:N592))</f>
        <v>0</v>
      </c>
      <c r="Q593" s="62" t="str">
        <f>IF(Main3WData[[#This Row],[PT.FirstID]],Main3WData[[#This Row],[Acronym]],INDEX($Q$4:Q592,Main3WData[[#This Row],[PT.LastID.Row]]-ROW($Q$4)+1) &amp; ", "&amp;Main3WData[[#This Row],[Acronym]])</f>
        <v>UNMEER</v>
      </c>
      <c r="R593" s="62" t="b">
        <f t="array" ref="R593">MAX(IF(Main3WData[PT.ID]=Main3WData[[#This Row],[PT.ID]],Main3WData[PT.LastID.Row]))=Main3WData[[#This Row],[PT.LastID.Row]]</f>
        <v>0</v>
      </c>
    </row>
    <row r="594" spans="2:18" x14ac:dyDescent="0.2">
      <c r="B594" s="55" t="s">
        <v>512</v>
      </c>
      <c r="C594" s="27" t="str">
        <f>INDEX(Organizations[],MATCH(Main3WData[[#This Row],[Acronym]],AcronymList,0),1)</f>
        <v>World Health Organization</v>
      </c>
      <c r="D594" s="27" t="str">
        <f>INDEX(Organizations[],MATCH(Main3WData[[#This Row],[Acronym]],AcronymList,0),3)</f>
        <v>UN Agency</v>
      </c>
      <c r="E594" s="54" t="s">
        <v>358</v>
      </c>
      <c r="F594" s="53" t="s">
        <v>82</v>
      </c>
      <c r="G594" s="54" t="s">
        <v>430</v>
      </c>
      <c r="H594" s="28" t="str">
        <f>VLOOKUP(Main3WData[[#This Row],[Admin Unit Name]],AdminUnits[],2,FALSE)</f>
        <v>GIN008004</v>
      </c>
      <c r="I594" s="57">
        <v>0</v>
      </c>
      <c r="J594" s="67" t="str">
        <f>Main3WData[[#This Row],[Acronym]]&amp;Main3WData[[#This Row],[Sector]]&amp;Main3WData[[#This Row],[Activity Type]]&amp;Main3WData[[#This Row],[Pcode]]</f>
        <v>OMSLogistiquesOngoingGIN008004</v>
      </c>
      <c r="K594" s="69">
        <f>COUNTIF(Main3WData[Concatenate],Main3WData[[#This Row],[Concatenate]])</f>
        <v>1</v>
      </c>
      <c r="L594" s="61" t="str">
        <f>Main3WData[[#This Row],[Sector]]&amp;Main3WData[[#This Row],[Pcode]]</f>
        <v>LogistiquesGIN008004</v>
      </c>
      <c r="M594" s="71">
        <f>COUNTIF($L$5:L594,Main3WData[[#This Row],[PT.Concat]])</f>
        <v>2</v>
      </c>
      <c r="N594" s="70">
        <f>MATCH(Main3WData[[#This Row],[PT.Concat]],$L$5:L594,0)</f>
        <v>589</v>
      </c>
      <c r="O594" s="62" t="b">
        <f>Main3WData[[#This Row],[Count PT.Concat]]=1</f>
        <v>0</v>
      </c>
      <c r="P594" s="62">
        <f t="array" ref="P594">MAX(($N$4:N593=Main3WData[[#This Row],[PT.ID]])*ROW($N$4:N593))</f>
        <v>593</v>
      </c>
      <c r="Q594" s="62" t="str">
        <f>IF(Main3WData[[#This Row],[PT.FirstID]],Main3WData[[#This Row],[Acronym]],INDEX($Q$4:Q593,Main3WData[[#This Row],[PT.LastID.Row]]-ROW($Q$4)+1) &amp; ", "&amp;Main3WData[[#This Row],[Acronym]])</f>
        <v>UNMEER, OMS</v>
      </c>
      <c r="R594" s="62" t="b">
        <f t="array" ref="R594">MAX(IF(Main3WData[PT.ID]=Main3WData[[#This Row],[PT.ID]],Main3WData[PT.LastID.Row]))=Main3WData[[#This Row],[PT.LastID.Row]]</f>
        <v>1</v>
      </c>
    </row>
    <row r="595" spans="2:18" x14ac:dyDescent="0.2">
      <c r="B595" s="55" t="s">
        <v>78</v>
      </c>
      <c r="C595" s="27" t="str">
        <f>INDEX(Organizations[],MATCH(Main3WData[[#This Row],[Acronym]],AcronymList,0),1)</f>
        <v>World Food Programme</v>
      </c>
      <c r="D595" s="27" t="str">
        <f>INDEX(Organizations[],MATCH(Main3WData[[#This Row],[Acronym]],AcronymList,0),3)</f>
        <v>UN Agency</v>
      </c>
      <c r="E595" s="54" t="s">
        <v>353</v>
      </c>
      <c r="F595" s="53" t="s">
        <v>82</v>
      </c>
      <c r="G595" s="54" t="s">
        <v>430</v>
      </c>
      <c r="H595" s="28" t="str">
        <f>VLOOKUP(Main3WData[[#This Row],[Admin Unit Name]],AdminUnits[],2,FALSE)</f>
        <v>GIN008004</v>
      </c>
      <c r="I595" s="57">
        <v>0</v>
      </c>
      <c r="J595" s="67" t="str">
        <f>Main3WData[[#This Row],[Acronym]]&amp;Main3WData[[#This Row],[Sector]]&amp;Main3WData[[#This Row],[Activity Type]]&amp;Main3WData[[#This Row],[Pcode]]</f>
        <v>WFPPrise en chargeOngoingGIN008004</v>
      </c>
      <c r="K595" s="69">
        <f>COUNTIF(Main3WData[Concatenate],Main3WData[[#This Row],[Concatenate]])</f>
        <v>1</v>
      </c>
      <c r="L595" s="61" t="str">
        <f>Main3WData[[#This Row],[Sector]]&amp;Main3WData[[#This Row],[Pcode]]</f>
        <v>Prise en chargeGIN008004</v>
      </c>
      <c r="M595" s="71">
        <f>COUNTIF($L$5:L595,Main3WData[[#This Row],[PT.Concat]])</f>
        <v>1</v>
      </c>
      <c r="N595" s="70">
        <f>MATCH(Main3WData[[#This Row],[PT.Concat]],$L$5:L595,0)</f>
        <v>591</v>
      </c>
      <c r="O595" s="62" t="b">
        <f>Main3WData[[#This Row],[Count PT.Concat]]=1</f>
        <v>1</v>
      </c>
      <c r="P595" s="62">
        <f t="array" ref="P595">MAX(($N$4:N594=Main3WData[[#This Row],[PT.ID]])*ROW($N$4:N594))</f>
        <v>0</v>
      </c>
      <c r="Q595" s="62" t="str">
        <f>IF(Main3WData[[#This Row],[PT.FirstID]],Main3WData[[#This Row],[Acronym]],INDEX($Q$4:Q594,Main3WData[[#This Row],[PT.LastID.Row]]-ROW($Q$4)+1) &amp; ", "&amp;Main3WData[[#This Row],[Acronym]])</f>
        <v>WFP</v>
      </c>
      <c r="R595" s="62" t="b">
        <f t="array" ref="R595">MAX(IF(Main3WData[PT.ID]=Main3WData[[#This Row],[PT.ID]],Main3WData[PT.LastID.Row]))=Main3WData[[#This Row],[PT.LastID.Row]]</f>
        <v>0</v>
      </c>
    </row>
    <row r="596" spans="2:18" x14ac:dyDescent="0.2">
      <c r="B596" s="55" t="s">
        <v>71</v>
      </c>
      <c r="C596" s="27" t="str">
        <f>INDEX(Organizations[],MATCH(Main3WData[[#This Row],[Acronym]],AcronymList,0),1)</f>
        <v>Medecins sans Frontieres</v>
      </c>
      <c r="D596" s="27" t="str">
        <f>INDEX(Organizations[],MATCH(Main3WData[[#This Row],[Acronym]],AcronymList,0),3)</f>
        <v>International NGO</v>
      </c>
      <c r="E596" s="54" t="s">
        <v>353</v>
      </c>
      <c r="F596" s="53" t="s">
        <v>82</v>
      </c>
      <c r="G596" s="54" t="s">
        <v>430</v>
      </c>
      <c r="H596" s="28" t="str">
        <f>VLOOKUP(Main3WData[[#This Row],[Admin Unit Name]],AdminUnits[],2,FALSE)</f>
        <v>GIN008004</v>
      </c>
      <c r="I596" s="57">
        <v>0</v>
      </c>
      <c r="J596" s="67" t="str">
        <f>Main3WData[[#This Row],[Acronym]]&amp;Main3WData[[#This Row],[Sector]]&amp;Main3WData[[#This Row],[Activity Type]]&amp;Main3WData[[#This Row],[Pcode]]</f>
        <v>MSFPrise en chargeOngoingGIN008004</v>
      </c>
      <c r="K596" s="69">
        <f>COUNTIF(Main3WData[Concatenate],Main3WData[[#This Row],[Concatenate]])</f>
        <v>1</v>
      </c>
      <c r="L596" s="61" t="str">
        <f>Main3WData[[#This Row],[Sector]]&amp;Main3WData[[#This Row],[Pcode]]</f>
        <v>Prise en chargeGIN008004</v>
      </c>
      <c r="M596" s="71">
        <f>COUNTIF($L$5:L596,Main3WData[[#This Row],[PT.Concat]])</f>
        <v>2</v>
      </c>
      <c r="N596" s="70">
        <f>MATCH(Main3WData[[#This Row],[PT.Concat]],$L$5:L596,0)</f>
        <v>591</v>
      </c>
      <c r="O596" s="62" t="b">
        <f>Main3WData[[#This Row],[Count PT.Concat]]=1</f>
        <v>0</v>
      </c>
      <c r="P596" s="62">
        <f t="array" ref="P596">MAX(($N$4:N595=Main3WData[[#This Row],[PT.ID]])*ROW($N$4:N595))</f>
        <v>595</v>
      </c>
      <c r="Q596" s="62" t="str">
        <f>IF(Main3WData[[#This Row],[PT.FirstID]],Main3WData[[#This Row],[Acronym]],INDEX($Q$4:Q595,Main3WData[[#This Row],[PT.LastID.Row]]-ROW($Q$4)+1) &amp; ", "&amp;Main3WData[[#This Row],[Acronym]])</f>
        <v>WFP, MSF</v>
      </c>
      <c r="R596" s="62" t="b">
        <f t="array" ref="R596">MAX(IF(Main3WData[PT.ID]=Main3WData[[#This Row],[PT.ID]],Main3WData[PT.LastID.Row]))=Main3WData[[#This Row],[PT.LastID.Row]]</f>
        <v>0</v>
      </c>
    </row>
    <row r="597" spans="2:18" x14ac:dyDescent="0.2">
      <c r="B597" s="55" t="s">
        <v>454</v>
      </c>
      <c r="C597" s="27" t="str">
        <f>INDEX(Organizations[],MATCH(Main3WData[[#This Row],[Acronym]],AcronymList,0),1)</f>
        <v>France</v>
      </c>
      <c r="D597" s="27" t="str">
        <f>INDEX(Organizations[],MATCH(Main3WData[[#This Row],[Acronym]],AcronymList,0),3)</f>
        <v>Donors</v>
      </c>
      <c r="E597" s="54" t="s">
        <v>353</v>
      </c>
      <c r="F597" s="53" t="s">
        <v>82</v>
      </c>
      <c r="G597" s="54" t="s">
        <v>430</v>
      </c>
      <c r="H597" s="28" t="str">
        <f>VLOOKUP(Main3WData[[#This Row],[Admin Unit Name]],AdminUnits[],2,FALSE)</f>
        <v>GIN008004</v>
      </c>
      <c r="I597" s="57">
        <v>0</v>
      </c>
      <c r="J597" s="67" t="str">
        <f>Main3WData[[#This Row],[Acronym]]&amp;Main3WData[[#This Row],[Sector]]&amp;Main3WData[[#This Row],[Activity Type]]&amp;Main3WData[[#This Row],[Pcode]]</f>
        <v>FrancePrise en chargeOngoingGIN008004</v>
      </c>
      <c r="K597" s="69">
        <f>COUNTIF(Main3WData[Concatenate],Main3WData[[#This Row],[Concatenate]])</f>
        <v>1</v>
      </c>
      <c r="L597" s="61" t="str">
        <f>Main3WData[[#This Row],[Sector]]&amp;Main3WData[[#This Row],[Pcode]]</f>
        <v>Prise en chargeGIN008004</v>
      </c>
      <c r="M597" s="71">
        <f>COUNTIF($L$5:L597,Main3WData[[#This Row],[PT.Concat]])</f>
        <v>3</v>
      </c>
      <c r="N597" s="70">
        <f>MATCH(Main3WData[[#This Row],[PT.Concat]],$L$5:L597,0)</f>
        <v>591</v>
      </c>
      <c r="O597" s="62" t="b">
        <f>Main3WData[[#This Row],[Count PT.Concat]]=1</f>
        <v>0</v>
      </c>
      <c r="P597" s="62">
        <f t="array" ref="P597">MAX(($N$4:N596=Main3WData[[#This Row],[PT.ID]])*ROW($N$4:N596))</f>
        <v>596</v>
      </c>
      <c r="Q597" s="62" t="str">
        <f>IF(Main3WData[[#This Row],[PT.FirstID]],Main3WData[[#This Row],[Acronym]],INDEX($Q$4:Q596,Main3WData[[#This Row],[PT.LastID.Row]]-ROW($Q$4)+1) &amp; ", "&amp;Main3WData[[#This Row],[Acronym]])</f>
        <v>WFP, MSF, France</v>
      </c>
      <c r="R597" s="62" t="b">
        <f t="array" ref="R597">MAX(IF(Main3WData[PT.ID]=Main3WData[[#This Row],[PT.ID]],Main3WData[PT.LastID.Row]))=Main3WData[[#This Row],[PT.LastID.Row]]</f>
        <v>0</v>
      </c>
    </row>
    <row r="598" spans="2:18" x14ac:dyDescent="0.2">
      <c r="B598" s="55" t="s">
        <v>453</v>
      </c>
      <c r="C598" s="27" t="str">
        <f>INDEX(Organizations[],MATCH(Main3WData[[#This Row],[Acronym]],AcronymList,0),1)</f>
        <v>European Union</v>
      </c>
      <c r="D598" s="27" t="str">
        <f>INDEX(Organizations[],MATCH(Main3WData[[#This Row],[Acronym]],AcronymList,0),3)</f>
        <v>Donors</v>
      </c>
      <c r="E598" s="54" t="s">
        <v>353</v>
      </c>
      <c r="F598" s="53" t="s">
        <v>82</v>
      </c>
      <c r="G598" s="54" t="s">
        <v>430</v>
      </c>
      <c r="H598" s="28" t="str">
        <f>VLOOKUP(Main3WData[[#This Row],[Admin Unit Name]],AdminUnits[],2,FALSE)</f>
        <v>GIN008004</v>
      </c>
      <c r="I598" s="57">
        <v>0</v>
      </c>
      <c r="J598" s="67" t="str">
        <f>Main3WData[[#This Row],[Acronym]]&amp;Main3WData[[#This Row],[Sector]]&amp;Main3WData[[#This Row],[Activity Type]]&amp;Main3WData[[#This Row],[Pcode]]</f>
        <v>EUPrise en chargeOngoingGIN008004</v>
      </c>
      <c r="K598" s="69">
        <f>COUNTIF(Main3WData[Concatenate],Main3WData[[#This Row],[Concatenate]])</f>
        <v>1</v>
      </c>
      <c r="L598" s="61" t="str">
        <f>Main3WData[[#This Row],[Sector]]&amp;Main3WData[[#This Row],[Pcode]]</f>
        <v>Prise en chargeGIN008004</v>
      </c>
      <c r="M598" s="71">
        <f>COUNTIF($L$5:L598,Main3WData[[#This Row],[PT.Concat]])</f>
        <v>4</v>
      </c>
      <c r="N598" s="70">
        <f>MATCH(Main3WData[[#This Row],[PT.Concat]],$L$5:L598,0)</f>
        <v>591</v>
      </c>
      <c r="O598" s="62" t="b">
        <f>Main3WData[[#This Row],[Count PT.Concat]]=1</f>
        <v>0</v>
      </c>
      <c r="P598" s="62">
        <f t="array" ref="P598">MAX(($N$4:N597=Main3WData[[#This Row],[PT.ID]])*ROW($N$4:N597))</f>
        <v>597</v>
      </c>
      <c r="Q598" s="62" t="str">
        <f>IF(Main3WData[[#This Row],[PT.FirstID]],Main3WData[[#This Row],[Acronym]],INDEX($Q$4:Q597,Main3WData[[#This Row],[PT.LastID.Row]]-ROW($Q$4)+1) &amp; ", "&amp;Main3WData[[#This Row],[Acronym]])</f>
        <v>WFP, MSF, France, EU</v>
      </c>
      <c r="R598" s="62" t="b">
        <f t="array" ref="R598">MAX(IF(Main3WData[PT.ID]=Main3WData[[#This Row],[PT.ID]],Main3WData[PT.LastID.Row]))=Main3WData[[#This Row],[PT.LastID.Row]]</f>
        <v>0</v>
      </c>
    </row>
    <row r="599" spans="2:18" x14ac:dyDescent="0.2">
      <c r="B599" s="55" t="s">
        <v>66</v>
      </c>
      <c r="C599" s="27" t="str">
        <f>INDEX(Organizations[],MATCH(Main3WData[[#This Row],[Acronym]],AcronymList,0),1)</f>
        <v>Catholic Relief Services</v>
      </c>
      <c r="D599" s="27" t="str">
        <f>INDEX(Organizations[],MATCH(Main3WData[[#This Row],[Acronym]],AcronymList,0),3)</f>
        <v>International NGO</v>
      </c>
      <c r="E599" s="54" t="s">
        <v>353</v>
      </c>
      <c r="F599" s="53" t="s">
        <v>82</v>
      </c>
      <c r="G599" s="54" t="s">
        <v>430</v>
      </c>
      <c r="H599" s="28" t="str">
        <f>VLOOKUP(Main3WData[[#This Row],[Admin Unit Name]],AdminUnits[],2,FALSE)</f>
        <v>GIN008004</v>
      </c>
      <c r="I599" s="57">
        <v>0</v>
      </c>
      <c r="J599" s="67" t="str">
        <f>Main3WData[[#This Row],[Acronym]]&amp;Main3WData[[#This Row],[Sector]]&amp;Main3WData[[#This Row],[Activity Type]]&amp;Main3WData[[#This Row],[Pcode]]</f>
        <v>CRSPrise en chargeOngoingGIN008004</v>
      </c>
      <c r="K599" s="69">
        <f>COUNTIF(Main3WData[Concatenate],Main3WData[[#This Row],[Concatenate]])</f>
        <v>1</v>
      </c>
      <c r="L599" s="61" t="str">
        <f>Main3WData[[#This Row],[Sector]]&amp;Main3WData[[#This Row],[Pcode]]</f>
        <v>Prise en chargeGIN008004</v>
      </c>
      <c r="M599" s="71">
        <f>COUNTIF($L$5:L599,Main3WData[[#This Row],[PT.Concat]])</f>
        <v>5</v>
      </c>
      <c r="N599" s="70">
        <f>MATCH(Main3WData[[#This Row],[PT.Concat]],$L$5:L599,0)</f>
        <v>591</v>
      </c>
      <c r="O599" s="62" t="b">
        <f>Main3WData[[#This Row],[Count PT.Concat]]=1</f>
        <v>0</v>
      </c>
      <c r="P599" s="62">
        <f t="array" ref="P599">MAX(($N$4:N598=Main3WData[[#This Row],[PT.ID]])*ROW($N$4:N598))</f>
        <v>598</v>
      </c>
      <c r="Q599" s="62" t="str">
        <f>IF(Main3WData[[#This Row],[PT.FirstID]],Main3WData[[#This Row],[Acronym]],INDEX($Q$4:Q598,Main3WData[[#This Row],[PT.LastID.Row]]-ROW($Q$4)+1) &amp; ", "&amp;Main3WData[[#This Row],[Acronym]])</f>
        <v>WFP, MSF, France, EU, CRS</v>
      </c>
      <c r="R599" s="62" t="b">
        <f t="array" ref="R599">MAX(IF(Main3WData[PT.ID]=Main3WData[[#This Row],[PT.ID]],Main3WData[PT.LastID.Row]))=Main3WData[[#This Row],[PT.LastID.Row]]</f>
        <v>0</v>
      </c>
    </row>
    <row r="600" spans="2:18" x14ac:dyDescent="0.2">
      <c r="B600" s="55" t="s">
        <v>449</v>
      </c>
      <c r="C600" s="27" t="str">
        <f>INDEX(Organizations[],MATCH(Main3WData[[#This Row],[Acronym]],AcronymList,0),1)</f>
        <v>Croix Rouge française</v>
      </c>
      <c r="D600" s="27" t="str">
        <f>INDEX(Organizations[],MATCH(Main3WData[[#This Row],[Acronym]],AcronymList,0),3)</f>
        <v>Red Cross Movement</v>
      </c>
      <c r="E600" s="54" t="s">
        <v>353</v>
      </c>
      <c r="F600" s="53" t="s">
        <v>82</v>
      </c>
      <c r="G600" s="54" t="s">
        <v>430</v>
      </c>
      <c r="H600" s="28" t="str">
        <f>VLOOKUP(Main3WData[[#This Row],[Admin Unit Name]],AdminUnits[],2,FALSE)</f>
        <v>GIN008004</v>
      </c>
      <c r="I600" s="57">
        <v>0</v>
      </c>
      <c r="J600" s="67" t="str">
        <f>Main3WData[[#This Row],[Acronym]]&amp;Main3WData[[#This Row],[Sector]]&amp;Main3WData[[#This Row],[Activity Type]]&amp;Main3WData[[#This Row],[Pcode]]</f>
        <v>CRFPrise en chargeOngoingGIN008004</v>
      </c>
      <c r="K600" s="69">
        <f>COUNTIF(Main3WData[Concatenate],Main3WData[[#This Row],[Concatenate]])</f>
        <v>1</v>
      </c>
      <c r="L600" s="61" t="str">
        <f>Main3WData[[#This Row],[Sector]]&amp;Main3WData[[#This Row],[Pcode]]</f>
        <v>Prise en chargeGIN008004</v>
      </c>
      <c r="M600" s="71">
        <f>COUNTIF($L$5:L600,Main3WData[[#This Row],[PT.Concat]])</f>
        <v>6</v>
      </c>
      <c r="N600" s="70">
        <f>MATCH(Main3WData[[#This Row],[PT.Concat]],$L$5:L600,0)</f>
        <v>591</v>
      </c>
      <c r="O600" s="62" t="b">
        <f>Main3WData[[#This Row],[Count PT.Concat]]=1</f>
        <v>0</v>
      </c>
      <c r="P600" s="62">
        <f t="array" ref="P600">MAX(($N$4:N599=Main3WData[[#This Row],[PT.ID]])*ROW($N$4:N599))</f>
        <v>599</v>
      </c>
      <c r="Q600" s="62" t="str">
        <f>IF(Main3WData[[#This Row],[PT.FirstID]],Main3WData[[#This Row],[Acronym]],INDEX($Q$4:Q599,Main3WData[[#This Row],[PT.LastID.Row]]-ROW($Q$4)+1) &amp; ", "&amp;Main3WData[[#This Row],[Acronym]])</f>
        <v>WFP, MSF, France, EU, CRS, CRF</v>
      </c>
      <c r="R600" s="62" t="b">
        <f t="array" ref="R600">MAX(IF(Main3WData[PT.ID]=Main3WData[[#This Row],[PT.ID]],Main3WData[PT.LastID.Row]))=Main3WData[[#This Row],[PT.LastID.Row]]</f>
        <v>1</v>
      </c>
    </row>
    <row r="601" spans="2:18" x14ac:dyDescent="0.2">
      <c r="B601" s="55" t="s">
        <v>473</v>
      </c>
      <c r="C601" s="27" t="str">
        <f>INDEX(Organizations[],MATCH(Main3WData[[#This Row],[Acronym]],AcronymList,0),1)</f>
        <v>United Nations Development Programme</v>
      </c>
      <c r="D601" s="27" t="str">
        <f>INDEX(Organizations[],MATCH(Main3WData[[#This Row],[Acronym]],AcronymList,0),3)</f>
        <v>UN Agency</v>
      </c>
      <c r="E601" s="54" t="s">
        <v>357</v>
      </c>
      <c r="F601" s="53" t="s">
        <v>82</v>
      </c>
      <c r="G601" s="54" t="s">
        <v>430</v>
      </c>
      <c r="H601" s="28" t="str">
        <f>VLOOKUP(Main3WData[[#This Row],[Admin Unit Name]],AdminUnits[],2,FALSE)</f>
        <v>GIN008004</v>
      </c>
      <c r="I601" s="57">
        <v>0</v>
      </c>
      <c r="J601" s="67" t="str">
        <f>Main3WData[[#This Row],[Acronym]]&amp;Main3WData[[#This Row],[Sector]]&amp;Main3WData[[#This Row],[Activity Type]]&amp;Main3WData[[#This Row],[Pcode]]</f>
        <v>UNDPSécuritéOngoingGIN008004</v>
      </c>
      <c r="K601" s="69">
        <f>COUNTIF(Main3WData[Concatenate],Main3WData[[#This Row],[Concatenate]])</f>
        <v>1</v>
      </c>
      <c r="L601" s="61" t="str">
        <f>Main3WData[[#This Row],[Sector]]&amp;Main3WData[[#This Row],[Pcode]]</f>
        <v>SécuritéGIN008004</v>
      </c>
      <c r="M601" s="71">
        <f>COUNTIF($L$5:L601,Main3WData[[#This Row],[PT.Concat]])</f>
        <v>1</v>
      </c>
      <c r="N601" s="70">
        <f>MATCH(Main3WData[[#This Row],[PT.Concat]],$L$5:L601,0)</f>
        <v>597</v>
      </c>
      <c r="O601" s="62" t="b">
        <f>Main3WData[[#This Row],[Count PT.Concat]]=1</f>
        <v>1</v>
      </c>
      <c r="P601" s="62">
        <f t="array" ref="P601">MAX(($N$4:N600=Main3WData[[#This Row],[PT.ID]])*ROW($N$4:N600))</f>
        <v>0</v>
      </c>
      <c r="Q601" s="62" t="str">
        <f>IF(Main3WData[[#This Row],[PT.FirstID]],Main3WData[[#This Row],[Acronym]],INDEX($Q$4:Q600,Main3WData[[#This Row],[PT.LastID.Row]]-ROW($Q$4)+1) &amp; ", "&amp;Main3WData[[#This Row],[Acronym]])</f>
        <v>UNDP</v>
      </c>
      <c r="R601" s="62" t="b">
        <f t="array" ref="R601">MAX(IF(Main3WData[PT.ID]=Main3WData[[#This Row],[PT.ID]],Main3WData[PT.LastID.Row]))=Main3WData[[#This Row],[PT.LastID.Row]]</f>
        <v>1</v>
      </c>
    </row>
    <row r="602" spans="2:18" x14ac:dyDescent="0.2">
      <c r="B602" s="55" t="s">
        <v>78</v>
      </c>
      <c r="C602" s="27" t="str">
        <f>INDEX(Organizations[],MATCH(Main3WData[[#This Row],[Acronym]],AcronymList,0),1)</f>
        <v>World Food Programme</v>
      </c>
      <c r="D602" s="27" t="str">
        <f>INDEX(Organizations[],MATCH(Main3WData[[#This Row],[Acronym]],AcronymList,0),3)</f>
        <v>UN Agency</v>
      </c>
      <c r="E602" s="54" t="s">
        <v>355</v>
      </c>
      <c r="F602" s="53" t="s">
        <v>82</v>
      </c>
      <c r="G602" s="54" t="s">
        <v>430</v>
      </c>
      <c r="H602" s="28" t="str">
        <f>VLOOKUP(Main3WData[[#This Row],[Admin Unit Name]],AdminUnits[],2,FALSE)</f>
        <v>GIN008004</v>
      </c>
      <c r="I602" s="57">
        <v>0</v>
      </c>
      <c r="J602" s="67" t="str">
        <f>Main3WData[[#This Row],[Acronym]]&amp;Main3WData[[#This Row],[Sector]]&amp;Main3WData[[#This Row],[Activity Type]]&amp;Main3WData[[#This Row],[Pcode]]</f>
        <v>WFPSoutien nutritionnel et socialOngoingGIN008004</v>
      </c>
      <c r="K602" s="69">
        <f>COUNTIF(Main3WData[Concatenate],Main3WData[[#This Row],[Concatenate]])</f>
        <v>1</v>
      </c>
      <c r="L602" s="61" t="str">
        <f>Main3WData[[#This Row],[Sector]]&amp;Main3WData[[#This Row],[Pcode]]</f>
        <v>Soutien nutritionnel et socialGIN008004</v>
      </c>
      <c r="M602" s="71">
        <f>COUNTIF($L$5:L602,Main3WData[[#This Row],[PT.Concat]])</f>
        <v>1</v>
      </c>
      <c r="N602" s="70">
        <f>MATCH(Main3WData[[#This Row],[PT.Concat]],$L$5:L602,0)</f>
        <v>598</v>
      </c>
      <c r="O602" s="62" t="b">
        <f>Main3WData[[#This Row],[Count PT.Concat]]=1</f>
        <v>1</v>
      </c>
      <c r="P602" s="62">
        <f t="array" ref="P602">MAX(($N$4:N601=Main3WData[[#This Row],[PT.ID]])*ROW($N$4:N601))</f>
        <v>0</v>
      </c>
      <c r="Q602" s="62" t="str">
        <f>IF(Main3WData[[#This Row],[PT.FirstID]],Main3WData[[#This Row],[Acronym]],INDEX($Q$4:Q601,Main3WData[[#This Row],[PT.LastID.Row]]-ROW($Q$4)+1) &amp; ", "&amp;Main3WData[[#This Row],[Acronym]])</f>
        <v>WFP</v>
      </c>
      <c r="R602" s="62" t="b">
        <f t="array" ref="R602">MAX(IF(Main3WData[PT.ID]=Main3WData[[#This Row],[PT.ID]],Main3WData[PT.LastID.Row]))=Main3WData[[#This Row],[PT.LastID.Row]]</f>
        <v>0</v>
      </c>
    </row>
    <row r="603" spans="2:18" x14ac:dyDescent="0.2">
      <c r="B603" s="55" t="s">
        <v>523</v>
      </c>
      <c r="C603" s="27" t="str">
        <f>INDEX(Organizations[],MATCH(Main3WData[[#This Row],[Acronym]],AcronymList,0),1)</f>
        <v>Save the Children</v>
      </c>
      <c r="D603" s="27" t="str">
        <f>INDEX(Organizations[],MATCH(Main3WData[[#This Row],[Acronym]],AcronymList,0),3)</f>
        <v>International NGO</v>
      </c>
      <c r="E603" s="54" t="s">
        <v>355</v>
      </c>
      <c r="F603" s="53" t="s">
        <v>82</v>
      </c>
      <c r="G603" s="54" t="s">
        <v>430</v>
      </c>
      <c r="H603" s="28" t="str">
        <f>VLOOKUP(Main3WData[[#This Row],[Admin Unit Name]],AdminUnits[],2,FALSE)</f>
        <v>GIN008004</v>
      </c>
      <c r="I603" s="57">
        <v>0</v>
      </c>
      <c r="J603" s="67" t="str">
        <f>Main3WData[[#This Row],[Acronym]]&amp;Main3WData[[#This Row],[Sector]]&amp;Main3WData[[#This Row],[Activity Type]]&amp;Main3WData[[#This Row],[Pcode]]</f>
        <v>save the childrenSoutien nutritionnel et socialOngoingGIN008004</v>
      </c>
      <c r="K603" s="69">
        <f>COUNTIF(Main3WData[Concatenate],Main3WData[[#This Row],[Concatenate]])</f>
        <v>1</v>
      </c>
      <c r="L603" s="61" t="str">
        <f>Main3WData[[#This Row],[Sector]]&amp;Main3WData[[#This Row],[Pcode]]</f>
        <v>Soutien nutritionnel et socialGIN008004</v>
      </c>
      <c r="M603" s="71">
        <f>COUNTIF($L$5:L603,Main3WData[[#This Row],[PT.Concat]])</f>
        <v>2</v>
      </c>
      <c r="N603" s="70">
        <f>MATCH(Main3WData[[#This Row],[PT.Concat]],$L$5:L603,0)</f>
        <v>598</v>
      </c>
      <c r="O603" s="62" t="b">
        <f>Main3WData[[#This Row],[Count PT.Concat]]=1</f>
        <v>0</v>
      </c>
      <c r="P603" s="62">
        <f t="array" ref="P603">MAX(($N$4:N602=Main3WData[[#This Row],[PT.ID]])*ROW($N$4:N602))</f>
        <v>602</v>
      </c>
      <c r="Q603" s="62" t="str">
        <f>IF(Main3WData[[#This Row],[PT.FirstID]],Main3WData[[#This Row],[Acronym]],INDEX($Q$4:Q602,Main3WData[[#This Row],[PT.LastID.Row]]-ROW($Q$4)+1) &amp; ", "&amp;Main3WData[[#This Row],[Acronym]])</f>
        <v>WFP, save the children</v>
      </c>
      <c r="R603" s="62" t="b">
        <f t="array" ref="R603">MAX(IF(Main3WData[PT.ID]=Main3WData[[#This Row],[PT.ID]],Main3WData[PT.LastID.Row]))=Main3WData[[#This Row],[PT.LastID.Row]]</f>
        <v>0</v>
      </c>
    </row>
    <row r="604" spans="2:18" x14ac:dyDescent="0.2">
      <c r="B604" s="55" t="s">
        <v>72</v>
      </c>
      <c r="C604" s="27" t="str">
        <f>INDEX(Organizations[],MATCH(Main3WData[[#This Row],[Acronym]],AcronymList,0),1)</f>
        <v>PLAN</v>
      </c>
      <c r="D604" s="27" t="str">
        <f>INDEX(Organizations[],MATCH(Main3WData[[#This Row],[Acronym]],AcronymList,0),3)</f>
        <v>International Organization</v>
      </c>
      <c r="E604" s="54" t="s">
        <v>355</v>
      </c>
      <c r="F604" s="53" t="s">
        <v>82</v>
      </c>
      <c r="G604" s="54" t="s">
        <v>430</v>
      </c>
      <c r="H604" s="28" t="str">
        <f>VLOOKUP(Main3WData[[#This Row],[Admin Unit Name]],AdminUnits[],2,FALSE)</f>
        <v>GIN008004</v>
      </c>
      <c r="I604" s="57">
        <v>0</v>
      </c>
      <c r="J604" s="67" t="str">
        <f>Main3WData[[#This Row],[Acronym]]&amp;Main3WData[[#This Row],[Sector]]&amp;Main3WData[[#This Row],[Activity Type]]&amp;Main3WData[[#This Row],[Pcode]]</f>
        <v>PLANSoutien nutritionnel et socialOngoingGIN008004</v>
      </c>
      <c r="K604" s="69">
        <f>COUNTIF(Main3WData[Concatenate],Main3WData[[#This Row],[Concatenate]])</f>
        <v>1</v>
      </c>
      <c r="L604" s="61" t="str">
        <f>Main3WData[[#This Row],[Sector]]&amp;Main3WData[[#This Row],[Pcode]]</f>
        <v>Soutien nutritionnel et socialGIN008004</v>
      </c>
      <c r="M604" s="71">
        <f>COUNTIF($L$5:L604,Main3WData[[#This Row],[PT.Concat]])</f>
        <v>3</v>
      </c>
      <c r="N604" s="70">
        <f>MATCH(Main3WData[[#This Row],[PT.Concat]],$L$5:L604,0)</f>
        <v>598</v>
      </c>
      <c r="O604" s="62" t="b">
        <f>Main3WData[[#This Row],[Count PT.Concat]]=1</f>
        <v>0</v>
      </c>
      <c r="P604" s="62">
        <f t="array" ref="P604">MAX(($N$4:N603=Main3WData[[#This Row],[PT.ID]])*ROW($N$4:N603))</f>
        <v>603</v>
      </c>
      <c r="Q604" s="62" t="str">
        <f>IF(Main3WData[[#This Row],[PT.FirstID]],Main3WData[[#This Row],[Acronym]],INDEX($Q$4:Q603,Main3WData[[#This Row],[PT.LastID.Row]]-ROW($Q$4)+1) &amp; ", "&amp;Main3WData[[#This Row],[Acronym]])</f>
        <v>WFP, save the children, PLAN</v>
      </c>
      <c r="R604" s="62" t="b">
        <f t="array" ref="R604">MAX(IF(Main3WData[PT.ID]=Main3WData[[#This Row],[PT.ID]],Main3WData[PT.LastID.Row]))=Main3WData[[#This Row],[PT.LastID.Row]]</f>
        <v>1</v>
      </c>
    </row>
    <row r="605" spans="2:18" x14ac:dyDescent="0.2">
      <c r="B605" s="55" t="s">
        <v>75</v>
      </c>
      <c r="C605" s="27" t="str">
        <f>INDEX(Organizations[],MATCH(Main3WData[[#This Row],[Acronym]],AcronymList,0),1)</f>
        <v>United Nations Population Fund</v>
      </c>
      <c r="D605" s="27" t="str">
        <f>INDEX(Organizations[],MATCH(Main3WData[[#This Row],[Acronym]],AcronymList,0),3)</f>
        <v>UN Agency</v>
      </c>
      <c r="E605" s="54" t="s">
        <v>351</v>
      </c>
      <c r="F605" s="53" t="s">
        <v>82</v>
      </c>
      <c r="G605" s="54" t="s">
        <v>430</v>
      </c>
      <c r="H605" s="28" t="str">
        <f>VLOOKUP(Main3WData[[#This Row],[Admin Unit Name]],AdminUnits[],2,FALSE)</f>
        <v>GIN008004</v>
      </c>
      <c r="I605" s="57">
        <v>0</v>
      </c>
      <c r="J605" s="67" t="str">
        <f>Main3WData[[#This Row],[Acronym]]&amp;Main3WData[[#This Row],[Sector]]&amp;Main3WData[[#This Row],[Activity Type]]&amp;Main3WData[[#This Row],[Pcode]]</f>
        <v>UNFPASurveillance &amp; suiviOngoingGIN008004</v>
      </c>
      <c r="K605" s="69">
        <f>COUNTIF(Main3WData[Concatenate],Main3WData[[#This Row],[Concatenate]])</f>
        <v>1</v>
      </c>
      <c r="L605" s="61" t="str">
        <f>Main3WData[[#This Row],[Sector]]&amp;Main3WData[[#This Row],[Pcode]]</f>
        <v>Surveillance &amp; suiviGIN008004</v>
      </c>
      <c r="M605" s="71">
        <f>COUNTIF($L$5:L605,Main3WData[[#This Row],[PT.Concat]])</f>
        <v>1</v>
      </c>
      <c r="N605" s="70">
        <f>MATCH(Main3WData[[#This Row],[PT.Concat]],$L$5:L605,0)</f>
        <v>601</v>
      </c>
      <c r="O605" s="62" t="b">
        <f>Main3WData[[#This Row],[Count PT.Concat]]=1</f>
        <v>1</v>
      </c>
      <c r="P605" s="62">
        <f t="array" ref="P605">MAX(($N$4:N604=Main3WData[[#This Row],[PT.ID]])*ROW($N$4:N604))</f>
        <v>0</v>
      </c>
      <c r="Q605" s="62" t="str">
        <f>IF(Main3WData[[#This Row],[PT.FirstID]],Main3WData[[#This Row],[Acronym]],INDEX($Q$4:Q604,Main3WData[[#This Row],[PT.LastID.Row]]-ROW($Q$4)+1) &amp; ", "&amp;Main3WData[[#This Row],[Acronym]])</f>
        <v>UNFPA</v>
      </c>
      <c r="R605" s="62" t="b">
        <f t="array" ref="R605">MAX(IF(Main3WData[PT.ID]=Main3WData[[#This Row],[PT.ID]],Main3WData[PT.LastID.Row]))=Main3WData[[#This Row],[PT.LastID.Row]]</f>
        <v>0</v>
      </c>
    </row>
    <row r="606" spans="2:18" x14ac:dyDescent="0.2">
      <c r="B606" s="55" t="s">
        <v>525</v>
      </c>
      <c r="C606" s="27" t="str">
        <f>INDEX(Organizations[],MATCH(Main3WData[[#This Row],[Acronym]],AcronymList,0),1)</f>
        <v>PLAN</v>
      </c>
      <c r="D606" s="27" t="str">
        <f>INDEX(Organizations[],MATCH(Main3WData[[#This Row],[Acronym]],AcronymList,0),3)</f>
        <v>International Organization</v>
      </c>
      <c r="E606" s="54" t="s">
        <v>351</v>
      </c>
      <c r="F606" s="53" t="s">
        <v>82</v>
      </c>
      <c r="G606" s="54" t="s">
        <v>430</v>
      </c>
      <c r="H606" s="28" t="str">
        <f>VLOOKUP(Main3WData[[#This Row],[Admin Unit Name]],AdminUnits[],2,FALSE)</f>
        <v>GIN008004</v>
      </c>
      <c r="I606" s="57">
        <v>0</v>
      </c>
      <c r="J606" s="67" t="str">
        <f>Main3WData[[#This Row],[Acronym]]&amp;Main3WData[[#This Row],[Sector]]&amp;Main3WData[[#This Row],[Activity Type]]&amp;Main3WData[[#This Row],[Pcode]]</f>
        <v>planSurveillance &amp; suiviOngoingGIN008004</v>
      </c>
      <c r="K606" s="69">
        <f>COUNTIF(Main3WData[Concatenate],Main3WData[[#This Row],[Concatenate]])</f>
        <v>1</v>
      </c>
      <c r="L606" s="61" t="str">
        <f>Main3WData[[#This Row],[Sector]]&amp;Main3WData[[#This Row],[Pcode]]</f>
        <v>Surveillance &amp; suiviGIN008004</v>
      </c>
      <c r="M606" s="71">
        <f>COUNTIF($L$5:L606,Main3WData[[#This Row],[PT.Concat]])</f>
        <v>2</v>
      </c>
      <c r="N606" s="70">
        <f>MATCH(Main3WData[[#This Row],[PT.Concat]],$L$5:L606,0)</f>
        <v>601</v>
      </c>
      <c r="O606" s="62" t="b">
        <f>Main3WData[[#This Row],[Count PT.Concat]]=1</f>
        <v>0</v>
      </c>
      <c r="P606" s="62">
        <f t="array" ref="P606">MAX(($N$4:N605=Main3WData[[#This Row],[PT.ID]])*ROW($N$4:N605))</f>
        <v>605</v>
      </c>
      <c r="Q606" s="62" t="str">
        <f>IF(Main3WData[[#This Row],[PT.FirstID]],Main3WData[[#This Row],[Acronym]],INDEX($Q$4:Q605,Main3WData[[#This Row],[PT.LastID.Row]]-ROW($Q$4)+1) &amp; ", "&amp;Main3WData[[#This Row],[Acronym]])</f>
        <v>UNFPA, plan</v>
      </c>
      <c r="R606" s="62" t="b">
        <f t="array" ref="R606">MAX(IF(Main3WData[PT.ID]=Main3WData[[#This Row],[PT.ID]],Main3WData[PT.LastID.Row]))=Main3WData[[#This Row],[PT.LastID.Row]]</f>
        <v>0</v>
      </c>
    </row>
    <row r="607" spans="2:18" x14ac:dyDescent="0.2">
      <c r="B607" s="55" t="s">
        <v>512</v>
      </c>
      <c r="C607" s="27" t="str">
        <f>INDEX(Organizations[],MATCH(Main3WData[[#This Row],[Acronym]],AcronymList,0),1)</f>
        <v>World Health Organization</v>
      </c>
      <c r="D607" s="27" t="str">
        <f>INDEX(Organizations[],MATCH(Main3WData[[#This Row],[Acronym]],AcronymList,0),3)</f>
        <v>UN Agency</v>
      </c>
      <c r="E607" s="54" t="s">
        <v>351</v>
      </c>
      <c r="F607" s="53" t="s">
        <v>82</v>
      </c>
      <c r="G607" s="54" t="s">
        <v>430</v>
      </c>
      <c r="H607" s="28" t="str">
        <f>VLOOKUP(Main3WData[[#This Row],[Admin Unit Name]],AdminUnits[],2,FALSE)</f>
        <v>GIN008004</v>
      </c>
      <c r="I607" s="57">
        <v>0</v>
      </c>
      <c r="J607" s="67" t="str">
        <f>Main3WData[[#This Row],[Acronym]]&amp;Main3WData[[#This Row],[Sector]]&amp;Main3WData[[#This Row],[Activity Type]]&amp;Main3WData[[#This Row],[Pcode]]</f>
        <v>OMSSurveillance &amp; suiviOngoingGIN008004</v>
      </c>
      <c r="K607" s="69">
        <f>COUNTIF(Main3WData[Concatenate],Main3WData[[#This Row],[Concatenate]])</f>
        <v>1</v>
      </c>
      <c r="L607" s="61" t="str">
        <f>Main3WData[[#This Row],[Sector]]&amp;Main3WData[[#This Row],[Pcode]]</f>
        <v>Surveillance &amp; suiviGIN008004</v>
      </c>
      <c r="M607" s="71">
        <f>COUNTIF($L$5:L607,Main3WData[[#This Row],[PT.Concat]])</f>
        <v>3</v>
      </c>
      <c r="N607" s="70">
        <f>MATCH(Main3WData[[#This Row],[PT.Concat]],$L$5:L607,0)</f>
        <v>601</v>
      </c>
      <c r="O607" s="62" t="b">
        <f>Main3WData[[#This Row],[Count PT.Concat]]=1</f>
        <v>0</v>
      </c>
      <c r="P607" s="62">
        <f t="array" ref="P607">MAX(($N$4:N606=Main3WData[[#This Row],[PT.ID]])*ROW($N$4:N606))</f>
        <v>606</v>
      </c>
      <c r="Q607" s="62" t="str">
        <f>IF(Main3WData[[#This Row],[PT.FirstID]],Main3WData[[#This Row],[Acronym]],INDEX($Q$4:Q606,Main3WData[[#This Row],[PT.LastID.Row]]-ROW($Q$4)+1) &amp; ", "&amp;Main3WData[[#This Row],[Acronym]])</f>
        <v>UNFPA, plan, OMS</v>
      </c>
      <c r="R607" s="62" t="b">
        <f t="array" ref="R607">MAX(IF(Main3WData[PT.ID]=Main3WData[[#This Row],[PT.ID]],Main3WData[PT.LastID.Row]))=Main3WData[[#This Row],[PT.LastID.Row]]</f>
        <v>0</v>
      </c>
    </row>
    <row r="608" spans="2:18" x14ac:dyDescent="0.2">
      <c r="B608" s="55" t="s">
        <v>496</v>
      </c>
      <c r="C608" s="27" t="str">
        <f>INDEX(Organizations[],MATCH(Main3WData[[#This Row],[Acronym]],AcronymList,0),1)</f>
        <v>Columbia University</v>
      </c>
      <c r="D608" s="27" t="str">
        <f>INDEX(Organizations[],MATCH(Main3WData[[#This Row],[Acronym]],AcronymList,0),3)</f>
        <v>Education</v>
      </c>
      <c r="E608" s="54" t="s">
        <v>351</v>
      </c>
      <c r="F608" s="53" t="s">
        <v>82</v>
      </c>
      <c r="G608" s="54" t="s">
        <v>430</v>
      </c>
      <c r="H608" s="28" t="str">
        <f>VLOOKUP(Main3WData[[#This Row],[Admin Unit Name]],AdminUnits[],2,FALSE)</f>
        <v>GIN008004</v>
      </c>
      <c r="I608" s="57">
        <v>0</v>
      </c>
      <c r="J608" s="67" t="str">
        <f>Main3WData[[#This Row],[Acronym]]&amp;Main3WData[[#This Row],[Sector]]&amp;Main3WData[[#This Row],[Activity Type]]&amp;Main3WData[[#This Row],[Pcode]]</f>
        <v>Columbia UnivSurveillance &amp; suiviOngoingGIN008004</v>
      </c>
      <c r="K608" s="69">
        <f>COUNTIF(Main3WData[Concatenate],Main3WData[[#This Row],[Concatenate]])</f>
        <v>1</v>
      </c>
      <c r="L608" s="61" t="str">
        <f>Main3WData[[#This Row],[Sector]]&amp;Main3WData[[#This Row],[Pcode]]</f>
        <v>Surveillance &amp; suiviGIN008004</v>
      </c>
      <c r="M608" s="71">
        <f>COUNTIF($L$5:L608,Main3WData[[#This Row],[PT.Concat]])</f>
        <v>4</v>
      </c>
      <c r="N608" s="70">
        <f>MATCH(Main3WData[[#This Row],[PT.Concat]],$L$5:L608,0)</f>
        <v>601</v>
      </c>
      <c r="O608" s="62" t="b">
        <f>Main3WData[[#This Row],[Count PT.Concat]]=1</f>
        <v>0</v>
      </c>
      <c r="P608" s="62">
        <f t="array" ref="P608">MAX(($N$4:N607=Main3WData[[#This Row],[PT.ID]])*ROW($N$4:N607))</f>
        <v>607</v>
      </c>
      <c r="Q608" s="62" t="str">
        <f>IF(Main3WData[[#This Row],[PT.FirstID]],Main3WData[[#This Row],[Acronym]],INDEX($Q$4:Q607,Main3WData[[#This Row],[PT.LastID.Row]]-ROW($Q$4)+1) &amp; ", "&amp;Main3WData[[#This Row],[Acronym]])</f>
        <v>UNFPA, plan, OMS, Columbia Univ</v>
      </c>
      <c r="R608" s="62" t="b">
        <f t="array" ref="R608">MAX(IF(Main3WData[PT.ID]=Main3WData[[#This Row],[PT.ID]],Main3WData[PT.LastID.Row]))=Main3WData[[#This Row],[PT.LastID.Row]]</f>
        <v>0</v>
      </c>
    </row>
    <row r="609" spans="2:18" x14ac:dyDescent="0.2">
      <c r="B609" s="55" t="s">
        <v>64</v>
      </c>
      <c r="C609" s="27" t="str">
        <f>INDEX(Organizations[],MATCH(Main3WData[[#This Row],[Acronym]],AcronymList,0),1)</f>
        <v>CDC</v>
      </c>
      <c r="D609" s="27" t="str">
        <f>INDEX(Organizations[],MATCH(Main3WData[[#This Row],[Acronym]],AcronymList,0),3)</f>
        <v>International NGO</v>
      </c>
      <c r="E609" s="54" t="s">
        <v>351</v>
      </c>
      <c r="F609" s="53" t="s">
        <v>82</v>
      </c>
      <c r="G609" s="54" t="s">
        <v>430</v>
      </c>
      <c r="H609" s="28" t="str">
        <f>VLOOKUP(Main3WData[[#This Row],[Admin Unit Name]],AdminUnits[],2,FALSE)</f>
        <v>GIN008004</v>
      </c>
      <c r="I609" s="57">
        <v>0</v>
      </c>
      <c r="J609" s="67" t="str">
        <f>Main3WData[[#This Row],[Acronym]]&amp;Main3WData[[#This Row],[Sector]]&amp;Main3WData[[#This Row],[Activity Type]]&amp;Main3WData[[#This Row],[Pcode]]</f>
        <v>CDCSurveillance &amp; suiviOngoingGIN008004</v>
      </c>
      <c r="K609" s="69">
        <f>COUNTIF(Main3WData[Concatenate],Main3WData[[#This Row],[Concatenate]])</f>
        <v>1</v>
      </c>
      <c r="L609" s="61" t="str">
        <f>Main3WData[[#This Row],[Sector]]&amp;Main3WData[[#This Row],[Pcode]]</f>
        <v>Surveillance &amp; suiviGIN008004</v>
      </c>
      <c r="M609" s="71">
        <f>COUNTIF($L$5:L609,Main3WData[[#This Row],[PT.Concat]])</f>
        <v>5</v>
      </c>
      <c r="N609" s="70">
        <f>MATCH(Main3WData[[#This Row],[PT.Concat]],$L$5:L609,0)</f>
        <v>601</v>
      </c>
      <c r="O609" s="62" t="b">
        <f>Main3WData[[#This Row],[Count PT.Concat]]=1</f>
        <v>0</v>
      </c>
      <c r="P609" s="62">
        <f t="array" ref="P609">MAX(($N$4:N608=Main3WData[[#This Row],[PT.ID]])*ROW($N$4:N608))</f>
        <v>608</v>
      </c>
      <c r="Q609" s="62" t="str">
        <f>IF(Main3WData[[#This Row],[PT.FirstID]],Main3WData[[#This Row],[Acronym]],INDEX($Q$4:Q608,Main3WData[[#This Row],[PT.LastID.Row]]-ROW($Q$4)+1) &amp; ", "&amp;Main3WData[[#This Row],[Acronym]])</f>
        <v>UNFPA, plan, OMS, Columbia Univ, CDC</v>
      </c>
      <c r="R609" s="62" t="b">
        <f t="array" ref="R609">MAX(IF(Main3WData[PT.ID]=Main3WData[[#This Row],[PT.ID]],Main3WData[PT.LastID.Row]))=Main3WData[[#This Row],[PT.LastID.Row]]</f>
        <v>1</v>
      </c>
    </row>
    <row r="610" spans="2:18" x14ac:dyDescent="0.2">
      <c r="B610" s="55" t="s">
        <v>459</v>
      </c>
      <c r="C610" s="27" t="str">
        <f>INDEX(Organizations[],MATCH(Main3WData[[#This Row],[Acronym]],AcronymList,0),1)</f>
        <v>Intitut Pasteur  de Dakar</v>
      </c>
      <c r="D610" s="27" t="str">
        <f>INDEX(Organizations[],MATCH(Main3WData[[#This Row],[Acronym]],AcronymList,0),3)</f>
        <v>Laboratory</v>
      </c>
      <c r="E610" s="54" t="s">
        <v>352</v>
      </c>
      <c r="F610" s="53" t="s">
        <v>82</v>
      </c>
      <c r="G610" s="54" t="s">
        <v>430</v>
      </c>
      <c r="H610" s="28" t="str">
        <f>VLOOKUP(Main3WData[[#This Row],[Admin Unit Name]],AdminUnits[],2,FALSE)</f>
        <v>GIN008004</v>
      </c>
      <c r="I610" s="57">
        <v>0</v>
      </c>
      <c r="J610" s="67" t="str">
        <f>Main3WData[[#This Row],[Acronym]]&amp;Main3WData[[#This Row],[Sector]]&amp;Main3WData[[#This Row],[Activity Type]]&amp;Main3WData[[#This Row],[Pcode]]</f>
        <v>IP-DTransport &amp; diagnostiquesOngoingGIN008004</v>
      </c>
      <c r="K610" s="69">
        <f>COUNTIF(Main3WData[Concatenate],Main3WData[[#This Row],[Concatenate]])</f>
        <v>1</v>
      </c>
      <c r="L610" s="61" t="str">
        <f>Main3WData[[#This Row],[Sector]]&amp;Main3WData[[#This Row],[Pcode]]</f>
        <v>Transport &amp; diagnostiquesGIN008004</v>
      </c>
      <c r="M610" s="71">
        <f>COUNTIF($L$5:L610,Main3WData[[#This Row],[PT.Concat]])</f>
        <v>1</v>
      </c>
      <c r="N610" s="70">
        <f>MATCH(Main3WData[[#This Row],[PT.Concat]],$L$5:L610,0)</f>
        <v>606</v>
      </c>
      <c r="O610" s="62" t="b">
        <f>Main3WData[[#This Row],[Count PT.Concat]]=1</f>
        <v>1</v>
      </c>
      <c r="P610" s="62">
        <f t="array" ref="P610">MAX(($N$4:N609=Main3WData[[#This Row],[PT.ID]])*ROW($N$4:N609))</f>
        <v>0</v>
      </c>
      <c r="Q610" s="62" t="str">
        <f>IF(Main3WData[[#This Row],[PT.FirstID]],Main3WData[[#This Row],[Acronym]],INDEX($Q$4:Q609,Main3WData[[#This Row],[PT.LastID.Row]]-ROW($Q$4)+1) &amp; ", "&amp;Main3WData[[#This Row],[Acronym]])</f>
        <v>IP-D</v>
      </c>
      <c r="R610" s="62" t="b">
        <f t="array" ref="R610">MAX(IF(Main3WData[PT.ID]=Main3WData[[#This Row],[PT.ID]],Main3WData[PT.LastID.Row]))=Main3WData[[#This Row],[PT.LastID.Row]]</f>
        <v>0</v>
      </c>
    </row>
    <row r="611" spans="2:18" x14ac:dyDescent="0.2">
      <c r="B611" s="55" t="s">
        <v>454</v>
      </c>
      <c r="C611" s="27" t="str">
        <f>INDEX(Organizations[],MATCH(Main3WData[[#This Row],[Acronym]],AcronymList,0),1)</f>
        <v>France</v>
      </c>
      <c r="D611" s="27" t="str">
        <f>INDEX(Organizations[],MATCH(Main3WData[[#This Row],[Acronym]],AcronymList,0),3)</f>
        <v>Donors</v>
      </c>
      <c r="E611" s="54" t="s">
        <v>352</v>
      </c>
      <c r="F611" s="53" t="s">
        <v>82</v>
      </c>
      <c r="G611" s="54" t="s">
        <v>430</v>
      </c>
      <c r="H611" s="28" t="str">
        <f>VLOOKUP(Main3WData[[#This Row],[Admin Unit Name]],AdminUnits[],2,FALSE)</f>
        <v>GIN008004</v>
      </c>
      <c r="I611" s="57">
        <v>0</v>
      </c>
      <c r="J611" s="67" t="str">
        <f>Main3WData[[#This Row],[Acronym]]&amp;Main3WData[[#This Row],[Sector]]&amp;Main3WData[[#This Row],[Activity Type]]&amp;Main3WData[[#This Row],[Pcode]]</f>
        <v>FranceTransport &amp; diagnostiquesOngoingGIN008004</v>
      </c>
      <c r="K611" s="69">
        <f>COUNTIF(Main3WData[Concatenate],Main3WData[[#This Row],[Concatenate]])</f>
        <v>1</v>
      </c>
      <c r="L611" s="61" t="str">
        <f>Main3WData[[#This Row],[Sector]]&amp;Main3WData[[#This Row],[Pcode]]</f>
        <v>Transport &amp; diagnostiquesGIN008004</v>
      </c>
      <c r="M611" s="71">
        <f>COUNTIF($L$5:L611,Main3WData[[#This Row],[PT.Concat]])</f>
        <v>2</v>
      </c>
      <c r="N611" s="70">
        <f>MATCH(Main3WData[[#This Row],[PT.Concat]],$L$5:L611,0)</f>
        <v>606</v>
      </c>
      <c r="O611" s="62" t="b">
        <f>Main3WData[[#This Row],[Count PT.Concat]]=1</f>
        <v>0</v>
      </c>
      <c r="P611" s="62">
        <f t="array" ref="P611">MAX(($N$4:N610=Main3WData[[#This Row],[PT.ID]])*ROW($N$4:N610))</f>
        <v>610</v>
      </c>
      <c r="Q611" s="62" t="str">
        <f>IF(Main3WData[[#This Row],[PT.FirstID]],Main3WData[[#This Row],[Acronym]],INDEX($Q$4:Q610,Main3WData[[#This Row],[PT.LastID.Row]]-ROW($Q$4)+1) &amp; ", "&amp;Main3WData[[#This Row],[Acronym]])</f>
        <v>IP-D, France</v>
      </c>
      <c r="R611" s="62" t="b">
        <f t="array" ref="R611">MAX(IF(Main3WData[PT.ID]=Main3WData[[#This Row],[PT.ID]],Main3WData[PT.LastID.Row]))=Main3WData[[#This Row],[PT.LastID.Row]]</f>
        <v>1</v>
      </c>
    </row>
    <row r="612" spans="2:18" x14ac:dyDescent="0.2">
      <c r="B612" s="55" t="s">
        <v>77</v>
      </c>
      <c r="C612" s="27" t="str">
        <f>INDEX(Organizations[],MATCH(Main3WData[[#This Row],[Acronym]],AcronymList,0),1)</f>
        <v>United Nations Children's Fund</v>
      </c>
      <c r="D612" s="27" t="str">
        <f>INDEX(Organizations[],MATCH(Main3WData[[#This Row],[Acronym]],AcronymList,0),3)</f>
        <v>UN Agency</v>
      </c>
      <c r="E612" s="54" t="s">
        <v>350</v>
      </c>
      <c r="F612" s="53" t="s">
        <v>82</v>
      </c>
      <c r="G612" s="54" t="s">
        <v>414</v>
      </c>
      <c r="H612" s="28" t="str">
        <f>VLOOKUP(Main3WData[[#This Row],[Admin Unit Name]],AdminUnits[],2,FALSE)</f>
        <v>GIN006004</v>
      </c>
      <c r="I612" s="57">
        <v>0</v>
      </c>
      <c r="J612" s="67" t="str">
        <f>Main3WData[[#This Row],[Acronym]]&amp;Main3WData[[#This Row],[Sector]]&amp;Main3WData[[#This Row],[Activity Type]]&amp;Main3WData[[#This Row],[Pcode]]</f>
        <v>UNICEFCommunication/Mobilisation socialeOngoingGIN006004</v>
      </c>
      <c r="K612" s="69">
        <f>COUNTIF(Main3WData[Concatenate],Main3WData[[#This Row],[Concatenate]])</f>
        <v>1</v>
      </c>
      <c r="L612" s="61" t="str">
        <f>Main3WData[[#This Row],[Sector]]&amp;Main3WData[[#This Row],[Pcode]]</f>
        <v>Communication/Mobilisation socialeGIN006004</v>
      </c>
      <c r="M612" s="71">
        <f>COUNTIF($L$5:L612,Main3WData[[#This Row],[PT.Concat]])</f>
        <v>1</v>
      </c>
      <c r="N612" s="70">
        <f>MATCH(Main3WData[[#This Row],[PT.Concat]],$L$5:L612,0)</f>
        <v>608</v>
      </c>
      <c r="O612" s="62" t="b">
        <f>Main3WData[[#This Row],[Count PT.Concat]]=1</f>
        <v>1</v>
      </c>
      <c r="P612" s="62">
        <f t="array" ref="P612">MAX(($N$4:N611=Main3WData[[#This Row],[PT.ID]])*ROW($N$4:N611))</f>
        <v>0</v>
      </c>
      <c r="Q612" s="62" t="str">
        <f>IF(Main3WData[[#This Row],[PT.FirstID]],Main3WData[[#This Row],[Acronym]],INDEX($Q$4:Q611,Main3WData[[#This Row],[PT.LastID.Row]]-ROW($Q$4)+1) &amp; ", "&amp;Main3WData[[#This Row],[Acronym]])</f>
        <v>UNICEF</v>
      </c>
      <c r="R612" s="62" t="b">
        <f t="array" ref="R612">MAX(IF(Main3WData[PT.ID]=Main3WData[[#This Row],[PT.ID]],Main3WData[PT.LastID.Row]))=Main3WData[[#This Row],[PT.LastID.Row]]</f>
        <v>0</v>
      </c>
    </row>
    <row r="613" spans="2:18" x14ac:dyDescent="0.2">
      <c r="B613" s="55" t="s">
        <v>75</v>
      </c>
      <c r="C613" s="27" t="str">
        <f>INDEX(Organizations[],MATCH(Main3WData[[#This Row],[Acronym]],AcronymList,0),1)</f>
        <v>United Nations Population Fund</v>
      </c>
      <c r="D613" s="27" t="str">
        <f>INDEX(Organizations[],MATCH(Main3WData[[#This Row],[Acronym]],AcronymList,0),3)</f>
        <v>UN Agency</v>
      </c>
      <c r="E613" s="54" t="s">
        <v>350</v>
      </c>
      <c r="F613" s="53" t="s">
        <v>82</v>
      </c>
      <c r="G613" s="54" t="s">
        <v>414</v>
      </c>
      <c r="H613" s="28" t="str">
        <f>VLOOKUP(Main3WData[[#This Row],[Admin Unit Name]],AdminUnits[],2,FALSE)</f>
        <v>GIN006004</v>
      </c>
      <c r="I613" s="57">
        <v>0</v>
      </c>
      <c r="J613" s="67" t="str">
        <f>Main3WData[[#This Row],[Acronym]]&amp;Main3WData[[#This Row],[Sector]]&amp;Main3WData[[#This Row],[Activity Type]]&amp;Main3WData[[#This Row],[Pcode]]</f>
        <v>UNFPACommunication/Mobilisation socialeOngoingGIN006004</v>
      </c>
      <c r="K613" s="69">
        <f>COUNTIF(Main3WData[Concatenate],Main3WData[[#This Row],[Concatenate]])</f>
        <v>1</v>
      </c>
      <c r="L613" s="61" t="str">
        <f>Main3WData[[#This Row],[Sector]]&amp;Main3WData[[#This Row],[Pcode]]</f>
        <v>Communication/Mobilisation socialeGIN006004</v>
      </c>
      <c r="M613" s="71">
        <f>COUNTIF($L$5:L613,Main3WData[[#This Row],[PT.Concat]])</f>
        <v>2</v>
      </c>
      <c r="N613" s="70">
        <f>MATCH(Main3WData[[#This Row],[PT.Concat]],$L$5:L613,0)</f>
        <v>608</v>
      </c>
      <c r="O613" s="62" t="b">
        <f>Main3WData[[#This Row],[Count PT.Concat]]=1</f>
        <v>0</v>
      </c>
      <c r="P613" s="62">
        <f t="array" ref="P613">MAX(($N$4:N612=Main3WData[[#This Row],[PT.ID]])*ROW($N$4:N612))</f>
        <v>612</v>
      </c>
      <c r="Q613" s="62" t="str">
        <f>IF(Main3WData[[#This Row],[PT.FirstID]],Main3WData[[#This Row],[Acronym]],INDEX($Q$4:Q612,Main3WData[[#This Row],[PT.LastID.Row]]-ROW($Q$4)+1) &amp; ", "&amp;Main3WData[[#This Row],[Acronym]])</f>
        <v>UNICEF, UNFPA</v>
      </c>
      <c r="R613" s="62" t="b">
        <f t="array" ref="R613">MAX(IF(Main3WData[PT.ID]=Main3WData[[#This Row],[PT.ID]],Main3WData[PT.LastID.Row]))=Main3WData[[#This Row],[PT.LastID.Row]]</f>
        <v>0</v>
      </c>
    </row>
    <row r="614" spans="2:18" x14ac:dyDescent="0.2">
      <c r="B614" s="55" t="s">
        <v>473</v>
      </c>
      <c r="C614" s="27" t="str">
        <f>INDEX(Organizations[],MATCH(Main3WData[[#This Row],[Acronym]],AcronymList,0),1)</f>
        <v>United Nations Development Programme</v>
      </c>
      <c r="D614" s="27" t="str">
        <f>INDEX(Organizations[],MATCH(Main3WData[[#This Row],[Acronym]],AcronymList,0),3)</f>
        <v>UN Agency</v>
      </c>
      <c r="E614" s="54" t="s">
        <v>350</v>
      </c>
      <c r="F614" s="53" t="s">
        <v>82</v>
      </c>
      <c r="G614" s="54" t="s">
        <v>414</v>
      </c>
      <c r="H614" s="28" t="str">
        <f>VLOOKUP(Main3WData[[#This Row],[Admin Unit Name]],AdminUnits[],2,FALSE)</f>
        <v>GIN006004</v>
      </c>
      <c r="I614" s="57">
        <v>0</v>
      </c>
      <c r="J614" s="67" t="str">
        <f>Main3WData[[#This Row],[Acronym]]&amp;Main3WData[[#This Row],[Sector]]&amp;Main3WData[[#This Row],[Activity Type]]&amp;Main3WData[[#This Row],[Pcode]]</f>
        <v>UNDPCommunication/Mobilisation socialeOngoingGIN006004</v>
      </c>
      <c r="K614" s="69">
        <f>COUNTIF(Main3WData[Concatenate],Main3WData[[#This Row],[Concatenate]])</f>
        <v>1</v>
      </c>
      <c r="L614" s="61" t="str">
        <f>Main3WData[[#This Row],[Sector]]&amp;Main3WData[[#This Row],[Pcode]]</f>
        <v>Communication/Mobilisation socialeGIN006004</v>
      </c>
      <c r="M614" s="71">
        <f>COUNTIF($L$5:L614,Main3WData[[#This Row],[PT.Concat]])</f>
        <v>3</v>
      </c>
      <c r="N614" s="70">
        <f>MATCH(Main3WData[[#This Row],[PT.Concat]],$L$5:L614,0)</f>
        <v>608</v>
      </c>
      <c r="O614" s="62" t="b">
        <f>Main3WData[[#This Row],[Count PT.Concat]]=1</f>
        <v>0</v>
      </c>
      <c r="P614" s="62">
        <f t="array" ref="P614">MAX(($N$4:N613=Main3WData[[#This Row],[PT.ID]])*ROW($N$4:N613))</f>
        <v>613</v>
      </c>
      <c r="Q614" s="62" t="str">
        <f>IF(Main3WData[[#This Row],[PT.FirstID]],Main3WData[[#This Row],[Acronym]],INDEX($Q$4:Q613,Main3WData[[#This Row],[PT.LastID.Row]]-ROW($Q$4)+1) &amp; ", "&amp;Main3WData[[#This Row],[Acronym]])</f>
        <v>UNICEF, UNFPA, UNDP</v>
      </c>
      <c r="R614" s="62" t="b">
        <f t="array" ref="R614">MAX(IF(Main3WData[PT.ID]=Main3WData[[#This Row],[PT.ID]],Main3WData[PT.LastID.Row]))=Main3WData[[#This Row],[PT.LastID.Row]]</f>
        <v>0</v>
      </c>
    </row>
    <row r="615" spans="2:18" x14ac:dyDescent="0.2">
      <c r="B615" s="55" t="s">
        <v>72</v>
      </c>
      <c r="C615" s="27" t="str">
        <f>INDEX(Organizations[],MATCH(Main3WData[[#This Row],[Acronym]],AcronymList,0),1)</f>
        <v>PLAN</v>
      </c>
      <c r="D615" s="27" t="str">
        <f>INDEX(Organizations[],MATCH(Main3WData[[#This Row],[Acronym]],AcronymList,0),3)</f>
        <v>International Organization</v>
      </c>
      <c r="E615" s="54" t="s">
        <v>350</v>
      </c>
      <c r="F615" s="53" t="s">
        <v>82</v>
      </c>
      <c r="G615" s="54" t="s">
        <v>414</v>
      </c>
      <c r="H615" s="28" t="str">
        <f>VLOOKUP(Main3WData[[#This Row],[Admin Unit Name]],AdminUnits[],2,FALSE)</f>
        <v>GIN006004</v>
      </c>
      <c r="I615" s="57">
        <v>0</v>
      </c>
      <c r="J615" s="67" t="str">
        <f>Main3WData[[#This Row],[Acronym]]&amp;Main3WData[[#This Row],[Sector]]&amp;Main3WData[[#This Row],[Activity Type]]&amp;Main3WData[[#This Row],[Pcode]]</f>
        <v>PLANCommunication/Mobilisation socialeOngoingGIN006004</v>
      </c>
      <c r="K615" s="69">
        <f>COUNTIF(Main3WData[Concatenate],Main3WData[[#This Row],[Concatenate]])</f>
        <v>1</v>
      </c>
      <c r="L615" s="61" t="str">
        <f>Main3WData[[#This Row],[Sector]]&amp;Main3WData[[#This Row],[Pcode]]</f>
        <v>Communication/Mobilisation socialeGIN006004</v>
      </c>
      <c r="M615" s="71">
        <f>COUNTIF($L$5:L615,Main3WData[[#This Row],[PT.Concat]])</f>
        <v>4</v>
      </c>
      <c r="N615" s="70">
        <f>MATCH(Main3WData[[#This Row],[PT.Concat]],$L$5:L615,0)</f>
        <v>608</v>
      </c>
      <c r="O615" s="62" t="b">
        <f>Main3WData[[#This Row],[Count PT.Concat]]=1</f>
        <v>0</v>
      </c>
      <c r="P615" s="62">
        <f t="array" ref="P615">MAX(($N$4:N614=Main3WData[[#This Row],[PT.ID]])*ROW($N$4:N614))</f>
        <v>614</v>
      </c>
      <c r="Q615" s="62" t="str">
        <f>IF(Main3WData[[#This Row],[PT.FirstID]],Main3WData[[#This Row],[Acronym]],INDEX($Q$4:Q614,Main3WData[[#This Row],[PT.LastID.Row]]-ROW($Q$4)+1) &amp; ", "&amp;Main3WData[[#This Row],[Acronym]])</f>
        <v>UNICEF, UNFPA, UNDP, PLAN</v>
      </c>
      <c r="R615" s="62" t="b">
        <f t="array" ref="R615">MAX(IF(Main3WData[PT.ID]=Main3WData[[#This Row],[PT.ID]],Main3WData[PT.LastID.Row]))=Main3WData[[#This Row],[PT.LastID.Row]]</f>
        <v>0</v>
      </c>
    </row>
    <row r="616" spans="2:18" x14ac:dyDescent="0.2">
      <c r="B616" s="55" t="s">
        <v>512</v>
      </c>
      <c r="C616" s="27" t="str">
        <f>INDEX(Organizations[],MATCH(Main3WData[[#This Row],[Acronym]],AcronymList,0),1)</f>
        <v>World Health Organization</v>
      </c>
      <c r="D616" s="27" t="str">
        <f>INDEX(Organizations[],MATCH(Main3WData[[#This Row],[Acronym]],AcronymList,0),3)</f>
        <v>UN Agency</v>
      </c>
      <c r="E616" s="54" t="s">
        <v>350</v>
      </c>
      <c r="F616" s="53" t="s">
        <v>82</v>
      </c>
      <c r="G616" s="54" t="s">
        <v>414</v>
      </c>
      <c r="H616" s="28" t="str">
        <f>VLOOKUP(Main3WData[[#This Row],[Admin Unit Name]],AdminUnits[],2,FALSE)</f>
        <v>GIN006004</v>
      </c>
      <c r="I616" s="57">
        <v>0</v>
      </c>
      <c r="J616" s="67" t="str">
        <f>Main3WData[[#This Row],[Acronym]]&amp;Main3WData[[#This Row],[Sector]]&amp;Main3WData[[#This Row],[Activity Type]]&amp;Main3WData[[#This Row],[Pcode]]</f>
        <v>OMSCommunication/Mobilisation socialeOngoingGIN006004</v>
      </c>
      <c r="K616" s="69">
        <f>COUNTIF(Main3WData[Concatenate],Main3WData[[#This Row],[Concatenate]])</f>
        <v>1</v>
      </c>
      <c r="L616" s="61" t="str">
        <f>Main3WData[[#This Row],[Sector]]&amp;Main3WData[[#This Row],[Pcode]]</f>
        <v>Communication/Mobilisation socialeGIN006004</v>
      </c>
      <c r="M616" s="71">
        <f>COUNTIF($L$5:L616,Main3WData[[#This Row],[PT.Concat]])</f>
        <v>5</v>
      </c>
      <c r="N616" s="70">
        <f>MATCH(Main3WData[[#This Row],[PT.Concat]],$L$5:L616,0)</f>
        <v>608</v>
      </c>
      <c r="O616" s="62" t="b">
        <f>Main3WData[[#This Row],[Count PT.Concat]]=1</f>
        <v>0</v>
      </c>
      <c r="P616" s="62">
        <f t="array" ref="P616">MAX(($N$4:N615=Main3WData[[#This Row],[PT.ID]])*ROW($N$4:N615))</f>
        <v>615</v>
      </c>
      <c r="Q616" s="62" t="str">
        <f>IF(Main3WData[[#This Row],[PT.FirstID]],Main3WData[[#This Row],[Acronym]],INDEX($Q$4:Q615,Main3WData[[#This Row],[PT.LastID.Row]]-ROW($Q$4)+1) &amp; ", "&amp;Main3WData[[#This Row],[Acronym]])</f>
        <v>UNICEF, UNFPA, UNDP, PLAN, OMS</v>
      </c>
      <c r="R616" s="62" t="b">
        <f t="array" ref="R616">MAX(IF(Main3WData[PT.ID]=Main3WData[[#This Row],[PT.ID]],Main3WData[PT.LastID.Row]))=Main3WData[[#This Row],[PT.LastID.Row]]</f>
        <v>1</v>
      </c>
    </row>
    <row r="617" spans="2:18" x14ac:dyDescent="0.2">
      <c r="B617" s="55" t="s">
        <v>516</v>
      </c>
      <c r="C617" s="27" t="str">
        <f>INDEX(Organizations[],MATCH(Main3WData[[#This Row],[Acronym]],AcronymList,0),1)</f>
        <v>UNITED NATION MISSION FOR EBOLA  EMERGENCY RESPONSE</v>
      </c>
      <c r="D617" s="27" t="str">
        <f>INDEX(Organizations[],MATCH(Main3WData[[#This Row],[Acronym]],AcronymList,0),3)</f>
        <v>UN Agency</v>
      </c>
      <c r="E617" s="54" t="s">
        <v>360</v>
      </c>
      <c r="F617" s="53" t="s">
        <v>82</v>
      </c>
      <c r="G617" s="54" t="s">
        <v>414</v>
      </c>
      <c r="H617" s="28" t="str">
        <f>VLOOKUP(Main3WData[[#This Row],[Admin Unit Name]],AdminUnits[],2,FALSE)</f>
        <v>GIN006004</v>
      </c>
      <c r="I617" s="57">
        <v>0</v>
      </c>
      <c r="J617" s="67" t="str">
        <f>Main3WData[[#This Row],[Acronym]]&amp;Main3WData[[#This Row],[Sector]]&amp;Main3WData[[#This Row],[Activity Type]]&amp;Main3WData[[#This Row],[Pcode]]</f>
        <v>UNMEERCoordinationOngoingGIN006004</v>
      </c>
      <c r="K617" s="69">
        <f>COUNTIF(Main3WData[Concatenate],Main3WData[[#This Row],[Concatenate]])</f>
        <v>1</v>
      </c>
      <c r="L617" s="61" t="str">
        <f>Main3WData[[#This Row],[Sector]]&amp;Main3WData[[#This Row],[Pcode]]</f>
        <v>CoordinationGIN006004</v>
      </c>
      <c r="M617" s="71">
        <f>COUNTIF($L$5:L617,Main3WData[[#This Row],[PT.Concat]])</f>
        <v>1</v>
      </c>
      <c r="N617" s="70">
        <f>MATCH(Main3WData[[#This Row],[PT.Concat]],$L$5:L617,0)</f>
        <v>613</v>
      </c>
      <c r="O617" s="62" t="b">
        <f>Main3WData[[#This Row],[Count PT.Concat]]=1</f>
        <v>1</v>
      </c>
      <c r="P617" s="62">
        <f t="array" ref="P617">MAX(($N$4:N616=Main3WData[[#This Row],[PT.ID]])*ROW($N$4:N616))</f>
        <v>0</v>
      </c>
      <c r="Q617" s="62" t="str">
        <f>IF(Main3WData[[#This Row],[PT.FirstID]],Main3WData[[#This Row],[Acronym]],INDEX($Q$4:Q616,Main3WData[[#This Row],[PT.LastID.Row]]-ROW($Q$4)+1) &amp; ", "&amp;Main3WData[[#This Row],[Acronym]])</f>
        <v>UNMEER</v>
      </c>
      <c r="R617" s="62" t="b">
        <f t="array" ref="R617">MAX(IF(Main3WData[PT.ID]=Main3WData[[#This Row],[PT.ID]],Main3WData[PT.LastID.Row]))=Main3WData[[#This Row],[PT.LastID.Row]]</f>
        <v>0</v>
      </c>
    </row>
    <row r="618" spans="2:18" x14ac:dyDescent="0.2">
      <c r="B618" s="55" t="s">
        <v>75</v>
      </c>
      <c r="C618" s="27" t="str">
        <f>INDEX(Organizations[],MATCH(Main3WData[[#This Row],[Acronym]],AcronymList,0),1)</f>
        <v>United Nations Population Fund</v>
      </c>
      <c r="D618" s="27" t="str">
        <f>INDEX(Organizations[],MATCH(Main3WData[[#This Row],[Acronym]],AcronymList,0),3)</f>
        <v>UN Agency</v>
      </c>
      <c r="E618" s="54" t="s">
        <v>360</v>
      </c>
      <c r="F618" s="53" t="s">
        <v>82</v>
      </c>
      <c r="G618" s="54" t="s">
        <v>414</v>
      </c>
      <c r="H618" s="28" t="str">
        <f>VLOOKUP(Main3WData[[#This Row],[Admin Unit Name]],AdminUnits[],2,FALSE)</f>
        <v>GIN006004</v>
      </c>
      <c r="I618" s="57">
        <v>0</v>
      </c>
      <c r="J618" s="67" t="str">
        <f>Main3WData[[#This Row],[Acronym]]&amp;Main3WData[[#This Row],[Sector]]&amp;Main3WData[[#This Row],[Activity Type]]&amp;Main3WData[[#This Row],[Pcode]]</f>
        <v>UNFPACoordinationOngoingGIN006004</v>
      </c>
      <c r="K618" s="69">
        <f>COUNTIF(Main3WData[Concatenate],Main3WData[[#This Row],[Concatenate]])</f>
        <v>1</v>
      </c>
      <c r="L618" s="61" t="str">
        <f>Main3WData[[#This Row],[Sector]]&amp;Main3WData[[#This Row],[Pcode]]</f>
        <v>CoordinationGIN006004</v>
      </c>
      <c r="M618" s="71">
        <f>COUNTIF($L$5:L618,Main3WData[[#This Row],[PT.Concat]])</f>
        <v>2</v>
      </c>
      <c r="N618" s="70">
        <f>MATCH(Main3WData[[#This Row],[PT.Concat]],$L$5:L618,0)</f>
        <v>613</v>
      </c>
      <c r="O618" s="62" t="b">
        <f>Main3WData[[#This Row],[Count PT.Concat]]=1</f>
        <v>0</v>
      </c>
      <c r="P618" s="62">
        <f t="array" ref="P618">MAX(($N$4:N617=Main3WData[[#This Row],[PT.ID]])*ROW($N$4:N617))</f>
        <v>617</v>
      </c>
      <c r="Q618" s="62" t="str">
        <f>IF(Main3WData[[#This Row],[PT.FirstID]],Main3WData[[#This Row],[Acronym]],INDEX($Q$4:Q617,Main3WData[[#This Row],[PT.LastID.Row]]-ROW($Q$4)+1) &amp; ", "&amp;Main3WData[[#This Row],[Acronym]])</f>
        <v>UNMEER, UNFPA</v>
      </c>
      <c r="R618" s="62" t="b">
        <f t="array" ref="R618">MAX(IF(Main3WData[PT.ID]=Main3WData[[#This Row],[PT.ID]],Main3WData[PT.LastID.Row]))=Main3WData[[#This Row],[PT.LastID.Row]]</f>
        <v>0</v>
      </c>
    </row>
    <row r="619" spans="2:18" x14ac:dyDescent="0.2">
      <c r="B619" s="55" t="s">
        <v>473</v>
      </c>
      <c r="C619" s="27" t="str">
        <f>INDEX(Organizations[],MATCH(Main3WData[[#This Row],[Acronym]],AcronymList,0),1)</f>
        <v>United Nations Development Programme</v>
      </c>
      <c r="D619" s="27" t="str">
        <f>INDEX(Organizations[],MATCH(Main3WData[[#This Row],[Acronym]],AcronymList,0),3)</f>
        <v>UN Agency</v>
      </c>
      <c r="E619" s="54" t="s">
        <v>360</v>
      </c>
      <c r="F619" s="53" t="s">
        <v>82</v>
      </c>
      <c r="G619" s="54" t="s">
        <v>414</v>
      </c>
      <c r="H619" s="28" t="str">
        <f>VLOOKUP(Main3WData[[#This Row],[Admin Unit Name]],AdminUnits[],2,FALSE)</f>
        <v>GIN006004</v>
      </c>
      <c r="I619" s="57">
        <v>0</v>
      </c>
      <c r="J619" s="67" t="str">
        <f>Main3WData[[#This Row],[Acronym]]&amp;Main3WData[[#This Row],[Sector]]&amp;Main3WData[[#This Row],[Activity Type]]&amp;Main3WData[[#This Row],[Pcode]]</f>
        <v>UNDPCoordinationOngoingGIN006004</v>
      </c>
      <c r="K619" s="69">
        <f>COUNTIF(Main3WData[Concatenate],Main3WData[[#This Row],[Concatenate]])</f>
        <v>1</v>
      </c>
      <c r="L619" s="61" t="str">
        <f>Main3WData[[#This Row],[Sector]]&amp;Main3WData[[#This Row],[Pcode]]</f>
        <v>CoordinationGIN006004</v>
      </c>
      <c r="M619" s="71">
        <f>COUNTIF($L$5:L619,Main3WData[[#This Row],[PT.Concat]])</f>
        <v>3</v>
      </c>
      <c r="N619" s="70">
        <f>MATCH(Main3WData[[#This Row],[PT.Concat]],$L$5:L619,0)</f>
        <v>613</v>
      </c>
      <c r="O619" s="62" t="b">
        <f>Main3WData[[#This Row],[Count PT.Concat]]=1</f>
        <v>0</v>
      </c>
      <c r="P619" s="62">
        <f t="array" ref="P619">MAX(($N$4:N618=Main3WData[[#This Row],[PT.ID]])*ROW($N$4:N618))</f>
        <v>618</v>
      </c>
      <c r="Q619" s="62" t="str">
        <f>IF(Main3WData[[#This Row],[PT.FirstID]],Main3WData[[#This Row],[Acronym]],INDEX($Q$4:Q618,Main3WData[[#This Row],[PT.LastID.Row]]-ROW($Q$4)+1) &amp; ", "&amp;Main3WData[[#This Row],[Acronym]])</f>
        <v>UNMEER, UNFPA, UNDP</v>
      </c>
      <c r="R619" s="62" t="b">
        <f t="array" ref="R619">MAX(IF(Main3WData[PT.ID]=Main3WData[[#This Row],[PT.ID]],Main3WData[PT.LastID.Row]))=Main3WData[[#This Row],[PT.LastID.Row]]</f>
        <v>0</v>
      </c>
    </row>
    <row r="620" spans="2:18" x14ac:dyDescent="0.2">
      <c r="B620" s="55" t="s">
        <v>512</v>
      </c>
      <c r="C620" s="27" t="str">
        <f>INDEX(Organizations[],MATCH(Main3WData[[#This Row],[Acronym]],AcronymList,0),1)</f>
        <v>World Health Organization</v>
      </c>
      <c r="D620" s="27" t="str">
        <f>INDEX(Organizations[],MATCH(Main3WData[[#This Row],[Acronym]],AcronymList,0),3)</f>
        <v>UN Agency</v>
      </c>
      <c r="E620" s="54" t="s">
        <v>360</v>
      </c>
      <c r="F620" s="53" t="s">
        <v>82</v>
      </c>
      <c r="G620" s="54" t="s">
        <v>414</v>
      </c>
      <c r="H620" s="28" t="str">
        <f>VLOOKUP(Main3WData[[#This Row],[Admin Unit Name]],AdminUnits[],2,FALSE)</f>
        <v>GIN006004</v>
      </c>
      <c r="I620" s="57">
        <v>0</v>
      </c>
      <c r="J620" s="67" t="str">
        <f>Main3WData[[#This Row],[Acronym]]&amp;Main3WData[[#This Row],[Sector]]&amp;Main3WData[[#This Row],[Activity Type]]&amp;Main3WData[[#This Row],[Pcode]]</f>
        <v>OMSCoordinationOngoingGIN006004</v>
      </c>
      <c r="K620" s="69">
        <f>COUNTIF(Main3WData[Concatenate],Main3WData[[#This Row],[Concatenate]])</f>
        <v>1</v>
      </c>
      <c r="L620" s="61" t="str">
        <f>Main3WData[[#This Row],[Sector]]&amp;Main3WData[[#This Row],[Pcode]]</f>
        <v>CoordinationGIN006004</v>
      </c>
      <c r="M620" s="71">
        <f>COUNTIF($L$5:L620,Main3WData[[#This Row],[PT.Concat]])</f>
        <v>4</v>
      </c>
      <c r="N620" s="70">
        <f>MATCH(Main3WData[[#This Row],[PT.Concat]],$L$5:L620,0)</f>
        <v>613</v>
      </c>
      <c r="O620" s="62" t="b">
        <f>Main3WData[[#This Row],[Count PT.Concat]]=1</f>
        <v>0</v>
      </c>
      <c r="P620" s="62">
        <f t="array" ref="P620">MAX(($N$4:N619=Main3WData[[#This Row],[PT.ID]])*ROW($N$4:N619))</f>
        <v>619</v>
      </c>
      <c r="Q620" s="62" t="str">
        <f>IF(Main3WData[[#This Row],[PT.FirstID]],Main3WData[[#This Row],[Acronym]],INDEX($Q$4:Q619,Main3WData[[#This Row],[PT.LastID.Row]]-ROW($Q$4)+1) &amp; ", "&amp;Main3WData[[#This Row],[Acronym]])</f>
        <v>UNMEER, UNFPA, UNDP, OMS</v>
      </c>
      <c r="R620" s="62" t="b">
        <f t="array" ref="R620">MAX(IF(Main3WData[PT.ID]=Main3WData[[#This Row],[PT.ID]],Main3WData[PT.LastID.Row]))=Main3WData[[#This Row],[PT.LastID.Row]]</f>
        <v>0</v>
      </c>
    </row>
    <row r="621" spans="2:18" x14ac:dyDescent="0.2">
      <c r="B621" s="55" t="s">
        <v>71</v>
      </c>
      <c r="C621" s="27" t="str">
        <f>INDEX(Organizations[],MATCH(Main3WData[[#This Row],[Acronym]],AcronymList,0),1)</f>
        <v>Medecins sans Frontieres</v>
      </c>
      <c r="D621" s="27" t="str">
        <f>INDEX(Organizations[],MATCH(Main3WData[[#This Row],[Acronym]],AcronymList,0),3)</f>
        <v>International NGO</v>
      </c>
      <c r="E621" s="54" t="s">
        <v>360</v>
      </c>
      <c r="F621" s="53" t="s">
        <v>82</v>
      </c>
      <c r="G621" s="54" t="s">
        <v>414</v>
      </c>
      <c r="H621" s="28" t="str">
        <f>VLOOKUP(Main3WData[[#This Row],[Admin Unit Name]],AdminUnits[],2,FALSE)</f>
        <v>GIN006004</v>
      </c>
      <c r="I621" s="57">
        <v>0</v>
      </c>
      <c r="J621" s="67" t="str">
        <f>Main3WData[[#This Row],[Acronym]]&amp;Main3WData[[#This Row],[Sector]]&amp;Main3WData[[#This Row],[Activity Type]]&amp;Main3WData[[#This Row],[Pcode]]</f>
        <v>MSFCoordinationOngoingGIN006004</v>
      </c>
      <c r="K621" s="69">
        <f>COUNTIF(Main3WData[Concatenate],Main3WData[[#This Row],[Concatenate]])</f>
        <v>1</v>
      </c>
      <c r="L621" s="61" t="str">
        <f>Main3WData[[#This Row],[Sector]]&amp;Main3WData[[#This Row],[Pcode]]</f>
        <v>CoordinationGIN006004</v>
      </c>
      <c r="M621" s="71">
        <f>COUNTIF($L$5:L621,Main3WData[[#This Row],[PT.Concat]])</f>
        <v>5</v>
      </c>
      <c r="N621" s="70">
        <f>MATCH(Main3WData[[#This Row],[PT.Concat]],$L$5:L621,0)</f>
        <v>613</v>
      </c>
      <c r="O621" s="62" t="b">
        <f>Main3WData[[#This Row],[Count PT.Concat]]=1</f>
        <v>0</v>
      </c>
      <c r="P621" s="62">
        <f t="array" ref="P621">MAX(($N$4:N620=Main3WData[[#This Row],[PT.ID]])*ROW($N$4:N620))</f>
        <v>620</v>
      </c>
      <c r="Q621" s="62" t="str">
        <f>IF(Main3WData[[#This Row],[PT.FirstID]],Main3WData[[#This Row],[Acronym]],INDEX($Q$4:Q620,Main3WData[[#This Row],[PT.LastID.Row]]-ROW($Q$4)+1) &amp; ", "&amp;Main3WData[[#This Row],[Acronym]])</f>
        <v>UNMEER, UNFPA, UNDP, OMS, MSF</v>
      </c>
      <c r="R621" s="62" t="b">
        <f t="array" ref="R621">MAX(IF(Main3WData[PT.ID]=Main3WData[[#This Row],[PT.ID]],Main3WData[PT.LastID.Row]))=Main3WData[[#This Row],[PT.LastID.Row]]</f>
        <v>0</v>
      </c>
    </row>
    <row r="622" spans="2:18" x14ac:dyDescent="0.2">
      <c r="B622" s="55" t="s">
        <v>507</v>
      </c>
      <c r="C622" s="27" t="str">
        <f>INDEX(Organizations[],MATCH(Main3WData[[#This Row],[Acronym]],AcronymList,0),1)</f>
        <v>eHealth Africa</v>
      </c>
      <c r="D622" s="27" t="str">
        <f>INDEX(Organizations[],MATCH(Main3WData[[#This Row],[Acronym]],AcronymList,0),3)</f>
        <v>International Organization</v>
      </c>
      <c r="E622" s="54" t="s">
        <v>360</v>
      </c>
      <c r="F622" s="53" t="s">
        <v>82</v>
      </c>
      <c r="G622" s="54" t="s">
        <v>414</v>
      </c>
      <c r="H622" s="28" t="str">
        <f>VLOOKUP(Main3WData[[#This Row],[Admin Unit Name]],AdminUnits[],2,FALSE)</f>
        <v>GIN006004</v>
      </c>
      <c r="I622" s="57">
        <v>0</v>
      </c>
      <c r="J622" s="67" t="str">
        <f>Main3WData[[#This Row],[Acronym]]&amp;Main3WData[[#This Row],[Sector]]&amp;Main3WData[[#This Row],[Activity Type]]&amp;Main3WData[[#This Row],[Pcode]]</f>
        <v>eHealth AfricaCoordinationOngoingGIN006004</v>
      </c>
      <c r="K622" s="69">
        <f>COUNTIF(Main3WData[Concatenate],Main3WData[[#This Row],[Concatenate]])</f>
        <v>1</v>
      </c>
      <c r="L622" s="61" t="str">
        <f>Main3WData[[#This Row],[Sector]]&amp;Main3WData[[#This Row],[Pcode]]</f>
        <v>CoordinationGIN006004</v>
      </c>
      <c r="M622" s="71">
        <f>COUNTIF($L$5:L622,Main3WData[[#This Row],[PT.Concat]])</f>
        <v>6</v>
      </c>
      <c r="N622" s="70">
        <f>MATCH(Main3WData[[#This Row],[PT.Concat]],$L$5:L622,0)</f>
        <v>613</v>
      </c>
      <c r="O622" s="62" t="b">
        <f>Main3WData[[#This Row],[Count PT.Concat]]=1</f>
        <v>0</v>
      </c>
      <c r="P622" s="62">
        <f t="array" ref="P622">MAX(($N$4:N621=Main3WData[[#This Row],[PT.ID]])*ROW($N$4:N621))</f>
        <v>621</v>
      </c>
      <c r="Q622" s="62" t="str">
        <f>IF(Main3WData[[#This Row],[PT.FirstID]],Main3WData[[#This Row],[Acronym]],INDEX($Q$4:Q621,Main3WData[[#This Row],[PT.LastID.Row]]-ROW($Q$4)+1) &amp; ", "&amp;Main3WData[[#This Row],[Acronym]])</f>
        <v>UNMEER, UNFPA, UNDP, OMS, MSF, eHealth Africa</v>
      </c>
      <c r="R622" s="62" t="b">
        <f t="array" ref="R622">MAX(IF(Main3WData[PT.ID]=Main3WData[[#This Row],[PT.ID]],Main3WData[PT.LastID.Row]))=Main3WData[[#This Row],[PT.LastID.Row]]</f>
        <v>1</v>
      </c>
    </row>
    <row r="623" spans="2:18" x14ac:dyDescent="0.2">
      <c r="B623" s="55" t="s">
        <v>473</v>
      </c>
      <c r="C623" s="27" t="str">
        <f>INDEX(Organizations[],MATCH(Main3WData[[#This Row],[Acronym]],AcronymList,0),1)</f>
        <v>United Nations Development Programme</v>
      </c>
      <c r="D623" s="27" t="str">
        <f>INDEX(Organizations[],MATCH(Main3WData[[#This Row],[Acronym]],AcronymList,0),3)</f>
        <v>UN Agency</v>
      </c>
      <c r="E623" s="54" t="s">
        <v>359</v>
      </c>
      <c r="F623" s="53" t="s">
        <v>82</v>
      </c>
      <c r="G623" s="54" t="s">
        <v>414</v>
      </c>
      <c r="H623" s="28" t="str">
        <f>VLOOKUP(Main3WData[[#This Row],[Admin Unit Name]],AdminUnits[],2,FALSE)</f>
        <v>GIN006004</v>
      </c>
      <c r="I623" s="57">
        <v>0</v>
      </c>
      <c r="J623" s="67" t="str">
        <f>Main3WData[[#This Row],[Acronym]]&amp;Main3WData[[#This Row],[Sector]]&amp;Main3WData[[#This Row],[Activity Type]]&amp;Main3WData[[#This Row],[Pcode]]</f>
        <v>UNDPFinanceOngoingGIN006004</v>
      </c>
      <c r="K623" s="69">
        <f>COUNTIF(Main3WData[Concatenate],Main3WData[[#This Row],[Concatenate]])</f>
        <v>1</v>
      </c>
      <c r="L623" s="61" t="str">
        <f>Main3WData[[#This Row],[Sector]]&amp;Main3WData[[#This Row],[Pcode]]</f>
        <v>FinanceGIN006004</v>
      </c>
      <c r="M623" s="71">
        <f>COUNTIF($L$5:L623,Main3WData[[#This Row],[PT.Concat]])</f>
        <v>1</v>
      </c>
      <c r="N623" s="70">
        <f>MATCH(Main3WData[[#This Row],[PT.Concat]],$L$5:L623,0)</f>
        <v>619</v>
      </c>
      <c r="O623" s="62" t="b">
        <f>Main3WData[[#This Row],[Count PT.Concat]]=1</f>
        <v>1</v>
      </c>
      <c r="P623" s="62">
        <f t="array" ref="P623">MAX(($N$4:N622=Main3WData[[#This Row],[PT.ID]])*ROW($N$4:N622))</f>
        <v>0</v>
      </c>
      <c r="Q623" s="62" t="str">
        <f>IF(Main3WData[[#This Row],[PT.FirstID]],Main3WData[[#This Row],[Acronym]],INDEX($Q$4:Q622,Main3WData[[#This Row],[PT.LastID.Row]]-ROW($Q$4)+1) &amp; ", "&amp;Main3WData[[#This Row],[Acronym]])</f>
        <v>UNDP</v>
      </c>
      <c r="R623" s="62" t="b">
        <f t="array" ref="R623">MAX(IF(Main3WData[PT.ID]=Main3WData[[#This Row],[PT.ID]],Main3WData[PT.LastID.Row]))=Main3WData[[#This Row],[PT.LastID.Row]]</f>
        <v>1</v>
      </c>
    </row>
    <row r="624" spans="2:18" x14ac:dyDescent="0.2">
      <c r="B624" s="55" t="s">
        <v>451</v>
      </c>
      <c r="C624" s="27" t="str">
        <f>INDEX(Organizations[],MATCH(Main3WData[[#This Row],[Acronym]],AcronymList,0),1)</f>
        <v>Croix-Rouge Guinée</v>
      </c>
      <c r="D624" s="27" t="str">
        <f>INDEX(Organizations[],MATCH(Main3WData[[#This Row],[Acronym]],AcronymList,0),3)</f>
        <v>Red Cross Movement</v>
      </c>
      <c r="E624" s="54" t="s">
        <v>354</v>
      </c>
      <c r="F624" s="53" t="s">
        <v>82</v>
      </c>
      <c r="G624" s="54" t="s">
        <v>414</v>
      </c>
      <c r="H624" s="28" t="str">
        <f>VLOOKUP(Main3WData[[#This Row],[Admin Unit Name]],AdminUnits[],2,FALSE)</f>
        <v>GIN006004</v>
      </c>
      <c r="I624" s="57">
        <v>0</v>
      </c>
      <c r="J624" s="67" t="str">
        <f>Main3WData[[#This Row],[Acronym]]&amp;Main3WData[[#This Row],[Sector]]&amp;Main3WData[[#This Row],[Activity Type]]&amp;Main3WData[[#This Row],[Pcode]]</f>
        <v>CRGGestion des corps et desinfectionOngoingGIN006004</v>
      </c>
      <c r="K624" s="69">
        <f>COUNTIF(Main3WData[Concatenate],Main3WData[[#This Row],[Concatenate]])</f>
        <v>1</v>
      </c>
      <c r="L624" s="61" t="str">
        <f>Main3WData[[#This Row],[Sector]]&amp;Main3WData[[#This Row],[Pcode]]</f>
        <v>Gestion des corps et desinfectionGIN006004</v>
      </c>
      <c r="M624" s="71">
        <f>COUNTIF($L$5:L624,Main3WData[[#This Row],[PT.Concat]])</f>
        <v>1</v>
      </c>
      <c r="N624" s="70">
        <f>MATCH(Main3WData[[#This Row],[PT.Concat]],$L$5:L624,0)</f>
        <v>620</v>
      </c>
      <c r="O624" s="62" t="b">
        <f>Main3WData[[#This Row],[Count PT.Concat]]=1</f>
        <v>1</v>
      </c>
      <c r="P624" s="62">
        <f t="array" ref="P624">MAX(($N$4:N623=Main3WData[[#This Row],[PT.ID]])*ROW($N$4:N623))</f>
        <v>0</v>
      </c>
      <c r="Q624" s="62" t="str">
        <f>IF(Main3WData[[#This Row],[PT.FirstID]],Main3WData[[#This Row],[Acronym]],INDEX($Q$4:Q623,Main3WData[[#This Row],[PT.LastID.Row]]-ROW($Q$4)+1) &amp; ", "&amp;Main3WData[[#This Row],[Acronym]])</f>
        <v>CRG</v>
      </c>
      <c r="R624" s="62" t="b">
        <f t="array" ref="R624">MAX(IF(Main3WData[PT.ID]=Main3WData[[#This Row],[PT.ID]],Main3WData[PT.LastID.Row]))=Main3WData[[#This Row],[PT.LastID.Row]]</f>
        <v>1</v>
      </c>
    </row>
    <row r="625" spans="2:18" x14ac:dyDescent="0.2">
      <c r="B625" s="55" t="s">
        <v>516</v>
      </c>
      <c r="C625" s="27" t="str">
        <f>INDEX(Organizations[],MATCH(Main3WData[[#This Row],[Acronym]],AcronymList,0),1)</f>
        <v>UNITED NATION MISSION FOR EBOLA  EMERGENCY RESPONSE</v>
      </c>
      <c r="D625" s="27" t="str">
        <f>INDEX(Organizations[],MATCH(Main3WData[[#This Row],[Acronym]],AcronymList,0),3)</f>
        <v>UN Agency</v>
      </c>
      <c r="E625" s="54" t="s">
        <v>356</v>
      </c>
      <c r="F625" s="53" t="s">
        <v>82</v>
      </c>
      <c r="G625" s="54" t="s">
        <v>414</v>
      </c>
      <c r="H625" s="28" t="str">
        <f>VLOOKUP(Main3WData[[#This Row],[Admin Unit Name]],AdminUnits[],2,FALSE)</f>
        <v>GIN006004</v>
      </c>
      <c r="I625" s="57">
        <v>0</v>
      </c>
      <c r="J625" s="67" t="str">
        <f>Main3WData[[#This Row],[Acronym]]&amp;Main3WData[[#This Row],[Sector]]&amp;Main3WData[[#This Row],[Activity Type]]&amp;Main3WData[[#This Row],[Pcode]]</f>
        <v>UNMEERGestion des donnéesOngoingGIN006004</v>
      </c>
      <c r="K625" s="69">
        <f>COUNTIF(Main3WData[Concatenate],Main3WData[[#This Row],[Concatenate]])</f>
        <v>1</v>
      </c>
      <c r="L625" s="61" t="str">
        <f>Main3WData[[#This Row],[Sector]]&amp;Main3WData[[#This Row],[Pcode]]</f>
        <v>Gestion des donnéesGIN006004</v>
      </c>
      <c r="M625" s="71">
        <f>COUNTIF($L$5:L625,Main3WData[[#This Row],[PT.Concat]])</f>
        <v>1</v>
      </c>
      <c r="N625" s="70">
        <f>MATCH(Main3WData[[#This Row],[PT.Concat]],$L$5:L625,0)</f>
        <v>621</v>
      </c>
      <c r="O625" s="62" t="b">
        <f>Main3WData[[#This Row],[Count PT.Concat]]=1</f>
        <v>1</v>
      </c>
      <c r="P625" s="62">
        <f t="array" ref="P625">MAX(($N$4:N624=Main3WData[[#This Row],[PT.ID]])*ROW($N$4:N624))</f>
        <v>0</v>
      </c>
      <c r="Q625" s="62" t="str">
        <f>IF(Main3WData[[#This Row],[PT.FirstID]],Main3WData[[#This Row],[Acronym]],INDEX($Q$4:Q624,Main3WData[[#This Row],[PT.LastID.Row]]-ROW($Q$4)+1) &amp; ", "&amp;Main3WData[[#This Row],[Acronym]])</f>
        <v>UNMEER</v>
      </c>
      <c r="R625" s="62" t="b">
        <f t="array" ref="R625">MAX(IF(Main3WData[PT.ID]=Main3WData[[#This Row],[PT.ID]],Main3WData[PT.LastID.Row]))=Main3WData[[#This Row],[PT.LastID.Row]]</f>
        <v>0</v>
      </c>
    </row>
    <row r="626" spans="2:18" x14ac:dyDescent="0.2">
      <c r="B626" s="55" t="s">
        <v>512</v>
      </c>
      <c r="C626" s="27" t="str">
        <f>INDEX(Organizations[],MATCH(Main3WData[[#This Row],[Acronym]],AcronymList,0),1)</f>
        <v>World Health Organization</v>
      </c>
      <c r="D626" s="27" t="str">
        <f>INDEX(Organizations[],MATCH(Main3WData[[#This Row],[Acronym]],AcronymList,0),3)</f>
        <v>UN Agency</v>
      </c>
      <c r="E626" s="54" t="s">
        <v>356</v>
      </c>
      <c r="F626" s="53" t="s">
        <v>82</v>
      </c>
      <c r="G626" s="54" t="s">
        <v>414</v>
      </c>
      <c r="H626" s="28" t="str">
        <f>VLOOKUP(Main3WData[[#This Row],[Admin Unit Name]],AdminUnits[],2,FALSE)</f>
        <v>GIN006004</v>
      </c>
      <c r="I626" s="57">
        <v>0</v>
      </c>
      <c r="J626" s="67" t="str">
        <f>Main3WData[[#This Row],[Acronym]]&amp;Main3WData[[#This Row],[Sector]]&amp;Main3WData[[#This Row],[Activity Type]]&amp;Main3WData[[#This Row],[Pcode]]</f>
        <v>OMSGestion des donnéesOngoingGIN006004</v>
      </c>
      <c r="K626" s="69">
        <f>COUNTIF(Main3WData[Concatenate],Main3WData[[#This Row],[Concatenate]])</f>
        <v>1</v>
      </c>
      <c r="L626" s="61" t="str">
        <f>Main3WData[[#This Row],[Sector]]&amp;Main3WData[[#This Row],[Pcode]]</f>
        <v>Gestion des donnéesGIN006004</v>
      </c>
      <c r="M626" s="71">
        <f>COUNTIF($L$5:L626,Main3WData[[#This Row],[PT.Concat]])</f>
        <v>2</v>
      </c>
      <c r="N626" s="70">
        <f>MATCH(Main3WData[[#This Row],[PT.Concat]],$L$5:L626,0)</f>
        <v>621</v>
      </c>
      <c r="O626" s="62" t="b">
        <f>Main3WData[[#This Row],[Count PT.Concat]]=1</f>
        <v>0</v>
      </c>
      <c r="P626" s="62">
        <f t="array" ref="P626">MAX(($N$4:N625=Main3WData[[#This Row],[PT.ID]])*ROW($N$4:N625))</f>
        <v>625</v>
      </c>
      <c r="Q626" s="62" t="str">
        <f>IF(Main3WData[[#This Row],[PT.FirstID]],Main3WData[[#This Row],[Acronym]],INDEX($Q$4:Q625,Main3WData[[#This Row],[PT.LastID.Row]]-ROW($Q$4)+1) &amp; ", "&amp;Main3WData[[#This Row],[Acronym]])</f>
        <v>UNMEER, OMS</v>
      </c>
      <c r="R626" s="62" t="b">
        <f t="array" ref="R626">MAX(IF(Main3WData[PT.ID]=Main3WData[[#This Row],[PT.ID]],Main3WData[PT.LastID.Row]))=Main3WData[[#This Row],[PT.LastID.Row]]</f>
        <v>1</v>
      </c>
    </row>
    <row r="627" spans="2:18" x14ac:dyDescent="0.2">
      <c r="B627" s="55" t="s">
        <v>512</v>
      </c>
      <c r="C627" s="27" t="str">
        <f>INDEX(Organizations[],MATCH(Main3WData[[#This Row],[Acronym]],AcronymList,0),1)</f>
        <v>World Health Organization</v>
      </c>
      <c r="D627" s="27" t="str">
        <f>INDEX(Organizations[],MATCH(Main3WData[[#This Row],[Acronym]],AcronymList,0),3)</f>
        <v>UN Agency</v>
      </c>
      <c r="E627" s="54" t="s">
        <v>351</v>
      </c>
      <c r="F627" s="53" t="s">
        <v>82</v>
      </c>
      <c r="G627" s="54" t="s">
        <v>414</v>
      </c>
      <c r="H627" s="28" t="str">
        <f>VLOOKUP(Main3WData[[#This Row],[Admin Unit Name]],AdminUnits[],2,FALSE)</f>
        <v>GIN006004</v>
      </c>
      <c r="I627" s="57">
        <v>0</v>
      </c>
      <c r="J627" s="67" t="str">
        <f>Main3WData[[#This Row],[Acronym]]&amp;Main3WData[[#This Row],[Sector]]&amp;Main3WData[[#This Row],[Activity Type]]&amp;Main3WData[[#This Row],[Pcode]]</f>
        <v>OMSSurveillance &amp; suiviOngoingGIN006004</v>
      </c>
      <c r="K627" s="69">
        <f>COUNTIF(Main3WData[Concatenate],Main3WData[[#This Row],[Concatenate]])</f>
        <v>1</v>
      </c>
      <c r="L627" s="61" t="str">
        <f>Main3WData[[#This Row],[Sector]]&amp;Main3WData[[#This Row],[Pcode]]</f>
        <v>Surveillance &amp; suiviGIN006004</v>
      </c>
      <c r="M627" s="71">
        <f>COUNTIF($L$5:L627,Main3WData[[#This Row],[PT.Concat]])</f>
        <v>1</v>
      </c>
      <c r="N627" s="70">
        <f>MATCH(Main3WData[[#This Row],[PT.Concat]],$L$5:L627,0)</f>
        <v>623</v>
      </c>
      <c r="O627" s="62" t="b">
        <f>Main3WData[[#This Row],[Count PT.Concat]]=1</f>
        <v>1</v>
      </c>
      <c r="P627" s="62">
        <f t="array" ref="P627">MAX(($N$4:N626=Main3WData[[#This Row],[PT.ID]])*ROW($N$4:N626))</f>
        <v>0</v>
      </c>
      <c r="Q627" s="62" t="str">
        <f>IF(Main3WData[[#This Row],[PT.FirstID]],Main3WData[[#This Row],[Acronym]],INDEX($Q$4:Q626,Main3WData[[#This Row],[PT.LastID.Row]]-ROW($Q$4)+1) &amp; ", "&amp;Main3WData[[#This Row],[Acronym]])</f>
        <v>OMS</v>
      </c>
      <c r="R627" s="62" t="b">
        <f t="array" ref="R627">MAX(IF(Main3WData[PT.ID]=Main3WData[[#This Row],[PT.ID]],Main3WData[PT.LastID.Row]))=Main3WData[[#This Row],[PT.LastID.Row]]</f>
        <v>0</v>
      </c>
    </row>
    <row r="628" spans="2:18" x14ac:dyDescent="0.2">
      <c r="B628" s="55" t="s">
        <v>64</v>
      </c>
      <c r="C628" s="27" t="str">
        <f>INDEX(Organizations[],MATCH(Main3WData[[#This Row],[Acronym]],AcronymList,0),1)</f>
        <v>CDC</v>
      </c>
      <c r="D628" s="27" t="str">
        <f>INDEX(Organizations[],MATCH(Main3WData[[#This Row],[Acronym]],AcronymList,0),3)</f>
        <v>International NGO</v>
      </c>
      <c r="E628" s="54" t="s">
        <v>351</v>
      </c>
      <c r="F628" s="53" t="s">
        <v>82</v>
      </c>
      <c r="G628" s="54" t="s">
        <v>414</v>
      </c>
      <c r="H628" s="28" t="str">
        <f>VLOOKUP(Main3WData[[#This Row],[Admin Unit Name]],AdminUnits[],2,FALSE)</f>
        <v>GIN006004</v>
      </c>
      <c r="I628" s="57">
        <v>0</v>
      </c>
      <c r="J628" s="67" t="str">
        <f>Main3WData[[#This Row],[Acronym]]&amp;Main3WData[[#This Row],[Sector]]&amp;Main3WData[[#This Row],[Activity Type]]&amp;Main3WData[[#This Row],[Pcode]]</f>
        <v>CDCSurveillance &amp; suiviOngoingGIN006004</v>
      </c>
      <c r="K628" s="69">
        <f>COUNTIF(Main3WData[Concatenate],Main3WData[[#This Row],[Concatenate]])</f>
        <v>1</v>
      </c>
      <c r="L628" s="61" t="str">
        <f>Main3WData[[#This Row],[Sector]]&amp;Main3WData[[#This Row],[Pcode]]</f>
        <v>Surveillance &amp; suiviGIN006004</v>
      </c>
      <c r="M628" s="71">
        <f>COUNTIF($L$5:L628,Main3WData[[#This Row],[PT.Concat]])</f>
        <v>2</v>
      </c>
      <c r="N628" s="70">
        <f>MATCH(Main3WData[[#This Row],[PT.Concat]],$L$5:L628,0)</f>
        <v>623</v>
      </c>
      <c r="O628" s="62" t="b">
        <f>Main3WData[[#This Row],[Count PT.Concat]]=1</f>
        <v>0</v>
      </c>
      <c r="P628" s="62">
        <f t="array" ref="P628">MAX(($N$4:N627=Main3WData[[#This Row],[PT.ID]])*ROW($N$4:N627))</f>
        <v>627</v>
      </c>
      <c r="Q628" s="62" t="str">
        <f>IF(Main3WData[[#This Row],[PT.FirstID]],Main3WData[[#This Row],[Acronym]],INDEX($Q$4:Q627,Main3WData[[#This Row],[PT.LastID.Row]]-ROW($Q$4)+1) &amp; ", "&amp;Main3WData[[#This Row],[Acronym]])</f>
        <v>OMS, CDC</v>
      </c>
      <c r="R628" s="62" t="b">
        <f t="array" ref="R628">MAX(IF(Main3WData[PT.ID]=Main3WData[[#This Row],[PT.ID]],Main3WData[PT.LastID.Row]))=Main3WData[[#This Row],[PT.LastID.Row]]</f>
        <v>1</v>
      </c>
    </row>
    <row r="629" spans="2:18" x14ac:dyDescent="0.2">
      <c r="B629" s="55" t="s">
        <v>77</v>
      </c>
      <c r="C629" s="27" t="str">
        <f>INDEX(Organizations[],MATCH(Main3WData[[#This Row],[Acronym]],AcronymList,0),1)</f>
        <v>United Nations Children's Fund</v>
      </c>
      <c r="D629" s="27" t="str">
        <f>INDEX(Organizations[],MATCH(Main3WData[[#This Row],[Acronym]],AcronymList,0),3)</f>
        <v>UN Agency</v>
      </c>
      <c r="E629" s="54" t="s">
        <v>350</v>
      </c>
      <c r="F629" s="53" t="s">
        <v>82</v>
      </c>
      <c r="G629" s="54" t="s">
        <v>420</v>
      </c>
      <c r="H629" s="28" t="str">
        <f>VLOOKUP(Main3WData[[#This Row],[Admin Unit Name]],AdminUnits[],2,FALSE)</f>
        <v>GIN007002</v>
      </c>
      <c r="I629" s="57">
        <v>0</v>
      </c>
      <c r="J629" s="67" t="str">
        <f>Main3WData[[#This Row],[Acronym]]&amp;Main3WData[[#This Row],[Sector]]&amp;Main3WData[[#This Row],[Activity Type]]&amp;Main3WData[[#This Row],[Pcode]]</f>
        <v>UNICEFCommunication/Mobilisation socialeOngoingGIN007002</v>
      </c>
      <c r="K629" s="69">
        <f>COUNTIF(Main3WData[Concatenate],Main3WData[[#This Row],[Concatenate]])</f>
        <v>1</v>
      </c>
      <c r="L629" s="61" t="str">
        <f>Main3WData[[#This Row],[Sector]]&amp;Main3WData[[#This Row],[Pcode]]</f>
        <v>Communication/Mobilisation socialeGIN007002</v>
      </c>
      <c r="M629" s="71">
        <f>COUNTIF($L$5:L629,Main3WData[[#This Row],[PT.Concat]])</f>
        <v>1</v>
      </c>
      <c r="N629" s="70">
        <f>MATCH(Main3WData[[#This Row],[PT.Concat]],$L$5:L629,0)</f>
        <v>625</v>
      </c>
      <c r="O629" s="62" t="b">
        <f>Main3WData[[#This Row],[Count PT.Concat]]=1</f>
        <v>1</v>
      </c>
      <c r="P629" s="62">
        <f t="array" ref="P629">MAX(($N$4:N628=Main3WData[[#This Row],[PT.ID]])*ROW($N$4:N628))</f>
        <v>0</v>
      </c>
      <c r="Q629" s="62" t="str">
        <f>IF(Main3WData[[#This Row],[PT.FirstID]],Main3WData[[#This Row],[Acronym]],INDEX($Q$4:Q628,Main3WData[[#This Row],[PT.LastID.Row]]-ROW($Q$4)+1) &amp; ", "&amp;Main3WData[[#This Row],[Acronym]])</f>
        <v>UNICEF</v>
      </c>
      <c r="R629" s="62" t="b">
        <f t="array" ref="R629">MAX(IF(Main3WData[PT.ID]=Main3WData[[#This Row],[PT.ID]],Main3WData[PT.LastID.Row]))=Main3WData[[#This Row],[PT.LastID.Row]]</f>
        <v>0</v>
      </c>
    </row>
    <row r="630" spans="2:18" x14ac:dyDescent="0.2">
      <c r="B630" s="55" t="s">
        <v>75</v>
      </c>
      <c r="C630" s="27" t="str">
        <f>INDEX(Organizations[],MATCH(Main3WData[[#This Row],[Acronym]],AcronymList,0),1)</f>
        <v>United Nations Population Fund</v>
      </c>
      <c r="D630" s="27" t="str">
        <f>INDEX(Organizations[],MATCH(Main3WData[[#This Row],[Acronym]],AcronymList,0),3)</f>
        <v>UN Agency</v>
      </c>
      <c r="E630" s="54" t="s">
        <v>350</v>
      </c>
      <c r="F630" s="53" t="s">
        <v>82</v>
      </c>
      <c r="G630" s="54" t="s">
        <v>420</v>
      </c>
      <c r="H630" s="28" t="str">
        <f>VLOOKUP(Main3WData[[#This Row],[Admin Unit Name]],AdminUnits[],2,FALSE)</f>
        <v>GIN007002</v>
      </c>
      <c r="I630" s="57">
        <v>0</v>
      </c>
      <c r="J630" s="67" t="str">
        <f>Main3WData[[#This Row],[Acronym]]&amp;Main3WData[[#This Row],[Sector]]&amp;Main3WData[[#This Row],[Activity Type]]&amp;Main3WData[[#This Row],[Pcode]]</f>
        <v>UNFPACommunication/Mobilisation socialeOngoingGIN007002</v>
      </c>
      <c r="K630" s="69">
        <f>COUNTIF(Main3WData[Concatenate],Main3WData[[#This Row],[Concatenate]])</f>
        <v>1</v>
      </c>
      <c r="L630" s="61" t="str">
        <f>Main3WData[[#This Row],[Sector]]&amp;Main3WData[[#This Row],[Pcode]]</f>
        <v>Communication/Mobilisation socialeGIN007002</v>
      </c>
      <c r="M630" s="71">
        <f>COUNTIF($L$5:L630,Main3WData[[#This Row],[PT.Concat]])</f>
        <v>2</v>
      </c>
      <c r="N630" s="70">
        <f>MATCH(Main3WData[[#This Row],[PT.Concat]],$L$5:L630,0)</f>
        <v>625</v>
      </c>
      <c r="O630" s="62" t="b">
        <f>Main3WData[[#This Row],[Count PT.Concat]]=1</f>
        <v>0</v>
      </c>
      <c r="P630" s="62">
        <f t="array" ref="P630">MAX(($N$4:N629=Main3WData[[#This Row],[PT.ID]])*ROW($N$4:N629))</f>
        <v>629</v>
      </c>
      <c r="Q630" s="62" t="str">
        <f>IF(Main3WData[[#This Row],[PT.FirstID]],Main3WData[[#This Row],[Acronym]],INDEX($Q$4:Q629,Main3WData[[#This Row],[PT.LastID.Row]]-ROW($Q$4)+1) &amp; ", "&amp;Main3WData[[#This Row],[Acronym]])</f>
        <v>UNICEF, UNFPA</v>
      </c>
      <c r="R630" s="62" t="b">
        <f t="array" ref="R630">MAX(IF(Main3WData[PT.ID]=Main3WData[[#This Row],[PT.ID]],Main3WData[PT.LastID.Row]))=Main3WData[[#This Row],[PT.LastID.Row]]</f>
        <v>0</v>
      </c>
    </row>
    <row r="631" spans="2:18" x14ac:dyDescent="0.2">
      <c r="B631" s="55" t="s">
        <v>473</v>
      </c>
      <c r="C631" s="27" t="str">
        <f>INDEX(Organizations[],MATCH(Main3WData[[#This Row],[Acronym]],AcronymList,0),1)</f>
        <v>United Nations Development Programme</v>
      </c>
      <c r="D631" s="27" t="str">
        <f>INDEX(Organizations[],MATCH(Main3WData[[#This Row],[Acronym]],AcronymList,0),3)</f>
        <v>UN Agency</v>
      </c>
      <c r="E631" s="54" t="s">
        <v>350</v>
      </c>
      <c r="F631" s="53" t="s">
        <v>82</v>
      </c>
      <c r="G631" s="54" t="s">
        <v>420</v>
      </c>
      <c r="H631" s="28" t="str">
        <f>VLOOKUP(Main3WData[[#This Row],[Admin Unit Name]],AdminUnits[],2,FALSE)</f>
        <v>GIN007002</v>
      </c>
      <c r="I631" s="57">
        <v>0</v>
      </c>
      <c r="J631" s="67" t="str">
        <f>Main3WData[[#This Row],[Acronym]]&amp;Main3WData[[#This Row],[Sector]]&amp;Main3WData[[#This Row],[Activity Type]]&amp;Main3WData[[#This Row],[Pcode]]</f>
        <v>UNDPCommunication/Mobilisation socialeOngoingGIN007002</v>
      </c>
      <c r="K631" s="69">
        <f>COUNTIF(Main3WData[Concatenate],Main3WData[[#This Row],[Concatenate]])</f>
        <v>1</v>
      </c>
      <c r="L631" s="61" t="str">
        <f>Main3WData[[#This Row],[Sector]]&amp;Main3WData[[#This Row],[Pcode]]</f>
        <v>Communication/Mobilisation socialeGIN007002</v>
      </c>
      <c r="M631" s="71">
        <f>COUNTIF($L$5:L631,Main3WData[[#This Row],[PT.Concat]])</f>
        <v>3</v>
      </c>
      <c r="N631" s="70">
        <f>MATCH(Main3WData[[#This Row],[PT.Concat]],$L$5:L631,0)</f>
        <v>625</v>
      </c>
      <c r="O631" s="62" t="b">
        <f>Main3WData[[#This Row],[Count PT.Concat]]=1</f>
        <v>0</v>
      </c>
      <c r="P631" s="62">
        <f t="array" ref="P631">MAX(($N$4:N630=Main3WData[[#This Row],[PT.ID]])*ROW($N$4:N630))</f>
        <v>630</v>
      </c>
      <c r="Q631" s="62" t="str">
        <f>IF(Main3WData[[#This Row],[PT.FirstID]],Main3WData[[#This Row],[Acronym]],INDEX($Q$4:Q630,Main3WData[[#This Row],[PT.LastID.Row]]-ROW($Q$4)+1) &amp; ", "&amp;Main3WData[[#This Row],[Acronym]])</f>
        <v>UNICEF, UNFPA, UNDP</v>
      </c>
      <c r="R631" s="62" t="b">
        <f t="array" ref="R631">MAX(IF(Main3WData[PT.ID]=Main3WData[[#This Row],[PT.ID]],Main3WData[PT.LastID.Row]))=Main3WData[[#This Row],[PT.LastID.Row]]</f>
        <v>0</v>
      </c>
    </row>
    <row r="632" spans="2:18" x14ac:dyDescent="0.2">
      <c r="B632" s="55" t="s">
        <v>72</v>
      </c>
      <c r="C632" s="27" t="str">
        <f>INDEX(Organizations[],MATCH(Main3WData[[#This Row],[Acronym]],AcronymList,0),1)</f>
        <v>PLAN</v>
      </c>
      <c r="D632" s="27" t="str">
        <f>INDEX(Organizations[],MATCH(Main3WData[[#This Row],[Acronym]],AcronymList,0),3)</f>
        <v>International Organization</v>
      </c>
      <c r="E632" s="54" t="s">
        <v>350</v>
      </c>
      <c r="F632" s="53" t="s">
        <v>82</v>
      </c>
      <c r="G632" s="54" t="s">
        <v>420</v>
      </c>
      <c r="H632" s="28" t="str">
        <f>VLOOKUP(Main3WData[[#This Row],[Admin Unit Name]],AdminUnits[],2,FALSE)</f>
        <v>GIN007002</v>
      </c>
      <c r="I632" s="57">
        <v>0</v>
      </c>
      <c r="J632" s="67" t="str">
        <f>Main3WData[[#This Row],[Acronym]]&amp;Main3WData[[#This Row],[Sector]]&amp;Main3WData[[#This Row],[Activity Type]]&amp;Main3WData[[#This Row],[Pcode]]</f>
        <v>PLANCommunication/Mobilisation socialeOngoingGIN007002</v>
      </c>
      <c r="K632" s="69">
        <f>COUNTIF(Main3WData[Concatenate],Main3WData[[#This Row],[Concatenate]])</f>
        <v>1</v>
      </c>
      <c r="L632" s="61" t="str">
        <f>Main3WData[[#This Row],[Sector]]&amp;Main3WData[[#This Row],[Pcode]]</f>
        <v>Communication/Mobilisation socialeGIN007002</v>
      </c>
      <c r="M632" s="71">
        <f>COUNTIF($L$5:L632,Main3WData[[#This Row],[PT.Concat]])</f>
        <v>4</v>
      </c>
      <c r="N632" s="70">
        <f>MATCH(Main3WData[[#This Row],[PT.Concat]],$L$5:L632,0)</f>
        <v>625</v>
      </c>
      <c r="O632" s="62" t="b">
        <f>Main3WData[[#This Row],[Count PT.Concat]]=1</f>
        <v>0</v>
      </c>
      <c r="P632" s="62">
        <f t="array" ref="P632">MAX(($N$4:N631=Main3WData[[#This Row],[PT.ID]])*ROW($N$4:N631))</f>
        <v>631</v>
      </c>
      <c r="Q632" s="62" t="str">
        <f>IF(Main3WData[[#This Row],[PT.FirstID]],Main3WData[[#This Row],[Acronym]],INDEX($Q$4:Q631,Main3WData[[#This Row],[PT.LastID.Row]]-ROW($Q$4)+1) &amp; ", "&amp;Main3WData[[#This Row],[Acronym]])</f>
        <v>UNICEF, UNFPA, UNDP, PLAN</v>
      </c>
      <c r="R632" s="62" t="b">
        <f t="array" ref="R632">MAX(IF(Main3WData[PT.ID]=Main3WData[[#This Row],[PT.ID]],Main3WData[PT.LastID.Row]))=Main3WData[[#This Row],[PT.LastID.Row]]</f>
        <v>0</v>
      </c>
    </row>
    <row r="633" spans="2:18" x14ac:dyDescent="0.2">
      <c r="B633" s="55" t="s">
        <v>512</v>
      </c>
      <c r="C633" s="27" t="str">
        <f>INDEX(Organizations[],MATCH(Main3WData[[#This Row],[Acronym]],AcronymList,0),1)</f>
        <v>World Health Organization</v>
      </c>
      <c r="D633" s="27" t="str">
        <f>INDEX(Organizations[],MATCH(Main3WData[[#This Row],[Acronym]],AcronymList,0),3)</f>
        <v>UN Agency</v>
      </c>
      <c r="E633" s="54" t="s">
        <v>350</v>
      </c>
      <c r="F633" s="53" t="s">
        <v>82</v>
      </c>
      <c r="G633" s="54" t="s">
        <v>420</v>
      </c>
      <c r="H633" s="28" t="str">
        <f>VLOOKUP(Main3WData[[#This Row],[Admin Unit Name]],AdminUnits[],2,FALSE)</f>
        <v>GIN007002</v>
      </c>
      <c r="I633" s="57">
        <v>0</v>
      </c>
      <c r="J633" s="67" t="str">
        <f>Main3WData[[#This Row],[Acronym]]&amp;Main3WData[[#This Row],[Sector]]&amp;Main3WData[[#This Row],[Activity Type]]&amp;Main3WData[[#This Row],[Pcode]]</f>
        <v>OMSCommunication/Mobilisation socialeOngoingGIN007002</v>
      </c>
      <c r="K633" s="69">
        <f>COUNTIF(Main3WData[Concatenate],Main3WData[[#This Row],[Concatenate]])</f>
        <v>1</v>
      </c>
      <c r="L633" s="61" t="str">
        <f>Main3WData[[#This Row],[Sector]]&amp;Main3WData[[#This Row],[Pcode]]</f>
        <v>Communication/Mobilisation socialeGIN007002</v>
      </c>
      <c r="M633" s="71">
        <f>COUNTIF($L$5:L633,Main3WData[[#This Row],[PT.Concat]])</f>
        <v>5</v>
      </c>
      <c r="N633" s="70">
        <f>MATCH(Main3WData[[#This Row],[PT.Concat]],$L$5:L633,0)</f>
        <v>625</v>
      </c>
      <c r="O633" s="62" t="b">
        <f>Main3WData[[#This Row],[Count PT.Concat]]=1</f>
        <v>0</v>
      </c>
      <c r="P633" s="62">
        <f t="array" ref="P633">MAX(($N$4:N632=Main3WData[[#This Row],[PT.ID]])*ROW($N$4:N632))</f>
        <v>632</v>
      </c>
      <c r="Q633" s="62" t="str">
        <f>IF(Main3WData[[#This Row],[PT.FirstID]],Main3WData[[#This Row],[Acronym]],INDEX($Q$4:Q632,Main3WData[[#This Row],[PT.LastID.Row]]-ROW($Q$4)+1) &amp; ", "&amp;Main3WData[[#This Row],[Acronym]])</f>
        <v>UNICEF, UNFPA, UNDP, PLAN, OMS</v>
      </c>
      <c r="R633" s="62" t="b">
        <f t="array" ref="R633">MAX(IF(Main3WData[PT.ID]=Main3WData[[#This Row],[PT.ID]],Main3WData[PT.LastID.Row]))=Main3WData[[#This Row],[PT.LastID.Row]]</f>
        <v>1</v>
      </c>
    </row>
    <row r="634" spans="2:18" x14ac:dyDescent="0.2">
      <c r="B634" s="55" t="s">
        <v>516</v>
      </c>
      <c r="C634" s="27" t="str">
        <f>INDEX(Organizations[],MATCH(Main3WData[[#This Row],[Acronym]],AcronymList,0),1)</f>
        <v>UNITED NATION MISSION FOR EBOLA  EMERGENCY RESPONSE</v>
      </c>
      <c r="D634" s="27" t="str">
        <f>INDEX(Organizations[],MATCH(Main3WData[[#This Row],[Acronym]],AcronymList,0),3)</f>
        <v>UN Agency</v>
      </c>
      <c r="E634" s="54" t="s">
        <v>360</v>
      </c>
      <c r="F634" s="53" t="s">
        <v>82</v>
      </c>
      <c r="G634" s="54" t="s">
        <v>420</v>
      </c>
      <c r="H634" s="28" t="str">
        <f>VLOOKUP(Main3WData[[#This Row],[Admin Unit Name]],AdminUnits[],2,FALSE)</f>
        <v>GIN007002</v>
      </c>
      <c r="I634" s="57">
        <v>0</v>
      </c>
      <c r="J634" s="67" t="str">
        <f>Main3WData[[#This Row],[Acronym]]&amp;Main3WData[[#This Row],[Sector]]&amp;Main3WData[[#This Row],[Activity Type]]&amp;Main3WData[[#This Row],[Pcode]]</f>
        <v>UNMEERCoordinationOngoingGIN007002</v>
      </c>
      <c r="K634" s="69">
        <f>COUNTIF(Main3WData[Concatenate],Main3WData[[#This Row],[Concatenate]])</f>
        <v>1</v>
      </c>
      <c r="L634" s="61" t="str">
        <f>Main3WData[[#This Row],[Sector]]&amp;Main3WData[[#This Row],[Pcode]]</f>
        <v>CoordinationGIN007002</v>
      </c>
      <c r="M634" s="71">
        <f>COUNTIF($L$5:L634,Main3WData[[#This Row],[PT.Concat]])</f>
        <v>1</v>
      </c>
      <c r="N634" s="70">
        <f>MATCH(Main3WData[[#This Row],[PT.Concat]],$L$5:L634,0)</f>
        <v>630</v>
      </c>
      <c r="O634" s="62" t="b">
        <f>Main3WData[[#This Row],[Count PT.Concat]]=1</f>
        <v>1</v>
      </c>
      <c r="P634" s="62">
        <f t="array" ref="P634">MAX(($N$4:N633=Main3WData[[#This Row],[PT.ID]])*ROW($N$4:N633))</f>
        <v>0</v>
      </c>
      <c r="Q634" s="62" t="str">
        <f>IF(Main3WData[[#This Row],[PT.FirstID]],Main3WData[[#This Row],[Acronym]],INDEX($Q$4:Q633,Main3WData[[#This Row],[PT.LastID.Row]]-ROW($Q$4)+1) &amp; ", "&amp;Main3WData[[#This Row],[Acronym]])</f>
        <v>UNMEER</v>
      </c>
      <c r="R634" s="62" t="b">
        <f t="array" ref="R634">MAX(IF(Main3WData[PT.ID]=Main3WData[[#This Row],[PT.ID]],Main3WData[PT.LastID.Row]))=Main3WData[[#This Row],[PT.LastID.Row]]</f>
        <v>0</v>
      </c>
    </row>
    <row r="635" spans="2:18" x14ac:dyDescent="0.2">
      <c r="B635" s="55" t="s">
        <v>75</v>
      </c>
      <c r="C635" s="27" t="str">
        <f>INDEX(Organizations[],MATCH(Main3WData[[#This Row],[Acronym]],AcronymList,0),1)</f>
        <v>United Nations Population Fund</v>
      </c>
      <c r="D635" s="27" t="str">
        <f>INDEX(Organizations[],MATCH(Main3WData[[#This Row],[Acronym]],AcronymList,0),3)</f>
        <v>UN Agency</v>
      </c>
      <c r="E635" s="54" t="s">
        <v>360</v>
      </c>
      <c r="F635" s="53" t="s">
        <v>82</v>
      </c>
      <c r="G635" s="54" t="s">
        <v>420</v>
      </c>
      <c r="H635" s="28" t="str">
        <f>VLOOKUP(Main3WData[[#This Row],[Admin Unit Name]],AdminUnits[],2,FALSE)</f>
        <v>GIN007002</v>
      </c>
      <c r="I635" s="57">
        <v>0</v>
      </c>
      <c r="J635" s="67" t="str">
        <f>Main3WData[[#This Row],[Acronym]]&amp;Main3WData[[#This Row],[Sector]]&amp;Main3WData[[#This Row],[Activity Type]]&amp;Main3WData[[#This Row],[Pcode]]</f>
        <v>UNFPACoordinationOngoingGIN007002</v>
      </c>
      <c r="K635" s="69">
        <f>COUNTIF(Main3WData[Concatenate],Main3WData[[#This Row],[Concatenate]])</f>
        <v>1</v>
      </c>
      <c r="L635" s="61" t="str">
        <f>Main3WData[[#This Row],[Sector]]&amp;Main3WData[[#This Row],[Pcode]]</f>
        <v>CoordinationGIN007002</v>
      </c>
      <c r="M635" s="71">
        <f>COUNTIF($L$5:L635,Main3WData[[#This Row],[PT.Concat]])</f>
        <v>2</v>
      </c>
      <c r="N635" s="70">
        <f>MATCH(Main3WData[[#This Row],[PT.Concat]],$L$5:L635,0)</f>
        <v>630</v>
      </c>
      <c r="O635" s="62" t="b">
        <f>Main3WData[[#This Row],[Count PT.Concat]]=1</f>
        <v>0</v>
      </c>
      <c r="P635" s="62">
        <f t="array" ref="P635">MAX(($N$4:N634=Main3WData[[#This Row],[PT.ID]])*ROW($N$4:N634))</f>
        <v>634</v>
      </c>
      <c r="Q635" s="62" t="str">
        <f>IF(Main3WData[[#This Row],[PT.FirstID]],Main3WData[[#This Row],[Acronym]],INDEX($Q$4:Q634,Main3WData[[#This Row],[PT.LastID.Row]]-ROW($Q$4)+1) &amp; ", "&amp;Main3WData[[#This Row],[Acronym]])</f>
        <v>UNMEER, UNFPA</v>
      </c>
      <c r="R635" s="62" t="b">
        <f t="array" ref="R635">MAX(IF(Main3WData[PT.ID]=Main3WData[[#This Row],[PT.ID]],Main3WData[PT.LastID.Row]))=Main3WData[[#This Row],[PT.LastID.Row]]</f>
        <v>0</v>
      </c>
    </row>
    <row r="636" spans="2:18" x14ac:dyDescent="0.2">
      <c r="B636" s="55" t="s">
        <v>473</v>
      </c>
      <c r="C636" s="27" t="str">
        <f>INDEX(Organizations[],MATCH(Main3WData[[#This Row],[Acronym]],AcronymList,0),1)</f>
        <v>United Nations Development Programme</v>
      </c>
      <c r="D636" s="27" t="str">
        <f>INDEX(Organizations[],MATCH(Main3WData[[#This Row],[Acronym]],AcronymList,0),3)</f>
        <v>UN Agency</v>
      </c>
      <c r="E636" s="54" t="s">
        <v>360</v>
      </c>
      <c r="F636" s="53" t="s">
        <v>82</v>
      </c>
      <c r="G636" s="54" t="s">
        <v>420</v>
      </c>
      <c r="H636" s="28" t="str">
        <f>VLOOKUP(Main3WData[[#This Row],[Admin Unit Name]],AdminUnits[],2,FALSE)</f>
        <v>GIN007002</v>
      </c>
      <c r="I636" s="57">
        <v>0</v>
      </c>
      <c r="J636" s="67" t="str">
        <f>Main3WData[[#This Row],[Acronym]]&amp;Main3WData[[#This Row],[Sector]]&amp;Main3WData[[#This Row],[Activity Type]]&amp;Main3WData[[#This Row],[Pcode]]</f>
        <v>UNDPCoordinationOngoingGIN007002</v>
      </c>
      <c r="K636" s="69">
        <f>COUNTIF(Main3WData[Concatenate],Main3WData[[#This Row],[Concatenate]])</f>
        <v>1</v>
      </c>
      <c r="L636" s="61" t="str">
        <f>Main3WData[[#This Row],[Sector]]&amp;Main3WData[[#This Row],[Pcode]]</f>
        <v>CoordinationGIN007002</v>
      </c>
      <c r="M636" s="71">
        <f>COUNTIF($L$5:L636,Main3WData[[#This Row],[PT.Concat]])</f>
        <v>3</v>
      </c>
      <c r="N636" s="70">
        <f>MATCH(Main3WData[[#This Row],[PT.Concat]],$L$5:L636,0)</f>
        <v>630</v>
      </c>
      <c r="O636" s="62" t="b">
        <f>Main3WData[[#This Row],[Count PT.Concat]]=1</f>
        <v>0</v>
      </c>
      <c r="P636" s="62">
        <f t="array" ref="P636">MAX(($N$4:N635=Main3WData[[#This Row],[PT.ID]])*ROW($N$4:N635))</f>
        <v>635</v>
      </c>
      <c r="Q636" s="62" t="str">
        <f>IF(Main3WData[[#This Row],[PT.FirstID]],Main3WData[[#This Row],[Acronym]],INDEX($Q$4:Q635,Main3WData[[#This Row],[PT.LastID.Row]]-ROW($Q$4)+1) &amp; ", "&amp;Main3WData[[#This Row],[Acronym]])</f>
        <v>UNMEER, UNFPA, UNDP</v>
      </c>
      <c r="R636" s="62" t="b">
        <f t="array" ref="R636">MAX(IF(Main3WData[PT.ID]=Main3WData[[#This Row],[PT.ID]],Main3WData[PT.LastID.Row]))=Main3WData[[#This Row],[PT.LastID.Row]]</f>
        <v>0</v>
      </c>
    </row>
    <row r="637" spans="2:18" x14ac:dyDescent="0.2">
      <c r="B637" s="55" t="s">
        <v>512</v>
      </c>
      <c r="C637" s="27" t="str">
        <f>INDEX(Organizations[],MATCH(Main3WData[[#This Row],[Acronym]],AcronymList,0),1)</f>
        <v>World Health Organization</v>
      </c>
      <c r="D637" s="27" t="str">
        <f>INDEX(Organizations[],MATCH(Main3WData[[#This Row],[Acronym]],AcronymList,0),3)</f>
        <v>UN Agency</v>
      </c>
      <c r="E637" s="54" t="s">
        <v>360</v>
      </c>
      <c r="F637" s="53" t="s">
        <v>82</v>
      </c>
      <c r="G637" s="54" t="s">
        <v>420</v>
      </c>
      <c r="H637" s="28" t="str">
        <f>VLOOKUP(Main3WData[[#This Row],[Admin Unit Name]],AdminUnits[],2,FALSE)</f>
        <v>GIN007002</v>
      </c>
      <c r="I637" s="57">
        <v>0</v>
      </c>
      <c r="J637" s="67" t="str">
        <f>Main3WData[[#This Row],[Acronym]]&amp;Main3WData[[#This Row],[Sector]]&amp;Main3WData[[#This Row],[Activity Type]]&amp;Main3WData[[#This Row],[Pcode]]</f>
        <v>OMSCoordinationOngoingGIN007002</v>
      </c>
      <c r="K637" s="69">
        <f>COUNTIF(Main3WData[Concatenate],Main3WData[[#This Row],[Concatenate]])</f>
        <v>1</v>
      </c>
      <c r="L637" s="61" t="str">
        <f>Main3WData[[#This Row],[Sector]]&amp;Main3WData[[#This Row],[Pcode]]</f>
        <v>CoordinationGIN007002</v>
      </c>
      <c r="M637" s="71">
        <f>COUNTIF($L$5:L637,Main3WData[[#This Row],[PT.Concat]])</f>
        <v>4</v>
      </c>
      <c r="N637" s="70">
        <f>MATCH(Main3WData[[#This Row],[PT.Concat]],$L$5:L637,0)</f>
        <v>630</v>
      </c>
      <c r="O637" s="62" t="b">
        <f>Main3WData[[#This Row],[Count PT.Concat]]=1</f>
        <v>0</v>
      </c>
      <c r="P637" s="62">
        <f t="array" ref="P637">MAX(($N$4:N636=Main3WData[[#This Row],[PT.ID]])*ROW($N$4:N636))</f>
        <v>636</v>
      </c>
      <c r="Q637" s="62" t="str">
        <f>IF(Main3WData[[#This Row],[PT.FirstID]],Main3WData[[#This Row],[Acronym]],INDEX($Q$4:Q636,Main3WData[[#This Row],[PT.LastID.Row]]-ROW($Q$4)+1) &amp; ", "&amp;Main3WData[[#This Row],[Acronym]])</f>
        <v>UNMEER, UNFPA, UNDP, OMS</v>
      </c>
      <c r="R637" s="62" t="b">
        <f t="array" ref="R637">MAX(IF(Main3WData[PT.ID]=Main3WData[[#This Row],[PT.ID]],Main3WData[PT.LastID.Row]))=Main3WData[[#This Row],[PT.LastID.Row]]</f>
        <v>0</v>
      </c>
    </row>
    <row r="638" spans="2:18" x14ac:dyDescent="0.2">
      <c r="B638" s="55" t="s">
        <v>71</v>
      </c>
      <c r="C638" s="27" t="str">
        <f>INDEX(Organizations[],MATCH(Main3WData[[#This Row],[Acronym]],AcronymList,0),1)</f>
        <v>Medecins sans Frontieres</v>
      </c>
      <c r="D638" s="27" t="str">
        <f>INDEX(Organizations[],MATCH(Main3WData[[#This Row],[Acronym]],AcronymList,0),3)</f>
        <v>International NGO</v>
      </c>
      <c r="E638" s="54" t="s">
        <v>360</v>
      </c>
      <c r="F638" s="53" t="s">
        <v>82</v>
      </c>
      <c r="G638" s="54" t="s">
        <v>420</v>
      </c>
      <c r="H638" s="28" t="str">
        <f>VLOOKUP(Main3WData[[#This Row],[Admin Unit Name]],AdminUnits[],2,FALSE)</f>
        <v>GIN007002</v>
      </c>
      <c r="I638" s="57">
        <v>0</v>
      </c>
      <c r="J638" s="67" t="str">
        <f>Main3WData[[#This Row],[Acronym]]&amp;Main3WData[[#This Row],[Sector]]&amp;Main3WData[[#This Row],[Activity Type]]&amp;Main3WData[[#This Row],[Pcode]]</f>
        <v>MSFCoordinationOngoingGIN007002</v>
      </c>
      <c r="K638" s="69">
        <f>COUNTIF(Main3WData[Concatenate],Main3WData[[#This Row],[Concatenate]])</f>
        <v>1</v>
      </c>
      <c r="L638" s="61" t="str">
        <f>Main3WData[[#This Row],[Sector]]&amp;Main3WData[[#This Row],[Pcode]]</f>
        <v>CoordinationGIN007002</v>
      </c>
      <c r="M638" s="71">
        <f>COUNTIF($L$5:L638,Main3WData[[#This Row],[PT.Concat]])</f>
        <v>5</v>
      </c>
      <c r="N638" s="70">
        <f>MATCH(Main3WData[[#This Row],[PT.Concat]],$L$5:L638,0)</f>
        <v>630</v>
      </c>
      <c r="O638" s="62" t="b">
        <f>Main3WData[[#This Row],[Count PT.Concat]]=1</f>
        <v>0</v>
      </c>
      <c r="P638" s="62">
        <f t="array" ref="P638">MAX(($N$4:N637=Main3WData[[#This Row],[PT.ID]])*ROW($N$4:N637))</f>
        <v>637</v>
      </c>
      <c r="Q638" s="62" t="str">
        <f>IF(Main3WData[[#This Row],[PT.FirstID]],Main3WData[[#This Row],[Acronym]],INDEX($Q$4:Q637,Main3WData[[#This Row],[PT.LastID.Row]]-ROW($Q$4)+1) &amp; ", "&amp;Main3WData[[#This Row],[Acronym]])</f>
        <v>UNMEER, UNFPA, UNDP, OMS, MSF</v>
      </c>
      <c r="R638" s="62" t="b">
        <f t="array" ref="R638">MAX(IF(Main3WData[PT.ID]=Main3WData[[#This Row],[PT.ID]],Main3WData[PT.LastID.Row]))=Main3WData[[#This Row],[PT.LastID.Row]]</f>
        <v>0</v>
      </c>
    </row>
    <row r="639" spans="2:18" x14ac:dyDescent="0.2">
      <c r="B639" s="55" t="s">
        <v>507</v>
      </c>
      <c r="C639" s="27" t="str">
        <f>INDEX(Organizations[],MATCH(Main3WData[[#This Row],[Acronym]],AcronymList,0),1)</f>
        <v>eHealth Africa</v>
      </c>
      <c r="D639" s="27" t="str">
        <f>INDEX(Organizations[],MATCH(Main3WData[[#This Row],[Acronym]],AcronymList,0),3)</f>
        <v>International Organization</v>
      </c>
      <c r="E639" s="54" t="s">
        <v>360</v>
      </c>
      <c r="F639" s="53" t="s">
        <v>82</v>
      </c>
      <c r="G639" s="54" t="s">
        <v>420</v>
      </c>
      <c r="H639" s="28" t="str">
        <f>VLOOKUP(Main3WData[[#This Row],[Admin Unit Name]],AdminUnits[],2,FALSE)</f>
        <v>GIN007002</v>
      </c>
      <c r="I639" s="57">
        <v>0</v>
      </c>
      <c r="J639" s="67" t="str">
        <f>Main3WData[[#This Row],[Acronym]]&amp;Main3WData[[#This Row],[Sector]]&amp;Main3WData[[#This Row],[Activity Type]]&amp;Main3WData[[#This Row],[Pcode]]</f>
        <v>eHealth AfricaCoordinationOngoingGIN007002</v>
      </c>
      <c r="K639" s="69">
        <f>COUNTIF(Main3WData[Concatenate],Main3WData[[#This Row],[Concatenate]])</f>
        <v>1</v>
      </c>
      <c r="L639" s="61" t="str">
        <f>Main3WData[[#This Row],[Sector]]&amp;Main3WData[[#This Row],[Pcode]]</f>
        <v>CoordinationGIN007002</v>
      </c>
      <c r="M639" s="71">
        <f>COUNTIF($L$5:L639,Main3WData[[#This Row],[PT.Concat]])</f>
        <v>6</v>
      </c>
      <c r="N639" s="70">
        <f>MATCH(Main3WData[[#This Row],[PT.Concat]],$L$5:L639,0)</f>
        <v>630</v>
      </c>
      <c r="O639" s="62" t="b">
        <f>Main3WData[[#This Row],[Count PT.Concat]]=1</f>
        <v>0</v>
      </c>
      <c r="P639" s="62">
        <f t="array" ref="P639">MAX(($N$4:N638=Main3WData[[#This Row],[PT.ID]])*ROW($N$4:N638))</f>
        <v>638</v>
      </c>
      <c r="Q639" s="62" t="str">
        <f>IF(Main3WData[[#This Row],[PT.FirstID]],Main3WData[[#This Row],[Acronym]],INDEX($Q$4:Q638,Main3WData[[#This Row],[PT.LastID.Row]]-ROW($Q$4)+1) &amp; ", "&amp;Main3WData[[#This Row],[Acronym]])</f>
        <v>UNMEER, UNFPA, UNDP, OMS, MSF, eHealth Africa</v>
      </c>
      <c r="R639" s="62" t="b">
        <f t="array" ref="R639">MAX(IF(Main3WData[PT.ID]=Main3WData[[#This Row],[PT.ID]],Main3WData[PT.LastID.Row]))=Main3WData[[#This Row],[PT.LastID.Row]]</f>
        <v>1</v>
      </c>
    </row>
    <row r="640" spans="2:18" x14ac:dyDescent="0.2">
      <c r="B640" s="55" t="s">
        <v>473</v>
      </c>
      <c r="C640" s="27" t="str">
        <f>INDEX(Organizations[],MATCH(Main3WData[[#This Row],[Acronym]],AcronymList,0),1)</f>
        <v>United Nations Development Programme</v>
      </c>
      <c r="D640" s="27" t="str">
        <f>INDEX(Organizations[],MATCH(Main3WData[[#This Row],[Acronym]],AcronymList,0),3)</f>
        <v>UN Agency</v>
      </c>
      <c r="E640" s="54" t="s">
        <v>359</v>
      </c>
      <c r="F640" s="53" t="s">
        <v>82</v>
      </c>
      <c r="G640" s="54" t="s">
        <v>420</v>
      </c>
      <c r="H640" s="28" t="str">
        <f>VLOOKUP(Main3WData[[#This Row],[Admin Unit Name]],AdminUnits[],2,FALSE)</f>
        <v>GIN007002</v>
      </c>
      <c r="I640" s="57">
        <v>0</v>
      </c>
      <c r="J640" s="67" t="str">
        <f>Main3WData[[#This Row],[Acronym]]&amp;Main3WData[[#This Row],[Sector]]&amp;Main3WData[[#This Row],[Activity Type]]&amp;Main3WData[[#This Row],[Pcode]]</f>
        <v>UNDPFinanceOngoingGIN007002</v>
      </c>
      <c r="K640" s="69">
        <f>COUNTIF(Main3WData[Concatenate],Main3WData[[#This Row],[Concatenate]])</f>
        <v>1</v>
      </c>
      <c r="L640" s="61" t="str">
        <f>Main3WData[[#This Row],[Sector]]&amp;Main3WData[[#This Row],[Pcode]]</f>
        <v>FinanceGIN007002</v>
      </c>
      <c r="M640" s="71">
        <f>COUNTIF($L$5:L640,Main3WData[[#This Row],[PT.Concat]])</f>
        <v>1</v>
      </c>
      <c r="N640" s="70">
        <f>MATCH(Main3WData[[#This Row],[PT.Concat]],$L$5:L640,0)</f>
        <v>636</v>
      </c>
      <c r="O640" s="62" t="b">
        <f>Main3WData[[#This Row],[Count PT.Concat]]=1</f>
        <v>1</v>
      </c>
      <c r="P640" s="62">
        <f t="array" ref="P640">MAX(($N$4:N639=Main3WData[[#This Row],[PT.ID]])*ROW($N$4:N639))</f>
        <v>0</v>
      </c>
      <c r="Q640" s="62" t="str">
        <f>IF(Main3WData[[#This Row],[PT.FirstID]],Main3WData[[#This Row],[Acronym]],INDEX($Q$4:Q639,Main3WData[[#This Row],[PT.LastID.Row]]-ROW($Q$4)+1) &amp; ", "&amp;Main3WData[[#This Row],[Acronym]])</f>
        <v>UNDP</v>
      </c>
      <c r="R640" s="62" t="b">
        <f t="array" ref="R640">MAX(IF(Main3WData[PT.ID]=Main3WData[[#This Row],[PT.ID]],Main3WData[PT.LastID.Row]))=Main3WData[[#This Row],[PT.LastID.Row]]</f>
        <v>1</v>
      </c>
    </row>
    <row r="641" spans="2:18" x14ac:dyDescent="0.2">
      <c r="B641" s="55" t="s">
        <v>451</v>
      </c>
      <c r="C641" s="27" t="str">
        <f>INDEX(Organizations[],MATCH(Main3WData[[#This Row],[Acronym]],AcronymList,0),1)</f>
        <v>Croix-Rouge Guinée</v>
      </c>
      <c r="D641" s="27" t="str">
        <f>INDEX(Organizations[],MATCH(Main3WData[[#This Row],[Acronym]],AcronymList,0),3)</f>
        <v>Red Cross Movement</v>
      </c>
      <c r="E641" s="54" t="s">
        <v>354</v>
      </c>
      <c r="F641" s="53" t="s">
        <v>82</v>
      </c>
      <c r="G641" s="54" t="s">
        <v>420</v>
      </c>
      <c r="H641" s="28" t="str">
        <f>VLOOKUP(Main3WData[[#This Row],[Admin Unit Name]],AdminUnits[],2,FALSE)</f>
        <v>GIN007002</v>
      </c>
      <c r="I641" s="57">
        <v>0</v>
      </c>
      <c r="J641" s="67" t="str">
        <f>Main3WData[[#This Row],[Acronym]]&amp;Main3WData[[#This Row],[Sector]]&amp;Main3WData[[#This Row],[Activity Type]]&amp;Main3WData[[#This Row],[Pcode]]</f>
        <v>CRGGestion des corps et desinfectionOngoingGIN007002</v>
      </c>
      <c r="K641" s="69">
        <f>COUNTIF(Main3WData[Concatenate],Main3WData[[#This Row],[Concatenate]])</f>
        <v>1</v>
      </c>
      <c r="L641" s="61" t="str">
        <f>Main3WData[[#This Row],[Sector]]&amp;Main3WData[[#This Row],[Pcode]]</f>
        <v>Gestion des corps et desinfectionGIN007002</v>
      </c>
      <c r="M641" s="71">
        <f>COUNTIF($L$5:L641,Main3WData[[#This Row],[PT.Concat]])</f>
        <v>1</v>
      </c>
      <c r="N641" s="70">
        <f>MATCH(Main3WData[[#This Row],[PT.Concat]],$L$5:L641,0)</f>
        <v>637</v>
      </c>
      <c r="O641" s="62" t="b">
        <f>Main3WData[[#This Row],[Count PT.Concat]]=1</f>
        <v>1</v>
      </c>
      <c r="P641" s="62">
        <f t="array" ref="P641">MAX(($N$4:N640=Main3WData[[#This Row],[PT.ID]])*ROW($N$4:N640))</f>
        <v>0</v>
      </c>
      <c r="Q641" s="62" t="str">
        <f>IF(Main3WData[[#This Row],[PT.FirstID]],Main3WData[[#This Row],[Acronym]],INDEX($Q$4:Q640,Main3WData[[#This Row],[PT.LastID.Row]]-ROW($Q$4)+1) &amp; ", "&amp;Main3WData[[#This Row],[Acronym]])</f>
        <v>CRG</v>
      </c>
      <c r="R641" s="62" t="b">
        <f t="array" ref="R641">MAX(IF(Main3WData[PT.ID]=Main3WData[[#This Row],[PT.ID]],Main3WData[PT.LastID.Row]))=Main3WData[[#This Row],[PT.LastID.Row]]</f>
        <v>1</v>
      </c>
    </row>
    <row r="642" spans="2:18" x14ac:dyDescent="0.2">
      <c r="B642" s="55" t="s">
        <v>516</v>
      </c>
      <c r="C642" s="27" t="str">
        <f>INDEX(Organizations[],MATCH(Main3WData[[#This Row],[Acronym]],AcronymList,0),1)</f>
        <v>UNITED NATION MISSION FOR EBOLA  EMERGENCY RESPONSE</v>
      </c>
      <c r="D642" s="27" t="str">
        <f>INDEX(Organizations[],MATCH(Main3WData[[#This Row],[Acronym]],AcronymList,0),3)</f>
        <v>UN Agency</v>
      </c>
      <c r="E642" s="54" t="s">
        <v>356</v>
      </c>
      <c r="F642" s="53" t="s">
        <v>82</v>
      </c>
      <c r="G642" s="54" t="s">
        <v>420</v>
      </c>
      <c r="H642" s="28" t="str">
        <f>VLOOKUP(Main3WData[[#This Row],[Admin Unit Name]],AdminUnits[],2,FALSE)</f>
        <v>GIN007002</v>
      </c>
      <c r="I642" s="57">
        <v>0</v>
      </c>
      <c r="J642" s="67" t="str">
        <f>Main3WData[[#This Row],[Acronym]]&amp;Main3WData[[#This Row],[Sector]]&amp;Main3WData[[#This Row],[Activity Type]]&amp;Main3WData[[#This Row],[Pcode]]</f>
        <v>UNMEERGestion des donnéesOngoingGIN007002</v>
      </c>
      <c r="K642" s="69">
        <f>COUNTIF(Main3WData[Concatenate],Main3WData[[#This Row],[Concatenate]])</f>
        <v>1</v>
      </c>
      <c r="L642" s="61" t="str">
        <f>Main3WData[[#This Row],[Sector]]&amp;Main3WData[[#This Row],[Pcode]]</f>
        <v>Gestion des donnéesGIN007002</v>
      </c>
      <c r="M642" s="71">
        <f>COUNTIF($L$5:L642,Main3WData[[#This Row],[PT.Concat]])</f>
        <v>1</v>
      </c>
      <c r="N642" s="70">
        <f>MATCH(Main3WData[[#This Row],[PT.Concat]],$L$5:L642,0)</f>
        <v>638</v>
      </c>
      <c r="O642" s="62" t="b">
        <f>Main3WData[[#This Row],[Count PT.Concat]]=1</f>
        <v>1</v>
      </c>
      <c r="P642" s="62">
        <f t="array" ref="P642">MAX(($N$4:N641=Main3WData[[#This Row],[PT.ID]])*ROW($N$4:N641))</f>
        <v>0</v>
      </c>
      <c r="Q642" s="62" t="str">
        <f>IF(Main3WData[[#This Row],[PT.FirstID]],Main3WData[[#This Row],[Acronym]],INDEX($Q$4:Q641,Main3WData[[#This Row],[PT.LastID.Row]]-ROW($Q$4)+1) &amp; ", "&amp;Main3WData[[#This Row],[Acronym]])</f>
        <v>UNMEER</v>
      </c>
      <c r="R642" s="62" t="b">
        <f t="array" ref="R642">MAX(IF(Main3WData[PT.ID]=Main3WData[[#This Row],[PT.ID]],Main3WData[PT.LastID.Row]))=Main3WData[[#This Row],[PT.LastID.Row]]</f>
        <v>0</v>
      </c>
    </row>
    <row r="643" spans="2:18" x14ac:dyDescent="0.2">
      <c r="B643" s="55" t="s">
        <v>512</v>
      </c>
      <c r="C643" s="27" t="str">
        <f>INDEX(Organizations[],MATCH(Main3WData[[#This Row],[Acronym]],AcronymList,0),1)</f>
        <v>World Health Organization</v>
      </c>
      <c r="D643" s="27" t="str">
        <f>INDEX(Organizations[],MATCH(Main3WData[[#This Row],[Acronym]],AcronymList,0),3)</f>
        <v>UN Agency</v>
      </c>
      <c r="E643" s="54" t="s">
        <v>356</v>
      </c>
      <c r="F643" s="53" t="s">
        <v>82</v>
      </c>
      <c r="G643" s="54" t="s">
        <v>420</v>
      </c>
      <c r="H643" s="28" t="str">
        <f>VLOOKUP(Main3WData[[#This Row],[Admin Unit Name]],AdminUnits[],2,FALSE)</f>
        <v>GIN007002</v>
      </c>
      <c r="I643" s="57">
        <v>0</v>
      </c>
      <c r="J643" s="67" t="str">
        <f>Main3WData[[#This Row],[Acronym]]&amp;Main3WData[[#This Row],[Sector]]&amp;Main3WData[[#This Row],[Activity Type]]&amp;Main3WData[[#This Row],[Pcode]]</f>
        <v>OMSGestion des donnéesOngoingGIN007002</v>
      </c>
      <c r="K643" s="69">
        <f>COUNTIF(Main3WData[Concatenate],Main3WData[[#This Row],[Concatenate]])</f>
        <v>1</v>
      </c>
      <c r="L643" s="61" t="str">
        <f>Main3WData[[#This Row],[Sector]]&amp;Main3WData[[#This Row],[Pcode]]</f>
        <v>Gestion des donnéesGIN007002</v>
      </c>
      <c r="M643" s="71">
        <f>COUNTIF($L$5:L643,Main3WData[[#This Row],[PT.Concat]])</f>
        <v>2</v>
      </c>
      <c r="N643" s="70">
        <f>MATCH(Main3WData[[#This Row],[PT.Concat]],$L$5:L643,0)</f>
        <v>638</v>
      </c>
      <c r="O643" s="62" t="b">
        <f>Main3WData[[#This Row],[Count PT.Concat]]=1</f>
        <v>0</v>
      </c>
      <c r="P643" s="62">
        <f t="array" ref="P643">MAX(($N$4:N642=Main3WData[[#This Row],[PT.ID]])*ROW($N$4:N642))</f>
        <v>642</v>
      </c>
      <c r="Q643" s="62" t="str">
        <f>IF(Main3WData[[#This Row],[PT.FirstID]],Main3WData[[#This Row],[Acronym]],INDEX($Q$4:Q642,Main3WData[[#This Row],[PT.LastID.Row]]-ROW($Q$4)+1) &amp; ", "&amp;Main3WData[[#This Row],[Acronym]])</f>
        <v>UNMEER, OMS</v>
      </c>
      <c r="R643" s="62" t="b">
        <f t="array" ref="R643">MAX(IF(Main3WData[PT.ID]=Main3WData[[#This Row],[PT.ID]],Main3WData[PT.LastID.Row]))=Main3WData[[#This Row],[PT.LastID.Row]]</f>
        <v>1</v>
      </c>
    </row>
    <row r="644" spans="2:18" x14ac:dyDescent="0.2">
      <c r="B644" s="55" t="s">
        <v>512</v>
      </c>
      <c r="C644" s="27" t="str">
        <f>INDEX(Organizations[],MATCH(Main3WData[[#This Row],[Acronym]],AcronymList,0),1)</f>
        <v>World Health Organization</v>
      </c>
      <c r="D644" s="27" t="str">
        <f>INDEX(Organizations[],MATCH(Main3WData[[#This Row],[Acronym]],AcronymList,0),3)</f>
        <v>UN Agency</v>
      </c>
      <c r="E644" s="54" t="s">
        <v>351</v>
      </c>
      <c r="F644" s="53" t="s">
        <v>82</v>
      </c>
      <c r="G644" s="54" t="s">
        <v>420</v>
      </c>
      <c r="H644" s="28" t="str">
        <f>VLOOKUP(Main3WData[[#This Row],[Admin Unit Name]],AdminUnits[],2,FALSE)</f>
        <v>GIN007002</v>
      </c>
      <c r="I644" s="57">
        <v>0</v>
      </c>
      <c r="J644" s="67" t="str">
        <f>Main3WData[[#This Row],[Acronym]]&amp;Main3WData[[#This Row],[Sector]]&amp;Main3WData[[#This Row],[Activity Type]]&amp;Main3WData[[#This Row],[Pcode]]</f>
        <v>OMSSurveillance &amp; suiviOngoingGIN007002</v>
      </c>
      <c r="K644" s="69">
        <f>COUNTIF(Main3WData[Concatenate],Main3WData[[#This Row],[Concatenate]])</f>
        <v>1</v>
      </c>
      <c r="L644" s="61" t="str">
        <f>Main3WData[[#This Row],[Sector]]&amp;Main3WData[[#This Row],[Pcode]]</f>
        <v>Surveillance &amp; suiviGIN007002</v>
      </c>
      <c r="M644" s="71">
        <f>COUNTIF($L$5:L644,Main3WData[[#This Row],[PT.Concat]])</f>
        <v>1</v>
      </c>
      <c r="N644" s="70">
        <f>MATCH(Main3WData[[#This Row],[PT.Concat]],$L$5:L644,0)</f>
        <v>640</v>
      </c>
      <c r="O644" s="62" t="b">
        <f>Main3WData[[#This Row],[Count PT.Concat]]=1</f>
        <v>1</v>
      </c>
      <c r="P644" s="62">
        <f t="array" ref="P644">MAX(($N$4:N643=Main3WData[[#This Row],[PT.ID]])*ROW($N$4:N643))</f>
        <v>0</v>
      </c>
      <c r="Q644" s="62" t="str">
        <f>IF(Main3WData[[#This Row],[PT.FirstID]],Main3WData[[#This Row],[Acronym]],INDEX($Q$4:Q643,Main3WData[[#This Row],[PT.LastID.Row]]-ROW($Q$4)+1) &amp; ", "&amp;Main3WData[[#This Row],[Acronym]])</f>
        <v>OMS</v>
      </c>
      <c r="R644" s="62" t="b">
        <f t="array" ref="R644">MAX(IF(Main3WData[PT.ID]=Main3WData[[#This Row],[PT.ID]],Main3WData[PT.LastID.Row]))=Main3WData[[#This Row],[PT.LastID.Row]]</f>
        <v>0</v>
      </c>
    </row>
    <row r="645" spans="2:18" x14ac:dyDescent="0.2">
      <c r="B645" s="55" t="s">
        <v>64</v>
      </c>
      <c r="C645" s="27" t="str">
        <f>INDEX(Organizations[],MATCH(Main3WData[[#This Row],[Acronym]],AcronymList,0),1)</f>
        <v>CDC</v>
      </c>
      <c r="D645" s="27" t="str">
        <f>INDEX(Organizations[],MATCH(Main3WData[[#This Row],[Acronym]],AcronymList,0),3)</f>
        <v>International NGO</v>
      </c>
      <c r="E645" s="54" t="s">
        <v>351</v>
      </c>
      <c r="F645" s="53" t="s">
        <v>82</v>
      </c>
      <c r="G645" s="54" t="s">
        <v>420</v>
      </c>
      <c r="H645" s="28" t="str">
        <f>VLOOKUP(Main3WData[[#This Row],[Admin Unit Name]],AdminUnits[],2,FALSE)</f>
        <v>GIN007002</v>
      </c>
      <c r="I645" s="57">
        <v>0</v>
      </c>
      <c r="J645" s="67" t="str">
        <f>Main3WData[[#This Row],[Acronym]]&amp;Main3WData[[#This Row],[Sector]]&amp;Main3WData[[#This Row],[Activity Type]]&amp;Main3WData[[#This Row],[Pcode]]</f>
        <v>CDCSurveillance &amp; suiviOngoingGIN007002</v>
      </c>
      <c r="K645" s="69">
        <f>COUNTIF(Main3WData[Concatenate],Main3WData[[#This Row],[Concatenate]])</f>
        <v>1</v>
      </c>
      <c r="L645" s="61" t="str">
        <f>Main3WData[[#This Row],[Sector]]&amp;Main3WData[[#This Row],[Pcode]]</f>
        <v>Surveillance &amp; suiviGIN007002</v>
      </c>
      <c r="M645" s="71">
        <f>COUNTIF($L$5:L645,Main3WData[[#This Row],[PT.Concat]])</f>
        <v>2</v>
      </c>
      <c r="N645" s="70">
        <f>MATCH(Main3WData[[#This Row],[PT.Concat]],$L$5:L645,0)</f>
        <v>640</v>
      </c>
      <c r="O645" s="62" t="b">
        <f>Main3WData[[#This Row],[Count PT.Concat]]=1</f>
        <v>0</v>
      </c>
      <c r="P645" s="62">
        <f t="array" ref="P645">MAX(($N$4:N644=Main3WData[[#This Row],[PT.ID]])*ROW($N$4:N644))</f>
        <v>644</v>
      </c>
      <c r="Q645" s="62" t="str">
        <f>IF(Main3WData[[#This Row],[PT.FirstID]],Main3WData[[#This Row],[Acronym]],INDEX($Q$4:Q644,Main3WData[[#This Row],[PT.LastID.Row]]-ROW($Q$4)+1) &amp; ", "&amp;Main3WData[[#This Row],[Acronym]])</f>
        <v>OMS, CDC</v>
      </c>
      <c r="R645" s="62" t="b">
        <f t="array" ref="R645">MAX(IF(Main3WData[PT.ID]=Main3WData[[#This Row],[PT.ID]],Main3WData[PT.LastID.Row]))=Main3WData[[#This Row],[PT.LastID.Row]]</f>
        <v>1</v>
      </c>
    </row>
    <row r="646" spans="2:18" x14ac:dyDescent="0.2">
      <c r="B646" s="55" t="s">
        <v>77</v>
      </c>
      <c r="C646" s="27" t="str">
        <f>INDEX(Organizations[],MATCH(Main3WData[[#This Row],[Acronym]],AcronymList,0),1)</f>
        <v>United Nations Children's Fund</v>
      </c>
      <c r="D646" s="27" t="str">
        <f>INDEX(Organizations[],MATCH(Main3WData[[#This Row],[Acronym]],AcronymList,0),3)</f>
        <v>UN Agency</v>
      </c>
      <c r="E646" s="54" t="s">
        <v>350</v>
      </c>
      <c r="F646" s="53" t="s">
        <v>82</v>
      </c>
      <c r="G646" s="54" t="s">
        <v>392</v>
      </c>
      <c r="H646" s="28" t="str">
        <f>VLOOKUP(Main3WData[[#This Row],[Admin Unit Name]],AdminUnits[],2,FALSE)</f>
        <v>GIN004004</v>
      </c>
      <c r="I646" s="57">
        <v>0</v>
      </c>
      <c r="J646" s="67" t="str">
        <f>Main3WData[[#This Row],[Acronym]]&amp;Main3WData[[#This Row],[Sector]]&amp;Main3WData[[#This Row],[Activity Type]]&amp;Main3WData[[#This Row],[Pcode]]</f>
        <v>UNICEFCommunication/Mobilisation socialeOngoingGIN004004</v>
      </c>
      <c r="K646" s="69">
        <f>COUNTIF(Main3WData[Concatenate],Main3WData[[#This Row],[Concatenate]])</f>
        <v>1</v>
      </c>
      <c r="L646" s="61" t="str">
        <f>Main3WData[[#This Row],[Sector]]&amp;Main3WData[[#This Row],[Pcode]]</f>
        <v>Communication/Mobilisation socialeGIN004004</v>
      </c>
      <c r="M646" s="71">
        <f>COUNTIF($L$5:L646,Main3WData[[#This Row],[PT.Concat]])</f>
        <v>1</v>
      </c>
      <c r="N646" s="70">
        <f>MATCH(Main3WData[[#This Row],[PT.Concat]],$L$5:L646,0)</f>
        <v>642</v>
      </c>
      <c r="O646" s="62" t="b">
        <f>Main3WData[[#This Row],[Count PT.Concat]]=1</f>
        <v>1</v>
      </c>
      <c r="P646" s="62">
        <f t="array" ref="P646">MAX(($N$4:N645=Main3WData[[#This Row],[PT.ID]])*ROW($N$4:N645))</f>
        <v>0</v>
      </c>
      <c r="Q646" s="62" t="str">
        <f>IF(Main3WData[[#This Row],[PT.FirstID]],Main3WData[[#This Row],[Acronym]],INDEX($Q$4:Q645,Main3WData[[#This Row],[PT.LastID.Row]]-ROW($Q$4)+1) &amp; ", "&amp;Main3WData[[#This Row],[Acronym]])</f>
        <v>UNICEF</v>
      </c>
      <c r="R646" s="62" t="b">
        <f t="array" ref="R646">MAX(IF(Main3WData[PT.ID]=Main3WData[[#This Row],[PT.ID]],Main3WData[PT.LastID.Row]))=Main3WData[[#This Row],[PT.LastID.Row]]</f>
        <v>0</v>
      </c>
    </row>
    <row r="647" spans="2:18" x14ac:dyDescent="0.2">
      <c r="B647" s="55" t="s">
        <v>75</v>
      </c>
      <c r="C647" s="27" t="str">
        <f>INDEX(Organizations[],MATCH(Main3WData[[#This Row],[Acronym]],AcronymList,0),1)</f>
        <v>United Nations Population Fund</v>
      </c>
      <c r="D647" s="27" t="str">
        <f>INDEX(Organizations[],MATCH(Main3WData[[#This Row],[Acronym]],AcronymList,0),3)</f>
        <v>UN Agency</v>
      </c>
      <c r="E647" s="54" t="s">
        <v>350</v>
      </c>
      <c r="F647" s="53" t="s">
        <v>82</v>
      </c>
      <c r="G647" s="54" t="s">
        <v>392</v>
      </c>
      <c r="H647" s="28" t="str">
        <f>VLOOKUP(Main3WData[[#This Row],[Admin Unit Name]],AdminUnits[],2,FALSE)</f>
        <v>GIN004004</v>
      </c>
      <c r="I647" s="57">
        <v>0</v>
      </c>
      <c r="J647" s="67" t="str">
        <f>Main3WData[[#This Row],[Acronym]]&amp;Main3WData[[#This Row],[Sector]]&amp;Main3WData[[#This Row],[Activity Type]]&amp;Main3WData[[#This Row],[Pcode]]</f>
        <v>UNFPACommunication/Mobilisation socialeOngoingGIN004004</v>
      </c>
      <c r="K647" s="69">
        <f>COUNTIF(Main3WData[Concatenate],Main3WData[[#This Row],[Concatenate]])</f>
        <v>1</v>
      </c>
      <c r="L647" s="61" t="str">
        <f>Main3WData[[#This Row],[Sector]]&amp;Main3WData[[#This Row],[Pcode]]</f>
        <v>Communication/Mobilisation socialeGIN004004</v>
      </c>
      <c r="M647" s="71">
        <f>COUNTIF($L$5:L647,Main3WData[[#This Row],[PT.Concat]])</f>
        <v>2</v>
      </c>
      <c r="N647" s="70">
        <f>MATCH(Main3WData[[#This Row],[PT.Concat]],$L$5:L647,0)</f>
        <v>642</v>
      </c>
      <c r="O647" s="62" t="b">
        <f>Main3WData[[#This Row],[Count PT.Concat]]=1</f>
        <v>0</v>
      </c>
      <c r="P647" s="62">
        <f t="array" ref="P647">MAX(($N$4:N646=Main3WData[[#This Row],[PT.ID]])*ROW($N$4:N646))</f>
        <v>646</v>
      </c>
      <c r="Q647" s="62" t="str">
        <f>IF(Main3WData[[#This Row],[PT.FirstID]],Main3WData[[#This Row],[Acronym]],INDEX($Q$4:Q646,Main3WData[[#This Row],[PT.LastID.Row]]-ROW($Q$4)+1) &amp; ", "&amp;Main3WData[[#This Row],[Acronym]])</f>
        <v>UNICEF, UNFPA</v>
      </c>
      <c r="R647" s="62" t="b">
        <f t="array" ref="R647">MAX(IF(Main3WData[PT.ID]=Main3WData[[#This Row],[PT.ID]],Main3WData[PT.LastID.Row]))=Main3WData[[#This Row],[PT.LastID.Row]]</f>
        <v>0</v>
      </c>
    </row>
    <row r="648" spans="2:18" x14ac:dyDescent="0.2">
      <c r="B648" s="55" t="s">
        <v>72</v>
      </c>
      <c r="C648" s="27" t="str">
        <f>INDEX(Organizations[],MATCH(Main3WData[[#This Row],[Acronym]],AcronymList,0),1)</f>
        <v>PLAN</v>
      </c>
      <c r="D648" s="27" t="str">
        <f>INDEX(Organizations[],MATCH(Main3WData[[#This Row],[Acronym]],AcronymList,0),3)</f>
        <v>International Organization</v>
      </c>
      <c r="E648" s="54" t="s">
        <v>350</v>
      </c>
      <c r="F648" s="53" t="s">
        <v>82</v>
      </c>
      <c r="G648" s="54" t="s">
        <v>392</v>
      </c>
      <c r="H648" s="28" t="str">
        <f>VLOOKUP(Main3WData[[#This Row],[Admin Unit Name]],AdminUnits[],2,FALSE)</f>
        <v>GIN004004</v>
      </c>
      <c r="I648" s="57">
        <v>0</v>
      </c>
      <c r="J648" s="67" t="str">
        <f>Main3WData[[#This Row],[Acronym]]&amp;Main3WData[[#This Row],[Sector]]&amp;Main3WData[[#This Row],[Activity Type]]&amp;Main3WData[[#This Row],[Pcode]]</f>
        <v>PLANCommunication/Mobilisation socialeOngoingGIN004004</v>
      </c>
      <c r="K648" s="69">
        <f>COUNTIF(Main3WData[Concatenate],Main3WData[[#This Row],[Concatenate]])</f>
        <v>1</v>
      </c>
      <c r="L648" s="61" t="str">
        <f>Main3WData[[#This Row],[Sector]]&amp;Main3WData[[#This Row],[Pcode]]</f>
        <v>Communication/Mobilisation socialeGIN004004</v>
      </c>
      <c r="M648" s="71">
        <f>COUNTIF($L$5:L648,Main3WData[[#This Row],[PT.Concat]])</f>
        <v>3</v>
      </c>
      <c r="N648" s="70">
        <f>MATCH(Main3WData[[#This Row],[PT.Concat]],$L$5:L648,0)</f>
        <v>642</v>
      </c>
      <c r="O648" s="62" t="b">
        <f>Main3WData[[#This Row],[Count PT.Concat]]=1</f>
        <v>0</v>
      </c>
      <c r="P648" s="62">
        <f t="array" ref="P648">MAX(($N$4:N647=Main3WData[[#This Row],[PT.ID]])*ROW($N$4:N647))</f>
        <v>647</v>
      </c>
      <c r="Q648" s="62" t="str">
        <f>IF(Main3WData[[#This Row],[PT.FirstID]],Main3WData[[#This Row],[Acronym]],INDEX($Q$4:Q647,Main3WData[[#This Row],[PT.LastID.Row]]-ROW($Q$4)+1) &amp; ", "&amp;Main3WData[[#This Row],[Acronym]])</f>
        <v>UNICEF, UNFPA, PLAN</v>
      </c>
      <c r="R648" s="62" t="b">
        <f t="array" ref="R648">MAX(IF(Main3WData[PT.ID]=Main3WData[[#This Row],[PT.ID]],Main3WData[PT.LastID.Row]))=Main3WData[[#This Row],[PT.LastID.Row]]</f>
        <v>0</v>
      </c>
    </row>
    <row r="649" spans="2:18" x14ac:dyDescent="0.2">
      <c r="B649" s="55" t="s">
        <v>512</v>
      </c>
      <c r="C649" s="27" t="str">
        <f>INDEX(Organizations[],MATCH(Main3WData[[#This Row],[Acronym]],AcronymList,0),1)</f>
        <v>World Health Organization</v>
      </c>
      <c r="D649" s="27" t="str">
        <f>INDEX(Organizations[],MATCH(Main3WData[[#This Row],[Acronym]],AcronymList,0),3)</f>
        <v>UN Agency</v>
      </c>
      <c r="E649" s="54" t="s">
        <v>350</v>
      </c>
      <c r="F649" s="53" t="s">
        <v>82</v>
      </c>
      <c r="G649" s="54" t="s">
        <v>392</v>
      </c>
      <c r="H649" s="28" t="str">
        <f>VLOOKUP(Main3WData[[#This Row],[Admin Unit Name]],AdminUnits[],2,FALSE)</f>
        <v>GIN004004</v>
      </c>
      <c r="I649" s="57">
        <v>0</v>
      </c>
      <c r="J649" s="67" t="str">
        <f>Main3WData[[#This Row],[Acronym]]&amp;Main3WData[[#This Row],[Sector]]&amp;Main3WData[[#This Row],[Activity Type]]&amp;Main3WData[[#This Row],[Pcode]]</f>
        <v>OMSCommunication/Mobilisation socialeOngoingGIN004004</v>
      </c>
      <c r="K649" s="69">
        <f>COUNTIF(Main3WData[Concatenate],Main3WData[[#This Row],[Concatenate]])</f>
        <v>1</v>
      </c>
      <c r="L649" s="61" t="str">
        <f>Main3WData[[#This Row],[Sector]]&amp;Main3WData[[#This Row],[Pcode]]</f>
        <v>Communication/Mobilisation socialeGIN004004</v>
      </c>
      <c r="M649" s="71">
        <f>COUNTIF($L$5:L649,Main3WData[[#This Row],[PT.Concat]])</f>
        <v>4</v>
      </c>
      <c r="N649" s="70">
        <f>MATCH(Main3WData[[#This Row],[PT.Concat]],$L$5:L649,0)</f>
        <v>642</v>
      </c>
      <c r="O649" s="62" t="b">
        <f>Main3WData[[#This Row],[Count PT.Concat]]=1</f>
        <v>0</v>
      </c>
      <c r="P649" s="62">
        <f t="array" ref="P649">MAX(($N$4:N648=Main3WData[[#This Row],[PT.ID]])*ROW($N$4:N648))</f>
        <v>648</v>
      </c>
      <c r="Q649" s="62" t="str">
        <f>IF(Main3WData[[#This Row],[PT.FirstID]],Main3WData[[#This Row],[Acronym]],INDEX($Q$4:Q648,Main3WData[[#This Row],[PT.LastID.Row]]-ROW($Q$4)+1) &amp; ", "&amp;Main3WData[[#This Row],[Acronym]])</f>
        <v>UNICEF, UNFPA, PLAN, OMS</v>
      </c>
      <c r="R649" s="62" t="b">
        <f t="array" ref="R649">MAX(IF(Main3WData[PT.ID]=Main3WData[[#This Row],[PT.ID]],Main3WData[PT.LastID.Row]))=Main3WData[[#This Row],[PT.LastID.Row]]</f>
        <v>0</v>
      </c>
    </row>
    <row r="650" spans="2:18" x14ac:dyDescent="0.2">
      <c r="B650" s="55" t="s">
        <v>499</v>
      </c>
      <c r="C650" s="27" t="str">
        <f>INDEX(Organizations[],MATCH(Main3WData[[#This Row],[Acronym]],AcronymList,0),1)</f>
        <v>Croix-Rouge Guinée/Fédération internationale de la Croix-Rouge</v>
      </c>
      <c r="D650" s="27" t="str">
        <f>INDEX(Organizations[],MATCH(Main3WData[[#This Row],[Acronym]],AcronymList,0),3)</f>
        <v>International Organization</v>
      </c>
      <c r="E650" s="54" t="s">
        <v>350</v>
      </c>
      <c r="F650" s="53" t="s">
        <v>82</v>
      </c>
      <c r="G650" s="54" t="s">
        <v>392</v>
      </c>
      <c r="H650" s="28" t="str">
        <f>VLOOKUP(Main3WData[[#This Row],[Admin Unit Name]],AdminUnits[],2,FALSE)</f>
        <v>GIN004004</v>
      </c>
      <c r="I650" s="57">
        <v>0</v>
      </c>
      <c r="J650" s="67" t="str">
        <f>Main3WData[[#This Row],[Acronym]]&amp;Main3WData[[#This Row],[Sector]]&amp;Main3WData[[#This Row],[Activity Type]]&amp;Main3WData[[#This Row],[Pcode]]</f>
        <v>CRG/FICRCommunication/Mobilisation socialeOngoingGIN004004</v>
      </c>
      <c r="K650" s="69">
        <f>COUNTIF(Main3WData[Concatenate],Main3WData[[#This Row],[Concatenate]])</f>
        <v>1</v>
      </c>
      <c r="L650" s="61" t="str">
        <f>Main3WData[[#This Row],[Sector]]&amp;Main3WData[[#This Row],[Pcode]]</f>
        <v>Communication/Mobilisation socialeGIN004004</v>
      </c>
      <c r="M650" s="71">
        <f>COUNTIF($L$5:L650,Main3WData[[#This Row],[PT.Concat]])</f>
        <v>5</v>
      </c>
      <c r="N650" s="70">
        <f>MATCH(Main3WData[[#This Row],[PT.Concat]],$L$5:L650,0)</f>
        <v>642</v>
      </c>
      <c r="O650" s="62" t="b">
        <f>Main3WData[[#This Row],[Count PT.Concat]]=1</f>
        <v>0</v>
      </c>
      <c r="P650" s="62">
        <f t="array" ref="P650">MAX(($N$4:N649=Main3WData[[#This Row],[PT.ID]])*ROW($N$4:N649))</f>
        <v>649</v>
      </c>
      <c r="Q650" s="62" t="str">
        <f>IF(Main3WData[[#This Row],[PT.FirstID]],Main3WData[[#This Row],[Acronym]],INDEX($Q$4:Q649,Main3WData[[#This Row],[PT.LastID.Row]]-ROW($Q$4)+1) &amp; ", "&amp;Main3WData[[#This Row],[Acronym]])</f>
        <v>UNICEF, UNFPA, PLAN, OMS, CRG/FICR</v>
      </c>
      <c r="R650" s="62" t="b">
        <f t="array" ref="R650">MAX(IF(Main3WData[PT.ID]=Main3WData[[#This Row],[PT.ID]],Main3WData[PT.LastID.Row]))=Main3WData[[#This Row],[PT.LastID.Row]]</f>
        <v>1</v>
      </c>
    </row>
    <row r="651" spans="2:18" x14ac:dyDescent="0.2">
      <c r="B651" s="55" t="s">
        <v>516</v>
      </c>
      <c r="C651" s="27" t="str">
        <f>INDEX(Organizations[],MATCH(Main3WData[[#This Row],[Acronym]],AcronymList,0),1)</f>
        <v>UNITED NATION MISSION FOR EBOLA  EMERGENCY RESPONSE</v>
      </c>
      <c r="D651" s="27" t="str">
        <f>INDEX(Organizations[],MATCH(Main3WData[[#This Row],[Acronym]],AcronymList,0),3)</f>
        <v>UN Agency</v>
      </c>
      <c r="E651" s="54" t="s">
        <v>360</v>
      </c>
      <c r="F651" s="53" t="s">
        <v>82</v>
      </c>
      <c r="G651" s="54" t="s">
        <v>392</v>
      </c>
      <c r="H651" s="28" t="str">
        <f>VLOOKUP(Main3WData[[#This Row],[Admin Unit Name]],AdminUnits[],2,FALSE)</f>
        <v>GIN004004</v>
      </c>
      <c r="I651" s="57">
        <v>0</v>
      </c>
      <c r="J651" s="67" t="str">
        <f>Main3WData[[#This Row],[Acronym]]&amp;Main3WData[[#This Row],[Sector]]&amp;Main3WData[[#This Row],[Activity Type]]&amp;Main3WData[[#This Row],[Pcode]]</f>
        <v>UNMEERCoordinationOngoingGIN004004</v>
      </c>
      <c r="K651" s="69">
        <f>COUNTIF(Main3WData[Concatenate],Main3WData[[#This Row],[Concatenate]])</f>
        <v>1</v>
      </c>
      <c r="L651" s="61" t="str">
        <f>Main3WData[[#This Row],[Sector]]&amp;Main3WData[[#This Row],[Pcode]]</f>
        <v>CoordinationGIN004004</v>
      </c>
      <c r="M651" s="71">
        <f>COUNTIF($L$5:L651,Main3WData[[#This Row],[PT.Concat]])</f>
        <v>1</v>
      </c>
      <c r="N651" s="70">
        <f>MATCH(Main3WData[[#This Row],[PT.Concat]],$L$5:L651,0)</f>
        <v>647</v>
      </c>
      <c r="O651" s="62" t="b">
        <f>Main3WData[[#This Row],[Count PT.Concat]]=1</f>
        <v>1</v>
      </c>
      <c r="P651" s="62">
        <f t="array" ref="P651">MAX(($N$4:N650=Main3WData[[#This Row],[PT.ID]])*ROW($N$4:N650))</f>
        <v>0</v>
      </c>
      <c r="Q651" s="62" t="str">
        <f>IF(Main3WData[[#This Row],[PT.FirstID]],Main3WData[[#This Row],[Acronym]],INDEX($Q$4:Q650,Main3WData[[#This Row],[PT.LastID.Row]]-ROW($Q$4)+1) &amp; ", "&amp;Main3WData[[#This Row],[Acronym]])</f>
        <v>UNMEER</v>
      </c>
      <c r="R651" s="62" t="b">
        <f t="array" ref="R651">MAX(IF(Main3WData[PT.ID]=Main3WData[[#This Row],[PT.ID]],Main3WData[PT.LastID.Row]))=Main3WData[[#This Row],[PT.LastID.Row]]</f>
        <v>0</v>
      </c>
    </row>
    <row r="652" spans="2:18" x14ac:dyDescent="0.2">
      <c r="B652" s="55" t="s">
        <v>75</v>
      </c>
      <c r="C652" s="27" t="str">
        <f>INDEX(Organizations[],MATCH(Main3WData[[#This Row],[Acronym]],AcronymList,0),1)</f>
        <v>United Nations Population Fund</v>
      </c>
      <c r="D652" s="27" t="str">
        <f>INDEX(Organizations[],MATCH(Main3WData[[#This Row],[Acronym]],AcronymList,0),3)</f>
        <v>UN Agency</v>
      </c>
      <c r="E652" s="54" t="s">
        <v>360</v>
      </c>
      <c r="F652" s="53" t="s">
        <v>82</v>
      </c>
      <c r="G652" s="54" t="s">
        <v>392</v>
      </c>
      <c r="H652" s="28" t="str">
        <f>VLOOKUP(Main3WData[[#This Row],[Admin Unit Name]],AdminUnits[],2,FALSE)</f>
        <v>GIN004004</v>
      </c>
      <c r="I652" s="57">
        <v>0</v>
      </c>
      <c r="J652" s="67" t="str">
        <f>Main3WData[[#This Row],[Acronym]]&amp;Main3WData[[#This Row],[Sector]]&amp;Main3WData[[#This Row],[Activity Type]]&amp;Main3WData[[#This Row],[Pcode]]</f>
        <v>UNFPACoordinationOngoingGIN004004</v>
      </c>
      <c r="K652" s="69">
        <f>COUNTIF(Main3WData[Concatenate],Main3WData[[#This Row],[Concatenate]])</f>
        <v>1</v>
      </c>
      <c r="L652" s="61" t="str">
        <f>Main3WData[[#This Row],[Sector]]&amp;Main3WData[[#This Row],[Pcode]]</f>
        <v>CoordinationGIN004004</v>
      </c>
      <c r="M652" s="71">
        <f>COUNTIF($L$5:L652,Main3WData[[#This Row],[PT.Concat]])</f>
        <v>2</v>
      </c>
      <c r="N652" s="70">
        <f>MATCH(Main3WData[[#This Row],[PT.Concat]],$L$5:L652,0)</f>
        <v>647</v>
      </c>
      <c r="O652" s="62" t="b">
        <f>Main3WData[[#This Row],[Count PT.Concat]]=1</f>
        <v>0</v>
      </c>
      <c r="P652" s="62">
        <f t="array" ref="P652">MAX(($N$4:N651=Main3WData[[#This Row],[PT.ID]])*ROW($N$4:N651))</f>
        <v>651</v>
      </c>
      <c r="Q652" s="62" t="str">
        <f>IF(Main3WData[[#This Row],[PT.FirstID]],Main3WData[[#This Row],[Acronym]],INDEX($Q$4:Q651,Main3WData[[#This Row],[PT.LastID.Row]]-ROW($Q$4)+1) &amp; ", "&amp;Main3WData[[#This Row],[Acronym]])</f>
        <v>UNMEER, UNFPA</v>
      </c>
      <c r="R652" s="62" t="b">
        <f t="array" ref="R652">MAX(IF(Main3WData[PT.ID]=Main3WData[[#This Row],[PT.ID]],Main3WData[PT.LastID.Row]))=Main3WData[[#This Row],[PT.LastID.Row]]</f>
        <v>0</v>
      </c>
    </row>
    <row r="653" spans="2:18" x14ac:dyDescent="0.2">
      <c r="B653" s="55" t="s">
        <v>473</v>
      </c>
      <c r="C653" s="27" t="str">
        <f>INDEX(Organizations[],MATCH(Main3WData[[#This Row],[Acronym]],AcronymList,0),1)</f>
        <v>United Nations Development Programme</v>
      </c>
      <c r="D653" s="27" t="str">
        <f>INDEX(Organizations[],MATCH(Main3WData[[#This Row],[Acronym]],AcronymList,0),3)</f>
        <v>UN Agency</v>
      </c>
      <c r="E653" s="54" t="s">
        <v>360</v>
      </c>
      <c r="F653" s="53" t="s">
        <v>82</v>
      </c>
      <c r="G653" s="54" t="s">
        <v>392</v>
      </c>
      <c r="H653" s="28" t="str">
        <f>VLOOKUP(Main3WData[[#This Row],[Admin Unit Name]],AdminUnits[],2,FALSE)</f>
        <v>GIN004004</v>
      </c>
      <c r="I653" s="57">
        <v>0</v>
      </c>
      <c r="J653" s="67" t="str">
        <f>Main3WData[[#This Row],[Acronym]]&amp;Main3WData[[#This Row],[Sector]]&amp;Main3WData[[#This Row],[Activity Type]]&amp;Main3WData[[#This Row],[Pcode]]</f>
        <v>UNDPCoordinationOngoingGIN004004</v>
      </c>
      <c r="K653" s="69">
        <f>COUNTIF(Main3WData[Concatenate],Main3WData[[#This Row],[Concatenate]])</f>
        <v>1</v>
      </c>
      <c r="L653" s="61" t="str">
        <f>Main3WData[[#This Row],[Sector]]&amp;Main3WData[[#This Row],[Pcode]]</f>
        <v>CoordinationGIN004004</v>
      </c>
      <c r="M653" s="71">
        <f>COUNTIF($L$5:L653,Main3WData[[#This Row],[PT.Concat]])</f>
        <v>3</v>
      </c>
      <c r="N653" s="70">
        <f>MATCH(Main3WData[[#This Row],[PT.Concat]],$L$5:L653,0)</f>
        <v>647</v>
      </c>
      <c r="O653" s="62" t="b">
        <f>Main3WData[[#This Row],[Count PT.Concat]]=1</f>
        <v>0</v>
      </c>
      <c r="P653" s="62">
        <f t="array" ref="P653">MAX(($N$4:N652=Main3WData[[#This Row],[PT.ID]])*ROW($N$4:N652))</f>
        <v>652</v>
      </c>
      <c r="Q653" s="62" t="str">
        <f>IF(Main3WData[[#This Row],[PT.FirstID]],Main3WData[[#This Row],[Acronym]],INDEX($Q$4:Q652,Main3WData[[#This Row],[PT.LastID.Row]]-ROW($Q$4)+1) &amp; ", "&amp;Main3WData[[#This Row],[Acronym]])</f>
        <v>UNMEER, UNFPA, UNDP</v>
      </c>
      <c r="R653" s="62" t="b">
        <f t="array" ref="R653">MAX(IF(Main3WData[PT.ID]=Main3WData[[#This Row],[PT.ID]],Main3WData[PT.LastID.Row]))=Main3WData[[#This Row],[PT.LastID.Row]]</f>
        <v>0</v>
      </c>
    </row>
    <row r="654" spans="2:18" x14ac:dyDescent="0.2">
      <c r="B654" s="55" t="s">
        <v>512</v>
      </c>
      <c r="C654" s="27" t="str">
        <f>INDEX(Organizations[],MATCH(Main3WData[[#This Row],[Acronym]],AcronymList,0),1)</f>
        <v>World Health Organization</v>
      </c>
      <c r="D654" s="27" t="str">
        <f>INDEX(Organizations[],MATCH(Main3WData[[#This Row],[Acronym]],AcronymList,0),3)</f>
        <v>UN Agency</v>
      </c>
      <c r="E654" s="54" t="s">
        <v>360</v>
      </c>
      <c r="F654" s="53" t="s">
        <v>82</v>
      </c>
      <c r="G654" s="54" t="s">
        <v>392</v>
      </c>
      <c r="H654" s="28" t="str">
        <f>VLOOKUP(Main3WData[[#This Row],[Admin Unit Name]],AdminUnits[],2,FALSE)</f>
        <v>GIN004004</v>
      </c>
      <c r="I654" s="57">
        <v>0</v>
      </c>
      <c r="J654" s="67" t="str">
        <f>Main3WData[[#This Row],[Acronym]]&amp;Main3WData[[#This Row],[Sector]]&amp;Main3WData[[#This Row],[Activity Type]]&amp;Main3WData[[#This Row],[Pcode]]</f>
        <v>OMSCoordinationOngoingGIN004004</v>
      </c>
      <c r="K654" s="69">
        <f>COUNTIF(Main3WData[Concatenate],Main3WData[[#This Row],[Concatenate]])</f>
        <v>1</v>
      </c>
      <c r="L654" s="61" t="str">
        <f>Main3WData[[#This Row],[Sector]]&amp;Main3WData[[#This Row],[Pcode]]</f>
        <v>CoordinationGIN004004</v>
      </c>
      <c r="M654" s="71">
        <f>COUNTIF($L$5:L654,Main3WData[[#This Row],[PT.Concat]])</f>
        <v>4</v>
      </c>
      <c r="N654" s="70">
        <f>MATCH(Main3WData[[#This Row],[PT.Concat]],$L$5:L654,0)</f>
        <v>647</v>
      </c>
      <c r="O654" s="62" t="b">
        <f>Main3WData[[#This Row],[Count PT.Concat]]=1</f>
        <v>0</v>
      </c>
      <c r="P654" s="62">
        <f t="array" ref="P654">MAX(($N$4:N653=Main3WData[[#This Row],[PT.ID]])*ROW($N$4:N653))</f>
        <v>653</v>
      </c>
      <c r="Q654" s="62" t="str">
        <f>IF(Main3WData[[#This Row],[PT.FirstID]],Main3WData[[#This Row],[Acronym]],INDEX($Q$4:Q653,Main3WData[[#This Row],[PT.LastID.Row]]-ROW($Q$4)+1) &amp; ", "&amp;Main3WData[[#This Row],[Acronym]])</f>
        <v>UNMEER, UNFPA, UNDP, OMS</v>
      </c>
      <c r="R654" s="62" t="b">
        <f t="array" ref="R654">MAX(IF(Main3WData[PT.ID]=Main3WData[[#This Row],[PT.ID]],Main3WData[PT.LastID.Row]))=Main3WData[[#This Row],[PT.LastID.Row]]</f>
        <v>0</v>
      </c>
    </row>
    <row r="655" spans="2:18" x14ac:dyDescent="0.2">
      <c r="B655" s="55" t="s">
        <v>71</v>
      </c>
      <c r="C655" s="27" t="str">
        <f>INDEX(Organizations[],MATCH(Main3WData[[#This Row],[Acronym]],AcronymList,0),1)</f>
        <v>Medecins sans Frontieres</v>
      </c>
      <c r="D655" s="27" t="str">
        <f>INDEX(Organizations[],MATCH(Main3WData[[#This Row],[Acronym]],AcronymList,0),3)</f>
        <v>International NGO</v>
      </c>
      <c r="E655" s="54" t="s">
        <v>360</v>
      </c>
      <c r="F655" s="53" t="s">
        <v>82</v>
      </c>
      <c r="G655" s="54" t="s">
        <v>392</v>
      </c>
      <c r="H655" s="28" t="str">
        <f>VLOOKUP(Main3WData[[#This Row],[Admin Unit Name]],AdminUnits[],2,FALSE)</f>
        <v>GIN004004</v>
      </c>
      <c r="I655" s="57">
        <v>0</v>
      </c>
      <c r="J655" s="67" t="str">
        <f>Main3WData[[#This Row],[Acronym]]&amp;Main3WData[[#This Row],[Sector]]&amp;Main3WData[[#This Row],[Activity Type]]&amp;Main3WData[[#This Row],[Pcode]]</f>
        <v>MSFCoordinationOngoingGIN004004</v>
      </c>
      <c r="K655" s="69">
        <f>COUNTIF(Main3WData[Concatenate],Main3WData[[#This Row],[Concatenate]])</f>
        <v>1</v>
      </c>
      <c r="L655" s="61" t="str">
        <f>Main3WData[[#This Row],[Sector]]&amp;Main3WData[[#This Row],[Pcode]]</f>
        <v>CoordinationGIN004004</v>
      </c>
      <c r="M655" s="71">
        <f>COUNTIF($L$5:L655,Main3WData[[#This Row],[PT.Concat]])</f>
        <v>5</v>
      </c>
      <c r="N655" s="70">
        <f>MATCH(Main3WData[[#This Row],[PT.Concat]],$L$5:L655,0)</f>
        <v>647</v>
      </c>
      <c r="O655" s="62" t="b">
        <f>Main3WData[[#This Row],[Count PT.Concat]]=1</f>
        <v>0</v>
      </c>
      <c r="P655" s="62">
        <f t="array" ref="P655">MAX(($N$4:N654=Main3WData[[#This Row],[PT.ID]])*ROW($N$4:N654))</f>
        <v>654</v>
      </c>
      <c r="Q655" s="62" t="str">
        <f>IF(Main3WData[[#This Row],[PT.FirstID]],Main3WData[[#This Row],[Acronym]],INDEX($Q$4:Q654,Main3WData[[#This Row],[PT.LastID.Row]]-ROW($Q$4)+1) &amp; ", "&amp;Main3WData[[#This Row],[Acronym]])</f>
        <v>UNMEER, UNFPA, UNDP, OMS, MSF</v>
      </c>
      <c r="R655" s="62" t="b">
        <f t="array" ref="R655">MAX(IF(Main3WData[PT.ID]=Main3WData[[#This Row],[PT.ID]],Main3WData[PT.LastID.Row]))=Main3WData[[#This Row],[PT.LastID.Row]]</f>
        <v>0</v>
      </c>
    </row>
    <row r="656" spans="2:18" x14ac:dyDescent="0.2">
      <c r="B656" s="55" t="s">
        <v>507</v>
      </c>
      <c r="C656" s="27" t="str">
        <f>INDEX(Organizations[],MATCH(Main3WData[[#This Row],[Acronym]],AcronymList,0),1)</f>
        <v>eHealth Africa</v>
      </c>
      <c r="D656" s="27" t="str">
        <f>INDEX(Organizations[],MATCH(Main3WData[[#This Row],[Acronym]],AcronymList,0),3)</f>
        <v>International Organization</v>
      </c>
      <c r="E656" s="54" t="s">
        <v>360</v>
      </c>
      <c r="F656" s="53" t="s">
        <v>82</v>
      </c>
      <c r="G656" s="54" t="s">
        <v>392</v>
      </c>
      <c r="H656" s="28" t="str">
        <f>VLOOKUP(Main3WData[[#This Row],[Admin Unit Name]],AdminUnits[],2,FALSE)</f>
        <v>GIN004004</v>
      </c>
      <c r="I656" s="57">
        <v>0</v>
      </c>
      <c r="J656" s="67" t="str">
        <f>Main3WData[[#This Row],[Acronym]]&amp;Main3WData[[#This Row],[Sector]]&amp;Main3WData[[#This Row],[Activity Type]]&amp;Main3WData[[#This Row],[Pcode]]</f>
        <v>eHealth AfricaCoordinationOngoingGIN004004</v>
      </c>
      <c r="K656" s="69">
        <f>COUNTIF(Main3WData[Concatenate],Main3WData[[#This Row],[Concatenate]])</f>
        <v>1</v>
      </c>
      <c r="L656" s="61" t="str">
        <f>Main3WData[[#This Row],[Sector]]&amp;Main3WData[[#This Row],[Pcode]]</f>
        <v>CoordinationGIN004004</v>
      </c>
      <c r="M656" s="71">
        <f>COUNTIF($L$5:L656,Main3WData[[#This Row],[PT.Concat]])</f>
        <v>6</v>
      </c>
      <c r="N656" s="70">
        <f>MATCH(Main3WData[[#This Row],[PT.Concat]],$L$5:L656,0)</f>
        <v>647</v>
      </c>
      <c r="O656" s="62" t="b">
        <f>Main3WData[[#This Row],[Count PT.Concat]]=1</f>
        <v>0</v>
      </c>
      <c r="P656" s="62">
        <f t="array" ref="P656">MAX(($N$4:N655=Main3WData[[#This Row],[PT.ID]])*ROW($N$4:N655))</f>
        <v>655</v>
      </c>
      <c r="Q656" s="62" t="str">
        <f>IF(Main3WData[[#This Row],[PT.FirstID]],Main3WData[[#This Row],[Acronym]],INDEX($Q$4:Q655,Main3WData[[#This Row],[PT.LastID.Row]]-ROW($Q$4)+1) &amp; ", "&amp;Main3WData[[#This Row],[Acronym]])</f>
        <v>UNMEER, UNFPA, UNDP, OMS, MSF, eHealth Africa</v>
      </c>
      <c r="R656" s="62" t="b">
        <f t="array" ref="R656">MAX(IF(Main3WData[PT.ID]=Main3WData[[#This Row],[PT.ID]],Main3WData[PT.LastID.Row]))=Main3WData[[#This Row],[PT.LastID.Row]]</f>
        <v>1</v>
      </c>
    </row>
    <row r="657" spans="2:18" x14ac:dyDescent="0.2">
      <c r="B657" s="55" t="s">
        <v>473</v>
      </c>
      <c r="C657" s="27" t="str">
        <f>INDEX(Organizations[],MATCH(Main3WData[[#This Row],[Acronym]],AcronymList,0),1)</f>
        <v>United Nations Development Programme</v>
      </c>
      <c r="D657" s="27" t="str">
        <f>INDEX(Organizations[],MATCH(Main3WData[[#This Row],[Acronym]],AcronymList,0),3)</f>
        <v>UN Agency</v>
      </c>
      <c r="E657" s="54" t="s">
        <v>359</v>
      </c>
      <c r="F657" s="53" t="s">
        <v>82</v>
      </c>
      <c r="G657" s="54" t="s">
        <v>392</v>
      </c>
      <c r="H657" s="28" t="str">
        <f>VLOOKUP(Main3WData[[#This Row],[Admin Unit Name]],AdminUnits[],2,FALSE)</f>
        <v>GIN004004</v>
      </c>
      <c r="I657" s="57">
        <v>0</v>
      </c>
      <c r="J657" s="67" t="str">
        <f>Main3WData[[#This Row],[Acronym]]&amp;Main3WData[[#This Row],[Sector]]&amp;Main3WData[[#This Row],[Activity Type]]&amp;Main3WData[[#This Row],[Pcode]]</f>
        <v>UNDPFinanceOngoingGIN004004</v>
      </c>
      <c r="K657" s="69">
        <f>COUNTIF(Main3WData[Concatenate],Main3WData[[#This Row],[Concatenate]])</f>
        <v>1</v>
      </c>
      <c r="L657" s="61" t="str">
        <f>Main3WData[[#This Row],[Sector]]&amp;Main3WData[[#This Row],[Pcode]]</f>
        <v>FinanceGIN004004</v>
      </c>
      <c r="M657" s="71">
        <f>COUNTIF($L$5:L657,Main3WData[[#This Row],[PT.Concat]])</f>
        <v>1</v>
      </c>
      <c r="N657" s="70">
        <f>MATCH(Main3WData[[#This Row],[PT.Concat]],$L$5:L657,0)</f>
        <v>653</v>
      </c>
      <c r="O657" s="62" t="b">
        <f>Main3WData[[#This Row],[Count PT.Concat]]=1</f>
        <v>1</v>
      </c>
      <c r="P657" s="62">
        <f t="array" ref="P657">MAX(($N$4:N656=Main3WData[[#This Row],[PT.ID]])*ROW($N$4:N656))</f>
        <v>0</v>
      </c>
      <c r="Q657" s="62" t="str">
        <f>IF(Main3WData[[#This Row],[PT.FirstID]],Main3WData[[#This Row],[Acronym]],INDEX($Q$4:Q656,Main3WData[[#This Row],[PT.LastID.Row]]-ROW($Q$4)+1) &amp; ", "&amp;Main3WData[[#This Row],[Acronym]])</f>
        <v>UNDP</v>
      </c>
      <c r="R657" s="62" t="b">
        <f t="array" ref="R657">MAX(IF(Main3WData[PT.ID]=Main3WData[[#This Row],[PT.ID]],Main3WData[PT.LastID.Row]))=Main3WData[[#This Row],[PT.LastID.Row]]</f>
        <v>1</v>
      </c>
    </row>
    <row r="658" spans="2:18" x14ac:dyDescent="0.2">
      <c r="B658" s="55" t="s">
        <v>451</v>
      </c>
      <c r="C658" s="27" t="str">
        <f>INDEX(Organizations[],MATCH(Main3WData[[#This Row],[Acronym]],AcronymList,0),1)</f>
        <v>Croix-Rouge Guinée</v>
      </c>
      <c r="D658" s="27" t="str">
        <f>INDEX(Organizations[],MATCH(Main3WData[[#This Row],[Acronym]],AcronymList,0),3)</f>
        <v>Red Cross Movement</v>
      </c>
      <c r="E658" s="54" t="s">
        <v>354</v>
      </c>
      <c r="F658" s="53" t="s">
        <v>82</v>
      </c>
      <c r="G658" s="54" t="s">
        <v>392</v>
      </c>
      <c r="H658" s="28" t="str">
        <f>VLOOKUP(Main3WData[[#This Row],[Admin Unit Name]],AdminUnits[],2,FALSE)</f>
        <v>GIN004004</v>
      </c>
      <c r="I658" s="57">
        <v>0</v>
      </c>
      <c r="J658" s="67" t="str">
        <f>Main3WData[[#This Row],[Acronym]]&amp;Main3WData[[#This Row],[Sector]]&amp;Main3WData[[#This Row],[Activity Type]]&amp;Main3WData[[#This Row],[Pcode]]</f>
        <v>CRGGestion des corps et desinfectionOngoingGIN004004</v>
      </c>
      <c r="K658" s="69">
        <f>COUNTIF(Main3WData[Concatenate],Main3WData[[#This Row],[Concatenate]])</f>
        <v>1</v>
      </c>
      <c r="L658" s="61" t="str">
        <f>Main3WData[[#This Row],[Sector]]&amp;Main3WData[[#This Row],[Pcode]]</f>
        <v>Gestion des corps et desinfectionGIN004004</v>
      </c>
      <c r="M658" s="71">
        <f>COUNTIF($L$5:L658,Main3WData[[#This Row],[PT.Concat]])</f>
        <v>1</v>
      </c>
      <c r="N658" s="70">
        <f>MATCH(Main3WData[[#This Row],[PT.Concat]],$L$5:L658,0)</f>
        <v>654</v>
      </c>
      <c r="O658" s="62" t="b">
        <f>Main3WData[[#This Row],[Count PT.Concat]]=1</f>
        <v>1</v>
      </c>
      <c r="P658" s="62">
        <f t="array" ref="P658">MAX(($N$4:N657=Main3WData[[#This Row],[PT.ID]])*ROW($N$4:N657))</f>
        <v>0</v>
      </c>
      <c r="Q658" s="62" t="str">
        <f>IF(Main3WData[[#This Row],[PT.FirstID]],Main3WData[[#This Row],[Acronym]],INDEX($Q$4:Q657,Main3WData[[#This Row],[PT.LastID.Row]]-ROW($Q$4)+1) &amp; ", "&amp;Main3WData[[#This Row],[Acronym]])</f>
        <v>CRG</v>
      </c>
      <c r="R658" s="62" t="b">
        <f t="array" ref="R658">MAX(IF(Main3WData[PT.ID]=Main3WData[[#This Row],[PT.ID]],Main3WData[PT.LastID.Row]))=Main3WData[[#This Row],[PT.LastID.Row]]</f>
        <v>1</v>
      </c>
    </row>
    <row r="659" spans="2:18" x14ac:dyDescent="0.2">
      <c r="B659" s="55" t="s">
        <v>516</v>
      </c>
      <c r="C659" s="27" t="str">
        <f>INDEX(Organizations[],MATCH(Main3WData[[#This Row],[Acronym]],AcronymList,0),1)</f>
        <v>UNITED NATION MISSION FOR EBOLA  EMERGENCY RESPONSE</v>
      </c>
      <c r="D659" s="27" t="str">
        <f>INDEX(Organizations[],MATCH(Main3WData[[#This Row],[Acronym]],AcronymList,0),3)</f>
        <v>UN Agency</v>
      </c>
      <c r="E659" s="54" t="s">
        <v>356</v>
      </c>
      <c r="F659" s="53" t="s">
        <v>82</v>
      </c>
      <c r="G659" s="54" t="s">
        <v>392</v>
      </c>
      <c r="H659" s="28" t="str">
        <f>VLOOKUP(Main3WData[[#This Row],[Admin Unit Name]],AdminUnits[],2,FALSE)</f>
        <v>GIN004004</v>
      </c>
      <c r="I659" s="57">
        <v>0</v>
      </c>
      <c r="J659" s="67" t="str">
        <f>Main3WData[[#This Row],[Acronym]]&amp;Main3WData[[#This Row],[Sector]]&amp;Main3WData[[#This Row],[Activity Type]]&amp;Main3WData[[#This Row],[Pcode]]</f>
        <v>UNMEERGestion des donnéesOngoingGIN004004</v>
      </c>
      <c r="K659" s="69">
        <f>COUNTIF(Main3WData[Concatenate],Main3WData[[#This Row],[Concatenate]])</f>
        <v>1</v>
      </c>
      <c r="L659" s="61" t="str">
        <f>Main3WData[[#This Row],[Sector]]&amp;Main3WData[[#This Row],[Pcode]]</f>
        <v>Gestion des donnéesGIN004004</v>
      </c>
      <c r="M659" s="71">
        <f>COUNTIF($L$5:L659,Main3WData[[#This Row],[PT.Concat]])</f>
        <v>1</v>
      </c>
      <c r="N659" s="70">
        <f>MATCH(Main3WData[[#This Row],[PT.Concat]],$L$5:L659,0)</f>
        <v>655</v>
      </c>
      <c r="O659" s="62" t="b">
        <f>Main3WData[[#This Row],[Count PT.Concat]]=1</f>
        <v>1</v>
      </c>
      <c r="P659" s="62">
        <f t="array" ref="P659">MAX(($N$4:N658=Main3WData[[#This Row],[PT.ID]])*ROW($N$4:N658))</f>
        <v>0</v>
      </c>
      <c r="Q659" s="62" t="str">
        <f>IF(Main3WData[[#This Row],[PT.FirstID]],Main3WData[[#This Row],[Acronym]],INDEX($Q$4:Q658,Main3WData[[#This Row],[PT.LastID.Row]]-ROW($Q$4)+1) &amp; ", "&amp;Main3WData[[#This Row],[Acronym]])</f>
        <v>UNMEER</v>
      </c>
      <c r="R659" s="62" t="b">
        <f t="array" ref="R659">MAX(IF(Main3WData[PT.ID]=Main3WData[[#This Row],[PT.ID]],Main3WData[PT.LastID.Row]))=Main3WData[[#This Row],[PT.LastID.Row]]</f>
        <v>0</v>
      </c>
    </row>
    <row r="660" spans="2:18" x14ac:dyDescent="0.2">
      <c r="B660" s="55" t="s">
        <v>473</v>
      </c>
      <c r="C660" s="27" t="str">
        <f>INDEX(Organizations[],MATCH(Main3WData[[#This Row],[Acronym]],AcronymList,0),1)</f>
        <v>United Nations Development Programme</v>
      </c>
      <c r="D660" s="27" t="str">
        <f>INDEX(Organizations[],MATCH(Main3WData[[#This Row],[Acronym]],AcronymList,0),3)</f>
        <v>UN Agency</v>
      </c>
      <c r="E660" s="54" t="s">
        <v>356</v>
      </c>
      <c r="F660" s="53" t="s">
        <v>82</v>
      </c>
      <c r="G660" s="54" t="s">
        <v>392</v>
      </c>
      <c r="H660" s="28" t="str">
        <f>VLOOKUP(Main3WData[[#This Row],[Admin Unit Name]],AdminUnits[],2,FALSE)</f>
        <v>GIN004004</v>
      </c>
      <c r="I660" s="57">
        <v>0</v>
      </c>
      <c r="J660" s="67" t="str">
        <f>Main3WData[[#This Row],[Acronym]]&amp;Main3WData[[#This Row],[Sector]]&amp;Main3WData[[#This Row],[Activity Type]]&amp;Main3WData[[#This Row],[Pcode]]</f>
        <v>UNDPGestion des donnéesOngoingGIN004004</v>
      </c>
      <c r="K660" s="69">
        <f>COUNTIF(Main3WData[Concatenate],Main3WData[[#This Row],[Concatenate]])</f>
        <v>1</v>
      </c>
      <c r="L660" s="61" t="str">
        <f>Main3WData[[#This Row],[Sector]]&amp;Main3WData[[#This Row],[Pcode]]</f>
        <v>Gestion des donnéesGIN004004</v>
      </c>
      <c r="M660" s="71">
        <f>COUNTIF($L$5:L660,Main3WData[[#This Row],[PT.Concat]])</f>
        <v>2</v>
      </c>
      <c r="N660" s="70">
        <f>MATCH(Main3WData[[#This Row],[PT.Concat]],$L$5:L660,0)</f>
        <v>655</v>
      </c>
      <c r="O660" s="62" t="b">
        <f>Main3WData[[#This Row],[Count PT.Concat]]=1</f>
        <v>0</v>
      </c>
      <c r="P660" s="62">
        <f t="array" ref="P660">MAX(($N$4:N659=Main3WData[[#This Row],[PT.ID]])*ROW($N$4:N659))</f>
        <v>659</v>
      </c>
      <c r="Q660" s="62" t="str">
        <f>IF(Main3WData[[#This Row],[PT.FirstID]],Main3WData[[#This Row],[Acronym]],INDEX($Q$4:Q659,Main3WData[[#This Row],[PT.LastID.Row]]-ROW($Q$4)+1) &amp; ", "&amp;Main3WData[[#This Row],[Acronym]])</f>
        <v>UNMEER, UNDP</v>
      </c>
      <c r="R660" s="62" t="b">
        <f t="array" ref="R660">MAX(IF(Main3WData[PT.ID]=Main3WData[[#This Row],[PT.ID]],Main3WData[PT.LastID.Row]))=Main3WData[[#This Row],[PT.LastID.Row]]</f>
        <v>0</v>
      </c>
    </row>
    <row r="661" spans="2:18" x14ac:dyDescent="0.2">
      <c r="B661" s="55" t="s">
        <v>512</v>
      </c>
      <c r="C661" s="27" t="str">
        <f>INDEX(Organizations[],MATCH(Main3WData[[#This Row],[Acronym]],AcronymList,0),1)</f>
        <v>World Health Organization</v>
      </c>
      <c r="D661" s="27" t="str">
        <f>INDEX(Organizations[],MATCH(Main3WData[[#This Row],[Acronym]],AcronymList,0),3)</f>
        <v>UN Agency</v>
      </c>
      <c r="E661" s="54" t="s">
        <v>356</v>
      </c>
      <c r="F661" s="53" t="s">
        <v>82</v>
      </c>
      <c r="G661" s="54" t="s">
        <v>392</v>
      </c>
      <c r="H661" s="28" t="str">
        <f>VLOOKUP(Main3WData[[#This Row],[Admin Unit Name]],AdminUnits[],2,FALSE)</f>
        <v>GIN004004</v>
      </c>
      <c r="I661" s="57">
        <v>0</v>
      </c>
      <c r="J661" s="67" t="str">
        <f>Main3WData[[#This Row],[Acronym]]&amp;Main3WData[[#This Row],[Sector]]&amp;Main3WData[[#This Row],[Activity Type]]&amp;Main3WData[[#This Row],[Pcode]]</f>
        <v>OMSGestion des donnéesOngoingGIN004004</v>
      </c>
      <c r="K661" s="69">
        <f>COUNTIF(Main3WData[Concatenate],Main3WData[[#This Row],[Concatenate]])</f>
        <v>1</v>
      </c>
      <c r="L661" s="61" t="str">
        <f>Main3WData[[#This Row],[Sector]]&amp;Main3WData[[#This Row],[Pcode]]</f>
        <v>Gestion des donnéesGIN004004</v>
      </c>
      <c r="M661" s="71">
        <f>COUNTIF($L$5:L661,Main3WData[[#This Row],[PT.Concat]])</f>
        <v>3</v>
      </c>
      <c r="N661" s="70">
        <f>MATCH(Main3WData[[#This Row],[PT.Concat]],$L$5:L661,0)</f>
        <v>655</v>
      </c>
      <c r="O661" s="62" t="b">
        <f>Main3WData[[#This Row],[Count PT.Concat]]=1</f>
        <v>0</v>
      </c>
      <c r="P661" s="62">
        <f t="array" ref="P661">MAX(($N$4:N660=Main3WData[[#This Row],[PT.ID]])*ROW($N$4:N660))</f>
        <v>660</v>
      </c>
      <c r="Q661" s="62" t="str">
        <f>IF(Main3WData[[#This Row],[PT.FirstID]],Main3WData[[#This Row],[Acronym]],INDEX($Q$4:Q660,Main3WData[[#This Row],[PT.LastID.Row]]-ROW($Q$4)+1) &amp; ", "&amp;Main3WData[[#This Row],[Acronym]])</f>
        <v>UNMEER, UNDP, OMS</v>
      </c>
      <c r="R661" s="62" t="b">
        <f t="array" ref="R661">MAX(IF(Main3WData[PT.ID]=Main3WData[[#This Row],[PT.ID]],Main3WData[PT.LastID.Row]))=Main3WData[[#This Row],[PT.LastID.Row]]</f>
        <v>1</v>
      </c>
    </row>
    <row r="662" spans="2:18" x14ac:dyDescent="0.2">
      <c r="B662" s="55" t="s">
        <v>78</v>
      </c>
      <c r="C662" s="27" t="str">
        <f>INDEX(Organizations[],MATCH(Main3WData[[#This Row],[Acronym]],AcronymList,0),1)</f>
        <v>World Food Programme</v>
      </c>
      <c r="D662" s="27" t="str">
        <f>INDEX(Organizations[],MATCH(Main3WData[[#This Row],[Acronym]],AcronymList,0),3)</f>
        <v>UN Agency</v>
      </c>
      <c r="E662" s="54" t="s">
        <v>358</v>
      </c>
      <c r="F662" s="53" t="s">
        <v>82</v>
      </c>
      <c r="G662" s="54" t="s">
        <v>392</v>
      </c>
      <c r="H662" s="28" t="str">
        <f>VLOOKUP(Main3WData[[#This Row],[Admin Unit Name]],AdminUnits[],2,FALSE)</f>
        <v>GIN004004</v>
      </c>
      <c r="I662" s="57">
        <v>0</v>
      </c>
      <c r="J662" s="67" t="str">
        <f>Main3WData[[#This Row],[Acronym]]&amp;Main3WData[[#This Row],[Sector]]&amp;Main3WData[[#This Row],[Activity Type]]&amp;Main3WData[[#This Row],[Pcode]]</f>
        <v>WFPLogistiquesOngoingGIN004004</v>
      </c>
      <c r="K662" s="69">
        <f>COUNTIF(Main3WData[Concatenate],Main3WData[[#This Row],[Concatenate]])</f>
        <v>1</v>
      </c>
      <c r="L662" s="61" t="str">
        <f>Main3WData[[#This Row],[Sector]]&amp;Main3WData[[#This Row],[Pcode]]</f>
        <v>LogistiquesGIN004004</v>
      </c>
      <c r="M662" s="71">
        <f>COUNTIF($L$5:L662,Main3WData[[#This Row],[PT.Concat]])</f>
        <v>1</v>
      </c>
      <c r="N662" s="70">
        <f>MATCH(Main3WData[[#This Row],[PT.Concat]],$L$5:L662,0)</f>
        <v>658</v>
      </c>
      <c r="O662" s="62" t="b">
        <f>Main3WData[[#This Row],[Count PT.Concat]]=1</f>
        <v>1</v>
      </c>
      <c r="P662" s="62">
        <f t="array" ref="P662">MAX(($N$4:N661=Main3WData[[#This Row],[PT.ID]])*ROW($N$4:N661))</f>
        <v>0</v>
      </c>
      <c r="Q662" s="62" t="str">
        <f>IF(Main3WData[[#This Row],[PT.FirstID]],Main3WData[[#This Row],[Acronym]],INDEX($Q$4:Q661,Main3WData[[#This Row],[PT.LastID.Row]]-ROW($Q$4)+1) &amp; ", "&amp;Main3WData[[#This Row],[Acronym]])</f>
        <v>WFP</v>
      </c>
      <c r="R662" s="62" t="b">
        <f t="array" ref="R662">MAX(IF(Main3WData[PT.ID]=Main3WData[[#This Row],[PT.ID]],Main3WData[PT.LastID.Row]))=Main3WData[[#This Row],[PT.LastID.Row]]</f>
        <v>0</v>
      </c>
    </row>
    <row r="663" spans="2:18" x14ac:dyDescent="0.2">
      <c r="B663" s="55" t="s">
        <v>516</v>
      </c>
      <c r="C663" s="27" t="str">
        <f>INDEX(Organizations[],MATCH(Main3WData[[#This Row],[Acronym]],AcronymList,0),1)</f>
        <v>UNITED NATION MISSION FOR EBOLA  EMERGENCY RESPONSE</v>
      </c>
      <c r="D663" s="27" t="str">
        <f>INDEX(Organizations[],MATCH(Main3WData[[#This Row],[Acronym]],AcronymList,0),3)</f>
        <v>UN Agency</v>
      </c>
      <c r="E663" s="54" t="s">
        <v>358</v>
      </c>
      <c r="F663" s="53" t="s">
        <v>82</v>
      </c>
      <c r="G663" s="54" t="s">
        <v>392</v>
      </c>
      <c r="H663" s="28" t="str">
        <f>VLOOKUP(Main3WData[[#This Row],[Admin Unit Name]],AdminUnits[],2,FALSE)</f>
        <v>GIN004004</v>
      </c>
      <c r="I663" s="57">
        <v>0</v>
      </c>
      <c r="J663" s="67" t="str">
        <f>Main3WData[[#This Row],[Acronym]]&amp;Main3WData[[#This Row],[Sector]]&amp;Main3WData[[#This Row],[Activity Type]]&amp;Main3WData[[#This Row],[Pcode]]</f>
        <v>UNMEERLogistiquesOngoingGIN004004</v>
      </c>
      <c r="K663" s="69">
        <f>COUNTIF(Main3WData[Concatenate],Main3WData[[#This Row],[Concatenate]])</f>
        <v>1</v>
      </c>
      <c r="L663" s="61" t="str">
        <f>Main3WData[[#This Row],[Sector]]&amp;Main3WData[[#This Row],[Pcode]]</f>
        <v>LogistiquesGIN004004</v>
      </c>
      <c r="M663" s="71">
        <f>COUNTIF($L$5:L663,Main3WData[[#This Row],[PT.Concat]])</f>
        <v>2</v>
      </c>
      <c r="N663" s="70">
        <f>MATCH(Main3WData[[#This Row],[PT.Concat]],$L$5:L663,0)</f>
        <v>658</v>
      </c>
      <c r="O663" s="62" t="b">
        <f>Main3WData[[#This Row],[Count PT.Concat]]=1</f>
        <v>0</v>
      </c>
      <c r="P663" s="62">
        <f t="array" ref="P663">MAX(($N$4:N662=Main3WData[[#This Row],[PT.ID]])*ROW($N$4:N662))</f>
        <v>662</v>
      </c>
      <c r="Q663" s="62" t="str">
        <f>IF(Main3WData[[#This Row],[PT.FirstID]],Main3WData[[#This Row],[Acronym]],INDEX($Q$4:Q662,Main3WData[[#This Row],[PT.LastID.Row]]-ROW($Q$4)+1) &amp; ", "&amp;Main3WData[[#This Row],[Acronym]])</f>
        <v>WFP, UNMEER</v>
      </c>
      <c r="R663" s="62" t="b">
        <f t="array" ref="R663">MAX(IF(Main3WData[PT.ID]=Main3WData[[#This Row],[PT.ID]],Main3WData[PT.LastID.Row]))=Main3WData[[#This Row],[PT.LastID.Row]]</f>
        <v>1</v>
      </c>
    </row>
    <row r="664" spans="2:18" x14ac:dyDescent="0.2">
      <c r="B664" s="55" t="s">
        <v>512</v>
      </c>
      <c r="C664" s="27" t="str">
        <f>INDEX(Organizations[],MATCH(Main3WData[[#This Row],[Acronym]],AcronymList,0),1)</f>
        <v>World Health Organization</v>
      </c>
      <c r="D664" s="27" t="str">
        <f>INDEX(Organizations[],MATCH(Main3WData[[#This Row],[Acronym]],AcronymList,0),3)</f>
        <v>UN Agency</v>
      </c>
      <c r="E664" s="54" t="s">
        <v>353</v>
      </c>
      <c r="F664" s="53" t="s">
        <v>82</v>
      </c>
      <c r="G664" s="54" t="s">
        <v>392</v>
      </c>
      <c r="H664" s="28" t="str">
        <f>VLOOKUP(Main3WData[[#This Row],[Admin Unit Name]],AdminUnits[],2,FALSE)</f>
        <v>GIN004004</v>
      </c>
      <c r="I664" s="57">
        <v>0</v>
      </c>
      <c r="J664" s="67" t="str">
        <f>Main3WData[[#This Row],[Acronym]]&amp;Main3WData[[#This Row],[Sector]]&amp;Main3WData[[#This Row],[Activity Type]]&amp;Main3WData[[#This Row],[Pcode]]</f>
        <v>OMSPrise en chargeOngoingGIN004004</v>
      </c>
      <c r="K664" s="69">
        <f>COUNTIF(Main3WData[Concatenate],Main3WData[[#This Row],[Concatenate]])</f>
        <v>1</v>
      </c>
      <c r="L664" s="61" t="str">
        <f>Main3WData[[#This Row],[Sector]]&amp;Main3WData[[#This Row],[Pcode]]</f>
        <v>Prise en chargeGIN004004</v>
      </c>
      <c r="M664" s="71">
        <f>COUNTIF($L$5:L664,Main3WData[[#This Row],[PT.Concat]])</f>
        <v>1</v>
      </c>
      <c r="N664" s="70">
        <f>MATCH(Main3WData[[#This Row],[PT.Concat]],$L$5:L664,0)</f>
        <v>660</v>
      </c>
      <c r="O664" s="62" t="b">
        <f>Main3WData[[#This Row],[Count PT.Concat]]=1</f>
        <v>1</v>
      </c>
      <c r="P664" s="62">
        <f t="array" ref="P664">MAX(($N$4:N663=Main3WData[[#This Row],[PT.ID]])*ROW($N$4:N663))</f>
        <v>0</v>
      </c>
      <c r="Q664" s="62" t="str">
        <f>IF(Main3WData[[#This Row],[PT.FirstID]],Main3WData[[#This Row],[Acronym]],INDEX($Q$4:Q663,Main3WData[[#This Row],[PT.LastID.Row]]-ROW($Q$4)+1) &amp; ", "&amp;Main3WData[[#This Row],[Acronym]])</f>
        <v>OMS</v>
      </c>
      <c r="R664" s="62" t="b">
        <f t="array" ref="R664">MAX(IF(Main3WData[PT.ID]=Main3WData[[#This Row],[PT.ID]],Main3WData[PT.LastID.Row]))=Main3WData[[#This Row],[PT.LastID.Row]]</f>
        <v>1</v>
      </c>
    </row>
    <row r="665" spans="2:18" x14ac:dyDescent="0.2">
      <c r="B665" s="55" t="s">
        <v>477</v>
      </c>
      <c r="C665" s="27" t="str">
        <f>INDEX(Organizations[],MATCH(Main3WData[[#This Row],[Acronym]],AcronymList,0),1)</f>
        <v>United States Agency for International Development</v>
      </c>
      <c r="D665" s="27" t="str">
        <f>INDEX(Organizations[],MATCH(Main3WData[[#This Row],[Acronym]],AcronymList,0),3)</f>
        <v>Donors</v>
      </c>
      <c r="E665" s="54" t="s">
        <v>361</v>
      </c>
      <c r="F665" s="53" t="s">
        <v>82</v>
      </c>
      <c r="G665" s="54" t="s">
        <v>392</v>
      </c>
      <c r="H665" s="28" t="str">
        <f>VLOOKUP(Main3WData[[#This Row],[Admin Unit Name]],AdminUnits[],2,FALSE)</f>
        <v>GIN004004</v>
      </c>
      <c r="I665" s="57">
        <v>0</v>
      </c>
      <c r="J665" s="67" t="str">
        <f>Main3WData[[#This Row],[Acronym]]&amp;Main3WData[[#This Row],[Sector]]&amp;Main3WData[[#This Row],[Activity Type]]&amp;Main3WData[[#This Row],[Pcode]]</f>
        <v>USAIDRechercheOngoingGIN004004</v>
      </c>
      <c r="K665" s="69">
        <f>COUNTIF(Main3WData[Concatenate],Main3WData[[#This Row],[Concatenate]])</f>
        <v>1</v>
      </c>
      <c r="L665" s="61" t="str">
        <f>Main3WData[[#This Row],[Sector]]&amp;Main3WData[[#This Row],[Pcode]]</f>
        <v>RechercheGIN004004</v>
      </c>
      <c r="M665" s="71">
        <f>COUNTIF($L$5:L665,Main3WData[[#This Row],[PT.Concat]])</f>
        <v>1</v>
      </c>
      <c r="N665" s="70">
        <f>MATCH(Main3WData[[#This Row],[PT.Concat]],$L$5:L665,0)</f>
        <v>661</v>
      </c>
      <c r="O665" s="62" t="b">
        <f>Main3WData[[#This Row],[Count PT.Concat]]=1</f>
        <v>1</v>
      </c>
      <c r="P665" s="62">
        <f t="array" ref="P665">MAX(($N$4:N664=Main3WData[[#This Row],[PT.ID]])*ROW($N$4:N664))</f>
        <v>0</v>
      </c>
      <c r="Q665" s="62" t="str">
        <f>IF(Main3WData[[#This Row],[PT.FirstID]],Main3WData[[#This Row],[Acronym]],INDEX($Q$4:Q664,Main3WData[[#This Row],[PT.LastID.Row]]-ROW($Q$4)+1) &amp; ", "&amp;Main3WData[[#This Row],[Acronym]])</f>
        <v>USAID</v>
      </c>
      <c r="R665" s="62" t="b">
        <f t="array" ref="R665">MAX(IF(Main3WData[PT.ID]=Main3WData[[#This Row],[PT.ID]],Main3WData[PT.LastID.Row]))=Main3WData[[#This Row],[PT.LastID.Row]]</f>
        <v>0</v>
      </c>
    </row>
    <row r="666" spans="2:18" x14ac:dyDescent="0.2">
      <c r="B666" s="55" t="s">
        <v>512</v>
      </c>
      <c r="C666" s="27" t="str">
        <f>INDEX(Organizations[],MATCH(Main3WData[[#This Row],[Acronym]],AcronymList,0),1)</f>
        <v>World Health Organization</v>
      </c>
      <c r="D666" s="27" t="str">
        <f>INDEX(Organizations[],MATCH(Main3WData[[#This Row],[Acronym]],AcronymList,0),3)</f>
        <v>UN Agency</v>
      </c>
      <c r="E666" s="54" t="s">
        <v>361</v>
      </c>
      <c r="F666" s="53" t="s">
        <v>82</v>
      </c>
      <c r="G666" s="54" t="s">
        <v>392</v>
      </c>
      <c r="H666" s="28" t="str">
        <f>VLOOKUP(Main3WData[[#This Row],[Admin Unit Name]],AdminUnits[],2,FALSE)</f>
        <v>GIN004004</v>
      </c>
      <c r="I666" s="57">
        <v>0</v>
      </c>
      <c r="J666" s="67" t="str">
        <f>Main3WData[[#This Row],[Acronym]]&amp;Main3WData[[#This Row],[Sector]]&amp;Main3WData[[#This Row],[Activity Type]]&amp;Main3WData[[#This Row],[Pcode]]</f>
        <v>OMSRechercheOngoingGIN004004</v>
      </c>
      <c r="K666" s="69">
        <f>COUNTIF(Main3WData[Concatenate],Main3WData[[#This Row],[Concatenate]])</f>
        <v>1</v>
      </c>
      <c r="L666" s="61" t="str">
        <f>Main3WData[[#This Row],[Sector]]&amp;Main3WData[[#This Row],[Pcode]]</f>
        <v>RechercheGIN004004</v>
      </c>
      <c r="M666" s="71">
        <f>COUNTIF($L$5:L666,Main3WData[[#This Row],[PT.Concat]])</f>
        <v>2</v>
      </c>
      <c r="N666" s="70">
        <f>MATCH(Main3WData[[#This Row],[PT.Concat]],$L$5:L666,0)</f>
        <v>661</v>
      </c>
      <c r="O666" s="62" t="b">
        <f>Main3WData[[#This Row],[Count PT.Concat]]=1</f>
        <v>0</v>
      </c>
      <c r="P666" s="62">
        <f t="array" ref="P666">MAX(($N$4:N665=Main3WData[[#This Row],[PT.ID]])*ROW($N$4:N665))</f>
        <v>665</v>
      </c>
      <c r="Q666" s="62" t="str">
        <f>IF(Main3WData[[#This Row],[PT.FirstID]],Main3WData[[#This Row],[Acronym]],INDEX($Q$4:Q665,Main3WData[[#This Row],[PT.LastID.Row]]-ROW($Q$4)+1) &amp; ", "&amp;Main3WData[[#This Row],[Acronym]])</f>
        <v>USAID, OMS</v>
      </c>
      <c r="R666" s="62" t="b">
        <f t="array" ref="R666">MAX(IF(Main3WData[PT.ID]=Main3WData[[#This Row],[PT.ID]],Main3WData[PT.LastID.Row]))=Main3WData[[#This Row],[PT.LastID.Row]]</f>
        <v>0</v>
      </c>
    </row>
    <row r="667" spans="2:18" x14ac:dyDescent="0.2">
      <c r="B667" s="55" t="s">
        <v>71</v>
      </c>
      <c r="C667" s="27" t="str">
        <f>INDEX(Organizations[],MATCH(Main3WData[[#This Row],[Acronym]],AcronymList,0),1)</f>
        <v>Medecins sans Frontieres</v>
      </c>
      <c r="D667" s="27" t="str">
        <f>INDEX(Organizations[],MATCH(Main3WData[[#This Row],[Acronym]],AcronymList,0),3)</f>
        <v>International NGO</v>
      </c>
      <c r="E667" s="54" t="s">
        <v>361</v>
      </c>
      <c r="F667" s="53" t="s">
        <v>82</v>
      </c>
      <c r="G667" s="54" t="s">
        <v>392</v>
      </c>
      <c r="H667" s="28" t="str">
        <f>VLOOKUP(Main3WData[[#This Row],[Admin Unit Name]],AdminUnits[],2,FALSE)</f>
        <v>GIN004004</v>
      </c>
      <c r="I667" s="57">
        <v>0</v>
      </c>
      <c r="J667" s="67" t="str">
        <f>Main3WData[[#This Row],[Acronym]]&amp;Main3WData[[#This Row],[Sector]]&amp;Main3WData[[#This Row],[Activity Type]]&amp;Main3WData[[#This Row],[Pcode]]</f>
        <v>MSFRechercheOngoingGIN004004</v>
      </c>
      <c r="K667" s="69">
        <f>COUNTIF(Main3WData[Concatenate],Main3WData[[#This Row],[Concatenate]])</f>
        <v>1</v>
      </c>
      <c r="L667" s="61" t="str">
        <f>Main3WData[[#This Row],[Sector]]&amp;Main3WData[[#This Row],[Pcode]]</f>
        <v>RechercheGIN004004</v>
      </c>
      <c r="M667" s="71">
        <f>COUNTIF($L$5:L667,Main3WData[[#This Row],[PT.Concat]])</f>
        <v>3</v>
      </c>
      <c r="N667" s="70">
        <f>MATCH(Main3WData[[#This Row],[PT.Concat]],$L$5:L667,0)</f>
        <v>661</v>
      </c>
      <c r="O667" s="62" t="b">
        <f>Main3WData[[#This Row],[Count PT.Concat]]=1</f>
        <v>0</v>
      </c>
      <c r="P667" s="62">
        <f t="array" ref="P667">MAX(($N$4:N666=Main3WData[[#This Row],[PT.ID]])*ROW($N$4:N666))</f>
        <v>666</v>
      </c>
      <c r="Q667" s="62" t="str">
        <f>IF(Main3WData[[#This Row],[PT.FirstID]],Main3WData[[#This Row],[Acronym]],INDEX($Q$4:Q666,Main3WData[[#This Row],[PT.LastID.Row]]-ROW($Q$4)+1) &amp; ", "&amp;Main3WData[[#This Row],[Acronym]])</f>
        <v>USAID, OMS, MSF</v>
      </c>
      <c r="R667" s="62" t="b">
        <f t="array" ref="R667">MAX(IF(Main3WData[PT.ID]=Main3WData[[#This Row],[PT.ID]],Main3WData[PT.LastID.Row]))=Main3WData[[#This Row],[PT.LastID.Row]]</f>
        <v>0</v>
      </c>
    </row>
    <row r="668" spans="2:18" x14ac:dyDescent="0.2">
      <c r="B668" s="55" t="s">
        <v>66</v>
      </c>
      <c r="C668" s="27" t="str">
        <f>INDEX(Organizations[],MATCH(Main3WData[[#This Row],[Acronym]],AcronymList,0),1)</f>
        <v>Catholic Relief Services</v>
      </c>
      <c r="D668" s="27" t="str">
        <f>INDEX(Organizations[],MATCH(Main3WData[[#This Row],[Acronym]],AcronymList,0),3)</f>
        <v>International NGO</v>
      </c>
      <c r="E668" s="54" t="s">
        <v>361</v>
      </c>
      <c r="F668" s="53" t="s">
        <v>82</v>
      </c>
      <c r="G668" s="54" t="s">
        <v>392</v>
      </c>
      <c r="H668" s="28" t="str">
        <f>VLOOKUP(Main3WData[[#This Row],[Admin Unit Name]],AdminUnits[],2,FALSE)</f>
        <v>GIN004004</v>
      </c>
      <c r="I668" s="57">
        <v>0</v>
      </c>
      <c r="J668" s="67" t="str">
        <f>Main3WData[[#This Row],[Acronym]]&amp;Main3WData[[#This Row],[Sector]]&amp;Main3WData[[#This Row],[Activity Type]]&amp;Main3WData[[#This Row],[Pcode]]</f>
        <v>CRSRechercheOngoingGIN004004</v>
      </c>
      <c r="K668" s="69">
        <f>COUNTIF(Main3WData[Concatenate],Main3WData[[#This Row],[Concatenate]])</f>
        <v>1</v>
      </c>
      <c r="L668" s="61" t="str">
        <f>Main3WData[[#This Row],[Sector]]&amp;Main3WData[[#This Row],[Pcode]]</f>
        <v>RechercheGIN004004</v>
      </c>
      <c r="M668" s="71">
        <f>COUNTIF($L$5:L668,Main3WData[[#This Row],[PT.Concat]])</f>
        <v>4</v>
      </c>
      <c r="N668" s="70">
        <f>MATCH(Main3WData[[#This Row],[PT.Concat]],$L$5:L668,0)</f>
        <v>661</v>
      </c>
      <c r="O668" s="62" t="b">
        <f>Main3WData[[#This Row],[Count PT.Concat]]=1</f>
        <v>0</v>
      </c>
      <c r="P668" s="62">
        <f t="array" ref="P668">MAX(($N$4:N667=Main3WData[[#This Row],[PT.ID]])*ROW($N$4:N667))</f>
        <v>667</v>
      </c>
      <c r="Q668" s="62" t="str">
        <f>IF(Main3WData[[#This Row],[PT.FirstID]],Main3WData[[#This Row],[Acronym]],INDEX($Q$4:Q667,Main3WData[[#This Row],[PT.LastID.Row]]-ROW($Q$4)+1) &amp; ", "&amp;Main3WData[[#This Row],[Acronym]])</f>
        <v>USAID, OMS, MSF, CRS</v>
      </c>
      <c r="R668" s="62" t="b">
        <f t="array" ref="R668">MAX(IF(Main3WData[PT.ID]=Main3WData[[#This Row],[PT.ID]],Main3WData[PT.LastID.Row]))=Main3WData[[#This Row],[PT.LastID.Row]]</f>
        <v>1</v>
      </c>
    </row>
    <row r="669" spans="2:18" x14ac:dyDescent="0.2">
      <c r="B669" s="55" t="s">
        <v>512</v>
      </c>
      <c r="C669" s="27" t="str">
        <f>INDEX(Organizations[],MATCH(Main3WData[[#This Row],[Acronym]],AcronymList,0),1)</f>
        <v>World Health Organization</v>
      </c>
      <c r="D669" s="27" t="str">
        <f>INDEX(Organizations[],MATCH(Main3WData[[#This Row],[Acronym]],AcronymList,0),3)</f>
        <v>UN Agency</v>
      </c>
      <c r="E669" s="54" t="s">
        <v>351</v>
      </c>
      <c r="F669" s="53" t="s">
        <v>82</v>
      </c>
      <c r="G669" s="54" t="s">
        <v>392</v>
      </c>
      <c r="H669" s="28" t="str">
        <f>VLOOKUP(Main3WData[[#This Row],[Admin Unit Name]],AdminUnits[],2,FALSE)</f>
        <v>GIN004004</v>
      </c>
      <c r="I669" s="57">
        <v>0</v>
      </c>
      <c r="J669" s="67" t="str">
        <f>Main3WData[[#This Row],[Acronym]]&amp;Main3WData[[#This Row],[Sector]]&amp;Main3WData[[#This Row],[Activity Type]]&amp;Main3WData[[#This Row],[Pcode]]</f>
        <v>OMSSurveillance &amp; suiviOngoingGIN004004</v>
      </c>
      <c r="K669" s="69">
        <f>COUNTIF(Main3WData[Concatenate],Main3WData[[#This Row],[Concatenate]])</f>
        <v>1</v>
      </c>
      <c r="L669" s="61" t="str">
        <f>Main3WData[[#This Row],[Sector]]&amp;Main3WData[[#This Row],[Pcode]]</f>
        <v>Surveillance &amp; suiviGIN004004</v>
      </c>
      <c r="M669" s="71">
        <f>COUNTIF($L$5:L669,Main3WData[[#This Row],[PT.Concat]])</f>
        <v>1</v>
      </c>
      <c r="N669" s="70">
        <f>MATCH(Main3WData[[#This Row],[PT.Concat]],$L$5:L669,0)</f>
        <v>665</v>
      </c>
      <c r="O669" s="62" t="b">
        <f>Main3WData[[#This Row],[Count PT.Concat]]=1</f>
        <v>1</v>
      </c>
      <c r="P669" s="62">
        <f t="array" ref="P669">MAX(($N$4:N668=Main3WData[[#This Row],[PT.ID]])*ROW($N$4:N668))</f>
        <v>0</v>
      </c>
      <c r="Q669" s="62" t="str">
        <f>IF(Main3WData[[#This Row],[PT.FirstID]],Main3WData[[#This Row],[Acronym]],INDEX($Q$4:Q668,Main3WData[[#This Row],[PT.LastID.Row]]-ROW($Q$4)+1) &amp; ", "&amp;Main3WData[[#This Row],[Acronym]])</f>
        <v>OMS</v>
      </c>
      <c r="R669" s="62" t="b">
        <f t="array" ref="R669">MAX(IF(Main3WData[PT.ID]=Main3WData[[#This Row],[PT.ID]],Main3WData[PT.LastID.Row]))=Main3WData[[#This Row],[PT.LastID.Row]]</f>
        <v>0</v>
      </c>
    </row>
    <row r="670" spans="2:18" x14ac:dyDescent="0.2">
      <c r="B670" s="55" t="s">
        <v>64</v>
      </c>
      <c r="C670" s="27" t="str">
        <f>INDEX(Organizations[],MATCH(Main3WData[[#This Row],[Acronym]],AcronymList,0),1)</f>
        <v>CDC</v>
      </c>
      <c r="D670" s="27" t="str">
        <f>INDEX(Organizations[],MATCH(Main3WData[[#This Row],[Acronym]],AcronymList,0),3)</f>
        <v>International NGO</v>
      </c>
      <c r="E670" s="54" t="s">
        <v>351</v>
      </c>
      <c r="F670" s="53" t="s">
        <v>82</v>
      </c>
      <c r="G670" s="54" t="s">
        <v>392</v>
      </c>
      <c r="H670" s="28" t="str">
        <f>VLOOKUP(Main3WData[[#This Row],[Admin Unit Name]],AdminUnits[],2,FALSE)</f>
        <v>GIN004004</v>
      </c>
      <c r="I670" s="57">
        <v>0</v>
      </c>
      <c r="J670" s="67" t="str">
        <f>Main3WData[[#This Row],[Acronym]]&amp;Main3WData[[#This Row],[Sector]]&amp;Main3WData[[#This Row],[Activity Type]]&amp;Main3WData[[#This Row],[Pcode]]</f>
        <v>CDCSurveillance &amp; suiviOngoingGIN004004</v>
      </c>
      <c r="K670" s="69">
        <f>COUNTIF(Main3WData[Concatenate],Main3WData[[#This Row],[Concatenate]])</f>
        <v>1</v>
      </c>
      <c r="L670" s="61" t="str">
        <f>Main3WData[[#This Row],[Sector]]&amp;Main3WData[[#This Row],[Pcode]]</f>
        <v>Surveillance &amp; suiviGIN004004</v>
      </c>
      <c r="M670" s="71">
        <f>COUNTIF($L$5:L670,Main3WData[[#This Row],[PT.Concat]])</f>
        <v>2</v>
      </c>
      <c r="N670" s="70">
        <f>MATCH(Main3WData[[#This Row],[PT.Concat]],$L$5:L670,0)</f>
        <v>665</v>
      </c>
      <c r="O670" s="62" t="b">
        <f>Main3WData[[#This Row],[Count PT.Concat]]=1</f>
        <v>0</v>
      </c>
      <c r="P670" s="62">
        <f t="array" ref="P670">MAX(($N$4:N669=Main3WData[[#This Row],[PT.ID]])*ROW($N$4:N669))</f>
        <v>669</v>
      </c>
      <c r="Q670" s="62" t="str">
        <f>IF(Main3WData[[#This Row],[PT.FirstID]],Main3WData[[#This Row],[Acronym]],INDEX($Q$4:Q669,Main3WData[[#This Row],[PT.LastID.Row]]-ROW($Q$4)+1) &amp; ", "&amp;Main3WData[[#This Row],[Acronym]])</f>
        <v>OMS, CDC</v>
      </c>
      <c r="R670" s="62" t="b">
        <f t="array" ref="R670">MAX(IF(Main3WData[PT.ID]=Main3WData[[#This Row],[PT.ID]],Main3WData[PT.LastID.Row]))=Main3WData[[#This Row],[PT.LastID.Row]]</f>
        <v>1</v>
      </c>
    </row>
    <row r="671" spans="2:18" x14ac:dyDescent="0.2">
      <c r="B671" s="55" t="s">
        <v>72</v>
      </c>
      <c r="C671" s="27" t="str">
        <f>INDEX(Organizations[],MATCH(Main3WData[[#This Row],[Acronym]],AcronymList,0),1)</f>
        <v>PLAN</v>
      </c>
      <c r="D671" s="27" t="str">
        <f>INDEX(Organizations[],MATCH(Main3WData[[#This Row],[Acronym]],AcronymList,0),3)</f>
        <v>International Organization</v>
      </c>
      <c r="E671" s="54" t="s">
        <v>352</v>
      </c>
      <c r="F671" s="53" t="s">
        <v>82</v>
      </c>
      <c r="G671" s="54" t="s">
        <v>392</v>
      </c>
      <c r="H671" s="28" t="str">
        <f>VLOOKUP(Main3WData[[#This Row],[Admin Unit Name]],AdminUnits[],2,FALSE)</f>
        <v>GIN004004</v>
      </c>
      <c r="I671" s="57">
        <v>0</v>
      </c>
      <c r="J671" s="67" t="str">
        <f>Main3WData[[#This Row],[Acronym]]&amp;Main3WData[[#This Row],[Sector]]&amp;Main3WData[[#This Row],[Activity Type]]&amp;Main3WData[[#This Row],[Pcode]]</f>
        <v>PLANTransport &amp; diagnostiquesOngoingGIN004004</v>
      </c>
      <c r="K671" s="69">
        <f>COUNTIF(Main3WData[Concatenate],Main3WData[[#This Row],[Concatenate]])</f>
        <v>1</v>
      </c>
      <c r="L671" s="61" t="str">
        <f>Main3WData[[#This Row],[Sector]]&amp;Main3WData[[#This Row],[Pcode]]</f>
        <v>Transport &amp; diagnostiquesGIN004004</v>
      </c>
      <c r="M671" s="71">
        <f>COUNTIF($L$5:L671,Main3WData[[#This Row],[PT.Concat]])</f>
        <v>1</v>
      </c>
      <c r="N671" s="70">
        <f>MATCH(Main3WData[[#This Row],[PT.Concat]],$L$5:L671,0)</f>
        <v>667</v>
      </c>
      <c r="O671" s="62" t="b">
        <f>Main3WData[[#This Row],[Count PT.Concat]]=1</f>
        <v>1</v>
      </c>
      <c r="P671" s="62">
        <f t="array" ref="P671">MAX(($N$4:N670=Main3WData[[#This Row],[PT.ID]])*ROW($N$4:N670))</f>
        <v>0</v>
      </c>
      <c r="Q671" s="62" t="str">
        <f>IF(Main3WData[[#This Row],[PT.FirstID]],Main3WData[[#This Row],[Acronym]],INDEX($Q$4:Q670,Main3WData[[#This Row],[PT.LastID.Row]]-ROW($Q$4)+1) &amp; ", "&amp;Main3WData[[#This Row],[Acronym]])</f>
        <v>PLAN</v>
      </c>
      <c r="R671" s="62" t="b">
        <f t="array" ref="R671">MAX(IF(Main3WData[PT.ID]=Main3WData[[#This Row],[PT.ID]],Main3WData[PT.LastID.Row]))=Main3WData[[#This Row],[PT.LastID.Row]]</f>
        <v>1</v>
      </c>
    </row>
    <row r="672" spans="2:18" x14ac:dyDescent="0.2">
      <c r="B672" s="55" t="s">
        <v>77</v>
      </c>
      <c r="C672" s="27" t="str">
        <f>INDEX(Organizations[],MATCH(Main3WData[[#This Row],[Acronym]],AcronymList,0),1)</f>
        <v>United Nations Children's Fund</v>
      </c>
      <c r="D672" s="27" t="str">
        <f>INDEX(Organizations[],MATCH(Main3WData[[#This Row],[Acronym]],AcronymList,0),3)</f>
        <v>UN Agency</v>
      </c>
      <c r="E672" s="54" t="s">
        <v>350</v>
      </c>
      <c r="F672" s="53" t="s">
        <v>82</v>
      </c>
      <c r="G672" s="54" t="s">
        <v>432</v>
      </c>
      <c r="H672" s="28" t="str">
        <f>VLOOKUP(Main3WData[[#This Row],[Admin Unit Name]],AdminUnits[],2,FALSE)</f>
        <v>GIN008005</v>
      </c>
      <c r="I672" s="57">
        <v>0</v>
      </c>
      <c r="J672" s="67" t="str">
        <f>Main3WData[[#This Row],[Acronym]]&amp;Main3WData[[#This Row],[Sector]]&amp;Main3WData[[#This Row],[Activity Type]]&amp;Main3WData[[#This Row],[Pcode]]</f>
        <v>UNICEFCommunication/Mobilisation socialeOngoingGIN008005</v>
      </c>
      <c r="K672" s="69">
        <f>COUNTIF(Main3WData[Concatenate],Main3WData[[#This Row],[Concatenate]])</f>
        <v>1</v>
      </c>
      <c r="L672" s="61" t="str">
        <f>Main3WData[[#This Row],[Sector]]&amp;Main3WData[[#This Row],[Pcode]]</f>
        <v>Communication/Mobilisation socialeGIN008005</v>
      </c>
      <c r="M672" s="71">
        <f>COUNTIF($L$5:L672,Main3WData[[#This Row],[PT.Concat]])</f>
        <v>1</v>
      </c>
      <c r="N672" s="70">
        <f>MATCH(Main3WData[[#This Row],[PT.Concat]],$L$5:L672,0)</f>
        <v>668</v>
      </c>
      <c r="O672" s="62" t="b">
        <f>Main3WData[[#This Row],[Count PT.Concat]]=1</f>
        <v>1</v>
      </c>
      <c r="P672" s="62">
        <f t="array" ref="P672">MAX(($N$4:N671=Main3WData[[#This Row],[PT.ID]])*ROW($N$4:N671))</f>
        <v>0</v>
      </c>
      <c r="Q672" s="62" t="str">
        <f>IF(Main3WData[[#This Row],[PT.FirstID]],Main3WData[[#This Row],[Acronym]],INDEX($Q$4:Q671,Main3WData[[#This Row],[PT.LastID.Row]]-ROW($Q$4)+1) &amp; ", "&amp;Main3WData[[#This Row],[Acronym]])</f>
        <v>UNICEF</v>
      </c>
      <c r="R672" s="62" t="b">
        <f t="array" ref="R672">MAX(IF(Main3WData[PT.ID]=Main3WData[[#This Row],[PT.ID]],Main3WData[PT.LastID.Row]))=Main3WData[[#This Row],[PT.LastID.Row]]</f>
        <v>0</v>
      </c>
    </row>
    <row r="673" spans="2:18" x14ac:dyDescent="0.2">
      <c r="B673" s="55" t="s">
        <v>75</v>
      </c>
      <c r="C673" s="27" t="str">
        <f>INDEX(Organizations[],MATCH(Main3WData[[#This Row],[Acronym]],AcronymList,0),1)</f>
        <v>United Nations Population Fund</v>
      </c>
      <c r="D673" s="27" t="str">
        <f>INDEX(Organizations[],MATCH(Main3WData[[#This Row],[Acronym]],AcronymList,0),3)</f>
        <v>UN Agency</v>
      </c>
      <c r="E673" s="54" t="s">
        <v>350</v>
      </c>
      <c r="F673" s="53" t="s">
        <v>82</v>
      </c>
      <c r="G673" s="54" t="s">
        <v>432</v>
      </c>
      <c r="H673" s="28" t="str">
        <f>VLOOKUP(Main3WData[[#This Row],[Admin Unit Name]],AdminUnits[],2,FALSE)</f>
        <v>GIN008005</v>
      </c>
      <c r="I673" s="57">
        <v>0</v>
      </c>
      <c r="J673" s="67" t="str">
        <f>Main3WData[[#This Row],[Acronym]]&amp;Main3WData[[#This Row],[Sector]]&amp;Main3WData[[#This Row],[Activity Type]]&amp;Main3WData[[#This Row],[Pcode]]</f>
        <v>UNFPACommunication/Mobilisation socialeOngoingGIN008005</v>
      </c>
      <c r="K673" s="69">
        <f>COUNTIF(Main3WData[Concatenate],Main3WData[[#This Row],[Concatenate]])</f>
        <v>1</v>
      </c>
      <c r="L673" s="61" t="str">
        <f>Main3WData[[#This Row],[Sector]]&amp;Main3WData[[#This Row],[Pcode]]</f>
        <v>Communication/Mobilisation socialeGIN008005</v>
      </c>
      <c r="M673" s="71">
        <f>COUNTIF($L$5:L673,Main3WData[[#This Row],[PT.Concat]])</f>
        <v>2</v>
      </c>
      <c r="N673" s="70">
        <f>MATCH(Main3WData[[#This Row],[PT.Concat]],$L$5:L673,0)</f>
        <v>668</v>
      </c>
      <c r="O673" s="62" t="b">
        <f>Main3WData[[#This Row],[Count PT.Concat]]=1</f>
        <v>0</v>
      </c>
      <c r="P673" s="62">
        <f t="array" ref="P673">MAX(($N$4:N672=Main3WData[[#This Row],[PT.ID]])*ROW($N$4:N672))</f>
        <v>672</v>
      </c>
      <c r="Q673" s="62" t="str">
        <f>IF(Main3WData[[#This Row],[PT.FirstID]],Main3WData[[#This Row],[Acronym]],INDEX($Q$4:Q672,Main3WData[[#This Row],[PT.LastID.Row]]-ROW($Q$4)+1) &amp; ", "&amp;Main3WData[[#This Row],[Acronym]])</f>
        <v>UNICEF, UNFPA</v>
      </c>
      <c r="R673" s="62" t="b">
        <f t="array" ref="R673">MAX(IF(Main3WData[PT.ID]=Main3WData[[#This Row],[PT.ID]],Main3WData[PT.LastID.Row]))=Main3WData[[#This Row],[PT.LastID.Row]]</f>
        <v>0</v>
      </c>
    </row>
    <row r="674" spans="2:18" x14ac:dyDescent="0.2">
      <c r="B674" s="55" t="s">
        <v>473</v>
      </c>
      <c r="C674" s="27" t="str">
        <f>INDEX(Organizations[],MATCH(Main3WData[[#This Row],[Acronym]],AcronymList,0),1)</f>
        <v>United Nations Development Programme</v>
      </c>
      <c r="D674" s="27" t="str">
        <f>INDEX(Organizations[],MATCH(Main3WData[[#This Row],[Acronym]],AcronymList,0),3)</f>
        <v>UN Agency</v>
      </c>
      <c r="E674" s="54" t="s">
        <v>350</v>
      </c>
      <c r="F674" s="53" t="s">
        <v>82</v>
      </c>
      <c r="G674" s="54" t="s">
        <v>432</v>
      </c>
      <c r="H674" s="28" t="str">
        <f>VLOOKUP(Main3WData[[#This Row],[Admin Unit Name]],AdminUnits[],2,FALSE)</f>
        <v>GIN008005</v>
      </c>
      <c r="I674" s="57">
        <v>0</v>
      </c>
      <c r="J674" s="67" t="str">
        <f>Main3WData[[#This Row],[Acronym]]&amp;Main3WData[[#This Row],[Sector]]&amp;Main3WData[[#This Row],[Activity Type]]&amp;Main3WData[[#This Row],[Pcode]]</f>
        <v>UNDPCommunication/Mobilisation socialeOngoingGIN008005</v>
      </c>
      <c r="K674" s="69">
        <f>COUNTIF(Main3WData[Concatenate],Main3WData[[#This Row],[Concatenate]])</f>
        <v>1</v>
      </c>
      <c r="L674" s="61" t="str">
        <f>Main3WData[[#This Row],[Sector]]&amp;Main3WData[[#This Row],[Pcode]]</f>
        <v>Communication/Mobilisation socialeGIN008005</v>
      </c>
      <c r="M674" s="71">
        <f>COUNTIF($L$5:L674,Main3WData[[#This Row],[PT.Concat]])</f>
        <v>3</v>
      </c>
      <c r="N674" s="70">
        <f>MATCH(Main3WData[[#This Row],[PT.Concat]],$L$5:L674,0)</f>
        <v>668</v>
      </c>
      <c r="O674" s="62" t="b">
        <f>Main3WData[[#This Row],[Count PT.Concat]]=1</f>
        <v>0</v>
      </c>
      <c r="P674" s="62">
        <f t="array" ref="P674">MAX(($N$4:N673=Main3WData[[#This Row],[PT.ID]])*ROW($N$4:N673))</f>
        <v>673</v>
      </c>
      <c r="Q674" s="62" t="str">
        <f>IF(Main3WData[[#This Row],[PT.FirstID]],Main3WData[[#This Row],[Acronym]],INDEX($Q$4:Q673,Main3WData[[#This Row],[PT.LastID.Row]]-ROW($Q$4)+1) &amp; ", "&amp;Main3WData[[#This Row],[Acronym]])</f>
        <v>UNICEF, UNFPA, UNDP</v>
      </c>
      <c r="R674" s="62" t="b">
        <f t="array" ref="R674">MAX(IF(Main3WData[PT.ID]=Main3WData[[#This Row],[PT.ID]],Main3WData[PT.LastID.Row]))=Main3WData[[#This Row],[PT.LastID.Row]]</f>
        <v>0</v>
      </c>
    </row>
    <row r="675" spans="2:18" x14ac:dyDescent="0.2">
      <c r="B675" s="55" t="s">
        <v>72</v>
      </c>
      <c r="C675" s="27" t="str">
        <f>INDEX(Organizations[],MATCH(Main3WData[[#This Row],[Acronym]],AcronymList,0),1)</f>
        <v>PLAN</v>
      </c>
      <c r="D675" s="27" t="str">
        <f>INDEX(Organizations[],MATCH(Main3WData[[#This Row],[Acronym]],AcronymList,0),3)</f>
        <v>International Organization</v>
      </c>
      <c r="E675" s="54" t="s">
        <v>350</v>
      </c>
      <c r="F675" s="53" t="s">
        <v>82</v>
      </c>
      <c r="G675" s="54" t="s">
        <v>432</v>
      </c>
      <c r="H675" s="28" t="str">
        <f>VLOOKUP(Main3WData[[#This Row],[Admin Unit Name]],AdminUnits[],2,FALSE)</f>
        <v>GIN008005</v>
      </c>
      <c r="I675" s="57">
        <v>0</v>
      </c>
      <c r="J675" s="67" t="str">
        <f>Main3WData[[#This Row],[Acronym]]&amp;Main3WData[[#This Row],[Sector]]&amp;Main3WData[[#This Row],[Activity Type]]&amp;Main3WData[[#This Row],[Pcode]]</f>
        <v>PLANCommunication/Mobilisation socialeOngoingGIN008005</v>
      </c>
      <c r="K675" s="69">
        <f>COUNTIF(Main3WData[Concatenate],Main3WData[[#This Row],[Concatenate]])</f>
        <v>1</v>
      </c>
      <c r="L675" s="61" t="str">
        <f>Main3WData[[#This Row],[Sector]]&amp;Main3WData[[#This Row],[Pcode]]</f>
        <v>Communication/Mobilisation socialeGIN008005</v>
      </c>
      <c r="M675" s="71">
        <f>COUNTIF($L$5:L675,Main3WData[[#This Row],[PT.Concat]])</f>
        <v>4</v>
      </c>
      <c r="N675" s="70">
        <f>MATCH(Main3WData[[#This Row],[PT.Concat]],$L$5:L675,0)</f>
        <v>668</v>
      </c>
      <c r="O675" s="62" t="b">
        <f>Main3WData[[#This Row],[Count PT.Concat]]=1</f>
        <v>0</v>
      </c>
      <c r="P675" s="62">
        <f t="array" ref="P675">MAX(($N$4:N674=Main3WData[[#This Row],[PT.ID]])*ROW($N$4:N674))</f>
        <v>674</v>
      </c>
      <c r="Q675" s="62" t="str">
        <f>IF(Main3WData[[#This Row],[PT.FirstID]],Main3WData[[#This Row],[Acronym]],INDEX($Q$4:Q674,Main3WData[[#This Row],[PT.LastID.Row]]-ROW($Q$4)+1) &amp; ", "&amp;Main3WData[[#This Row],[Acronym]])</f>
        <v>UNICEF, UNFPA, UNDP, PLAN</v>
      </c>
      <c r="R675" s="62" t="b">
        <f t="array" ref="R675">MAX(IF(Main3WData[PT.ID]=Main3WData[[#This Row],[PT.ID]],Main3WData[PT.LastID.Row]))=Main3WData[[#This Row],[PT.LastID.Row]]</f>
        <v>0</v>
      </c>
    </row>
    <row r="676" spans="2:18" x14ac:dyDescent="0.2">
      <c r="B676" s="55" t="s">
        <v>512</v>
      </c>
      <c r="C676" s="27" t="str">
        <f>INDEX(Organizations[],MATCH(Main3WData[[#This Row],[Acronym]],AcronymList,0),1)</f>
        <v>World Health Organization</v>
      </c>
      <c r="D676" s="27" t="str">
        <f>INDEX(Organizations[],MATCH(Main3WData[[#This Row],[Acronym]],AcronymList,0),3)</f>
        <v>UN Agency</v>
      </c>
      <c r="E676" s="54" t="s">
        <v>350</v>
      </c>
      <c r="F676" s="53" t="s">
        <v>82</v>
      </c>
      <c r="G676" s="54" t="s">
        <v>432</v>
      </c>
      <c r="H676" s="28" t="str">
        <f>VLOOKUP(Main3WData[[#This Row],[Admin Unit Name]],AdminUnits[],2,FALSE)</f>
        <v>GIN008005</v>
      </c>
      <c r="I676" s="57">
        <v>0</v>
      </c>
      <c r="J676" s="67" t="str">
        <f>Main3WData[[#This Row],[Acronym]]&amp;Main3WData[[#This Row],[Sector]]&amp;Main3WData[[#This Row],[Activity Type]]&amp;Main3WData[[#This Row],[Pcode]]</f>
        <v>OMSCommunication/Mobilisation socialeOngoingGIN008005</v>
      </c>
      <c r="K676" s="69">
        <f>COUNTIF(Main3WData[Concatenate],Main3WData[[#This Row],[Concatenate]])</f>
        <v>1</v>
      </c>
      <c r="L676" s="61" t="str">
        <f>Main3WData[[#This Row],[Sector]]&amp;Main3WData[[#This Row],[Pcode]]</f>
        <v>Communication/Mobilisation socialeGIN008005</v>
      </c>
      <c r="M676" s="71">
        <f>COUNTIF($L$5:L676,Main3WData[[#This Row],[PT.Concat]])</f>
        <v>5</v>
      </c>
      <c r="N676" s="70">
        <f>MATCH(Main3WData[[#This Row],[PT.Concat]],$L$5:L676,0)</f>
        <v>668</v>
      </c>
      <c r="O676" s="62" t="b">
        <f>Main3WData[[#This Row],[Count PT.Concat]]=1</f>
        <v>0</v>
      </c>
      <c r="P676" s="62">
        <f t="array" ref="P676">MAX(($N$4:N675=Main3WData[[#This Row],[PT.ID]])*ROW($N$4:N675))</f>
        <v>675</v>
      </c>
      <c r="Q676" s="62" t="str">
        <f>IF(Main3WData[[#This Row],[PT.FirstID]],Main3WData[[#This Row],[Acronym]],INDEX($Q$4:Q675,Main3WData[[#This Row],[PT.LastID.Row]]-ROW($Q$4)+1) &amp; ", "&amp;Main3WData[[#This Row],[Acronym]])</f>
        <v>UNICEF, UNFPA, UNDP, PLAN, OMS</v>
      </c>
      <c r="R676" s="62" t="b">
        <f t="array" ref="R676">MAX(IF(Main3WData[PT.ID]=Main3WData[[#This Row],[PT.ID]],Main3WData[PT.LastID.Row]))=Main3WData[[#This Row],[PT.LastID.Row]]</f>
        <v>0</v>
      </c>
    </row>
    <row r="677" spans="2:18" x14ac:dyDescent="0.2">
      <c r="B677" s="55" t="s">
        <v>509</v>
      </c>
      <c r="C677" s="27" t="str">
        <f>INDEX(Organizations[],MATCH(Main3WData[[#This Row],[Acronym]],AcronymList,0),1)</f>
        <v>Internews</v>
      </c>
      <c r="D677" s="27" t="str">
        <f>INDEX(Organizations[],MATCH(Main3WData[[#This Row],[Acronym]],AcronymList,0),3)</f>
        <v>Media</v>
      </c>
      <c r="E677" s="54" t="s">
        <v>350</v>
      </c>
      <c r="F677" s="53" t="s">
        <v>82</v>
      </c>
      <c r="G677" s="54" t="s">
        <v>432</v>
      </c>
      <c r="H677" s="28" t="str">
        <f>VLOOKUP(Main3WData[[#This Row],[Admin Unit Name]],AdminUnits[],2,FALSE)</f>
        <v>GIN008005</v>
      </c>
      <c r="I677" s="57">
        <v>0</v>
      </c>
      <c r="J677" s="67" t="str">
        <f>Main3WData[[#This Row],[Acronym]]&amp;Main3WData[[#This Row],[Sector]]&amp;Main3WData[[#This Row],[Activity Type]]&amp;Main3WData[[#This Row],[Pcode]]</f>
        <v>InternewsCommunication/Mobilisation socialeOngoingGIN008005</v>
      </c>
      <c r="K677" s="69">
        <f>COUNTIF(Main3WData[Concatenate],Main3WData[[#This Row],[Concatenate]])</f>
        <v>1</v>
      </c>
      <c r="L677" s="61" t="str">
        <f>Main3WData[[#This Row],[Sector]]&amp;Main3WData[[#This Row],[Pcode]]</f>
        <v>Communication/Mobilisation socialeGIN008005</v>
      </c>
      <c r="M677" s="71">
        <f>COUNTIF($L$5:L677,Main3WData[[#This Row],[PT.Concat]])</f>
        <v>6</v>
      </c>
      <c r="N677" s="70">
        <f>MATCH(Main3WData[[#This Row],[PT.Concat]],$L$5:L677,0)</f>
        <v>668</v>
      </c>
      <c r="O677" s="62" t="b">
        <f>Main3WData[[#This Row],[Count PT.Concat]]=1</f>
        <v>0</v>
      </c>
      <c r="P677" s="62">
        <f t="array" ref="P677">MAX(($N$4:N676=Main3WData[[#This Row],[PT.ID]])*ROW($N$4:N676))</f>
        <v>676</v>
      </c>
      <c r="Q677" s="62" t="str">
        <f>IF(Main3WData[[#This Row],[PT.FirstID]],Main3WData[[#This Row],[Acronym]],INDEX($Q$4:Q676,Main3WData[[#This Row],[PT.LastID.Row]]-ROW($Q$4)+1) &amp; ", "&amp;Main3WData[[#This Row],[Acronym]])</f>
        <v>UNICEF, UNFPA, UNDP, PLAN, OMS, Internews</v>
      </c>
      <c r="R677" s="62" t="b">
        <f t="array" ref="R677">MAX(IF(Main3WData[PT.ID]=Main3WData[[#This Row],[PT.ID]],Main3WData[PT.LastID.Row]))=Main3WData[[#This Row],[PT.LastID.Row]]</f>
        <v>0</v>
      </c>
    </row>
    <row r="678" spans="2:18" x14ac:dyDescent="0.2">
      <c r="B678" s="55" t="s">
        <v>499</v>
      </c>
      <c r="C678" s="27" t="str">
        <f>INDEX(Organizations[],MATCH(Main3WData[[#This Row],[Acronym]],AcronymList,0),1)</f>
        <v>Croix-Rouge Guinée/Fédération internationale de la Croix-Rouge</v>
      </c>
      <c r="D678" s="27" t="str">
        <f>INDEX(Organizations[],MATCH(Main3WData[[#This Row],[Acronym]],AcronymList,0),3)</f>
        <v>International Organization</v>
      </c>
      <c r="E678" s="54" t="s">
        <v>350</v>
      </c>
      <c r="F678" s="53" t="s">
        <v>82</v>
      </c>
      <c r="G678" s="54" t="s">
        <v>432</v>
      </c>
      <c r="H678" s="28" t="str">
        <f>VLOOKUP(Main3WData[[#This Row],[Admin Unit Name]],AdminUnits[],2,FALSE)</f>
        <v>GIN008005</v>
      </c>
      <c r="I678" s="57">
        <v>0</v>
      </c>
      <c r="J678" s="67" t="str">
        <f>Main3WData[[#This Row],[Acronym]]&amp;Main3WData[[#This Row],[Sector]]&amp;Main3WData[[#This Row],[Activity Type]]&amp;Main3WData[[#This Row],[Pcode]]</f>
        <v>CRG/FICRCommunication/Mobilisation socialeOngoingGIN008005</v>
      </c>
      <c r="K678" s="69">
        <f>COUNTIF(Main3WData[Concatenate],Main3WData[[#This Row],[Concatenate]])</f>
        <v>1</v>
      </c>
      <c r="L678" s="61" t="str">
        <f>Main3WData[[#This Row],[Sector]]&amp;Main3WData[[#This Row],[Pcode]]</f>
        <v>Communication/Mobilisation socialeGIN008005</v>
      </c>
      <c r="M678" s="71">
        <f>COUNTIF($L$5:L678,Main3WData[[#This Row],[PT.Concat]])</f>
        <v>7</v>
      </c>
      <c r="N678" s="70">
        <f>MATCH(Main3WData[[#This Row],[PT.Concat]],$L$5:L678,0)</f>
        <v>668</v>
      </c>
      <c r="O678" s="62" t="b">
        <f>Main3WData[[#This Row],[Count PT.Concat]]=1</f>
        <v>0</v>
      </c>
      <c r="P678" s="62">
        <f t="array" ref="P678">MAX(($N$4:N677=Main3WData[[#This Row],[PT.ID]])*ROW($N$4:N677))</f>
        <v>677</v>
      </c>
      <c r="Q678" s="62" t="str">
        <f>IF(Main3WData[[#This Row],[PT.FirstID]],Main3WData[[#This Row],[Acronym]],INDEX($Q$4:Q677,Main3WData[[#This Row],[PT.LastID.Row]]-ROW($Q$4)+1) &amp; ", "&amp;Main3WData[[#This Row],[Acronym]])</f>
        <v>UNICEF, UNFPA, UNDP, PLAN, OMS, Internews, CRG/FICR</v>
      </c>
      <c r="R678" s="62" t="b">
        <f t="array" ref="R678">MAX(IF(Main3WData[PT.ID]=Main3WData[[#This Row],[PT.ID]],Main3WData[PT.LastID.Row]))=Main3WData[[#This Row],[PT.LastID.Row]]</f>
        <v>1</v>
      </c>
    </row>
    <row r="679" spans="2:18" x14ac:dyDescent="0.2">
      <c r="B679" s="55" t="s">
        <v>516</v>
      </c>
      <c r="C679" s="27" t="str">
        <f>INDEX(Organizations[],MATCH(Main3WData[[#This Row],[Acronym]],AcronymList,0),1)</f>
        <v>UNITED NATION MISSION FOR EBOLA  EMERGENCY RESPONSE</v>
      </c>
      <c r="D679" s="27" t="str">
        <f>INDEX(Organizations[],MATCH(Main3WData[[#This Row],[Acronym]],AcronymList,0),3)</f>
        <v>UN Agency</v>
      </c>
      <c r="E679" s="54" t="s">
        <v>360</v>
      </c>
      <c r="F679" s="53" t="s">
        <v>82</v>
      </c>
      <c r="G679" s="54" t="s">
        <v>432</v>
      </c>
      <c r="H679" s="28" t="str">
        <f>VLOOKUP(Main3WData[[#This Row],[Admin Unit Name]],AdminUnits[],2,FALSE)</f>
        <v>GIN008005</v>
      </c>
      <c r="I679" s="57">
        <v>0</v>
      </c>
      <c r="J679" s="67" t="str">
        <f>Main3WData[[#This Row],[Acronym]]&amp;Main3WData[[#This Row],[Sector]]&amp;Main3WData[[#This Row],[Activity Type]]&amp;Main3WData[[#This Row],[Pcode]]</f>
        <v>UNMEERCoordinationOngoingGIN008005</v>
      </c>
      <c r="K679" s="69">
        <f>COUNTIF(Main3WData[Concatenate],Main3WData[[#This Row],[Concatenate]])</f>
        <v>1</v>
      </c>
      <c r="L679" s="61" t="str">
        <f>Main3WData[[#This Row],[Sector]]&amp;Main3WData[[#This Row],[Pcode]]</f>
        <v>CoordinationGIN008005</v>
      </c>
      <c r="M679" s="71">
        <f>COUNTIF($L$5:L679,Main3WData[[#This Row],[PT.Concat]])</f>
        <v>1</v>
      </c>
      <c r="N679" s="70">
        <f>MATCH(Main3WData[[#This Row],[PT.Concat]],$L$5:L679,0)</f>
        <v>675</v>
      </c>
      <c r="O679" s="62" t="b">
        <f>Main3WData[[#This Row],[Count PT.Concat]]=1</f>
        <v>1</v>
      </c>
      <c r="P679" s="62">
        <f t="array" ref="P679">MAX(($N$4:N678=Main3WData[[#This Row],[PT.ID]])*ROW($N$4:N678))</f>
        <v>0</v>
      </c>
      <c r="Q679" s="62" t="str">
        <f>IF(Main3WData[[#This Row],[PT.FirstID]],Main3WData[[#This Row],[Acronym]],INDEX($Q$4:Q678,Main3WData[[#This Row],[PT.LastID.Row]]-ROW($Q$4)+1) &amp; ", "&amp;Main3WData[[#This Row],[Acronym]])</f>
        <v>UNMEER</v>
      </c>
      <c r="R679" s="62" t="b">
        <f t="array" ref="R679">MAX(IF(Main3WData[PT.ID]=Main3WData[[#This Row],[PT.ID]],Main3WData[PT.LastID.Row]))=Main3WData[[#This Row],[PT.LastID.Row]]</f>
        <v>0</v>
      </c>
    </row>
    <row r="680" spans="2:18" x14ac:dyDescent="0.2">
      <c r="B680" s="55" t="s">
        <v>75</v>
      </c>
      <c r="C680" s="27" t="str">
        <f>INDEX(Organizations[],MATCH(Main3WData[[#This Row],[Acronym]],AcronymList,0),1)</f>
        <v>United Nations Population Fund</v>
      </c>
      <c r="D680" s="27" t="str">
        <f>INDEX(Organizations[],MATCH(Main3WData[[#This Row],[Acronym]],AcronymList,0),3)</f>
        <v>UN Agency</v>
      </c>
      <c r="E680" s="54" t="s">
        <v>360</v>
      </c>
      <c r="F680" s="53" t="s">
        <v>82</v>
      </c>
      <c r="G680" s="54" t="s">
        <v>432</v>
      </c>
      <c r="H680" s="28" t="str">
        <f>VLOOKUP(Main3WData[[#This Row],[Admin Unit Name]],AdminUnits[],2,FALSE)</f>
        <v>GIN008005</v>
      </c>
      <c r="I680" s="57">
        <v>0</v>
      </c>
      <c r="J680" s="67" t="str">
        <f>Main3WData[[#This Row],[Acronym]]&amp;Main3WData[[#This Row],[Sector]]&amp;Main3WData[[#This Row],[Activity Type]]&amp;Main3WData[[#This Row],[Pcode]]</f>
        <v>UNFPACoordinationOngoingGIN008005</v>
      </c>
      <c r="K680" s="69">
        <f>COUNTIF(Main3WData[Concatenate],Main3WData[[#This Row],[Concatenate]])</f>
        <v>1</v>
      </c>
      <c r="L680" s="61" t="str">
        <f>Main3WData[[#This Row],[Sector]]&amp;Main3WData[[#This Row],[Pcode]]</f>
        <v>CoordinationGIN008005</v>
      </c>
      <c r="M680" s="71">
        <f>COUNTIF($L$5:L680,Main3WData[[#This Row],[PT.Concat]])</f>
        <v>2</v>
      </c>
      <c r="N680" s="70">
        <f>MATCH(Main3WData[[#This Row],[PT.Concat]],$L$5:L680,0)</f>
        <v>675</v>
      </c>
      <c r="O680" s="62" t="b">
        <f>Main3WData[[#This Row],[Count PT.Concat]]=1</f>
        <v>0</v>
      </c>
      <c r="P680" s="62">
        <f t="array" ref="P680">MAX(($N$4:N679=Main3WData[[#This Row],[PT.ID]])*ROW($N$4:N679))</f>
        <v>679</v>
      </c>
      <c r="Q680" s="62" t="str">
        <f>IF(Main3WData[[#This Row],[PT.FirstID]],Main3WData[[#This Row],[Acronym]],INDEX($Q$4:Q679,Main3WData[[#This Row],[PT.LastID.Row]]-ROW($Q$4)+1) &amp; ", "&amp;Main3WData[[#This Row],[Acronym]])</f>
        <v>UNMEER, UNFPA</v>
      </c>
      <c r="R680" s="62" t="b">
        <f t="array" ref="R680">MAX(IF(Main3WData[PT.ID]=Main3WData[[#This Row],[PT.ID]],Main3WData[PT.LastID.Row]))=Main3WData[[#This Row],[PT.LastID.Row]]</f>
        <v>0</v>
      </c>
    </row>
    <row r="681" spans="2:18" x14ac:dyDescent="0.2">
      <c r="B681" s="55" t="s">
        <v>473</v>
      </c>
      <c r="C681" s="27" t="str">
        <f>INDEX(Organizations[],MATCH(Main3WData[[#This Row],[Acronym]],AcronymList,0),1)</f>
        <v>United Nations Development Programme</v>
      </c>
      <c r="D681" s="27" t="str">
        <f>INDEX(Organizations[],MATCH(Main3WData[[#This Row],[Acronym]],AcronymList,0),3)</f>
        <v>UN Agency</v>
      </c>
      <c r="E681" s="54" t="s">
        <v>360</v>
      </c>
      <c r="F681" s="53" t="s">
        <v>82</v>
      </c>
      <c r="G681" s="54" t="s">
        <v>432</v>
      </c>
      <c r="H681" s="28" t="str">
        <f>VLOOKUP(Main3WData[[#This Row],[Admin Unit Name]],AdminUnits[],2,FALSE)</f>
        <v>GIN008005</v>
      </c>
      <c r="I681" s="57">
        <v>0</v>
      </c>
      <c r="J681" s="67" t="str">
        <f>Main3WData[[#This Row],[Acronym]]&amp;Main3WData[[#This Row],[Sector]]&amp;Main3WData[[#This Row],[Activity Type]]&amp;Main3WData[[#This Row],[Pcode]]</f>
        <v>UNDPCoordinationOngoingGIN008005</v>
      </c>
      <c r="K681" s="69">
        <f>COUNTIF(Main3WData[Concatenate],Main3WData[[#This Row],[Concatenate]])</f>
        <v>1</v>
      </c>
      <c r="L681" s="61" t="str">
        <f>Main3WData[[#This Row],[Sector]]&amp;Main3WData[[#This Row],[Pcode]]</f>
        <v>CoordinationGIN008005</v>
      </c>
      <c r="M681" s="71">
        <f>COUNTIF($L$5:L681,Main3WData[[#This Row],[PT.Concat]])</f>
        <v>3</v>
      </c>
      <c r="N681" s="70">
        <f>MATCH(Main3WData[[#This Row],[PT.Concat]],$L$5:L681,0)</f>
        <v>675</v>
      </c>
      <c r="O681" s="62" t="b">
        <f>Main3WData[[#This Row],[Count PT.Concat]]=1</f>
        <v>0</v>
      </c>
      <c r="P681" s="62">
        <f t="array" ref="P681">MAX(($N$4:N680=Main3WData[[#This Row],[PT.ID]])*ROW($N$4:N680))</f>
        <v>680</v>
      </c>
      <c r="Q681" s="62" t="str">
        <f>IF(Main3WData[[#This Row],[PT.FirstID]],Main3WData[[#This Row],[Acronym]],INDEX($Q$4:Q680,Main3WData[[#This Row],[PT.LastID.Row]]-ROW($Q$4)+1) &amp; ", "&amp;Main3WData[[#This Row],[Acronym]])</f>
        <v>UNMEER, UNFPA, UNDP</v>
      </c>
      <c r="R681" s="62" t="b">
        <f t="array" ref="R681">MAX(IF(Main3WData[PT.ID]=Main3WData[[#This Row],[PT.ID]],Main3WData[PT.LastID.Row]))=Main3WData[[#This Row],[PT.LastID.Row]]</f>
        <v>0</v>
      </c>
    </row>
    <row r="682" spans="2:18" x14ac:dyDescent="0.2">
      <c r="B682" s="55" t="s">
        <v>512</v>
      </c>
      <c r="C682" s="27" t="str">
        <f>INDEX(Organizations[],MATCH(Main3WData[[#This Row],[Acronym]],AcronymList,0),1)</f>
        <v>World Health Organization</v>
      </c>
      <c r="D682" s="27" t="str">
        <f>INDEX(Organizations[],MATCH(Main3WData[[#This Row],[Acronym]],AcronymList,0),3)</f>
        <v>UN Agency</v>
      </c>
      <c r="E682" s="54" t="s">
        <v>360</v>
      </c>
      <c r="F682" s="53" t="s">
        <v>82</v>
      </c>
      <c r="G682" s="54" t="s">
        <v>432</v>
      </c>
      <c r="H682" s="28" t="str">
        <f>VLOOKUP(Main3WData[[#This Row],[Admin Unit Name]],AdminUnits[],2,FALSE)</f>
        <v>GIN008005</v>
      </c>
      <c r="I682" s="57">
        <v>0</v>
      </c>
      <c r="J682" s="67" t="str">
        <f>Main3WData[[#This Row],[Acronym]]&amp;Main3WData[[#This Row],[Sector]]&amp;Main3WData[[#This Row],[Activity Type]]&amp;Main3WData[[#This Row],[Pcode]]</f>
        <v>OMSCoordinationOngoingGIN008005</v>
      </c>
      <c r="K682" s="69">
        <f>COUNTIF(Main3WData[Concatenate],Main3WData[[#This Row],[Concatenate]])</f>
        <v>1</v>
      </c>
      <c r="L682" s="61" t="str">
        <f>Main3WData[[#This Row],[Sector]]&amp;Main3WData[[#This Row],[Pcode]]</f>
        <v>CoordinationGIN008005</v>
      </c>
      <c r="M682" s="71">
        <f>COUNTIF($L$5:L682,Main3WData[[#This Row],[PT.Concat]])</f>
        <v>4</v>
      </c>
      <c r="N682" s="70">
        <f>MATCH(Main3WData[[#This Row],[PT.Concat]],$L$5:L682,0)</f>
        <v>675</v>
      </c>
      <c r="O682" s="62" t="b">
        <f>Main3WData[[#This Row],[Count PT.Concat]]=1</f>
        <v>0</v>
      </c>
      <c r="P682" s="62">
        <f t="array" ref="P682">MAX(($N$4:N681=Main3WData[[#This Row],[PT.ID]])*ROW($N$4:N681))</f>
        <v>681</v>
      </c>
      <c r="Q682" s="62" t="str">
        <f>IF(Main3WData[[#This Row],[PT.FirstID]],Main3WData[[#This Row],[Acronym]],INDEX($Q$4:Q681,Main3WData[[#This Row],[PT.LastID.Row]]-ROW($Q$4)+1) &amp; ", "&amp;Main3WData[[#This Row],[Acronym]])</f>
        <v>UNMEER, UNFPA, UNDP, OMS</v>
      </c>
      <c r="R682" s="62" t="b">
        <f t="array" ref="R682">MAX(IF(Main3WData[PT.ID]=Main3WData[[#This Row],[PT.ID]],Main3WData[PT.LastID.Row]))=Main3WData[[#This Row],[PT.LastID.Row]]</f>
        <v>0</v>
      </c>
    </row>
    <row r="683" spans="2:18" x14ac:dyDescent="0.2">
      <c r="B683" s="55" t="s">
        <v>71</v>
      </c>
      <c r="C683" s="27" t="str">
        <f>INDEX(Organizations[],MATCH(Main3WData[[#This Row],[Acronym]],AcronymList,0),1)</f>
        <v>Medecins sans Frontieres</v>
      </c>
      <c r="D683" s="27" t="str">
        <f>INDEX(Organizations[],MATCH(Main3WData[[#This Row],[Acronym]],AcronymList,0),3)</f>
        <v>International NGO</v>
      </c>
      <c r="E683" s="54" t="s">
        <v>360</v>
      </c>
      <c r="F683" s="53" t="s">
        <v>82</v>
      </c>
      <c r="G683" s="54" t="s">
        <v>432</v>
      </c>
      <c r="H683" s="28" t="str">
        <f>VLOOKUP(Main3WData[[#This Row],[Admin Unit Name]],AdminUnits[],2,FALSE)</f>
        <v>GIN008005</v>
      </c>
      <c r="I683" s="57">
        <v>0</v>
      </c>
      <c r="J683" s="67" t="str">
        <f>Main3WData[[#This Row],[Acronym]]&amp;Main3WData[[#This Row],[Sector]]&amp;Main3WData[[#This Row],[Activity Type]]&amp;Main3WData[[#This Row],[Pcode]]</f>
        <v>MSFCoordinationOngoingGIN008005</v>
      </c>
      <c r="K683" s="69">
        <f>COUNTIF(Main3WData[Concatenate],Main3WData[[#This Row],[Concatenate]])</f>
        <v>1</v>
      </c>
      <c r="L683" s="61" t="str">
        <f>Main3WData[[#This Row],[Sector]]&amp;Main3WData[[#This Row],[Pcode]]</f>
        <v>CoordinationGIN008005</v>
      </c>
      <c r="M683" s="71">
        <f>COUNTIF($L$5:L683,Main3WData[[#This Row],[PT.Concat]])</f>
        <v>5</v>
      </c>
      <c r="N683" s="70">
        <f>MATCH(Main3WData[[#This Row],[PT.Concat]],$L$5:L683,0)</f>
        <v>675</v>
      </c>
      <c r="O683" s="62" t="b">
        <f>Main3WData[[#This Row],[Count PT.Concat]]=1</f>
        <v>0</v>
      </c>
      <c r="P683" s="62">
        <f t="array" ref="P683">MAX(($N$4:N682=Main3WData[[#This Row],[PT.ID]])*ROW($N$4:N682))</f>
        <v>682</v>
      </c>
      <c r="Q683" s="62" t="str">
        <f>IF(Main3WData[[#This Row],[PT.FirstID]],Main3WData[[#This Row],[Acronym]],INDEX($Q$4:Q682,Main3WData[[#This Row],[PT.LastID.Row]]-ROW($Q$4)+1) &amp; ", "&amp;Main3WData[[#This Row],[Acronym]])</f>
        <v>UNMEER, UNFPA, UNDP, OMS, MSF</v>
      </c>
      <c r="R683" s="62" t="b">
        <f t="array" ref="R683">MAX(IF(Main3WData[PT.ID]=Main3WData[[#This Row],[PT.ID]],Main3WData[PT.LastID.Row]))=Main3WData[[#This Row],[PT.LastID.Row]]</f>
        <v>0</v>
      </c>
    </row>
    <row r="684" spans="2:18" x14ac:dyDescent="0.2">
      <c r="B684" s="55" t="s">
        <v>507</v>
      </c>
      <c r="C684" s="27" t="str">
        <f>INDEX(Organizations[],MATCH(Main3WData[[#This Row],[Acronym]],AcronymList,0),1)</f>
        <v>eHealth Africa</v>
      </c>
      <c r="D684" s="27" t="str">
        <f>INDEX(Organizations[],MATCH(Main3WData[[#This Row],[Acronym]],AcronymList,0),3)</f>
        <v>International Organization</v>
      </c>
      <c r="E684" s="54" t="s">
        <v>360</v>
      </c>
      <c r="F684" s="53" t="s">
        <v>82</v>
      </c>
      <c r="G684" s="54" t="s">
        <v>432</v>
      </c>
      <c r="H684" s="28" t="str">
        <f>VLOOKUP(Main3WData[[#This Row],[Admin Unit Name]],AdminUnits[],2,FALSE)</f>
        <v>GIN008005</v>
      </c>
      <c r="I684" s="57">
        <v>0</v>
      </c>
      <c r="J684" s="67" t="str">
        <f>Main3WData[[#This Row],[Acronym]]&amp;Main3WData[[#This Row],[Sector]]&amp;Main3WData[[#This Row],[Activity Type]]&amp;Main3WData[[#This Row],[Pcode]]</f>
        <v>eHealth AfricaCoordinationOngoingGIN008005</v>
      </c>
      <c r="K684" s="69">
        <f>COUNTIF(Main3WData[Concatenate],Main3WData[[#This Row],[Concatenate]])</f>
        <v>1</v>
      </c>
      <c r="L684" s="61" t="str">
        <f>Main3WData[[#This Row],[Sector]]&amp;Main3WData[[#This Row],[Pcode]]</f>
        <v>CoordinationGIN008005</v>
      </c>
      <c r="M684" s="71">
        <f>COUNTIF($L$5:L684,Main3WData[[#This Row],[PT.Concat]])</f>
        <v>6</v>
      </c>
      <c r="N684" s="70">
        <f>MATCH(Main3WData[[#This Row],[PT.Concat]],$L$5:L684,0)</f>
        <v>675</v>
      </c>
      <c r="O684" s="62" t="b">
        <f>Main3WData[[#This Row],[Count PT.Concat]]=1</f>
        <v>0</v>
      </c>
      <c r="P684" s="62">
        <f t="array" ref="P684">MAX(($N$4:N683=Main3WData[[#This Row],[PT.ID]])*ROW($N$4:N683))</f>
        <v>683</v>
      </c>
      <c r="Q684" s="62" t="str">
        <f>IF(Main3WData[[#This Row],[PT.FirstID]],Main3WData[[#This Row],[Acronym]],INDEX($Q$4:Q683,Main3WData[[#This Row],[PT.LastID.Row]]-ROW($Q$4)+1) &amp; ", "&amp;Main3WData[[#This Row],[Acronym]])</f>
        <v>UNMEER, UNFPA, UNDP, OMS, MSF, eHealth Africa</v>
      </c>
      <c r="R684" s="62" t="b">
        <f t="array" ref="R684">MAX(IF(Main3WData[PT.ID]=Main3WData[[#This Row],[PT.ID]],Main3WData[PT.LastID.Row]))=Main3WData[[#This Row],[PT.LastID.Row]]</f>
        <v>1</v>
      </c>
    </row>
    <row r="685" spans="2:18" x14ac:dyDescent="0.2">
      <c r="B685" s="55" t="s">
        <v>473</v>
      </c>
      <c r="C685" s="27" t="str">
        <f>INDEX(Organizations[],MATCH(Main3WData[[#This Row],[Acronym]],AcronymList,0),1)</f>
        <v>United Nations Development Programme</v>
      </c>
      <c r="D685" s="27" t="str">
        <f>INDEX(Organizations[],MATCH(Main3WData[[#This Row],[Acronym]],AcronymList,0),3)</f>
        <v>UN Agency</v>
      </c>
      <c r="E685" s="54" t="s">
        <v>359</v>
      </c>
      <c r="F685" s="53" t="s">
        <v>82</v>
      </c>
      <c r="G685" s="54" t="s">
        <v>432</v>
      </c>
      <c r="H685" s="28" t="str">
        <f>VLOOKUP(Main3WData[[#This Row],[Admin Unit Name]],AdminUnits[],2,FALSE)</f>
        <v>GIN008005</v>
      </c>
      <c r="I685" s="57">
        <v>0</v>
      </c>
      <c r="J685" s="67" t="str">
        <f>Main3WData[[#This Row],[Acronym]]&amp;Main3WData[[#This Row],[Sector]]&amp;Main3WData[[#This Row],[Activity Type]]&amp;Main3WData[[#This Row],[Pcode]]</f>
        <v>UNDPFinanceOngoingGIN008005</v>
      </c>
      <c r="K685" s="69">
        <f>COUNTIF(Main3WData[Concatenate],Main3WData[[#This Row],[Concatenate]])</f>
        <v>1</v>
      </c>
      <c r="L685" s="61" t="str">
        <f>Main3WData[[#This Row],[Sector]]&amp;Main3WData[[#This Row],[Pcode]]</f>
        <v>FinanceGIN008005</v>
      </c>
      <c r="M685" s="71">
        <f>COUNTIF($L$5:L685,Main3WData[[#This Row],[PT.Concat]])</f>
        <v>1</v>
      </c>
      <c r="N685" s="70">
        <f>MATCH(Main3WData[[#This Row],[PT.Concat]],$L$5:L685,0)</f>
        <v>681</v>
      </c>
      <c r="O685" s="62" t="b">
        <f>Main3WData[[#This Row],[Count PT.Concat]]=1</f>
        <v>1</v>
      </c>
      <c r="P685" s="62">
        <f t="array" ref="P685">MAX(($N$4:N684=Main3WData[[#This Row],[PT.ID]])*ROW($N$4:N684))</f>
        <v>0</v>
      </c>
      <c r="Q685" s="62" t="str">
        <f>IF(Main3WData[[#This Row],[PT.FirstID]],Main3WData[[#This Row],[Acronym]],INDEX($Q$4:Q684,Main3WData[[#This Row],[PT.LastID.Row]]-ROW($Q$4)+1) &amp; ", "&amp;Main3WData[[#This Row],[Acronym]])</f>
        <v>UNDP</v>
      </c>
      <c r="R685" s="62" t="b">
        <f t="array" ref="R685">MAX(IF(Main3WData[PT.ID]=Main3WData[[#This Row],[PT.ID]],Main3WData[PT.LastID.Row]))=Main3WData[[#This Row],[PT.LastID.Row]]</f>
        <v>1</v>
      </c>
    </row>
    <row r="686" spans="2:18" x14ac:dyDescent="0.2">
      <c r="B686" s="55" t="s">
        <v>451</v>
      </c>
      <c r="C686" s="27" t="str">
        <f>INDEX(Organizations[],MATCH(Main3WData[[#This Row],[Acronym]],AcronymList,0),1)</f>
        <v>Croix-Rouge Guinée</v>
      </c>
      <c r="D686" s="27" t="str">
        <f>INDEX(Organizations[],MATCH(Main3WData[[#This Row],[Acronym]],AcronymList,0),3)</f>
        <v>Red Cross Movement</v>
      </c>
      <c r="E686" s="54" t="s">
        <v>354</v>
      </c>
      <c r="F686" s="53" t="s">
        <v>82</v>
      </c>
      <c r="G686" s="54" t="s">
        <v>432</v>
      </c>
      <c r="H686" s="28" t="str">
        <f>VLOOKUP(Main3WData[[#This Row],[Admin Unit Name]],AdminUnits[],2,FALSE)</f>
        <v>GIN008005</v>
      </c>
      <c r="I686" s="57">
        <v>0</v>
      </c>
      <c r="J686" s="67" t="str">
        <f>Main3WData[[#This Row],[Acronym]]&amp;Main3WData[[#This Row],[Sector]]&amp;Main3WData[[#This Row],[Activity Type]]&amp;Main3WData[[#This Row],[Pcode]]</f>
        <v>CRGGestion des corps et desinfectionOngoingGIN008005</v>
      </c>
      <c r="K686" s="69">
        <f>COUNTIF(Main3WData[Concatenate],Main3WData[[#This Row],[Concatenate]])</f>
        <v>1</v>
      </c>
      <c r="L686" s="61" t="str">
        <f>Main3WData[[#This Row],[Sector]]&amp;Main3WData[[#This Row],[Pcode]]</f>
        <v>Gestion des corps et desinfectionGIN008005</v>
      </c>
      <c r="M686" s="71">
        <f>COUNTIF($L$5:L686,Main3WData[[#This Row],[PT.Concat]])</f>
        <v>1</v>
      </c>
      <c r="N686" s="70">
        <f>MATCH(Main3WData[[#This Row],[PT.Concat]],$L$5:L686,0)</f>
        <v>682</v>
      </c>
      <c r="O686" s="62" t="b">
        <f>Main3WData[[#This Row],[Count PT.Concat]]=1</f>
        <v>1</v>
      </c>
      <c r="P686" s="62">
        <f t="array" ref="P686">MAX(($N$4:N685=Main3WData[[#This Row],[PT.ID]])*ROW($N$4:N685))</f>
        <v>0</v>
      </c>
      <c r="Q686" s="62" t="str">
        <f>IF(Main3WData[[#This Row],[PT.FirstID]],Main3WData[[#This Row],[Acronym]],INDEX($Q$4:Q685,Main3WData[[#This Row],[PT.LastID.Row]]-ROW($Q$4)+1) &amp; ", "&amp;Main3WData[[#This Row],[Acronym]])</f>
        <v>CRG</v>
      </c>
      <c r="R686" s="62" t="b">
        <f t="array" ref="R686">MAX(IF(Main3WData[PT.ID]=Main3WData[[#This Row],[PT.ID]],Main3WData[PT.LastID.Row]))=Main3WData[[#This Row],[PT.LastID.Row]]</f>
        <v>1</v>
      </c>
    </row>
    <row r="687" spans="2:18" x14ac:dyDescent="0.2">
      <c r="B687" s="55" t="s">
        <v>516</v>
      </c>
      <c r="C687" s="27" t="str">
        <f>INDEX(Organizations[],MATCH(Main3WData[[#This Row],[Acronym]],AcronymList,0),1)</f>
        <v>UNITED NATION MISSION FOR EBOLA  EMERGENCY RESPONSE</v>
      </c>
      <c r="D687" s="27" t="str">
        <f>INDEX(Organizations[],MATCH(Main3WData[[#This Row],[Acronym]],AcronymList,0),3)</f>
        <v>UN Agency</v>
      </c>
      <c r="E687" s="54" t="s">
        <v>356</v>
      </c>
      <c r="F687" s="53" t="s">
        <v>82</v>
      </c>
      <c r="G687" s="54" t="s">
        <v>432</v>
      </c>
      <c r="H687" s="28" t="str">
        <f>VLOOKUP(Main3WData[[#This Row],[Admin Unit Name]],AdminUnits[],2,FALSE)</f>
        <v>GIN008005</v>
      </c>
      <c r="I687" s="57">
        <v>0</v>
      </c>
      <c r="J687" s="67" t="str">
        <f>Main3WData[[#This Row],[Acronym]]&amp;Main3WData[[#This Row],[Sector]]&amp;Main3WData[[#This Row],[Activity Type]]&amp;Main3WData[[#This Row],[Pcode]]</f>
        <v>UNMEERGestion des donnéesOngoingGIN008005</v>
      </c>
      <c r="K687" s="69">
        <f>COUNTIF(Main3WData[Concatenate],Main3WData[[#This Row],[Concatenate]])</f>
        <v>1</v>
      </c>
      <c r="L687" s="61" t="str">
        <f>Main3WData[[#This Row],[Sector]]&amp;Main3WData[[#This Row],[Pcode]]</f>
        <v>Gestion des donnéesGIN008005</v>
      </c>
      <c r="M687" s="71">
        <f>COUNTIF($L$5:L687,Main3WData[[#This Row],[PT.Concat]])</f>
        <v>1</v>
      </c>
      <c r="N687" s="70">
        <f>MATCH(Main3WData[[#This Row],[PT.Concat]],$L$5:L687,0)</f>
        <v>683</v>
      </c>
      <c r="O687" s="62" t="b">
        <f>Main3WData[[#This Row],[Count PT.Concat]]=1</f>
        <v>1</v>
      </c>
      <c r="P687" s="62">
        <f t="array" ref="P687">MAX(($N$4:N686=Main3WData[[#This Row],[PT.ID]])*ROW($N$4:N686))</f>
        <v>0</v>
      </c>
      <c r="Q687" s="62" t="str">
        <f>IF(Main3WData[[#This Row],[PT.FirstID]],Main3WData[[#This Row],[Acronym]],INDEX($Q$4:Q686,Main3WData[[#This Row],[PT.LastID.Row]]-ROW($Q$4)+1) &amp; ", "&amp;Main3WData[[#This Row],[Acronym]])</f>
        <v>UNMEER</v>
      </c>
      <c r="R687" s="62" t="b">
        <f t="array" ref="R687">MAX(IF(Main3WData[PT.ID]=Main3WData[[#This Row],[PT.ID]],Main3WData[PT.LastID.Row]))=Main3WData[[#This Row],[PT.LastID.Row]]</f>
        <v>0</v>
      </c>
    </row>
    <row r="688" spans="2:18" x14ac:dyDescent="0.2">
      <c r="B688" s="55" t="s">
        <v>473</v>
      </c>
      <c r="C688" s="27" t="str">
        <f>INDEX(Organizations[],MATCH(Main3WData[[#This Row],[Acronym]],AcronymList,0),1)</f>
        <v>United Nations Development Programme</v>
      </c>
      <c r="D688" s="27" t="str">
        <f>INDEX(Organizations[],MATCH(Main3WData[[#This Row],[Acronym]],AcronymList,0),3)</f>
        <v>UN Agency</v>
      </c>
      <c r="E688" s="54" t="s">
        <v>356</v>
      </c>
      <c r="F688" s="53" t="s">
        <v>82</v>
      </c>
      <c r="G688" s="54" t="s">
        <v>432</v>
      </c>
      <c r="H688" s="28" t="str">
        <f>VLOOKUP(Main3WData[[#This Row],[Admin Unit Name]],AdminUnits[],2,FALSE)</f>
        <v>GIN008005</v>
      </c>
      <c r="I688" s="57">
        <v>0</v>
      </c>
      <c r="J688" s="67" t="str">
        <f>Main3WData[[#This Row],[Acronym]]&amp;Main3WData[[#This Row],[Sector]]&amp;Main3WData[[#This Row],[Activity Type]]&amp;Main3WData[[#This Row],[Pcode]]</f>
        <v>UNDPGestion des donnéesOngoingGIN008005</v>
      </c>
      <c r="K688" s="69">
        <f>COUNTIF(Main3WData[Concatenate],Main3WData[[#This Row],[Concatenate]])</f>
        <v>1</v>
      </c>
      <c r="L688" s="61" t="str">
        <f>Main3WData[[#This Row],[Sector]]&amp;Main3WData[[#This Row],[Pcode]]</f>
        <v>Gestion des donnéesGIN008005</v>
      </c>
      <c r="M688" s="71">
        <f>COUNTIF($L$5:L688,Main3WData[[#This Row],[PT.Concat]])</f>
        <v>2</v>
      </c>
      <c r="N688" s="70">
        <f>MATCH(Main3WData[[#This Row],[PT.Concat]],$L$5:L688,0)</f>
        <v>683</v>
      </c>
      <c r="O688" s="62" t="b">
        <f>Main3WData[[#This Row],[Count PT.Concat]]=1</f>
        <v>0</v>
      </c>
      <c r="P688" s="62">
        <f t="array" ref="P688">MAX(($N$4:N687=Main3WData[[#This Row],[PT.ID]])*ROW($N$4:N687))</f>
        <v>687</v>
      </c>
      <c r="Q688" s="62" t="str">
        <f>IF(Main3WData[[#This Row],[PT.FirstID]],Main3WData[[#This Row],[Acronym]],INDEX($Q$4:Q687,Main3WData[[#This Row],[PT.LastID.Row]]-ROW($Q$4)+1) &amp; ", "&amp;Main3WData[[#This Row],[Acronym]])</f>
        <v>UNMEER, UNDP</v>
      </c>
      <c r="R688" s="62" t="b">
        <f t="array" ref="R688">MAX(IF(Main3WData[PT.ID]=Main3WData[[#This Row],[PT.ID]],Main3WData[PT.LastID.Row]))=Main3WData[[#This Row],[PT.LastID.Row]]</f>
        <v>0</v>
      </c>
    </row>
    <row r="689" spans="2:18" x14ac:dyDescent="0.2">
      <c r="B689" s="55" t="s">
        <v>72</v>
      </c>
      <c r="C689" s="27" t="str">
        <f>INDEX(Organizations[],MATCH(Main3WData[[#This Row],[Acronym]],AcronymList,0),1)</f>
        <v>PLAN</v>
      </c>
      <c r="D689" s="27" t="str">
        <f>INDEX(Organizations[],MATCH(Main3WData[[#This Row],[Acronym]],AcronymList,0),3)</f>
        <v>International Organization</v>
      </c>
      <c r="E689" s="54" t="s">
        <v>356</v>
      </c>
      <c r="F689" s="53" t="s">
        <v>82</v>
      </c>
      <c r="G689" s="54" t="s">
        <v>432</v>
      </c>
      <c r="H689" s="28" t="str">
        <f>VLOOKUP(Main3WData[[#This Row],[Admin Unit Name]],AdminUnits[],2,FALSE)</f>
        <v>GIN008005</v>
      </c>
      <c r="I689" s="57">
        <v>0</v>
      </c>
      <c r="J689" s="67" t="str">
        <f>Main3WData[[#This Row],[Acronym]]&amp;Main3WData[[#This Row],[Sector]]&amp;Main3WData[[#This Row],[Activity Type]]&amp;Main3WData[[#This Row],[Pcode]]</f>
        <v>PLANGestion des donnéesOngoingGIN008005</v>
      </c>
      <c r="K689" s="69">
        <f>COUNTIF(Main3WData[Concatenate],Main3WData[[#This Row],[Concatenate]])</f>
        <v>1</v>
      </c>
      <c r="L689" s="61" t="str">
        <f>Main3WData[[#This Row],[Sector]]&amp;Main3WData[[#This Row],[Pcode]]</f>
        <v>Gestion des donnéesGIN008005</v>
      </c>
      <c r="M689" s="71">
        <f>COUNTIF($L$5:L689,Main3WData[[#This Row],[PT.Concat]])</f>
        <v>3</v>
      </c>
      <c r="N689" s="70">
        <f>MATCH(Main3WData[[#This Row],[PT.Concat]],$L$5:L689,0)</f>
        <v>683</v>
      </c>
      <c r="O689" s="62" t="b">
        <f>Main3WData[[#This Row],[Count PT.Concat]]=1</f>
        <v>0</v>
      </c>
      <c r="P689" s="62">
        <f t="array" ref="P689">MAX(($N$4:N688=Main3WData[[#This Row],[PT.ID]])*ROW($N$4:N688))</f>
        <v>688</v>
      </c>
      <c r="Q689" s="62" t="str">
        <f>IF(Main3WData[[#This Row],[PT.FirstID]],Main3WData[[#This Row],[Acronym]],INDEX($Q$4:Q688,Main3WData[[#This Row],[PT.LastID.Row]]-ROW($Q$4)+1) &amp; ", "&amp;Main3WData[[#This Row],[Acronym]])</f>
        <v>UNMEER, UNDP, PLAN</v>
      </c>
      <c r="R689" s="62" t="b">
        <f t="array" ref="R689">MAX(IF(Main3WData[PT.ID]=Main3WData[[#This Row],[PT.ID]],Main3WData[PT.LastID.Row]))=Main3WData[[#This Row],[PT.LastID.Row]]</f>
        <v>0</v>
      </c>
    </row>
    <row r="690" spans="2:18" x14ac:dyDescent="0.2">
      <c r="B690" s="55" t="s">
        <v>512</v>
      </c>
      <c r="C690" s="27" t="str">
        <f>INDEX(Organizations[],MATCH(Main3WData[[#This Row],[Acronym]],AcronymList,0),1)</f>
        <v>World Health Organization</v>
      </c>
      <c r="D690" s="27" t="str">
        <f>INDEX(Organizations[],MATCH(Main3WData[[#This Row],[Acronym]],AcronymList,0),3)</f>
        <v>UN Agency</v>
      </c>
      <c r="E690" s="54" t="s">
        <v>356</v>
      </c>
      <c r="F690" s="53" t="s">
        <v>82</v>
      </c>
      <c r="G690" s="54" t="s">
        <v>432</v>
      </c>
      <c r="H690" s="28" t="str">
        <f>VLOOKUP(Main3WData[[#This Row],[Admin Unit Name]],AdminUnits[],2,FALSE)</f>
        <v>GIN008005</v>
      </c>
      <c r="I690" s="57">
        <v>0</v>
      </c>
      <c r="J690" s="67" t="str">
        <f>Main3WData[[#This Row],[Acronym]]&amp;Main3WData[[#This Row],[Sector]]&amp;Main3WData[[#This Row],[Activity Type]]&amp;Main3WData[[#This Row],[Pcode]]</f>
        <v>OMSGestion des donnéesOngoingGIN008005</v>
      </c>
      <c r="K690" s="69">
        <f>COUNTIF(Main3WData[Concatenate],Main3WData[[#This Row],[Concatenate]])</f>
        <v>1</v>
      </c>
      <c r="L690" s="61" t="str">
        <f>Main3WData[[#This Row],[Sector]]&amp;Main3WData[[#This Row],[Pcode]]</f>
        <v>Gestion des donnéesGIN008005</v>
      </c>
      <c r="M690" s="71">
        <f>COUNTIF($L$5:L690,Main3WData[[#This Row],[PT.Concat]])</f>
        <v>4</v>
      </c>
      <c r="N690" s="70">
        <f>MATCH(Main3WData[[#This Row],[PT.Concat]],$L$5:L690,0)</f>
        <v>683</v>
      </c>
      <c r="O690" s="62" t="b">
        <f>Main3WData[[#This Row],[Count PT.Concat]]=1</f>
        <v>0</v>
      </c>
      <c r="P690" s="62">
        <f t="array" ref="P690">MAX(($N$4:N689=Main3WData[[#This Row],[PT.ID]])*ROW($N$4:N689))</f>
        <v>689</v>
      </c>
      <c r="Q690" s="62" t="str">
        <f>IF(Main3WData[[#This Row],[PT.FirstID]],Main3WData[[#This Row],[Acronym]],INDEX($Q$4:Q689,Main3WData[[#This Row],[PT.LastID.Row]]-ROW($Q$4)+1) &amp; ", "&amp;Main3WData[[#This Row],[Acronym]])</f>
        <v>UNMEER, UNDP, PLAN, OMS</v>
      </c>
      <c r="R690" s="62" t="b">
        <f t="array" ref="R690">MAX(IF(Main3WData[PT.ID]=Main3WData[[#This Row],[PT.ID]],Main3WData[PT.LastID.Row]))=Main3WData[[#This Row],[PT.LastID.Row]]</f>
        <v>1</v>
      </c>
    </row>
    <row r="691" spans="2:18" x14ac:dyDescent="0.2">
      <c r="B691" s="55" t="s">
        <v>516</v>
      </c>
      <c r="C691" s="27" t="str">
        <f>INDEX(Organizations[],MATCH(Main3WData[[#This Row],[Acronym]],AcronymList,0),1)</f>
        <v>UNITED NATION MISSION FOR EBOLA  EMERGENCY RESPONSE</v>
      </c>
      <c r="D691" s="27" t="str">
        <f>INDEX(Organizations[],MATCH(Main3WData[[#This Row],[Acronym]],AcronymList,0),3)</f>
        <v>UN Agency</v>
      </c>
      <c r="E691" s="54" t="s">
        <v>358</v>
      </c>
      <c r="F691" s="53" t="s">
        <v>82</v>
      </c>
      <c r="G691" s="54" t="s">
        <v>432</v>
      </c>
      <c r="H691" s="28" t="str">
        <f>VLOOKUP(Main3WData[[#This Row],[Admin Unit Name]],AdminUnits[],2,FALSE)</f>
        <v>GIN008005</v>
      </c>
      <c r="I691" s="57">
        <v>0</v>
      </c>
      <c r="J691" s="67" t="str">
        <f>Main3WData[[#This Row],[Acronym]]&amp;Main3WData[[#This Row],[Sector]]&amp;Main3WData[[#This Row],[Activity Type]]&amp;Main3WData[[#This Row],[Pcode]]</f>
        <v>UNMEERLogistiquesOngoingGIN008005</v>
      </c>
      <c r="K691" s="69">
        <f>COUNTIF(Main3WData[Concatenate],Main3WData[[#This Row],[Concatenate]])</f>
        <v>1</v>
      </c>
      <c r="L691" s="61" t="str">
        <f>Main3WData[[#This Row],[Sector]]&amp;Main3WData[[#This Row],[Pcode]]</f>
        <v>LogistiquesGIN008005</v>
      </c>
      <c r="M691" s="71">
        <f>COUNTIF($L$5:L691,Main3WData[[#This Row],[PT.Concat]])</f>
        <v>1</v>
      </c>
      <c r="N691" s="70">
        <f>MATCH(Main3WData[[#This Row],[PT.Concat]],$L$5:L691,0)</f>
        <v>687</v>
      </c>
      <c r="O691" s="62" t="b">
        <f>Main3WData[[#This Row],[Count PT.Concat]]=1</f>
        <v>1</v>
      </c>
      <c r="P691" s="62">
        <f t="array" ref="P691">MAX(($N$4:N690=Main3WData[[#This Row],[PT.ID]])*ROW($N$4:N690))</f>
        <v>0</v>
      </c>
      <c r="Q691" s="62" t="str">
        <f>IF(Main3WData[[#This Row],[PT.FirstID]],Main3WData[[#This Row],[Acronym]],INDEX($Q$4:Q690,Main3WData[[#This Row],[PT.LastID.Row]]-ROW($Q$4)+1) &amp; ", "&amp;Main3WData[[#This Row],[Acronym]])</f>
        <v>UNMEER</v>
      </c>
      <c r="R691" s="62" t="b">
        <f t="array" ref="R691">MAX(IF(Main3WData[PT.ID]=Main3WData[[#This Row],[PT.ID]],Main3WData[PT.LastID.Row]))=Main3WData[[#This Row],[PT.LastID.Row]]</f>
        <v>0</v>
      </c>
    </row>
    <row r="692" spans="2:18" x14ac:dyDescent="0.2">
      <c r="B692" s="55" t="s">
        <v>512</v>
      </c>
      <c r="C692" s="27" t="str">
        <f>INDEX(Organizations[],MATCH(Main3WData[[#This Row],[Acronym]],AcronymList,0),1)</f>
        <v>World Health Organization</v>
      </c>
      <c r="D692" s="27" t="str">
        <f>INDEX(Organizations[],MATCH(Main3WData[[#This Row],[Acronym]],AcronymList,0),3)</f>
        <v>UN Agency</v>
      </c>
      <c r="E692" s="54" t="s">
        <v>358</v>
      </c>
      <c r="F692" s="53" t="s">
        <v>82</v>
      </c>
      <c r="G692" s="54" t="s">
        <v>432</v>
      </c>
      <c r="H692" s="28" t="str">
        <f>VLOOKUP(Main3WData[[#This Row],[Admin Unit Name]],AdminUnits[],2,FALSE)</f>
        <v>GIN008005</v>
      </c>
      <c r="I692" s="57">
        <v>0</v>
      </c>
      <c r="J692" s="67" t="str">
        <f>Main3WData[[#This Row],[Acronym]]&amp;Main3WData[[#This Row],[Sector]]&amp;Main3WData[[#This Row],[Activity Type]]&amp;Main3WData[[#This Row],[Pcode]]</f>
        <v>OMSLogistiquesOngoingGIN008005</v>
      </c>
      <c r="K692" s="69">
        <f>COUNTIF(Main3WData[Concatenate],Main3WData[[#This Row],[Concatenate]])</f>
        <v>1</v>
      </c>
      <c r="L692" s="61" t="str">
        <f>Main3WData[[#This Row],[Sector]]&amp;Main3WData[[#This Row],[Pcode]]</f>
        <v>LogistiquesGIN008005</v>
      </c>
      <c r="M692" s="71">
        <f>COUNTIF($L$5:L692,Main3WData[[#This Row],[PT.Concat]])</f>
        <v>2</v>
      </c>
      <c r="N692" s="70">
        <f>MATCH(Main3WData[[#This Row],[PT.Concat]],$L$5:L692,0)</f>
        <v>687</v>
      </c>
      <c r="O692" s="62" t="b">
        <f>Main3WData[[#This Row],[Count PT.Concat]]=1</f>
        <v>0</v>
      </c>
      <c r="P692" s="62">
        <f t="array" ref="P692">MAX(($N$4:N691=Main3WData[[#This Row],[PT.ID]])*ROW($N$4:N691))</f>
        <v>691</v>
      </c>
      <c r="Q692" s="62" t="str">
        <f>IF(Main3WData[[#This Row],[PT.FirstID]],Main3WData[[#This Row],[Acronym]],INDEX($Q$4:Q691,Main3WData[[#This Row],[PT.LastID.Row]]-ROW($Q$4)+1) &amp; ", "&amp;Main3WData[[#This Row],[Acronym]])</f>
        <v>UNMEER, OMS</v>
      </c>
      <c r="R692" s="62" t="b">
        <f t="array" ref="R692">MAX(IF(Main3WData[PT.ID]=Main3WData[[#This Row],[PT.ID]],Main3WData[PT.LastID.Row]))=Main3WData[[#This Row],[PT.LastID.Row]]</f>
        <v>1</v>
      </c>
    </row>
    <row r="693" spans="2:18" x14ac:dyDescent="0.2">
      <c r="B693" s="55" t="s">
        <v>78</v>
      </c>
      <c r="C693" s="27" t="str">
        <f>INDEX(Organizations[],MATCH(Main3WData[[#This Row],[Acronym]],AcronymList,0),1)</f>
        <v>World Food Programme</v>
      </c>
      <c r="D693" s="27" t="str">
        <f>INDEX(Organizations[],MATCH(Main3WData[[#This Row],[Acronym]],AcronymList,0),3)</f>
        <v>UN Agency</v>
      </c>
      <c r="E693" s="54" t="s">
        <v>353</v>
      </c>
      <c r="F693" s="53" t="s">
        <v>82</v>
      </c>
      <c r="G693" s="54" t="s">
        <v>432</v>
      </c>
      <c r="H693" s="28" t="str">
        <f>VLOOKUP(Main3WData[[#This Row],[Admin Unit Name]],AdminUnits[],2,FALSE)</f>
        <v>GIN008005</v>
      </c>
      <c r="I693" s="57">
        <v>0</v>
      </c>
      <c r="J693" s="67" t="str">
        <f>Main3WData[[#This Row],[Acronym]]&amp;Main3WData[[#This Row],[Sector]]&amp;Main3WData[[#This Row],[Activity Type]]&amp;Main3WData[[#This Row],[Pcode]]</f>
        <v>WFPPrise en chargeOngoingGIN008005</v>
      </c>
      <c r="K693" s="69">
        <f>COUNTIF(Main3WData[Concatenate],Main3WData[[#This Row],[Concatenate]])</f>
        <v>1</v>
      </c>
      <c r="L693" s="61" t="str">
        <f>Main3WData[[#This Row],[Sector]]&amp;Main3WData[[#This Row],[Pcode]]</f>
        <v>Prise en chargeGIN008005</v>
      </c>
      <c r="M693" s="71">
        <f>COUNTIF($L$5:L693,Main3WData[[#This Row],[PT.Concat]])</f>
        <v>1</v>
      </c>
      <c r="N693" s="70">
        <f>MATCH(Main3WData[[#This Row],[PT.Concat]],$L$5:L693,0)</f>
        <v>689</v>
      </c>
      <c r="O693" s="62" t="b">
        <f>Main3WData[[#This Row],[Count PT.Concat]]=1</f>
        <v>1</v>
      </c>
      <c r="P693" s="62">
        <f t="array" ref="P693">MAX(($N$4:N692=Main3WData[[#This Row],[PT.ID]])*ROW($N$4:N692))</f>
        <v>0</v>
      </c>
      <c r="Q693" s="62" t="str">
        <f>IF(Main3WData[[#This Row],[PT.FirstID]],Main3WData[[#This Row],[Acronym]],INDEX($Q$4:Q692,Main3WData[[#This Row],[PT.LastID.Row]]-ROW($Q$4)+1) &amp; ", "&amp;Main3WData[[#This Row],[Acronym]])</f>
        <v>WFP</v>
      </c>
      <c r="R693" s="62" t="b">
        <f t="array" ref="R693">MAX(IF(Main3WData[PT.ID]=Main3WData[[#This Row],[PT.ID]],Main3WData[PT.LastID.Row]))=Main3WData[[#This Row],[PT.LastID.Row]]</f>
        <v>0</v>
      </c>
    </row>
    <row r="694" spans="2:18" x14ac:dyDescent="0.2">
      <c r="B694" s="55" t="s">
        <v>512</v>
      </c>
      <c r="C694" s="27" t="str">
        <f>INDEX(Organizations[],MATCH(Main3WData[[#This Row],[Acronym]],AcronymList,0),1)</f>
        <v>World Health Organization</v>
      </c>
      <c r="D694" s="27" t="str">
        <f>INDEX(Organizations[],MATCH(Main3WData[[#This Row],[Acronym]],AcronymList,0),3)</f>
        <v>UN Agency</v>
      </c>
      <c r="E694" s="54" t="s">
        <v>353</v>
      </c>
      <c r="F694" s="53" t="s">
        <v>82</v>
      </c>
      <c r="G694" s="54" t="s">
        <v>432</v>
      </c>
      <c r="H694" s="28" t="str">
        <f>VLOOKUP(Main3WData[[#This Row],[Admin Unit Name]],AdminUnits[],2,FALSE)</f>
        <v>GIN008005</v>
      </c>
      <c r="I694" s="57">
        <v>0</v>
      </c>
      <c r="J694" s="67" t="str">
        <f>Main3WData[[#This Row],[Acronym]]&amp;Main3WData[[#This Row],[Sector]]&amp;Main3WData[[#This Row],[Activity Type]]&amp;Main3WData[[#This Row],[Pcode]]</f>
        <v>OMSPrise en chargeOngoingGIN008005</v>
      </c>
      <c r="K694" s="69">
        <f>COUNTIF(Main3WData[Concatenate],Main3WData[[#This Row],[Concatenate]])</f>
        <v>1</v>
      </c>
      <c r="L694" s="61" t="str">
        <f>Main3WData[[#This Row],[Sector]]&amp;Main3WData[[#This Row],[Pcode]]</f>
        <v>Prise en chargeGIN008005</v>
      </c>
      <c r="M694" s="71">
        <f>COUNTIF($L$5:L694,Main3WData[[#This Row],[PT.Concat]])</f>
        <v>2</v>
      </c>
      <c r="N694" s="70">
        <f>MATCH(Main3WData[[#This Row],[PT.Concat]],$L$5:L694,0)</f>
        <v>689</v>
      </c>
      <c r="O694" s="62" t="b">
        <f>Main3WData[[#This Row],[Count PT.Concat]]=1</f>
        <v>0</v>
      </c>
      <c r="P694" s="62">
        <f t="array" ref="P694">MAX(($N$4:N693=Main3WData[[#This Row],[PT.ID]])*ROW($N$4:N693))</f>
        <v>693</v>
      </c>
      <c r="Q694" s="62" t="str">
        <f>IF(Main3WData[[#This Row],[PT.FirstID]],Main3WData[[#This Row],[Acronym]],INDEX($Q$4:Q693,Main3WData[[#This Row],[PT.LastID.Row]]-ROW($Q$4)+1) &amp; ", "&amp;Main3WData[[#This Row],[Acronym]])</f>
        <v>WFP, OMS</v>
      </c>
      <c r="R694" s="62" t="b">
        <f t="array" ref="R694">MAX(IF(Main3WData[PT.ID]=Main3WData[[#This Row],[PT.ID]],Main3WData[PT.LastID.Row]))=Main3WData[[#This Row],[PT.LastID.Row]]</f>
        <v>0</v>
      </c>
    </row>
    <row r="695" spans="2:18" x14ac:dyDescent="0.2">
      <c r="B695" s="55" t="s">
        <v>71</v>
      </c>
      <c r="C695" s="27" t="str">
        <f>INDEX(Organizations[],MATCH(Main3WData[[#This Row],[Acronym]],AcronymList,0),1)</f>
        <v>Medecins sans Frontieres</v>
      </c>
      <c r="D695" s="27" t="str">
        <f>INDEX(Organizations[],MATCH(Main3WData[[#This Row],[Acronym]],AcronymList,0),3)</f>
        <v>International NGO</v>
      </c>
      <c r="E695" s="54" t="s">
        <v>353</v>
      </c>
      <c r="F695" s="53" t="s">
        <v>82</v>
      </c>
      <c r="G695" s="54" t="s">
        <v>432</v>
      </c>
      <c r="H695" s="28" t="str">
        <f>VLOOKUP(Main3WData[[#This Row],[Admin Unit Name]],AdminUnits[],2,FALSE)</f>
        <v>GIN008005</v>
      </c>
      <c r="I695" s="57">
        <v>0</v>
      </c>
      <c r="J695" s="67" t="str">
        <f>Main3WData[[#This Row],[Acronym]]&amp;Main3WData[[#This Row],[Sector]]&amp;Main3WData[[#This Row],[Activity Type]]&amp;Main3WData[[#This Row],[Pcode]]</f>
        <v>MSFPrise en chargeOngoingGIN008005</v>
      </c>
      <c r="K695" s="69">
        <f>COUNTIF(Main3WData[Concatenate],Main3WData[[#This Row],[Concatenate]])</f>
        <v>1</v>
      </c>
      <c r="L695" s="61" t="str">
        <f>Main3WData[[#This Row],[Sector]]&amp;Main3WData[[#This Row],[Pcode]]</f>
        <v>Prise en chargeGIN008005</v>
      </c>
      <c r="M695" s="71">
        <f>COUNTIF($L$5:L695,Main3WData[[#This Row],[PT.Concat]])</f>
        <v>3</v>
      </c>
      <c r="N695" s="70">
        <f>MATCH(Main3WData[[#This Row],[PT.Concat]],$L$5:L695,0)</f>
        <v>689</v>
      </c>
      <c r="O695" s="62" t="b">
        <f>Main3WData[[#This Row],[Count PT.Concat]]=1</f>
        <v>0</v>
      </c>
      <c r="P695" s="62">
        <f t="array" ref="P695">MAX(($N$4:N694=Main3WData[[#This Row],[PT.ID]])*ROW($N$4:N694))</f>
        <v>694</v>
      </c>
      <c r="Q695" s="62" t="str">
        <f>IF(Main3WData[[#This Row],[PT.FirstID]],Main3WData[[#This Row],[Acronym]],INDEX($Q$4:Q694,Main3WData[[#This Row],[PT.LastID.Row]]-ROW($Q$4)+1) &amp; ", "&amp;Main3WData[[#This Row],[Acronym]])</f>
        <v>WFP, OMS, MSF</v>
      </c>
      <c r="R695" s="62" t="b">
        <f t="array" ref="R695">MAX(IF(Main3WData[PT.ID]=Main3WData[[#This Row],[PT.ID]],Main3WData[PT.LastID.Row]))=Main3WData[[#This Row],[PT.LastID.Row]]</f>
        <v>0</v>
      </c>
    </row>
    <row r="696" spans="2:18" x14ac:dyDescent="0.2">
      <c r="B696" s="55" t="s">
        <v>506</v>
      </c>
      <c r="C696" s="27" t="str">
        <f>INDEX(Organizations[],MATCH(Main3WData[[#This Row],[Acronym]],AcronymList,0),1)</f>
        <v>European Commission Humanitarian Aid and Civil Protection</v>
      </c>
      <c r="D696" s="27" t="str">
        <f>INDEX(Organizations[],MATCH(Main3WData[[#This Row],[Acronym]],AcronymList,0),3)</f>
        <v>International Organization</v>
      </c>
      <c r="E696" s="54" t="s">
        <v>353</v>
      </c>
      <c r="F696" s="53" t="s">
        <v>82</v>
      </c>
      <c r="G696" s="54" t="s">
        <v>432</v>
      </c>
      <c r="H696" s="28" t="str">
        <f>VLOOKUP(Main3WData[[#This Row],[Admin Unit Name]],AdminUnits[],2,FALSE)</f>
        <v>GIN008005</v>
      </c>
      <c r="I696" s="57">
        <v>0</v>
      </c>
      <c r="J696" s="67" t="str">
        <f>Main3WData[[#This Row],[Acronym]]&amp;Main3WData[[#This Row],[Sector]]&amp;Main3WData[[#This Row],[Activity Type]]&amp;Main3WData[[#This Row],[Pcode]]</f>
        <v>ECHOPrise en chargeOngoingGIN008005</v>
      </c>
      <c r="K696" s="69">
        <f>COUNTIF(Main3WData[Concatenate],Main3WData[[#This Row],[Concatenate]])</f>
        <v>1</v>
      </c>
      <c r="L696" s="61" t="str">
        <f>Main3WData[[#This Row],[Sector]]&amp;Main3WData[[#This Row],[Pcode]]</f>
        <v>Prise en chargeGIN008005</v>
      </c>
      <c r="M696" s="71">
        <f>COUNTIF($L$5:L696,Main3WData[[#This Row],[PT.Concat]])</f>
        <v>4</v>
      </c>
      <c r="N696" s="70">
        <f>MATCH(Main3WData[[#This Row],[PT.Concat]],$L$5:L696,0)</f>
        <v>689</v>
      </c>
      <c r="O696" s="62" t="b">
        <f>Main3WData[[#This Row],[Count PT.Concat]]=1</f>
        <v>0</v>
      </c>
      <c r="P696" s="62">
        <f t="array" ref="P696">MAX(($N$4:N695=Main3WData[[#This Row],[PT.ID]])*ROW($N$4:N695))</f>
        <v>695</v>
      </c>
      <c r="Q696" s="62" t="str">
        <f>IF(Main3WData[[#This Row],[PT.FirstID]],Main3WData[[#This Row],[Acronym]],INDEX($Q$4:Q695,Main3WData[[#This Row],[PT.LastID.Row]]-ROW($Q$4)+1) &amp; ", "&amp;Main3WData[[#This Row],[Acronym]])</f>
        <v>WFP, OMS, MSF, ECHO</v>
      </c>
      <c r="R696" s="62" t="b">
        <f t="array" ref="R696">MAX(IF(Main3WData[PT.ID]=Main3WData[[#This Row],[PT.ID]],Main3WData[PT.LastID.Row]))=Main3WData[[#This Row],[PT.LastID.Row]]</f>
        <v>0</v>
      </c>
    </row>
    <row r="697" spans="2:18" x14ac:dyDescent="0.2">
      <c r="B697" s="55" t="s">
        <v>66</v>
      </c>
      <c r="C697" s="27" t="str">
        <f>INDEX(Organizations[],MATCH(Main3WData[[#This Row],[Acronym]],AcronymList,0),1)</f>
        <v>Catholic Relief Services</v>
      </c>
      <c r="D697" s="27" t="str">
        <f>INDEX(Organizations[],MATCH(Main3WData[[#This Row],[Acronym]],AcronymList,0),3)</f>
        <v>International NGO</v>
      </c>
      <c r="E697" s="54" t="s">
        <v>353</v>
      </c>
      <c r="F697" s="53" t="s">
        <v>82</v>
      </c>
      <c r="G697" s="54" t="s">
        <v>432</v>
      </c>
      <c r="H697" s="28" t="str">
        <f>VLOOKUP(Main3WData[[#This Row],[Admin Unit Name]],AdminUnits[],2,FALSE)</f>
        <v>GIN008005</v>
      </c>
      <c r="I697" s="57">
        <v>0</v>
      </c>
      <c r="J697" s="67" t="str">
        <f>Main3WData[[#This Row],[Acronym]]&amp;Main3WData[[#This Row],[Sector]]&amp;Main3WData[[#This Row],[Activity Type]]&amp;Main3WData[[#This Row],[Pcode]]</f>
        <v>CRSPrise en chargeOngoingGIN008005</v>
      </c>
      <c r="K697" s="69">
        <f>COUNTIF(Main3WData[Concatenate],Main3WData[[#This Row],[Concatenate]])</f>
        <v>1</v>
      </c>
      <c r="L697" s="61" t="str">
        <f>Main3WData[[#This Row],[Sector]]&amp;Main3WData[[#This Row],[Pcode]]</f>
        <v>Prise en chargeGIN008005</v>
      </c>
      <c r="M697" s="71">
        <f>COUNTIF($L$5:L697,Main3WData[[#This Row],[PT.Concat]])</f>
        <v>5</v>
      </c>
      <c r="N697" s="70">
        <f>MATCH(Main3WData[[#This Row],[PT.Concat]],$L$5:L697,0)</f>
        <v>689</v>
      </c>
      <c r="O697" s="62" t="b">
        <f>Main3WData[[#This Row],[Count PT.Concat]]=1</f>
        <v>0</v>
      </c>
      <c r="P697" s="62">
        <f t="array" ref="P697">MAX(($N$4:N696=Main3WData[[#This Row],[PT.ID]])*ROW($N$4:N696))</f>
        <v>696</v>
      </c>
      <c r="Q697" s="62" t="str">
        <f>IF(Main3WData[[#This Row],[PT.FirstID]],Main3WData[[#This Row],[Acronym]],INDEX($Q$4:Q696,Main3WData[[#This Row],[PT.LastID.Row]]-ROW($Q$4)+1) &amp; ", "&amp;Main3WData[[#This Row],[Acronym]])</f>
        <v>WFP, OMS, MSF, ECHO, CRS</v>
      </c>
      <c r="R697" s="62" t="b">
        <f t="array" ref="R697">MAX(IF(Main3WData[PT.ID]=Main3WData[[#This Row],[PT.ID]],Main3WData[PT.LastID.Row]))=Main3WData[[#This Row],[PT.LastID.Row]]</f>
        <v>0</v>
      </c>
    </row>
    <row r="698" spans="2:18" x14ac:dyDescent="0.2">
      <c r="B698" s="55" t="s">
        <v>492</v>
      </c>
      <c r="C698" s="27" t="str">
        <f>INDEX(Organizations[],MATCH(Main3WData[[#This Row],[Acronym]],AcronymList,0),1)</f>
        <v>ALIMA</v>
      </c>
      <c r="D698" s="27" t="str">
        <f>INDEX(Organizations[],MATCH(Main3WData[[#This Row],[Acronym]],AcronymList,0),3)</f>
        <v>International NGO</v>
      </c>
      <c r="E698" s="54" t="s">
        <v>353</v>
      </c>
      <c r="F698" s="53" t="s">
        <v>82</v>
      </c>
      <c r="G698" s="54" t="s">
        <v>432</v>
      </c>
      <c r="H698" s="28" t="str">
        <f>VLOOKUP(Main3WData[[#This Row],[Admin Unit Name]],AdminUnits[],2,FALSE)</f>
        <v>GIN008005</v>
      </c>
      <c r="I698" s="57">
        <v>0</v>
      </c>
      <c r="J698" s="67" t="str">
        <f>Main3WData[[#This Row],[Acronym]]&amp;Main3WData[[#This Row],[Sector]]&amp;Main3WData[[#This Row],[Activity Type]]&amp;Main3WData[[#This Row],[Pcode]]</f>
        <v>ALIMAPrise en chargeOngoingGIN008005</v>
      </c>
      <c r="K698" s="69">
        <f>COUNTIF(Main3WData[Concatenate],Main3WData[[#This Row],[Concatenate]])</f>
        <v>1</v>
      </c>
      <c r="L698" s="61" t="str">
        <f>Main3WData[[#This Row],[Sector]]&amp;Main3WData[[#This Row],[Pcode]]</f>
        <v>Prise en chargeGIN008005</v>
      </c>
      <c r="M698" s="71">
        <f>COUNTIF($L$5:L698,Main3WData[[#This Row],[PT.Concat]])</f>
        <v>6</v>
      </c>
      <c r="N698" s="70">
        <f>MATCH(Main3WData[[#This Row],[PT.Concat]],$L$5:L698,0)</f>
        <v>689</v>
      </c>
      <c r="O698" s="62" t="b">
        <f>Main3WData[[#This Row],[Count PT.Concat]]=1</f>
        <v>0</v>
      </c>
      <c r="P698" s="62">
        <f t="array" ref="P698">MAX(($N$4:N697=Main3WData[[#This Row],[PT.ID]])*ROW($N$4:N697))</f>
        <v>697</v>
      </c>
      <c r="Q698" s="62" t="str">
        <f>IF(Main3WData[[#This Row],[PT.FirstID]],Main3WData[[#This Row],[Acronym]],INDEX($Q$4:Q697,Main3WData[[#This Row],[PT.LastID.Row]]-ROW($Q$4)+1) &amp; ", "&amp;Main3WData[[#This Row],[Acronym]])</f>
        <v>WFP, OMS, MSF, ECHO, CRS, ALIMA</v>
      </c>
      <c r="R698" s="62" t="b">
        <f t="array" ref="R698">MAX(IF(Main3WData[PT.ID]=Main3WData[[#This Row],[PT.ID]],Main3WData[PT.LastID.Row]))=Main3WData[[#This Row],[PT.LastID.Row]]</f>
        <v>1</v>
      </c>
    </row>
    <row r="699" spans="2:18" x14ac:dyDescent="0.2">
      <c r="B699" s="55" t="s">
        <v>473</v>
      </c>
      <c r="C699" s="27" t="str">
        <f>INDEX(Organizations[],MATCH(Main3WData[[#This Row],[Acronym]],AcronymList,0),1)</f>
        <v>United Nations Development Programme</v>
      </c>
      <c r="D699" s="27" t="str">
        <f>INDEX(Organizations[],MATCH(Main3WData[[#This Row],[Acronym]],AcronymList,0),3)</f>
        <v>UN Agency</v>
      </c>
      <c r="E699" s="54" t="s">
        <v>357</v>
      </c>
      <c r="F699" s="53" t="s">
        <v>82</v>
      </c>
      <c r="G699" s="54" t="s">
        <v>432</v>
      </c>
      <c r="H699" s="28" t="str">
        <f>VLOOKUP(Main3WData[[#This Row],[Admin Unit Name]],AdminUnits[],2,FALSE)</f>
        <v>GIN008005</v>
      </c>
      <c r="I699" s="57">
        <v>0</v>
      </c>
      <c r="J699" s="67" t="str">
        <f>Main3WData[[#This Row],[Acronym]]&amp;Main3WData[[#This Row],[Sector]]&amp;Main3WData[[#This Row],[Activity Type]]&amp;Main3WData[[#This Row],[Pcode]]</f>
        <v>UNDPSécuritéOngoingGIN008005</v>
      </c>
      <c r="K699" s="69">
        <f>COUNTIF(Main3WData[Concatenate],Main3WData[[#This Row],[Concatenate]])</f>
        <v>1</v>
      </c>
      <c r="L699" s="61" t="str">
        <f>Main3WData[[#This Row],[Sector]]&amp;Main3WData[[#This Row],[Pcode]]</f>
        <v>SécuritéGIN008005</v>
      </c>
      <c r="M699" s="71">
        <f>COUNTIF($L$5:L699,Main3WData[[#This Row],[PT.Concat]])</f>
        <v>1</v>
      </c>
      <c r="N699" s="70">
        <f>MATCH(Main3WData[[#This Row],[PT.Concat]],$L$5:L699,0)</f>
        <v>695</v>
      </c>
      <c r="O699" s="62" t="b">
        <f>Main3WData[[#This Row],[Count PT.Concat]]=1</f>
        <v>1</v>
      </c>
      <c r="P699" s="62">
        <f t="array" ref="P699">MAX(($N$4:N698=Main3WData[[#This Row],[PT.ID]])*ROW($N$4:N698))</f>
        <v>0</v>
      </c>
      <c r="Q699" s="62" t="str">
        <f>IF(Main3WData[[#This Row],[PT.FirstID]],Main3WData[[#This Row],[Acronym]],INDEX($Q$4:Q698,Main3WData[[#This Row],[PT.LastID.Row]]-ROW($Q$4)+1) &amp; ", "&amp;Main3WData[[#This Row],[Acronym]])</f>
        <v>UNDP</v>
      </c>
      <c r="R699" s="62" t="b">
        <f t="array" ref="R699">MAX(IF(Main3WData[PT.ID]=Main3WData[[#This Row],[PT.ID]],Main3WData[PT.LastID.Row]))=Main3WData[[#This Row],[PT.LastID.Row]]</f>
        <v>1</v>
      </c>
    </row>
    <row r="700" spans="2:18" x14ac:dyDescent="0.2">
      <c r="B700" s="55" t="s">
        <v>78</v>
      </c>
      <c r="C700" s="27" t="str">
        <f>INDEX(Organizations[],MATCH(Main3WData[[#This Row],[Acronym]],AcronymList,0),1)</f>
        <v>World Food Programme</v>
      </c>
      <c r="D700" s="27" t="str">
        <f>INDEX(Organizations[],MATCH(Main3WData[[#This Row],[Acronym]],AcronymList,0),3)</f>
        <v>UN Agency</v>
      </c>
      <c r="E700" s="54" t="s">
        <v>355</v>
      </c>
      <c r="F700" s="53" t="s">
        <v>82</v>
      </c>
      <c r="G700" s="54" t="s">
        <v>432</v>
      </c>
      <c r="H700" s="28" t="str">
        <f>VLOOKUP(Main3WData[[#This Row],[Admin Unit Name]],AdminUnits[],2,FALSE)</f>
        <v>GIN008005</v>
      </c>
      <c r="I700" s="57">
        <v>0</v>
      </c>
      <c r="J700" s="67" t="str">
        <f>Main3WData[[#This Row],[Acronym]]&amp;Main3WData[[#This Row],[Sector]]&amp;Main3WData[[#This Row],[Activity Type]]&amp;Main3WData[[#This Row],[Pcode]]</f>
        <v>WFPSoutien nutritionnel et socialOngoingGIN008005</v>
      </c>
      <c r="K700" s="69">
        <f>COUNTIF(Main3WData[Concatenate],Main3WData[[#This Row],[Concatenate]])</f>
        <v>1</v>
      </c>
      <c r="L700" s="61" t="str">
        <f>Main3WData[[#This Row],[Sector]]&amp;Main3WData[[#This Row],[Pcode]]</f>
        <v>Soutien nutritionnel et socialGIN008005</v>
      </c>
      <c r="M700" s="71">
        <f>COUNTIF($L$5:L700,Main3WData[[#This Row],[PT.Concat]])</f>
        <v>1</v>
      </c>
      <c r="N700" s="70">
        <f>MATCH(Main3WData[[#This Row],[PT.Concat]],$L$5:L700,0)</f>
        <v>696</v>
      </c>
      <c r="O700" s="62" t="b">
        <f>Main3WData[[#This Row],[Count PT.Concat]]=1</f>
        <v>1</v>
      </c>
      <c r="P700" s="62">
        <f t="array" ref="P700">MAX(($N$4:N699=Main3WData[[#This Row],[PT.ID]])*ROW($N$4:N699))</f>
        <v>0</v>
      </c>
      <c r="Q700" s="62" t="str">
        <f>IF(Main3WData[[#This Row],[PT.FirstID]],Main3WData[[#This Row],[Acronym]],INDEX($Q$4:Q699,Main3WData[[#This Row],[PT.LastID.Row]]-ROW($Q$4)+1) &amp; ", "&amp;Main3WData[[#This Row],[Acronym]])</f>
        <v>WFP</v>
      </c>
      <c r="R700" s="62" t="b">
        <f t="array" ref="R700">MAX(IF(Main3WData[PT.ID]=Main3WData[[#This Row],[PT.ID]],Main3WData[PT.LastID.Row]))=Main3WData[[#This Row],[PT.LastID.Row]]</f>
        <v>0</v>
      </c>
    </row>
    <row r="701" spans="2:18" x14ac:dyDescent="0.2">
      <c r="B701" s="55" t="s">
        <v>66</v>
      </c>
      <c r="C701" s="27" t="str">
        <f>INDEX(Organizations[],MATCH(Main3WData[[#This Row],[Acronym]],AcronymList,0),1)</f>
        <v>Catholic Relief Services</v>
      </c>
      <c r="D701" s="27" t="str">
        <f>INDEX(Organizations[],MATCH(Main3WData[[#This Row],[Acronym]],AcronymList,0),3)</f>
        <v>International NGO</v>
      </c>
      <c r="E701" s="54" t="s">
        <v>355</v>
      </c>
      <c r="F701" s="53" t="s">
        <v>82</v>
      </c>
      <c r="G701" s="54" t="s">
        <v>432</v>
      </c>
      <c r="H701" s="28" t="str">
        <f>VLOOKUP(Main3WData[[#This Row],[Admin Unit Name]],AdminUnits[],2,FALSE)</f>
        <v>GIN008005</v>
      </c>
      <c r="I701" s="57">
        <v>0</v>
      </c>
      <c r="J701" s="67" t="str">
        <f>Main3WData[[#This Row],[Acronym]]&amp;Main3WData[[#This Row],[Sector]]&amp;Main3WData[[#This Row],[Activity Type]]&amp;Main3WData[[#This Row],[Pcode]]</f>
        <v>CRSSoutien nutritionnel et socialOngoingGIN008005</v>
      </c>
      <c r="K701" s="69">
        <f>COUNTIF(Main3WData[Concatenate],Main3WData[[#This Row],[Concatenate]])</f>
        <v>1</v>
      </c>
      <c r="L701" s="61" t="str">
        <f>Main3WData[[#This Row],[Sector]]&amp;Main3WData[[#This Row],[Pcode]]</f>
        <v>Soutien nutritionnel et socialGIN008005</v>
      </c>
      <c r="M701" s="71">
        <f>COUNTIF($L$5:L701,Main3WData[[#This Row],[PT.Concat]])</f>
        <v>2</v>
      </c>
      <c r="N701" s="70">
        <f>MATCH(Main3WData[[#This Row],[PT.Concat]],$L$5:L701,0)</f>
        <v>696</v>
      </c>
      <c r="O701" s="62" t="b">
        <f>Main3WData[[#This Row],[Count PT.Concat]]=1</f>
        <v>0</v>
      </c>
      <c r="P701" s="62">
        <f t="array" ref="P701">MAX(($N$4:N700=Main3WData[[#This Row],[PT.ID]])*ROW($N$4:N700))</f>
        <v>700</v>
      </c>
      <c r="Q701" s="62" t="str">
        <f>IF(Main3WData[[#This Row],[PT.FirstID]],Main3WData[[#This Row],[Acronym]],INDEX($Q$4:Q700,Main3WData[[#This Row],[PT.LastID.Row]]-ROW($Q$4)+1) &amp; ", "&amp;Main3WData[[#This Row],[Acronym]])</f>
        <v>WFP, CRS</v>
      </c>
      <c r="R701" s="62" t="b">
        <f t="array" ref="R701">MAX(IF(Main3WData[PT.ID]=Main3WData[[#This Row],[PT.ID]],Main3WData[PT.LastID.Row]))=Main3WData[[#This Row],[PT.LastID.Row]]</f>
        <v>1</v>
      </c>
    </row>
    <row r="702" spans="2:18" x14ac:dyDescent="0.2">
      <c r="B702" s="55" t="s">
        <v>75</v>
      </c>
      <c r="C702" s="27" t="str">
        <f>INDEX(Organizations[],MATCH(Main3WData[[#This Row],[Acronym]],AcronymList,0),1)</f>
        <v>United Nations Population Fund</v>
      </c>
      <c r="D702" s="27" t="str">
        <f>INDEX(Organizations[],MATCH(Main3WData[[#This Row],[Acronym]],AcronymList,0),3)</f>
        <v>UN Agency</v>
      </c>
      <c r="E702" s="54" t="s">
        <v>351</v>
      </c>
      <c r="F702" s="53" t="s">
        <v>82</v>
      </c>
      <c r="G702" s="54" t="s">
        <v>432</v>
      </c>
      <c r="H702" s="28" t="str">
        <f>VLOOKUP(Main3WData[[#This Row],[Admin Unit Name]],AdminUnits[],2,FALSE)</f>
        <v>GIN008005</v>
      </c>
      <c r="I702" s="57">
        <v>0</v>
      </c>
      <c r="J702" s="67" t="str">
        <f>Main3WData[[#This Row],[Acronym]]&amp;Main3WData[[#This Row],[Sector]]&amp;Main3WData[[#This Row],[Activity Type]]&amp;Main3WData[[#This Row],[Pcode]]</f>
        <v>UNFPASurveillance &amp; suiviOngoingGIN008005</v>
      </c>
      <c r="K702" s="69">
        <f>COUNTIF(Main3WData[Concatenate],Main3WData[[#This Row],[Concatenate]])</f>
        <v>1</v>
      </c>
      <c r="L702" s="61" t="str">
        <f>Main3WData[[#This Row],[Sector]]&amp;Main3WData[[#This Row],[Pcode]]</f>
        <v>Surveillance &amp; suiviGIN008005</v>
      </c>
      <c r="M702" s="71">
        <f>COUNTIF($L$5:L702,Main3WData[[#This Row],[PT.Concat]])</f>
        <v>1</v>
      </c>
      <c r="N702" s="70">
        <f>MATCH(Main3WData[[#This Row],[PT.Concat]],$L$5:L702,0)</f>
        <v>698</v>
      </c>
      <c r="O702" s="62" t="b">
        <f>Main3WData[[#This Row],[Count PT.Concat]]=1</f>
        <v>1</v>
      </c>
      <c r="P702" s="62">
        <f t="array" ref="P702">MAX(($N$4:N701=Main3WData[[#This Row],[PT.ID]])*ROW($N$4:N701))</f>
        <v>0</v>
      </c>
      <c r="Q702" s="62" t="str">
        <f>IF(Main3WData[[#This Row],[PT.FirstID]],Main3WData[[#This Row],[Acronym]],INDEX($Q$4:Q701,Main3WData[[#This Row],[PT.LastID.Row]]-ROW($Q$4)+1) &amp; ", "&amp;Main3WData[[#This Row],[Acronym]])</f>
        <v>UNFPA</v>
      </c>
      <c r="R702" s="62" t="b">
        <f t="array" ref="R702">MAX(IF(Main3WData[PT.ID]=Main3WData[[#This Row],[PT.ID]],Main3WData[PT.LastID.Row]))=Main3WData[[#This Row],[PT.LastID.Row]]</f>
        <v>0</v>
      </c>
    </row>
    <row r="703" spans="2:18" x14ac:dyDescent="0.2">
      <c r="B703" s="55" t="s">
        <v>524</v>
      </c>
      <c r="C703" s="27" t="str">
        <f>INDEX(Organizations[],MATCH(Main3WData[[#This Row],[Acronym]],AcronymList,0),1)</f>
        <v>Save the Children</v>
      </c>
      <c r="D703" s="27" t="str">
        <f>INDEX(Organizations[],MATCH(Main3WData[[#This Row],[Acronym]],AcronymList,0),3)</f>
        <v>International NGO</v>
      </c>
      <c r="E703" s="54" t="s">
        <v>351</v>
      </c>
      <c r="F703" s="53" t="s">
        <v>82</v>
      </c>
      <c r="G703" s="54" t="s">
        <v>432</v>
      </c>
      <c r="H703" s="28" t="str">
        <f>VLOOKUP(Main3WData[[#This Row],[Admin Unit Name]],AdminUnits[],2,FALSE)</f>
        <v>GIN008005</v>
      </c>
      <c r="I703" s="57">
        <v>0</v>
      </c>
      <c r="J703" s="67" t="str">
        <f>Main3WData[[#This Row],[Acronym]]&amp;Main3WData[[#This Row],[Sector]]&amp;Main3WData[[#This Row],[Activity Type]]&amp;Main3WData[[#This Row],[Pcode]]</f>
        <v>save the ChildrenSurveillance &amp; suiviOngoingGIN008005</v>
      </c>
      <c r="K703" s="69">
        <f>COUNTIF(Main3WData[Concatenate],Main3WData[[#This Row],[Concatenate]])</f>
        <v>1</v>
      </c>
      <c r="L703" s="61" t="str">
        <f>Main3WData[[#This Row],[Sector]]&amp;Main3WData[[#This Row],[Pcode]]</f>
        <v>Surveillance &amp; suiviGIN008005</v>
      </c>
      <c r="M703" s="71">
        <f>COUNTIF($L$5:L703,Main3WData[[#This Row],[PT.Concat]])</f>
        <v>2</v>
      </c>
      <c r="N703" s="70">
        <f>MATCH(Main3WData[[#This Row],[PT.Concat]],$L$5:L703,0)</f>
        <v>698</v>
      </c>
      <c r="O703" s="62" t="b">
        <f>Main3WData[[#This Row],[Count PT.Concat]]=1</f>
        <v>0</v>
      </c>
      <c r="P703" s="62">
        <f t="array" ref="P703">MAX(($N$4:N702=Main3WData[[#This Row],[PT.ID]])*ROW($N$4:N702))</f>
        <v>702</v>
      </c>
      <c r="Q703" s="62" t="str">
        <f>IF(Main3WData[[#This Row],[PT.FirstID]],Main3WData[[#This Row],[Acronym]],INDEX($Q$4:Q702,Main3WData[[#This Row],[PT.LastID.Row]]-ROW($Q$4)+1) &amp; ", "&amp;Main3WData[[#This Row],[Acronym]])</f>
        <v>UNFPA, save the Children</v>
      </c>
      <c r="R703" s="62" t="b">
        <f t="array" ref="R703">MAX(IF(Main3WData[PT.ID]=Main3WData[[#This Row],[PT.ID]],Main3WData[PT.LastID.Row]))=Main3WData[[#This Row],[PT.LastID.Row]]</f>
        <v>0</v>
      </c>
    </row>
    <row r="704" spans="2:18" x14ac:dyDescent="0.2">
      <c r="B704" s="55" t="s">
        <v>526</v>
      </c>
      <c r="C704" s="27" t="str">
        <f>INDEX(Organizations[],MATCH(Main3WData[[#This Row],[Acronym]],AcronymList,0),1)</f>
        <v>PLAN</v>
      </c>
      <c r="D704" s="27" t="str">
        <f>INDEX(Organizations[],MATCH(Main3WData[[#This Row],[Acronym]],AcronymList,0),3)</f>
        <v>International Organization</v>
      </c>
      <c r="E704" s="54" t="s">
        <v>351</v>
      </c>
      <c r="F704" s="53" t="s">
        <v>82</v>
      </c>
      <c r="G704" s="54" t="s">
        <v>432</v>
      </c>
      <c r="H704" s="28" t="str">
        <f>VLOOKUP(Main3WData[[#This Row],[Admin Unit Name]],AdminUnits[],2,FALSE)</f>
        <v>GIN008005</v>
      </c>
      <c r="I704" s="57">
        <v>0</v>
      </c>
      <c r="J704" s="67" t="str">
        <f>Main3WData[[#This Row],[Acronym]]&amp;Main3WData[[#This Row],[Sector]]&amp;Main3WData[[#This Row],[Activity Type]]&amp;Main3WData[[#This Row],[Pcode]]</f>
        <v>PlanSurveillance &amp; suiviOngoingGIN008005</v>
      </c>
      <c r="K704" s="69">
        <f>COUNTIF(Main3WData[Concatenate],Main3WData[[#This Row],[Concatenate]])</f>
        <v>1</v>
      </c>
      <c r="L704" s="61" t="str">
        <f>Main3WData[[#This Row],[Sector]]&amp;Main3WData[[#This Row],[Pcode]]</f>
        <v>Surveillance &amp; suiviGIN008005</v>
      </c>
      <c r="M704" s="71">
        <f>COUNTIF($L$5:L704,Main3WData[[#This Row],[PT.Concat]])</f>
        <v>3</v>
      </c>
      <c r="N704" s="70">
        <f>MATCH(Main3WData[[#This Row],[PT.Concat]],$L$5:L704,0)</f>
        <v>698</v>
      </c>
      <c r="O704" s="62" t="b">
        <f>Main3WData[[#This Row],[Count PT.Concat]]=1</f>
        <v>0</v>
      </c>
      <c r="P704" s="62">
        <f t="array" ref="P704">MAX(($N$4:N703=Main3WData[[#This Row],[PT.ID]])*ROW($N$4:N703))</f>
        <v>703</v>
      </c>
      <c r="Q704" s="62" t="str">
        <f>IF(Main3WData[[#This Row],[PT.FirstID]],Main3WData[[#This Row],[Acronym]],INDEX($Q$4:Q703,Main3WData[[#This Row],[PT.LastID.Row]]-ROW($Q$4)+1) &amp; ", "&amp;Main3WData[[#This Row],[Acronym]])</f>
        <v>UNFPA, save the Children, Plan</v>
      </c>
      <c r="R704" s="62" t="b">
        <f t="array" ref="R704">MAX(IF(Main3WData[PT.ID]=Main3WData[[#This Row],[PT.ID]],Main3WData[PT.LastID.Row]))=Main3WData[[#This Row],[PT.LastID.Row]]</f>
        <v>0</v>
      </c>
    </row>
    <row r="705" spans="2:18" x14ac:dyDescent="0.2">
      <c r="B705" s="55" t="s">
        <v>512</v>
      </c>
      <c r="C705" s="27" t="str">
        <f>INDEX(Organizations[],MATCH(Main3WData[[#This Row],[Acronym]],AcronymList,0),1)</f>
        <v>World Health Organization</v>
      </c>
      <c r="D705" s="27" t="str">
        <f>INDEX(Organizations[],MATCH(Main3WData[[#This Row],[Acronym]],AcronymList,0),3)</f>
        <v>UN Agency</v>
      </c>
      <c r="E705" s="54" t="s">
        <v>351</v>
      </c>
      <c r="F705" s="53" t="s">
        <v>82</v>
      </c>
      <c r="G705" s="54" t="s">
        <v>432</v>
      </c>
      <c r="H705" s="28" t="str">
        <f>VLOOKUP(Main3WData[[#This Row],[Admin Unit Name]],AdminUnits[],2,FALSE)</f>
        <v>GIN008005</v>
      </c>
      <c r="I705" s="57">
        <v>0</v>
      </c>
      <c r="J705" s="67" t="str">
        <f>Main3WData[[#This Row],[Acronym]]&amp;Main3WData[[#This Row],[Sector]]&amp;Main3WData[[#This Row],[Activity Type]]&amp;Main3WData[[#This Row],[Pcode]]</f>
        <v>OMSSurveillance &amp; suiviOngoingGIN008005</v>
      </c>
      <c r="K705" s="69">
        <f>COUNTIF(Main3WData[Concatenate],Main3WData[[#This Row],[Concatenate]])</f>
        <v>1</v>
      </c>
      <c r="L705" s="61" t="str">
        <f>Main3WData[[#This Row],[Sector]]&amp;Main3WData[[#This Row],[Pcode]]</f>
        <v>Surveillance &amp; suiviGIN008005</v>
      </c>
      <c r="M705" s="71">
        <f>COUNTIF($L$5:L705,Main3WData[[#This Row],[PT.Concat]])</f>
        <v>4</v>
      </c>
      <c r="N705" s="70">
        <f>MATCH(Main3WData[[#This Row],[PT.Concat]],$L$5:L705,0)</f>
        <v>698</v>
      </c>
      <c r="O705" s="62" t="b">
        <f>Main3WData[[#This Row],[Count PT.Concat]]=1</f>
        <v>0</v>
      </c>
      <c r="P705" s="62">
        <f t="array" ref="P705">MAX(($N$4:N704=Main3WData[[#This Row],[PT.ID]])*ROW($N$4:N704))</f>
        <v>704</v>
      </c>
      <c r="Q705" s="62" t="str">
        <f>IF(Main3WData[[#This Row],[PT.FirstID]],Main3WData[[#This Row],[Acronym]],INDEX($Q$4:Q704,Main3WData[[#This Row],[PT.LastID.Row]]-ROW($Q$4)+1) &amp; ", "&amp;Main3WData[[#This Row],[Acronym]])</f>
        <v>UNFPA, save the Children, Plan, OMS</v>
      </c>
      <c r="R705" s="62" t="b">
        <f t="array" ref="R705">MAX(IF(Main3WData[PT.ID]=Main3WData[[#This Row],[PT.ID]],Main3WData[PT.LastID.Row]))=Main3WData[[#This Row],[PT.LastID.Row]]</f>
        <v>0</v>
      </c>
    </row>
    <row r="706" spans="2:18" x14ac:dyDescent="0.2">
      <c r="B706" s="55" t="s">
        <v>496</v>
      </c>
      <c r="C706" s="27" t="str">
        <f>INDEX(Organizations[],MATCH(Main3WData[[#This Row],[Acronym]],AcronymList,0),1)</f>
        <v>Columbia University</v>
      </c>
      <c r="D706" s="27" t="str">
        <f>INDEX(Organizations[],MATCH(Main3WData[[#This Row],[Acronym]],AcronymList,0),3)</f>
        <v>Education</v>
      </c>
      <c r="E706" s="54" t="s">
        <v>351</v>
      </c>
      <c r="F706" s="53" t="s">
        <v>82</v>
      </c>
      <c r="G706" s="54" t="s">
        <v>432</v>
      </c>
      <c r="H706" s="28" t="str">
        <f>VLOOKUP(Main3WData[[#This Row],[Admin Unit Name]],AdminUnits[],2,FALSE)</f>
        <v>GIN008005</v>
      </c>
      <c r="I706" s="57">
        <v>0</v>
      </c>
      <c r="J706" s="67" t="str">
        <f>Main3WData[[#This Row],[Acronym]]&amp;Main3WData[[#This Row],[Sector]]&amp;Main3WData[[#This Row],[Activity Type]]&amp;Main3WData[[#This Row],[Pcode]]</f>
        <v>Columbia UnivSurveillance &amp; suiviOngoingGIN008005</v>
      </c>
      <c r="K706" s="69">
        <f>COUNTIF(Main3WData[Concatenate],Main3WData[[#This Row],[Concatenate]])</f>
        <v>1</v>
      </c>
      <c r="L706" s="61" t="str">
        <f>Main3WData[[#This Row],[Sector]]&amp;Main3WData[[#This Row],[Pcode]]</f>
        <v>Surveillance &amp; suiviGIN008005</v>
      </c>
      <c r="M706" s="71">
        <f>COUNTIF($L$5:L706,Main3WData[[#This Row],[PT.Concat]])</f>
        <v>5</v>
      </c>
      <c r="N706" s="70">
        <f>MATCH(Main3WData[[#This Row],[PT.Concat]],$L$5:L706,0)</f>
        <v>698</v>
      </c>
      <c r="O706" s="62" t="b">
        <f>Main3WData[[#This Row],[Count PT.Concat]]=1</f>
        <v>0</v>
      </c>
      <c r="P706" s="62">
        <f t="array" ref="P706">MAX(($N$4:N705=Main3WData[[#This Row],[PT.ID]])*ROW($N$4:N705))</f>
        <v>705</v>
      </c>
      <c r="Q706" s="62" t="str">
        <f>IF(Main3WData[[#This Row],[PT.FirstID]],Main3WData[[#This Row],[Acronym]],INDEX($Q$4:Q705,Main3WData[[#This Row],[PT.LastID.Row]]-ROW($Q$4)+1) &amp; ", "&amp;Main3WData[[#This Row],[Acronym]])</f>
        <v>UNFPA, save the Children, Plan, OMS, Columbia Univ</v>
      </c>
      <c r="R706" s="62" t="b">
        <f t="array" ref="R706">MAX(IF(Main3WData[PT.ID]=Main3WData[[#This Row],[PT.ID]],Main3WData[PT.LastID.Row]))=Main3WData[[#This Row],[PT.LastID.Row]]</f>
        <v>0</v>
      </c>
    </row>
    <row r="707" spans="2:18" x14ac:dyDescent="0.2">
      <c r="B707" s="55" t="s">
        <v>64</v>
      </c>
      <c r="C707" s="27" t="str">
        <f>INDEX(Organizations[],MATCH(Main3WData[[#This Row],[Acronym]],AcronymList,0),1)</f>
        <v>CDC</v>
      </c>
      <c r="D707" s="27" t="str">
        <f>INDEX(Organizations[],MATCH(Main3WData[[#This Row],[Acronym]],AcronymList,0),3)</f>
        <v>International NGO</v>
      </c>
      <c r="E707" s="54" t="s">
        <v>351</v>
      </c>
      <c r="F707" s="53" t="s">
        <v>82</v>
      </c>
      <c r="G707" s="54" t="s">
        <v>432</v>
      </c>
      <c r="H707" s="28" t="str">
        <f>VLOOKUP(Main3WData[[#This Row],[Admin Unit Name]],AdminUnits[],2,FALSE)</f>
        <v>GIN008005</v>
      </c>
      <c r="I707" s="57">
        <v>0</v>
      </c>
      <c r="J707" s="67" t="str">
        <f>Main3WData[[#This Row],[Acronym]]&amp;Main3WData[[#This Row],[Sector]]&amp;Main3WData[[#This Row],[Activity Type]]&amp;Main3WData[[#This Row],[Pcode]]</f>
        <v>CDCSurveillance &amp; suiviOngoingGIN008005</v>
      </c>
      <c r="K707" s="69">
        <f>COUNTIF(Main3WData[Concatenate],Main3WData[[#This Row],[Concatenate]])</f>
        <v>1</v>
      </c>
      <c r="L707" s="61" t="str">
        <f>Main3WData[[#This Row],[Sector]]&amp;Main3WData[[#This Row],[Pcode]]</f>
        <v>Surveillance &amp; suiviGIN008005</v>
      </c>
      <c r="M707" s="71">
        <f>COUNTIF($L$5:L707,Main3WData[[#This Row],[PT.Concat]])</f>
        <v>6</v>
      </c>
      <c r="N707" s="70">
        <f>MATCH(Main3WData[[#This Row],[PT.Concat]],$L$5:L707,0)</f>
        <v>698</v>
      </c>
      <c r="O707" s="62" t="b">
        <f>Main3WData[[#This Row],[Count PT.Concat]]=1</f>
        <v>0</v>
      </c>
      <c r="P707" s="62">
        <f t="array" ref="P707">MAX(($N$4:N706=Main3WData[[#This Row],[PT.ID]])*ROW($N$4:N706))</f>
        <v>706</v>
      </c>
      <c r="Q707" s="62" t="str">
        <f>IF(Main3WData[[#This Row],[PT.FirstID]],Main3WData[[#This Row],[Acronym]],INDEX($Q$4:Q706,Main3WData[[#This Row],[PT.LastID.Row]]-ROW($Q$4)+1) &amp; ", "&amp;Main3WData[[#This Row],[Acronym]])</f>
        <v>UNFPA, save the Children, Plan, OMS, Columbia Univ, CDC</v>
      </c>
      <c r="R707" s="62" t="b">
        <f t="array" ref="R707">MAX(IF(Main3WData[PT.ID]=Main3WData[[#This Row],[PT.ID]],Main3WData[PT.LastID.Row]))=Main3WData[[#This Row],[PT.LastID.Row]]</f>
        <v>1</v>
      </c>
    </row>
    <row r="708" spans="2:18" x14ac:dyDescent="0.2">
      <c r="B708" s="55" t="s">
        <v>78</v>
      </c>
      <c r="C708" s="27" t="str">
        <f>INDEX(Organizations[],MATCH(Main3WData[[#This Row],[Acronym]],AcronymList,0),1)</f>
        <v>World Food Programme</v>
      </c>
      <c r="D708" s="27" t="str">
        <f>INDEX(Organizations[],MATCH(Main3WData[[#This Row],[Acronym]],AcronymList,0),3)</f>
        <v>UN Agency</v>
      </c>
      <c r="E708" s="54" t="s">
        <v>352</v>
      </c>
      <c r="F708" s="53" t="s">
        <v>82</v>
      </c>
      <c r="G708" s="54" t="s">
        <v>432</v>
      </c>
      <c r="H708" s="28" t="str">
        <f>VLOOKUP(Main3WData[[#This Row],[Admin Unit Name]],AdminUnits[],2,FALSE)</f>
        <v>GIN008005</v>
      </c>
      <c r="I708" s="57">
        <v>0</v>
      </c>
      <c r="J708" s="67" t="str">
        <f>Main3WData[[#This Row],[Acronym]]&amp;Main3WData[[#This Row],[Sector]]&amp;Main3WData[[#This Row],[Activity Type]]&amp;Main3WData[[#This Row],[Pcode]]</f>
        <v>WFPTransport &amp; diagnostiquesOngoingGIN008005</v>
      </c>
      <c r="K708" s="69">
        <f>COUNTIF(Main3WData[Concatenate],Main3WData[[#This Row],[Concatenate]])</f>
        <v>1</v>
      </c>
      <c r="L708" s="61" t="str">
        <f>Main3WData[[#This Row],[Sector]]&amp;Main3WData[[#This Row],[Pcode]]</f>
        <v>Transport &amp; diagnostiquesGIN008005</v>
      </c>
      <c r="M708" s="71">
        <f>COUNTIF($L$5:L708,Main3WData[[#This Row],[PT.Concat]])</f>
        <v>1</v>
      </c>
      <c r="N708" s="70">
        <f>MATCH(Main3WData[[#This Row],[PT.Concat]],$L$5:L708,0)</f>
        <v>704</v>
      </c>
      <c r="O708" s="62" t="b">
        <f>Main3WData[[#This Row],[Count PT.Concat]]=1</f>
        <v>1</v>
      </c>
      <c r="P708" s="62">
        <f t="array" ref="P708">MAX(($N$4:N707=Main3WData[[#This Row],[PT.ID]])*ROW($N$4:N707))</f>
        <v>0</v>
      </c>
      <c r="Q708" s="62" t="str">
        <f>IF(Main3WData[[#This Row],[PT.FirstID]],Main3WData[[#This Row],[Acronym]],INDEX($Q$4:Q707,Main3WData[[#This Row],[PT.LastID.Row]]-ROW($Q$4)+1) &amp; ", "&amp;Main3WData[[#This Row],[Acronym]])</f>
        <v>WFP</v>
      </c>
      <c r="R708" s="62" t="b">
        <f t="array" ref="R708">MAX(IF(Main3WData[PT.ID]=Main3WData[[#This Row],[PT.ID]],Main3WData[PT.LastID.Row]))=Main3WData[[#This Row],[PT.LastID.Row]]</f>
        <v>0</v>
      </c>
    </row>
    <row r="709" spans="2:18" x14ac:dyDescent="0.2">
      <c r="B709" s="55" t="s">
        <v>453</v>
      </c>
      <c r="C709" s="27" t="str">
        <f>INDEX(Organizations[],MATCH(Main3WData[[#This Row],[Acronym]],AcronymList,0),1)</f>
        <v>European Union</v>
      </c>
      <c r="D709" s="27" t="str">
        <f>INDEX(Organizations[],MATCH(Main3WData[[#This Row],[Acronym]],AcronymList,0),3)</f>
        <v>Donors</v>
      </c>
      <c r="E709" s="54" t="s">
        <v>352</v>
      </c>
      <c r="F709" s="53" t="s">
        <v>82</v>
      </c>
      <c r="G709" s="54" t="s">
        <v>432</v>
      </c>
      <c r="H709" s="28" t="str">
        <f>VLOOKUP(Main3WData[[#This Row],[Admin Unit Name]],AdminUnits[],2,FALSE)</f>
        <v>GIN008005</v>
      </c>
      <c r="I709" s="57">
        <v>0</v>
      </c>
      <c r="J709" s="67" t="str">
        <f>Main3WData[[#This Row],[Acronym]]&amp;Main3WData[[#This Row],[Sector]]&amp;Main3WData[[#This Row],[Activity Type]]&amp;Main3WData[[#This Row],[Pcode]]</f>
        <v>EUTransport &amp; diagnostiquesOngoingGIN008005</v>
      </c>
      <c r="K709" s="69">
        <f>COUNTIF(Main3WData[Concatenate],Main3WData[[#This Row],[Concatenate]])</f>
        <v>1</v>
      </c>
      <c r="L709" s="61" t="str">
        <f>Main3WData[[#This Row],[Sector]]&amp;Main3WData[[#This Row],[Pcode]]</f>
        <v>Transport &amp; diagnostiquesGIN008005</v>
      </c>
      <c r="M709" s="71">
        <f>COUNTIF($L$5:L709,Main3WData[[#This Row],[PT.Concat]])</f>
        <v>2</v>
      </c>
      <c r="N709" s="70">
        <f>MATCH(Main3WData[[#This Row],[PT.Concat]],$L$5:L709,0)</f>
        <v>704</v>
      </c>
      <c r="O709" s="62" t="b">
        <f>Main3WData[[#This Row],[Count PT.Concat]]=1</f>
        <v>0</v>
      </c>
      <c r="P709" s="62">
        <f t="array" ref="P709">MAX(($N$4:N708=Main3WData[[#This Row],[PT.ID]])*ROW($N$4:N708))</f>
        <v>708</v>
      </c>
      <c r="Q709" s="62" t="str">
        <f>IF(Main3WData[[#This Row],[PT.FirstID]],Main3WData[[#This Row],[Acronym]],INDEX($Q$4:Q708,Main3WData[[#This Row],[PT.LastID.Row]]-ROW($Q$4)+1) &amp; ", "&amp;Main3WData[[#This Row],[Acronym]])</f>
        <v>WFP, EU</v>
      </c>
      <c r="R709" s="62" t="b">
        <f t="array" ref="R709">MAX(IF(Main3WData[PT.ID]=Main3WData[[#This Row],[PT.ID]],Main3WData[PT.LastID.Row]))=Main3WData[[#This Row],[PT.LastID.Row]]</f>
        <v>1</v>
      </c>
    </row>
    <row r="710" spans="2:18" x14ac:dyDescent="0.2">
      <c r="B710" s="55" t="s">
        <v>77</v>
      </c>
      <c r="C710" s="27" t="str">
        <f>INDEX(Organizations[],MATCH(Main3WData[[#This Row],[Acronym]],AcronymList,0),1)</f>
        <v>United Nations Children's Fund</v>
      </c>
      <c r="D710" s="27" t="str">
        <f>INDEX(Organizations[],MATCH(Main3WData[[#This Row],[Acronym]],AcronymList,0),3)</f>
        <v>UN Agency</v>
      </c>
      <c r="E710" s="54" t="s">
        <v>350</v>
      </c>
      <c r="F710" s="53" t="s">
        <v>82</v>
      </c>
      <c r="G710" s="54" t="s">
        <v>422</v>
      </c>
      <c r="H710" s="28" t="str">
        <f>VLOOKUP(Main3WData[[#This Row],[Admin Unit Name]],AdminUnits[],2,FALSE)</f>
        <v>GIN007003</v>
      </c>
      <c r="I710" s="57">
        <v>0</v>
      </c>
      <c r="J710" s="67" t="str">
        <f>Main3WData[[#This Row],[Acronym]]&amp;Main3WData[[#This Row],[Sector]]&amp;Main3WData[[#This Row],[Activity Type]]&amp;Main3WData[[#This Row],[Pcode]]</f>
        <v>UNICEFCommunication/Mobilisation socialeOngoingGIN007003</v>
      </c>
      <c r="K710" s="69">
        <f>COUNTIF(Main3WData[Concatenate],Main3WData[[#This Row],[Concatenate]])</f>
        <v>1</v>
      </c>
      <c r="L710" s="61" t="str">
        <f>Main3WData[[#This Row],[Sector]]&amp;Main3WData[[#This Row],[Pcode]]</f>
        <v>Communication/Mobilisation socialeGIN007003</v>
      </c>
      <c r="M710" s="71">
        <f>COUNTIF($L$5:L710,Main3WData[[#This Row],[PT.Concat]])</f>
        <v>1</v>
      </c>
      <c r="N710" s="70">
        <f>MATCH(Main3WData[[#This Row],[PT.Concat]],$L$5:L710,0)</f>
        <v>706</v>
      </c>
      <c r="O710" s="62" t="b">
        <f>Main3WData[[#This Row],[Count PT.Concat]]=1</f>
        <v>1</v>
      </c>
      <c r="P710" s="62">
        <f t="array" ref="P710">MAX(($N$4:N709=Main3WData[[#This Row],[PT.ID]])*ROW($N$4:N709))</f>
        <v>0</v>
      </c>
      <c r="Q710" s="62" t="str">
        <f>IF(Main3WData[[#This Row],[PT.FirstID]],Main3WData[[#This Row],[Acronym]],INDEX($Q$4:Q709,Main3WData[[#This Row],[PT.LastID.Row]]-ROW($Q$4)+1) &amp; ", "&amp;Main3WData[[#This Row],[Acronym]])</f>
        <v>UNICEF</v>
      </c>
      <c r="R710" s="62" t="b">
        <f t="array" ref="R710">MAX(IF(Main3WData[PT.ID]=Main3WData[[#This Row],[PT.ID]],Main3WData[PT.LastID.Row]))=Main3WData[[#This Row],[PT.LastID.Row]]</f>
        <v>0</v>
      </c>
    </row>
    <row r="711" spans="2:18" x14ac:dyDescent="0.2">
      <c r="B711" s="55" t="s">
        <v>75</v>
      </c>
      <c r="C711" s="27" t="str">
        <f>INDEX(Organizations[],MATCH(Main3WData[[#This Row],[Acronym]],AcronymList,0),1)</f>
        <v>United Nations Population Fund</v>
      </c>
      <c r="D711" s="27" t="str">
        <f>INDEX(Organizations[],MATCH(Main3WData[[#This Row],[Acronym]],AcronymList,0),3)</f>
        <v>UN Agency</v>
      </c>
      <c r="E711" s="54" t="s">
        <v>350</v>
      </c>
      <c r="F711" s="53" t="s">
        <v>82</v>
      </c>
      <c r="G711" s="54" t="s">
        <v>422</v>
      </c>
      <c r="H711" s="28" t="str">
        <f>VLOOKUP(Main3WData[[#This Row],[Admin Unit Name]],AdminUnits[],2,FALSE)</f>
        <v>GIN007003</v>
      </c>
      <c r="I711" s="57">
        <v>0</v>
      </c>
      <c r="J711" s="67" t="str">
        <f>Main3WData[[#This Row],[Acronym]]&amp;Main3WData[[#This Row],[Sector]]&amp;Main3WData[[#This Row],[Activity Type]]&amp;Main3WData[[#This Row],[Pcode]]</f>
        <v>UNFPACommunication/Mobilisation socialeOngoingGIN007003</v>
      </c>
      <c r="K711" s="69">
        <f>COUNTIF(Main3WData[Concatenate],Main3WData[[#This Row],[Concatenate]])</f>
        <v>1</v>
      </c>
      <c r="L711" s="61" t="str">
        <f>Main3WData[[#This Row],[Sector]]&amp;Main3WData[[#This Row],[Pcode]]</f>
        <v>Communication/Mobilisation socialeGIN007003</v>
      </c>
      <c r="M711" s="71">
        <f>COUNTIF($L$5:L711,Main3WData[[#This Row],[PT.Concat]])</f>
        <v>2</v>
      </c>
      <c r="N711" s="70">
        <f>MATCH(Main3WData[[#This Row],[PT.Concat]],$L$5:L711,0)</f>
        <v>706</v>
      </c>
      <c r="O711" s="62" t="b">
        <f>Main3WData[[#This Row],[Count PT.Concat]]=1</f>
        <v>0</v>
      </c>
      <c r="P711" s="62">
        <f t="array" ref="P711">MAX(($N$4:N710=Main3WData[[#This Row],[PT.ID]])*ROW($N$4:N710))</f>
        <v>710</v>
      </c>
      <c r="Q711" s="62" t="str">
        <f>IF(Main3WData[[#This Row],[PT.FirstID]],Main3WData[[#This Row],[Acronym]],INDEX($Q$4:Q710,Main3WData[[#This Row],[PT.LastID.Row]]-ROW($Q$4)+1) &amp; ", "&amp;Main3WData[[#This Row],[Acronym]])</f>
        <v>UNICEF, UNFPA</v>
      </c>
      <c r="R711" s="62" t="b">
        <f t="array" ref="R711">MAX(IF(Main3WData[PT.ID]=Main3WData[[#This Row],[PT.ID]],Main3WData[PT.LastID.Row]))=Main3WData[[#This Row],[PT.LastID.Row]]</f>
        <v>0</v>
      </c>
    </row>
    <row r="712" spans="2:18" x14ac:dyDescent="0.2">
      <c r="B712" s="55" t="s">
        <v>473</v>
      </c>
      <c r="C712" s="27" t="str">
        <f>INDEX(Organizations[],MATCH(Main3WData[[#This Row],[Acronym]],AcronymList,0),1)</f>
        <v>United Nations Development Programme</v>
      </c>
      <c r="D712" s="27" t="str">
        <f>INDEX(Organizations[],MATCH(Main3WData[[#This Row],[Acronym]],AcronymList,0),3)</f>
        <v>UN Agency</v>
      </c>
      <c r="E712" s="54" t="s">
        <v>350</v>
      </c>
      <c r="F712" s="53" t="s">
        <v>82</v>
      </c>
      <c r="G712" s="54" t="s">
        <v>422</v>
      </c>
      <c r="H712" s="28" t="str">
        <f>VLOOKUP(Main3WData[[#This Row],[Admin Unit Name]],AdminUnits[],2,FALSE)</f>
        <v>GIN007003</v>
      </c>
      <c r="I712" s="57">
        <v>0</v>
      </c>
      <c r="J712" s="67" t="str">
        <f>Main3WData[[#This Row],[Acronym]]&amp;Main3WData[[#This Row],[Sector]]&amp;Main3WData[[#This Row],[Activity Type]]&amp;Main3WData[[#This Row],[Pcode]]</f>
        <v>UNDPCommunication/Mobilisation socialeOngoingGIN007003</v>
      </c>
      <c r="K712" s="69">
        <f>COUNTIF(Main3WData[Concatenate],Main3WData[[#This Row],[Concatenate]])</f>
        <v>1</v>
      </c>
      <c r="L712" s="61" t="str">
        <f>Main3WData[[#This Row],[Sector]]&amp;Main3WData[[#This Row],[Pcode]]</f>
        <v>Communication/Mobilisation socialeGIN007003</v>
      </c>
      <c r="M712" s="71">
        <f>COUNTIF($L$5:L712,Main3WData[[#This Row],[PT.Concat]])</f>
        <v>3</v>
      </c>
      <c r="N712" s="70">
        <f>MATCH(Main3WData[[#This Row],[PT.Concat]],$L$5:L712,0)</f>
        <v>706</v>
      </c>
      <c r="O712" s="62" t="b">
        <f>Main3WData[[#This Row],[Count PT.Concat]]=1</f>
        <v>0</v>
      </c>
      <c r="P712" s="62">
        <f t="array" ref="P712">MAX(($N$4:N711=Main3WData[[#This Row],[PT.ID]])*ROW($N$4:N711))</f>
        <v>711</v>
      </c>
      <c r="Q712" s="62" t="str">
        <f>IF(Main3WData[[#This Row],[PT.FirstID]],Main3WData[[#This Row],[Acronym]],INDEX($Q$4:Q711,Main3WData[[#This Row],[PT.LastID.Row]]-ROW($Q$4)+1) &amp; ", "&amp;Main3WData[[#This Row],[Acronym]])</f>
        <v>UNICEF, UNFPA, UNDP</v>
      </c>
      <c r="R712" s="62" t="b">
        <f t="array" ref="R712">MAX(IF(Main3WData[PT.ID]=Main3WData[[#This Row],[PT.ID]],Main3WData[PT.LastID.Row]))=Main3WData[[#This Row],[PT.LastID.Row]]</f>
        <v>0</v>
      </c>
    </row>
    <row r="713" spans="2:18" x14ac:dyDescent="0.2">
      <c r="B713" s="55" t="s">
        <v>72</v>
      </c>
      <c r="C713" s="27" t="str">
        <f>INDEX(Organizations[],MATCH(Main3WData[[#This Row],[Acronym]],AcronymList,0),1)</f>
        <v>PLAN</v>
      </c>
      <c r="D713" s="27" t="str">
        <f>INDEX(Organizations[],MATCH(Main3WData[[#This Row],[Acronym]],AcronymList,0),3)</f>
        <v>International Organization</v>
      </c>
      <c r="E713" s="54" t="s">
        <v>350</v>
      </c>
      <c r="F713" s="53" t="s">
        <v>82</v>
      </c>
      <c r="G713" s="54" t="s">
        <v>422</v>
      </c>
      <c r="H713" s="28" t="str">
        <f>VLOOKUP(Main3WData[[#This Row],[Admin Unit Name]],AdminUnits[],2,FALSE)</f>
        <v>GIN007003</v>
      </c>
      <c r="I713" s="57">
        <v>0</v>
      </c>
      <c r="J713" s="67" t="str">
        <f>Main3WData[[#This Row],[Acronym]]&amp;Main3WData[[#This Row],[Sector]]&amp;Main3WData[[#This Row],[Activity Type]]&amp;Main3WData[[#This Row],[Pcode]]</f>
        <v>PLANCommunication/Mobilisation socialeOngoingGIN007003</v>
      </c>
      <c r="K713" s="69">
        <f>COUNTIF(Main3WData[Concatenate],Main3WData[[#This Row],[Concatenate]])</f>
        <v>1</v>
      </c>
      <c r="L713" s="61" t="str">
        <f>Main3WData[[#This Row],[Sector]]&amp;Main3WData[[#This Row],[Pcode]]</f>
        <v>Communication/Mobilisation socialeGIN007003</v>
      </c>
      <c r="M713" s="71">
        <f>COUNTIF($L$5:L713,Main3WData[[#This Row],[PT.Concat]])</f>
        <v>4</v>
      </c>
      <c r="N713" s="70">
        <f>MATCH(Main3WData[[#This Row],[PT.Concat]],$L$5:L713,0)</f>
        <v>706</v>
      </c>
      <c r="O713" s="62" t="b">
        <f>Main3WData[[#This Row],[Count PT.Concat]]=1</f>
        <v>0</v>
      </c>
      <c r="P713" s="62">
        <f t="array" ref="P713">MAX(($N$4:N712=Main3WData[[#This Row],[PT.ID]])*ROW($N$4:N712))</f>
        <v>712</v>
      </c>
      <c r="Q713" s="62" t="str">
        <f>IF(Main3WData[[#This Row],[PT.FirstID]],Main3WData[[#This Row],[Acronym]],INDEX($Q$4:Q712,Main3WData[[#This Row],[PT.LastID.Row]]-ROW($Q$4)+1) &amp; ", "&amp;Main3WData[[#This Row],[Acronym]])</f>
        <v>UNICEF, UNFPA, UNDP, PLAN</v>
      </c>
      <c r="R713" s="62" t="b">
        <f t="array" ref="R713">MAX(IF(Main3WData[PT.ID]=Main3WData[[#This Row],[PT.ID]],Main3WData[PT.LastID.Row]))=Main3WData[[#This Row],[PT.LastID.Row]]</f>
        <v>0</v>
      </c>
    </row>
    <row r="714" spans="2:18" x14ac:dyDescent="0.2">
      <c r="B714" s="55" t="s">
        <v>512</v>
      </c>
      <c r="C714" s="27" t="str">
        <f>INDEX(Organizations[],MATCH(Main3WData[[#This Row],[Acronym]],AcronymList,0),1)</f>
        <v>World Health Organization</v>
      </c>
      <c r="D714" s="27" t="str">
        <f>INDEX(Organizations[],MATCH(Main3WData[[#This Row],[Acronym]],AcronymList,0),3)</f>
        <v>UN Agency</v>
      </c>
      <c r="E714" s="54" t="s">
        <v>350</v>
      </c>
      <c r="F714" s="53" t="s">
        <v>82</v>
      </c>
      <c r="G714" s="54" t="s">
        <v>422</v>
      </c>
      <c r="H714" s="28" t="str">
        <f>VLOOKUP(Main3WData[[#This Row],[Admin Unit Name]],AdminUnits[],2,FALSE)</f>
        <v>GIN007003</v>
      </c>
      <c r="I714" s="57">
        <v>0</v>
      </c>
      <c r="J714" s="67" t="str">
        <f>Main3WData[[#This Row],[Acronym]]&amp;Main3WData[[#This Row],[Sector]]&amp;Main3WData[[#This Row],[Activity Type]]&amp;Main3WData[[#This Row],[Pcode]]</f>
        <v>OMSCommunication/Mobilisation socialeOngoingGIN007003</v>
      </c>
      <c r="K714" s="69">
        <f>COUNTIF(Main3WData[Concatenate],Main3WData[[#This Row],[Concatenate]])</f>
        <v>1</v>
      </c>
      <c r="L714" s="61" t="str">
        <f>Main3WData[[#This Row],[Sector]]&amp;Main3WData[[#This Row],[Pcode]]</f>
        <v>Communication/Mobilisation socialeGIN007003</v>
      </c>
      <c r="M714" s="71">
        <f>COUNTIF($L$5:L714,Main3WData[[#This Row],[PT.Concat]])</f>
        <v>5</v>
      </c>
      <c r="N714" s="70">
        <f>MATCH(Main3WData[[#This Row],[PT.Concat]],$L$5:L714,0)</f>
        <v>706</v>
      </c>
      <c r="O714" s="62" t="b">
        <f>Main3WData[[#This Row],[Count PT.Concat]]=1</f>
        <v>0</v>
      </c>
      <c r="P714" s="62">
        <f t="array" ref="P714">MAX(($N$4:N713=Main3WData[[#This Row],[PT.ID]])*ROW($N$4:N713))</f>
        <v>713</v>
      </c>
      <c r="Q714" s="62" t="str">
        <f>IF(Main3WData[[#This Row],[PT.FirstID]],Main3WData[[#This Row],[Acronym]],INDEX($Q$4:Q713,Main3WData[[#This Row],[PT.LastID.Row]]-ROW($Q$4)+1) &amp; ", "&amp;Main3WData[[#This Row],[Acronym]])</f>
        <v>UNICEF, UNFPA, UNDP, PLAN, OMS</v>
      </c>
      <c r="R714" s="62" t="b">
        <f t="array" ref="R714">MAX(IF(Main3WData[PT.ID]=Main3WData[[#This Row],[PT.ID]],Main3WData[PT.LastID.Row]))=Main3WData[[#This Row],[PT.LastID.Row]]</f>
        <v>0</v>
      </c>
    </row>
    <row r="715" spans="2:18" x14ac:dyDescent="0.2">
      <c r="B715" s="55" t="s">
        <v>499</v>
      </c>
      <c r="C715" s="27" t="str">
        <f>INDEX(Organizations[],MATCH(Main3WData[[#This Row],[Acronym]],AcronymList,0),1)</f>
        <v>Croix-Rouge Guinée/Fédération internationale de la Croix-Rouge</v>
      </c>
      <c r="D715" s="27" t="str">
        <f>INDEX(Organizations[],MATCH(Main3WData[[#This Row],[Acronym]],AcronymList,0),3)</f>
        <v>International Organization</v>
      </c>
      <c r="E715" s="54" t="s">
        <v>350</v>
      </c>
      <c r="F715" s="53" t="s">
        <v>82</v>
      </c>
      <c r="G715" s="54" t="s">
        <v>422</v>
      </c>
      <c r="H715" s="28" t="str">
        <f>VLOOKUP(Main3WData[[#This Row],[Admin Unit Name]],AdminUnits[],2,FALSE)</f>
        <v>GIN007003</v>
      </c>
      <c r="I715" s="57">
        <v>0</v>
      </c>
      <c r="J715" s="67" t="str">
        <f>Main3WData[[#This Row],[Acronym]]&amp;Main3WData[[#This Row],[Sector]]&amp;Main3WData[[#This Row],[Activity Type]]&amp;Main3WData[[#This Row],[Pcode]]</f>
        <v>CRG/FICRCommunication/Mobilisation socialeOngoingGIN007003</v>
      </c>
      <c r="K715" s="69">
        <f>COUNTIF(Main3WData[Concatenate],Main3WData[[#This Row],[Concatenate]])</f>
        <v>1</v>
      </c>
      <c r="L715" s="61" t="str">
        <f>Main3WData[[#This Row],[Sector]]&amp;Main3WData[[#This Row],[Pcode]]</f>
        <v>Communication/Mobilisation socialeGIN007003</v>
      </c>
      <c r="M715" s="71">
        <f>COUNTIF($L$5:L715,Main3WData[[#This Row],[PT.Concat]])</f>
        <v>6</v>
      </c>
      <c r="N715" s="70">
        <f>MATCH(Main3WData[[#This Row],[PT.Concat]],$L$5:L715,0)</f>
        <v>706</v>
      </c>
      <c r="O715" s="62" t="b">
        <f>Main3WData[[#This Row],[Count PT.Concat]]=1</f>
        <v>0</v>
      </c>
      <c r="P715" s="62">
        <f t="array" ref="P715">MAX(($N$4:N714=Main3WData[[#This Row],[PT.ID]])*ROW($N$4:N714))</f>
        <v>714</v>
      </c>
      <c r="Q715" s="62" t="str">
        <f>IF(Main3WData[[#This Row],[PT.FirstID]],Main3WData[[#This Row],[Acronym]],INDEX($Q$4:Q714,Main3WData[[#This Row],[PT.LastID.Row]]-ROW($Q$4)+1) &amp; ", "&amp;Main3WData[[#This Row],[Acronym]])</f>
        <v>UNICEF, UNFPA, UNDP, PLAN, OMS, CRG/FICR</v>
      </c>
      <c r="R715" s="62" t="b">
        <f t="array" ref="R715">MAX(IF(Main3WData[PT.ID]=Main3WData[[#This Row],[PT.ID]],Main3WData[PT.LastID.Row]))=Main3WData[[#This Row],[PT.LastID.Row]]</f>
        <v>1</v>
      </c>
    </row>
    <row r="716" spans="2:18" x14ac:dyDescent="0.2">
      <c r="B716" s="55" t="s">
        <v>516</v>
      </c>
      <c r="C716" s="27" t="str">
        <f>INDEX(Organizations[],MATCH(Main3WData[[#This Row],[Acronym]],AcronymList,0),1)</f>
        <v>UNITED NATION MISSION FOR EBOLA  EMERGENCY RESPONSE</v>
      </c>
      <c r="D716" s="27" t="str">
        <f>INDEX(Organizations[],MATCH(Main3WData[[#This Row],[Acronym]],AcronymList,0),3)</f>
        <v>UN Agency</v>
      </c>
      <c r="E716" s="54" t="s">
        <v>360</v>
      </c>
      <c r="F716" s="53" t="s">
        <v>82</v>
      </c>
      <c r="G716" s="54" t="s">
        <v>422</v>
      </c>
      <c r="H716" s="28" t="str">
        <f>VLOOKUP(Main3WData[[#This Row],[Admin Unit Name]],AdminUnits[],2,FALSE)</f>
        <v>GIN007003</v>
      </c>
      <c r="I716" s="57">
        <v>0</v>
      </c>
      <c r="J716" s="67" t="str">
        <f>Main3WData[[#This Row],[Acronym]]&amp;Main3WData[[#This Row],[Sector]]&amp;Main3WData[[#This Row],[Activity Type]]&amp;Main3WData[[#This Row],[Pcode]]</f>
        <v>UNMEERCoordinationOngoingGIN007003</v>
      </c>
      <c r="K716" s="69">
        <f>COUNTIF(Main3WData[Concatenate],Main3WData[[#This Row],[Concatenate]])</f>
        <v>1</v>
      </c>
      <c r="L716" s="61" t="str">
        <f>Main3WData[[#This Row],[Sector]]&amp;Main3WData[[#This Row],[Pcode]]</f>
        <v>CoordinationGIN007003</v>
      </c>
      <c r="M716" s="71">
        <f>COUNTIF($L$5:L716,Main3WData[[#This Row],[PT.Concat]])</f>
        <v>1</v>
      </c>
      <c r="N716" s="70">
        <f>MATCH(Main3WData[[#This Row],[PT.Concat]],$L$5:L716,0)</f>
        <v>712</v>
      </c>
      <c r="O716" s="62" t="b">
        <f>Main3WData[[#This Row],[Count PT.Concat]]=1</f>
        <v>1</v>
      </c>
      <c r="P716" s="62">
        <f t="array" ref="P716">MAX(($N$4:N715=Main3WData[[#This Row],[PT.ID]])*ROW($N$4:N715))</f>
        <v>0</v>
      </c>
      <c r="Q716" s="62" t="str">
        <f>IF(Main3WData[[#This Row],[PT.FirstID]],Main3WData[[#This Row],[Acronym]],INDEX($Q$4:Q715,Main3WData[[#This Row],[PT.LastID.Row]]-ROW($Q$4)+1) &amp; ", "&amp;Main3WData[[#This Row],[Acronym]])</f>
        <v>UNMEER</v>
      </c>
      <c r="R716" s="62" t="b">
        <f t="array" ref="R716">MAX(IF(Main3WData[PT.ID]=Main3WData[[#This Row],[PT.ID]],Main3WData[PT.LastID.Row]))=Main3WData[[#This Row],[PT.LastID.Row]]</f>
        <v>0</v>
      </c>
    </row>
    <row r="717" spans="2:18" x14ac:dyDescent="0.2">
      <c r="B717" s="55" t="s">
        <v>75</v>
      </c>
      <c r="C717" s="27" t="str">
        <f>INDEX(Organizations[],MATCH(Main3WData[[#This Row],[Acronym]],AcronymList,0),1)</f>
        <v>United Nations Population Fund</v>
      </c>
      <c r="D717" s="27" t="str">
        <f>INDEX(Organizations[],MATCH(Main3WData[[#This Row],[Acronym]],AcronymList,0),3)</f>
        <v>UN Agency</v>
      </c>
      <c r="E717" s="54" t="s">
        <v>360</v>
      </c>
      <c r="F717" s="53" t="s">
        <v>82</v>
      </c>
      <c r="G717" s="54" t="s">
        <v>422</v>
      </c>
      <c r="H717" s="28" t="str">
        <f>VLOOKUP(Main3WData[[#This Row],[Admin Unit Name]],AdminUnits[],2,FALSE)</f>
        <v>GIN007003</v>
      </c>
      <c r="I717" s="57">
        <v>0</v>
      </c>
      <c r="J717" s="67" t="str">
        <f>Main3WData[[#This Row],[Acronym]]&amp;Main3WData[[#This Row],[Sector]]&amp;Main3WData[[#This Row],[Activity Type]]&amp;Main3WData[[#This Row],[Pcode]]</f>
        <v>UNFPACoordinationOngoingGIN007003</v>
      </c>
      <c r="K717" s="69">
        <f>COUNTIF(Main3WData[Concatenate],Main3WData[[#This Row],[Concatenate]])</f>
        <v>1</v>
      </c>
      <c r="L717" s="61" t="str">
        <f>Main3WData[[#This Row],[Sector]]&amp;Main3WData[[#This Row],[Pcode]]</f>
        <v>CoordinationGIN007003</v>
      </c>
      <c r="M717" s="71">
        <f>COUNTIF($L$5:L717,Main3WData[[#This Row],[PT.Concat]])</f>
        <v>2</v>
      </c>
      <c r="N717" s="70">
        <f>MATCH(Main3WData[[#This Row],[PT.Concat]],$L$5:L717,0)</f>
        <v>712</v>
      </c>
      <c r="O717" s="62" t="b">
        <f>Main3WData[[#This Row],[Count PT.Concat]]=1</f>
        <v>0</v>
      </c>
      <c r="P717" s="62">
        <f t="array" ref="P717">MAX(($N$4:N716=Main3WData[[#This Row],[PT.ID]])*ROW($N$4:N716))</f>
        <v>716</v>
      </c>
      <c r="Q717" s="62" t="str">
        <f>IF(Main3WData[[#This Row],[PT.FirstID]],Main3WData[[#This Row],[Acronym]],INDEX($Q$4:Q716,Main3WData[[#This Row],[PT.LastID.Row]]-ROW($Q$4)+1) &amp; ", "&amp;Main3WData[[#This Row],[Acronym]])</f>
        <v>UNMEER, UNFPA</v>
      </c>
      <c r="R717" s="62" t="b">
        <f t="array" ref="R717">MAX(IF(Main3WData[PT.ID]=Main3WData[[#This Row],[PT.ID]],Main3WData[PT.LastID.Row]))=Main3WData[[#This Row],[PT.LastID.Row]]</f>
        <v>0</v>
      </c>
    </row>
    <row r="718" spans="2:18" x14ac:dyDescent="0.2">
      <c r="B718" s="55" t="s">
        <v>473</v>
      </c>
      <c r="C718" s="27" t="str">
        <f>INDEX(Organizations[],MATCH(Main3WData[[#This Row],[Acronym]],AcronymList,0),1)</f>
        <v>United Nations Development Programme</v>
      </c>
      <c r="D718" s="27" t="str">
        <f>INDEX(Organizations[],MATCH(Main3WData[[#This Row],[Acronym]],AcronymList,0),3)</f>
        <v>UN Agency</v>
      </c>
      <c r="E718" s="54" t="s">
        <v>360</v>
      </c>
      <c r="F718" s="53" t="s">
        <v>82</v>
      </c>
      <c r="G718" s="54" t="s">
        <v>422</v>
      </c>
      <c r="H718" s="28" t="str">
        <f>VLOOKUP(Main3WData[[#This Row],[Admin Unit Name]],AdminUnits[],2,FALSE)</f>
        <v>GIN007003</v>
      </c>
      <c r="I718" s="57">
        <v>0</v>
      </c>
      <c r="J718" s="67" t="str">
        <f>Main3WData[[#This Row],[Acronym]]&amp;Main3WData[[#This Row],[Sector]]&amp;Main3WData[[#This Row],[Activity Type]]&amp;Main3WData[[#This Row],[Pcode]]</f>
        <v>UNDPCoordinationOngoingGIN007003</v>
      </c>
      <c r="K718" s="69">
        <f>COUNTIF(Main3WData[Concatenate],Main3WData[[#This Row],[Concatenate]])</f>
        <v>1</v>
      </c>
      <c r="L718" s="61" t="str">
        <f>Main3WData[[#This Row],[Sector]]&amp;Main3WData[[#This Row],[Pcode]]</f>
        <v>CoordinationGIN007003</v>
      </c>
      <c r="M718" s="71">
        <f>COUNTIF($L$5:L718,Main3WData[[#This Row],[PT.Concat]])</f>
        <v>3</v>
      </c>
      <c r="N718" s="70">
        <f>MATCH(Main3WData[[#This Row],[PT.Concat]],$L$5:L718,0)</f>
        <v>712</v>
      </c>
      <c r="O718" s="62" t="b">
        <f>Main3WData[[#This Row],[Count PT.Concat]]=1</f>
        <v>0</v>
      </c>
      <c r="P718" s="62">
        <f t="array" ref="P718">MAX(($N$4:N717=Main3WData[[#This Row],[PT.ID]])*ROW($N$4:N717))</f>
        <v>717</v>
      </c>
      <c r="Q718" s="62" t="str">
        <f>IF(Main3WData[[#This Row],[PT.FirstID]],Main3WData[[#This Row],[Acronym]],INDEX($Q$4:Q717,Main3WData[[#This Row],[PT.LastID.Row]]-ROW($Q$4)+1) &amp; ", "&amp;Main3WData[[#This Row],[Acronym]])</f>
        <v>UNMEER, UNFPA, UNDP</v>
      </c>
      <c r="R718" s="62" t="b">
        <f t="array" ref="R718">MAX(IF(Main3WData[PT.ID]=Main3WData[[#This Row],[PT.ID]],Main3WData[PT.LastID.Row]))=Main3WData[[#This Row],[PT.LastID.Row]]</f>
        <v>0</v>
      </c>
    </row>
    <row r="719" spans="2:18" x14ac:dyDescent="0.2">
      <c r="B719" s="55" t="s">
        <v>512</v>
      </c>
      <c r="C719" s="27" t="str">
        <f>INDEX(Organizations[],MATCH(Main3WData[[#This Row],[Acronym]],AcronymList,0),1)</f>
        <v>World Health Organization</v>
      </c>
      <c r="D719" s="27" t="str">
        <f>INDEX(Organizations[],MATCH(Main3WData[[#This Row],[Acronym]],AcronymList,0),3)</f>
        <v>UN Agency</v>
      </c>
      <c r="E719" s="54" t="s">
        <v>360</v>
      </c>
      <c r="F719" s="53" t="s">
        <v>82</v>
      </c>
      <c r="G719" s="54" t="s">
        <v>422</v>
      </c>
      <c r="H719" s="28" t="str">
        <f>VLOOKUP(Main3WData[[#This Row],[Admin Unit Name]],AdminUnits[],2,FALSE)</f>
        <v>GIN007003</v>
      </c>
      <c r="I719" s="57">
        <v>0</v>
      </c>
      <c r="J719" s="67" t="str">
        <f>Main3WData[[#This Row],[Acronym]]&amp;Main3WData[[#This Row],[Sector]]&amp;Main3WData[[#This Row],[Activity Type]]&amp;Main3WData[[#This Row],[Pcode]]</f>
        <v>OMSCoordinationOngoingGIN007003</v>
      </c>
      <c r="K719" s="69">
        <f>COUNTIF(Main3WData[Concatenate],Main3WData[[#This Row],[Concatenate]])</f>
        <v>1</v>
      </c>
      <c r="L719" s="61" t="str">
        <f>Main3WData[[#This Row],[Sector]]&amp;Main3WData[[#This Row],[Pcode]]</f>
        <v>CoordinationGIN007003</v>
      </c>
      <c r="M719" s="71">
        <f>COUNTIF($L$5:L719,Main3WData[[#This Row],[PT.Concat]])</f>
        <v>4</v>
      </c>
      <c r="N719" s="70">
        <f>MATCH(Main3WData[[#This Row],[PT.Concat]],$L$5:L719,0)</f>
        <v>712</v>
      </c>
      <c r="O719" s="62" t="b">
        <f>Main3WData[[#This Row],[Count PT.Concat]]=1</f>
        <v>0</v>
      </c>
      <c r="P719" s="62">
        <f t="array" ref="P719">MAX(($N$4:N718=Main3WData[[#This Row],[PT.ID]])*ROW($N$4:N718))</f>
        <v>718</v>
      </c>
      <c r="Q719" s="62" t="str">
        <f>IF(Main3WData[[#This Row],[PT.FirstID]],Main3WData[[#This Row],[Acronym]],INDEX($Q$4:Q718,Main3WData[[#This Row],[PT.LastID.Row]]-ROW($Q$4)+1) &amp; ", "&amp;Main3WData[[#This Row],[Acronym]])</f>
        <v>UNMEER, UNFPA, UNDP, OMS</v>
      </c>
      <c r="R719" s="62" t="b">
        <f t="array" ref="R719">MAX(IF(Main3WData[PT.ID]=Main3WData[[#This Row],[PT.ID]],Main3WData[PT.LastID.Row]))=Main3WData[[#This Row],[PT.LastID.Row]]</f>
        <v>0</v>
      </c>
    </row>
    <row r="720" spans="2:18" x14ac:dyDescent="0.2">
      <c r="B720" s="55" t="s">
        <v>71</v>
      </c>
      <c r="C720" s="27" t="str">
        <f>INDEX(Organizations[],MATCH(Main3WData[[#This Row],[Acronym]],AcronymList,0),1)</f>
        <v>Medecins sans Frontieres</v>
      </c>
      <c r="D720" s="27" t="str">
        <f>INDEX(Organizations[],MATCH(Main3WData[[#This Row],[Acronym]],AcronymList,0),3)</f>
        <v>International NGO</v>
      </c>
      <c r="E720" s="54" t="s">
        <v>360</v>
      </c>
      <c r="F720" s="53" t="s">
        <v>82</v>
      </c>
      <c r="G720" s="54" t="s">
        <v>422</v>
      </c>
      <c r="H720" s="28" t="str">
        <f>VLOOKUP(Main3WData[[#This Row],[Admin Unit Name]],AdminUnits[],2,FALSE)</f>
        <v>GIN007003</v>
      </c>
      <c r="I720" s="57">
        <v>0</v>
      </c>
      <c r="J720" s="67" t="str">
        <f>Main3WData[[#This Row],[Acronym]]&amp;Main3WData[[#This Row],[Sector]]&amp;Main3WData[[#This Row],[Activity Type]]&amp;Main3WData[[#This Row],[Pcode]]</f>
        <v>MSFCoordinationOngoingGIN007003</v>
      </c>
      <c r="K720" s="69">
        <f>COUNTIF(Main3WData[Concatenate],Main3WData[[#This Row],[Concatenate]])</f>
        <v>1</v>
      </c>
      <c r="L720" s="61" t="str">
        <f>Main3WData[[#This Row],[Sector]]&amp;Main3WData[[#This Row],[Pcode]]</f>
        <v>CoordinationGIN007003</v>
      </c>
      <c r="M720" s="71">
        <f>COUNTIF($L$5:L720,Main3WData[[#This Row],[PT.Concat]])</f>
        <v>5</v>
      </c>
      <c r="N720" s="70">
        <f>MATCH(Main3WData[[#This Row],[PT.Concat]],$L$5:L720,0)</f>
        <v>712</v>
      </c>
      <c r="O720" s="62" t="b">
        <f>Main3WData[[#This Row],[Count PT.Concat]]=1</f>
        <v>0</v>
      </c>
      <c r="P720" s="62">
        <f t="array" ref="P720">MAX(($N$4:N719=Main3WData[[#This Row],[PT.ID]])*ROW($N$4:N719))</f>
        <v>719</v>
      </c>
      <c r="Q720" s="62" t="str">
        <f>IF(Main3WData[[#This Row],[PT.FirstID]],Main3WData[[#This Row],[Acronym]],INDEX($Q$4:Q719,Main3WData[[#This Row],[PT.LastID.Row]]-ROW($Q$4)+1) &amp; ", "&amp;Main3WData[[#This Row],[Acronym]])</f>
        <v>UNMEER, UNFPA, UNDP, OMS, MSF</v>
      </c>
      <c r="R720" s="62" t="b">
        <f t="array" ref="R720">MAX(IF(Main3WData[PT.ID]=Main3WData[[#This Row],[PT.ID]],Main3WData[PT.LastID.Row]))=Main3WData[[#This Row],[PT.LastID.Row]]</f>
        <v>0</v>
      </c>
    </row>
    <row r="721" spans="2:18" x14ac:dyDescent="0.2">
      <c r="B721" s="55" t="s">
        <v>507</v>
      </c>
      <c r="C721" s="27" t="str">
        <f>INDEX(Organizations[],MATCH(Main3WData[[#This Row],[Acronym]],AcronymList,0),1)</f>
        <v>eHealth Africa</v>
      </c>
      <c r="D721" s="27" t="str">
        <f>INDEX(Organizations[],MATCH(Main3WData[[#This Row],[Acronym]],AcronymList,0),3)</f>
        <v>International Organization</v>
      </c>
      <c r="E721" s="54" t="s">
        <v>360</v>
      </c>
      <c r="F721" s="53" t="s">
        <v>82</v>
      </c>
      <c r="G721" s="54" t="s">
        <v>422</v>
      </c>
      <c r="H721" s="28" t="str">
        <f>VLOOKUP(Main3WData[[#This Row],[Admin Unit Name]],AdminUnits[],2,FALSE)</f>
        <v>GIN007003</v>
      </c>
      <c r="I721" s="57">
        <v>0</v>
      </c>
      <c r="J721" s="67" t="str">
        <f>Main3WData[[#This Row],[Acronym]]&amp;Main3WData[[#This Row],[Sector]]&amp;Main3WData[[#This Row],[Activity Type]]&amp;Main3WData[[#This Row],[Pcode]]</f>
        <v>eHealth AfricaCoordinationOngoingGIN007003</v>
      </c>
      <c r="K721" s="69">
        <f>COUNTIF(Main3WData[Concatenate],Main3WData[[#This Row],[Concatenate]])</f>
        <v>1</v>
      </c>
      <c r="L721" s="61" t="str">
        <f>Main3WData[[#This Row],[Sector]]&amp;Main3WData[[#This Row],[Pcode]]</f>
        <v>CoordinationGIN007003</v>
      </c>
      <c r="M721" s="71">
        <f>COUNTIF($L$5:L721,Main3WData[[#This Row],[PT.Concat]])</f>
        <v>6</v>
      </c>
      <c r="N721" s="70">
        <f>MATCH(Main3WData[[#This Row],[PT.Concat]],$L$5:L721,0)</f>
        <v>712</v>
      </c>
      <c r="O721" s="62" t="b">
        <f>Main3WData[[#This Row],[Count PT.Concat]]=1</f>
        <v>0</v>
      </c>
      <c r="P721" s="62">
        <f t="array" ref="P721">MAX(($N$4:N720=Main3WData[[#This Row],[PT.ID]])*ROW($N$4:N720))</f>
        <v>720</v>
      </c>
      <c r="Q721" s="62" t="str">
        <f>IF(Main3WData[[#This Row],[PT.FirstID]],Main3WData[[#This Row],[Acronym]],INDEX($Q$4:Q720,Main3WData[[#This Row],[PT.LastID.Row]]-ROW($Q$4)+1) &amp; ", "&amp;Main3WData[[#This Row],[Acronym]])</f>
        <v>UNMEER, UNFPA, UNDP, OMS, MSF, eHealth Africa</v>
      </c>
      <c r="R721" s="62" t="b">
        <f t="array" ref="R721">MAX(IF(Main3WData[PT.ID]=Main3WData[[#This Row],[PT.ID]],Main3WData[PT.LastID.Row]))=Main3WData[[#This Row],[PT.LastID.Row]]</f>
        <v>1</v>
      </c>
    </row>
    <row r="722" spans="2:18" x14ac:dyDescent="0.2">
      <c r="B722" s="55" t="s">
        <v>473</v>
      </c>
      <c r="C722" s="27" t="str">
        <f>INDEX(Organizations[],MATCH(Main3WData[[#This Row],[Acronym]],AcronymList,0),1)</f>
        <v>United Nations Development Programme</v>
      </c>
      <c r="D722" s="27" t="str">
        <f>INDEX(Organizations[],MATCH(Main3WData[[#This Row],[Acronym]],AcronymList,0),3)</f>
        <v>UN Agency</v>
      </c>
      <c r="E722" s="54" t="s">
        <v>359</v>
      </c>
      <c r="F722" s="53" t="s">
        <v>82</v>
      </c>
      <c r="G722" s="54" t="s">
        <v>422</v>
      </c>
      <c r="H722" s="28" t="str">
        <f>VLOOKUP(Main3WData[[#This Row],[Admin Unit Name]],AdminUnits[],2,FALSE)</f>
        <v>GIN007003</v>
      </c>
      <c r="I722" s="57">
        <v>0</v>
      </c>
      <c r="J722" s="67" t="str">
        <f>Main3WData[[#This Row],[Acronym]]&amp;Main3WData[[#This Row],[Sector]]&amp;Main3WData[[#This Row],[Activity Type]]&amp;Main3WData[[#This Row],[Pcode]]</f>
        <v>UNDPFinanceOngoingGIN007003</v>
      </c>
      <c r="K722" s="69">
        <f>COUNTIF(Main3WData[Concatenate],Main3WData[[#This Row],[Concatenate]])</f>
        <v>1</v>
      </c>
      <c r="L722" s="61" t="str">
        <f>Main3WData[[#This Row],[Sector]]&amp;Main3WData[[#This Row],[Pcode]]</f>
        <v>FinanceGIN007003</v>
      </c>
      <c r="M722" s="71">
        <f>COUNTIF($L$5:L722,Main3WData[[#This Row],[PT.Concat]])</f>
        <v>1</v>
      </c>
      <c r="N722" s="70">
        <f>MATCH(Main3WData[[#This Row],[PT.Concat]],$L$5:L722,0)</f>
        <v>718</v>
      </c>
      <c r="O722" s="62" t="b">
        <f>Main3WData[[#This Row],[Count PT.Concat]]=1</f>
        <v>1</v>
      </c>
      <c r="P722" s="62">
        <f t="array" ref="P722">MAX(($N$4:N721=Main3WData[[#This Row],[PT.ID]])*ROW($N$4:N721))</f>
        <v>0</v>
      </c>
      <c r="Q722" s="62" t="str">
        <f>IF(Main3WData[[#This Row],[PT.FirstID]],Main3WData[[#This Row],[Acronym]],INDEX($Q$4:Q721,Main3WData[[#This Row],[PT.LastID.Row]]-ROW($Q$4)+1) &amp; ", "&amp;Main3WData[[#This Row],[Acronym]])</f>
        <v>UNDP</v>
      </c>
      <c r="R722" s="62" t="b">
        <f t="array" ref="R722">MAX(IF(Main3WData[PT.ID]=Main3WData[[#This Row],[PT.ID]],Main3WData[PT.LastID.Row]))=Main3WData[[#This Row],[PT.LastID.Row]]</f>
        <v>1</v>
      </c>
    </row>
    <row r="723" spans="2:18" x14ac:dyDescent="0.2">
      <c r="B723" s="55" t="s">
        <v>451</v>
      </c>
      <c r="C723" s="27" t="str">
        <f>INDEX(Organizations[],MATCH(Main3WData[[#This Row],[Acronym]],AcronymList,0),1)</f>
        <v>Croix-Rouge Guinée</v>
      </c>
      <c r="D723" s="27" t="str">
        <f>INDEX(Organizations[],MATCH(Main3WData[[#This Row],[Acronym]],AcronymList,0),3)</f>
        <v>Red Cross Movement</v>
      </c>
      <c r="E723" s="54" t="s">
        <v>354</v>
      </c>
      <c r="F723" s="53" t="s">
        <v>82</v>
      </c>
      <c r="G723" s="54" t="s">
        <v>422</v>
      </c>
      <c r="H723" s="28" t="str">
        <f>VLOOKUP(Main3WData[[#This Row],[Admin Unit Name]],AdminUnits[],2,FALSE)</f>
        <v>GIN007003</v>
      </c>
      <c r="I723" s="57">
        <v>0</v>
      </c>
      <c r="J723" s="67" t="str">
        <f>Main3WData[[#This Row],[Acronym]]&amp;Main3WData[[#This Row],[Sector]]&amp;Main3WData[[#This Row],[Activity Type]]&amp;Main3WData[[#This Row],[Pcode]]</f>
        <v>CRGGestion des corps et desinfectionOngoingGIN007003</v>
      </c>
      <c r="K723" s="69">
        <f>COUNTIF(Main3WData[Concatenate],Main3WData[[#This Row],[Concatenate]])</f>
        <v>1</v>
      </c>
      <c r="L723" s="61" t="str">
        <f>Main3WData[[#This Row],[Sector]]&amp;Main3WData[[#This Row],[Pcode]]</f>
        <v>Gestion des corps et desinfectionGIN007003</v>
      </c>
      <c r="M723" s="71">
        <f>COUNTIF($L$5:L723,Main3WData[[#This Row],[PT.Concat]])</f>
        <v>1</v>
      </c>
      <c r="N723" s="70">
        <f>MATCH(Main3WData[[#This Row],[PT.Concat]],$L$5:L723,0)</f>
        <v>719</v>
      </c>
      <c r="O723" s="62" t="b">
        <f>Main3WData[[#This Row],[Count PT.Concat]]=1</f>
        <v>1</v>
      </c>
      <c r="P723" s="62">
        <f t="array" ref="P723">MAX(($N$4:N722=Main3WData[[#This Row],[PT.ID]])*ROW($N$4:N722))</f>
        <v>0</v>
      </c>
      <c r="Q723" s="62" t="str">
        <f>IF(Main3WData[[#This Row],[PT.FirstID]],Main3WData[[#This Row],[Acronym]],INDEX($Q$4:Q722,Main3WData[[#This Row],[PT.LastID.Row]]-ROW($Q$4)+1) &amp; ", "&amp;Main3WData[[#This Row],[Acronym]])</f>
        <v>CRG</v>
      </c>
      <c r="R723" s="62" t="b">
        <f t="array" ref="R723">MAX(IF(Main3WData[PT.ID]=Main3WData[[#This Row],[PT.ID]],Main3WData[PT.LastID.Row]))=Main3WData[[#This Row],[PT.LastID.Row]]</f>
        <v>1</v>
      </c>
    </row>
    <row r="724" spans="2:18" x14ac:dyDescent="0.2">
      <c r="B724" s="55" t="s">
        <v>516</v>
      </c>
      <c r="C724" s="27" t="str">
        <f>INDEX(Organizations[],MATCH(Main3WData[[#This Row],[Acronym]],AcronymList,0),1)</f>
        <v>UNITED NATION MISSION FOR EBOLA  EMERGENCY RESPONSE</v>
      </c>
      <c r="D724" s="27" t="str">
        <f>INDEX(Organizations[],MATCH(Main3WData[[#This Row],[Acronym]],AcronymList,0),3)</f>
        <v>UN Agency</v>
      </c>
      <c r="E724" s="54" t="s">
        <v>356</v>
      </c>
      <c r="F724" s="53" t="s">
        <v>82</v>
      </c>
      <c r="G724" s="54" t="s">
        <v>422</v>
      </c>
      <c r="H724" s="28" t="str">
        <f>VLOOKUP(Main3WData[[#This Row],[Admin Unit Name]],AdminUnits[],2,FALSE)</f>
        <v>GIN007003</v>
      </c>
      <c r="I724" s="57">
        <v>0</v>
      </c>
      <c r="J724" s="67" t="str">
        <f>Main3WData[[#This Row],[Acronym]]&amp;Main3WData[[#This Row],[Sector]]&amp;Main3WData[[#This Row],[Activity Type]]&amp;Main3WData[[#This Row],[Pcode]]</f>
        <v>UNMEERGestion des donnéesOngoingGIN007003</v>
      </c>
      <c r="K724" s="69">
        <f>COUNTIF(Main3WData[Concatenate],Main3WData[[#This Row],[Concatenate]])</f>
        <v>1</v>
      </c>
      <c r="L724" s="61" t="str">
        <f>Main3WData[[#This Row],[Sector]]&amp;Main3WData[[#This Row],[Pcode]]</f>
        <v>Gestion des donnéesGIN007003</v>
      </c>
      <c r="M724" s="71">
        <f>COUNTIF($L$5:L724,Main3WData[[#This Row],[PT.Concat]])</f>
        <v>1</v>
      </c>
      <c r="N724" s="70">
        <f>MATCH(Main3WData[[#This Row],[PT.Concat]],$L$5:L724,0)</f>
        <v>720</v>
      </c>
      <c r="O724" s="62" t="b">
        <f>Main3WData[[#This Row],[Count PT.Concat]]=1</f>
        <v>1</v>
      </c>
      <c r="P724" s="62">
        <f t="array" ref="P724">MAX(($N$4:N723=Main3WData[[#This Row],[PT.ID]])*ROW($N$4:N723))</f>
        <v>0</v>
      </c>
      <c r="Q724" s="62" t="str">
        <f>IF(Main3WData[[#This Row],[PT.FirstID]],Main3WData[[#This Row],[Acronym]],INDEX($Q$4:Q723,Main3WData[[#This Row],[PT.LastID.Row]]-ROW($Q$4)+1) &amp; ", "&amp;Main3WData[[#This Row],[Acronym]])</f>
        <v>UNMEER</v>
      </c>
      <c r="R724" s="62" t="b">
        <f t="array" ref="R724">MAX(IF(Main3WData[PT.ID]=Main3WData[[#This Row],[PT.ID]],Main3WData[PT.LastID.Row]))=Main3WData[[#This Row],[PT.LastID.Row]]</f>
        <v>0</v>
      </c>
    </row>
    <row r="725" spans="2:18" x14ac:dyDescent="0.2">
      <c r="B725" s="55" t="s">
        <v>512</v>
      </c>
      <c r="C725" s="27" t="str">
        <f>INDEX(Organizations[],MATCH(Main3WData[[#This Row],[Acronym]],AcronymList,0),1)</f>
        <v>World Health Organization</v>
      </c>
      <c r="D725" s="27" t="str">
        <f>INDEX(Organizations[],MATCH(Main3WData[[#This Row],[Acronym]],AcronymList,0),3)</f>
        <v>UN Agency</v>
      </c>
      <c r="E725" s="54" t="s">
        <v>356</v>
      </c>
      <c r="F725" s="53" t="s">
        <v>82</v>
      </c>
      <c r="G725" s="54" t="s">
        <v>422</v>
      </c>
      <c r="H725" s="28" t="str">
        <f>VLOOKUP(Main3WData[[#This Row],[Admin Unit Name]],AdminUnits[],2,FALSE)</f>
        <v>GIN007003</v>
      </c>
      <c r="I725" s="57">
        <v>0</v>
      </c>
      <c r="J725" s="67" t="str">
        <f>Main3WData[[#This Row],[Acronym]]&amp;Main3WData[[#This Row],[Sector]]&amp;Main3WData[[#This Row],[Activity Type]]&amp;Main3WData[[#This Row],[Pcode]]</f>
        <v>OMSGestion des donnéesOngoingGIN007003</v>
      </c>
      <c r="K725" s="69">
        <f>COUNTIF(Main3WData[Concatenate],Main3WData[[#This Row],[Concatenate]])</f>
        <v>1</v>
      </c>
      <c r="L725" s="61" t="str">
        <f>Main3WData[[#This Row],[Sector]]&amp;Main3WData[[#This Row],[Pcode]]</f>
        <v>Gestion des donnéesGIN007003</v>
      </c>
      <c r="M725" s="71">
        <f>COUNTIF($L$5:L725,Main3WData[[#This Row],[PT.Concat]])</f>
        <v>2</v>
      </c>
      <c r="N725" s="70">
        <f>MATCH(Main3WData[[#This Row],[PT.Concat]],$L$5:L725,0)</f>
        <v>720</v>
      </c>
      <c r="O725" s="62" t="b">
        <f>Main3WData[[#This Row],[Count PT.Concat]]=1</f>
        <v>0</v>
      </c>
      <c r="P725" s="62">
        <f t="array" ref="P725">MAX(($N$4:N724=Main3WData[[#This Row],[PT.ID]])*ROW($N$4:N724))</f>
        <v>724</v>
      </c>
      <c r="Q725" s="62" t="str">
        <f>IF(Main3WData[[#This Row],[PT.FirstID]],Main3WData[[#This Row],[Acronym]],INDEX($Q$4:Q724,Main3WData[[#This Row],[PT.LastID.Row]]-ROW($Q$4)+1) &amp; ", "&amp;Main3WData[[#This Row],[Acronym]])</f>
        <v>UNMEER, OMS</v>
      </c>
      <c r="R725" s="62" t="b">
        <f t="array" ref="R725">MAX(IF(Main3WData[PT.ID]=Main3WData[[#This Row],[PT.ID]],Main3WData[PT.LastID.Row]))=Main3WData[[#This Row],[PT.LastID.Row]]</f>
        <v>1</v>
      </c>
    </row>
    <row r="726" spans="2:18" x14ac:dyDescent="0.2">
      <c r="B726" s="55" t="s">
        <v>75</v>
      </c>
      <c r="C726" s="27" t="str">
        <f>INDEX(Organizations[],MATCH(Main3WData[[#This Row],[Acronym]],AcronymList,0),1)</f>
        <v>United Nations Population Fund</v>
      </c>
      <c r="D726" s="27" t="str">
        <f>INDEX(Organizations[],MATCH(Main3WData[[#This Row],[Acronym]],AcronymList,0),3)</f>
        <v>UN Agency</v>
      </c>
      <c r="E726" s="54" t="s">
        <v>351</v>
      </c>
      <c r="F726" s="53" t="s">
        <v>82</v>
      </c>
      <c r="G726" s="54" t="s">
        <v>422</v>
      </c>
      <c r="H726" s="28" t="str">
        <f>VLOOKUP(Main3WData[[#This Row],[Admin Unit Name]],AdminUnits[],2,FALSE)</f>
        <v>GIN007003</v>
      </c>
      <c r="I726" s="57">
        <v>0</v>
      </c>
      <c r="J726" s="67" t="str">
        <f>Main3WData[[#This Row],[Acronym]]&amp;Main3WData[[#This Row],[Sector]]&amp;Main3WData[[#This Row],[Activity Type]]&amp;Main3WData[[#This Row],[Pcode]]</f>
        <v>UNFPASurveillance &amp; suiviOngoingGIN007003</v>
      </c>
      <c r="K726" s="69">
        <f>COUNTIF(Main3WData[Concatenate],Main3WData[[#This Row],[Concatenate]])</f>
        <v>1</v>
      </c>
      <c r="L726" s="61" t="str">
        <f>Main3WData[[#This Row],[Sector]]&amp;Main3WData[[#This Row],[Pcode]]</f>
        <v>Surveillance &amp; suiviGIN007003</v>
      </c>
      <c r="M726" s="71">
        <f>COUNTIF($L$5:L726,Main3WData[[#This Row],[PT.Concat]])</f>
        <v>1</v>
      </c>
      <c r="N726" s="70">
        <f>MATCH(Main3WData[[#This Row],[PT.Concat]],$L$5:L726,0)</f>
        <v>722</v>
      </c>
      <c r="O726" s="62" t="b">
        <f>Main3WData[[#This Row],[Count PT.Concat]]=1</f>
        <v>1</v>
      </c>
      <c r="P726" s="62">
        <f t="array" ref="P726">MAX(($N$4:N725=Main3WData[[#This Row],[PT.ID]])*ROW($N$4:N725))</f>
        <v>0</v>
      </c>
      <c r="Q726" s="62" t="str">
        <f>IF(Main3WData[[#This Row],[PT.FirstID]],Main3WData[[#This Row],[Acronym]],INDEX($Q$4:Q725,Main3WData[[#This Row],[PT.LastID.Row]]-ROW($Q$4)+1) &amp; ", "&amp;Main3WData[[#This Row],[Acronym]])</f>
        <v>UNFPA</v>
      </c>
      <c r="R726" s="62" t="b">
        <f t="array" ref="R726">MAX(IF(Main3WData[PT.ID]=Main3WData[[#This Row],[PT.ID]],Main3WData[PT.LastID.Row]))=Main3WData[[#This Row],[PT.LastID.Row]]</f>
        <v>0</v>
      </c>
    </row>
    <row r="727" spans="2:18" x14ac:dyDescent="0.2">
      <c r="B727" s="55" t="s">
        <v>512</v>
      </c>
      <c r="C727" s="27" t="str">
        <f>INDEX(Organizations[],MATCH(Main3WData[[#This Row],[Acronym]],AcronymList,0),1)</f>
        <v>World Health Organization</v>
      </c>
      <c r="D727" s="27" t="str">
        <f>INDEX(Organizations[],MATCH(Main3WData[[#This Row],[Acronym]],AcronymList,0),3)</f>
        <v>UN Agency</v>
      </c>
      <c r="E727" s="54" t="s">
        <v>351</v>
      </c>
      <c r="F727" s="53" t="s">
        <v>82</v>
      </c>
      <c r="G727" s="54" t="s">
        <v>422</v>
      </c>
      <c r="H727" s="28" t="str">
        <f>VLOOKUP(Main3WData[[#This Row],[Admin Unit Name]],AdminUnits[],2,FALSE)</f>
        <v>GIN007003</v>
      </c>
      <c r="I727" s="57">
        <v>0</v>
      </c>
      <c r="J727" s="67" t="str">
        <f>Main3WData[[#This Row],[Acronym]]&amp;Main3WData[[#This Row],[Sector]]&amp;Main3WData[[#This Row],[Activity Type]]&amp;Main3WData[[#This Row],[Pcode]]</f>
        <v>OMSSurveillance &amp; suiviOngoingGIN007003</v>
      </c>
      <c r="K727" s="69">
        <f>COUNTIF(Main3WData[Concatenate],Main3WData[[#This Row],[Concatenate]])</f>
        <v>1</v>
      </c>
      <c r="L727" s="61" t="str">
        <f>Main3WData[[#This Row],[Sector]]&amp;Main3WData[[#This Row],[Pcode]]</f>
        <v>Surveillance &amp; suiviGIN007003</v>
      </c>
      <c r="M727" s="71">
        <f>COUNTIF($L$5:L727,Main3WData[[#This Row],[PT.Concat]])</f>
        <v>2</v>
      </c>
      <c r="N727" s="70">
        <f>MATCH(Main3WData[[#This Row],[PT.Concat]],$L$5:L727,0)</f>
        <v>722</v>
      </c>
      <c r="O727" s="62" t="b">
        <f>Main3WData[[#This Row],[Count PT.Concat]]=1</f>
        <v>0</v>
      </c>
      <c r="P727" s="62">
        <f t="array" ref="P727">MAX(($N$4:N726=Main3WData[[#This Row],[PT.ID]])*ROW($N$4:N726))</f>
        <v>726</v>
      </c>
      <c r="Q727" s="62" t="str">
        <f>IF(Main3WData[[#This Row],[PT.FirstID]],Main3WData[[#This Row],[Acronym]],INDEX($Q$4:Q726,Main3WData[[#This Row],[PT.LastID.Row]]-ROW($Q$4)+1) &amp; ", "&amp;Main3WData[[#This Row],[Acronym]])</f>
        <v>UNFPA, OMS</v>
      </c>
      <c r="R727" s="62" t="b">
        <f t="array" ref="R727">MAX(IF(Main3WData[PT.ID]=Main3WData[[#This Row],[PT.ID]],Main3WData[PT.LastID.Row]))=Main3WData[[#This Row],[PT.LastID.Row]]</f>
        <v>0</v>
      </c>
    </row>
    <row r="728" spans="2:18" x14ac:dyDescent="0.2">
      <c r="B728" s="55" t="s">
        <v>496</v>
      </c>
      <c r="C728" s="27" t="str">
        <f>INDEX(Organizations[],MATCH(Main3WData[[#This Row],[Acronym]],AcronymList,0),1)</f>
        <v>Columbia University</v>
      </c>
      <c r="D728" s="27" t="str">
        <f>INDEX(Organizations[],MATCH(Main3WData[[#This Row],[Acronym]],AcronymList,0),3)</f>
        <v>Education</v>
      </c>
      <c r="E728" s="54" t="s">
        <v>351</v>
      </c>
      <c r="F728" s="53" t="s">
        <v>82</v>
      </c>
      <c r="G728" s="54" t="s">
        <v>422</v>
      </c>
      <c r="H728" s="28" t="str">
        <f>VLOOKUP(Main3WData[[#This Row],[Admin Unit Name]],AdminUnits[],2,FALSE)</f>
        <v>GIN007003</v>
      </c>
      <c r="I728" s="57">
        <v>0</v>
      </c>
      <c r="J728" s="67" t="str">
        <f>Main3WData[[#This Row],[Acronym]]&amp;Main3WData[[#This Row],[Sector]]&amp;Main3WData[[#This Row],[Activity Type]]&amp;Main3WData[[#This Row],[Pcode]]</f>
        <v>Columbia UnivSurveillance &amp; suiviOngoingGIN007003</v>
      </c>
      <c r="K728" s="69">
        <f>COUNTIF(Main3WData[Concatenate],Main3WData[[#This Row],[Concatenate]])</f>
        <v>1</v>
      </c>
      <c r="L728" s="61" t="str">
        <f>Main3WData[[#This Row],[Sector]]&amp;Main3WData[[#This Row],[Pcode]]</f>
        <v>Surveillance &amp; suiviGIN007003</v>
      </c>
      <c r="M728" s="71">
        <f>COUNTIF($L$5:L728,Main3WData[[#This Row],[PT.Concat]])</f>
        <v>3</v>
      </c>
      <c r="N728" s="70">
        <f>MATCH(Main3WData[[#This Row],[PT.Concat]],$L$5:L728,0)</f>
        <v>722</v>
      </c>
      <c r="O728" s="62" t="b">
        <f>Main3WData[[#This Row],[Count PT.Concat]]=1</f>
        <v>0</v>
      </c>
      <c r="P728" s="62">
        <f t="array" ref="P728">MAX(($N$4:N727=Main3WData[[#This Row],[PT.ID]])*ROW($N$4:N727))</f>
        <v>727</v>
      </c>
      <c r="Q728" s="62" t="str">
        <f>IF(Main3WData[[#This Row],[PT.FirstID]],Main3WData[[#This Row],[Acronym]],INDEX($Q$4:Q727,Main3WData[[#This Row],[PT.LastID.Row]]-ROW($Q$4)+1) &amp; ", "&amp;Main3WData[[#This Row],[Acronym]])</f>
        <v>UNFPA, OMS, Columbia Univ</v>
      </c>
      <c r="R728" s="62" t="b">
        <f t="array" ref="R728">MAX(IF(Main3WData[PT.ID]=Main3WData[[#This Row],[PT.ID]],Main3WData[PT.LastID.Row]))=Main3WData[[#This Row],[PT.LastID.Row]]</f>
        <v>0</v>
      </c>
    </row>
    <row r="729" spans="2:18" x14ac:dyDescent="0.2">
      <c r="B729" s="55" t="s">
        <v>64</v>
      </c>
      <c r="C729" s="27" t="str">
        <f>INDEX(Organizations[],MATCH(Main3WData[[#This Row],[Acronym]],AcronymList,0),1)</f>
        <v>CDC</v>
      </c>
      <c r="D729" s="27" t="str">
        <f>INDEX(Organizations[],MATCH(Main3WData[[#This Row],[Acronym]],AcronymList,0),3)</f>
        <v>International NGO</v>
      </c>
      <c r="E729" s="54" t="s">
        <v>351</v>
      </c>
      <c r="F729" s="53" t="s">
        <v>82</v>
      </c>
      <c r="G729" s="54" t="s">
        <v>422</v>
      </c>
      <c r="H729" s="28" t="str">
        <f>VLOOKUP(Main3WData[[#This Row],[Admin Unit Name]],AdminUnits[],2,FALSE)</f>
        <v>GIN007003</v>
      </c>
      <c r="I729" s="57">
        <v>0</v>
      </c>
      <c r="J729" s="67" t="str">
        <f>Main3WData[[#This Row],[Acronym]]&amp;Main3WData[[#This Row],[Sector]]&amp;Main3WData[[#This Row],[Activity Type]]&amp;Main3WData[[#This Row],[Pcode]]</f>
        <v>CDCSurveillance &amp; suiviOngoingGIN007003</v>
      </c>
      <c r="K729" s="69">
        <f>COUNTIF(Main3WData[Concatenate],Main3WData[[#This Row],[Concatenate]])</f>
        <v>1</v>
      </c>
      <c r="L729" s="61" t="str">
        <f>Main3WData[[#This Row],[Sector]]&amp;Main3WData[[#This Row],[Pcode]]</f>
        <v>Surveillance &amp; suiviGIN007003</v>
      </c>
      <c r="M729" s="71">
        <f>COUNTIF($L$5:L729,Main3WData[[#This Row],[PT.Concat]])</f>
        <v>4</v>
      </c>
      <c r="N729" s="70">
        <f>MATCH(Main3WData[[#This Row],[PT.Concat]],$L$5:L729,0)</f>
        <v>722</v>
      </c>
      <c r="O729" s="62" t="b">
        <f>Main3WData[[#This Row],[Count PT.Concat]]=1</f>
        <v>0</v>
      </c>
      <c r="P729" s="62">
        <f t="array" ref="P729">MAX(($N$4:N728=Main3WData[[#This Row],[PT.ID]])*ROW($N$4:N728))</f>
        <v>728</v>
      </c>
      <c r="Q729" s="62" t="str">
        <f>IF(Main3WData[[#This Row],[PT.FirstID]],Main3WData[[#This Row],[Acronym]],INDEX($Q$4:Q728,Main3WData[[#This Row],[PT.LastID.Row]]-ROW($Q$4)+1) &amp; ", "&amp;Main3WData[[#This Row],[Acronym]])</f>
        <v>UNFPA, OMS, Columbia Univ, CDC</v>
      </c>
      <c r="R729" s="62" t="b">
        <f t="array" ref="R729">MAX(IF(Main3WData[PT.ID]=Main3WData[[#This Row],[PT.ID]],Main3WData[PT.LastID.Row]))=Main3WData[[#This Row],[PT.LastID.Row]]</f>
        <v>0</v>
      </c>
    </row>
    <row r="730" spans="2:18" x14ac:dyDescent="0.2">
      <c r="B730" s="55" t="s">
        <v>437</v>
      </c>
      <c r="C730" s="27" t="str">
        <f>INDEX(Organizations[],MATCH(Main3WData[[#This Row],[Acronym]],AcronymList,0),1)</f>
        <v>Action Contre la Faim Espagne</v>
      </c>
      <c r="D730" s="27" t="str">
        <f>INDEX(Organizations[],MATCH(Main3WData[[#This Row],[Acronym]],AcronymList,0),3)</f>
        <v>International NGO</v>
      </c>
      <c r="E730" s="54" t="s">
        <v>351</v>
      </c>
      <c r="F730" s="53" t="s">
        <v>82</v>
      </c>
      <c r="G730" s="54" t="s">
        <v>422</v>
      </c>
      <c r="H730" s="28" t="str">
        <f>VLOOKUP(Main3WData[[#This Row],[Admin Unit Name]],AdminUnits[],2,FALSE)</f>
        <v>GIN007003</v>
      </c>
      <c r="I730" s="57">
        <v>0</v>
      </c>
      <c r="J730" s="67" t="str">
        <f>Main3WData[[#This Row],[Acronym]]&amp;Main3WData[[#This Row],[Sector]]&amp;Main3WData[[#This Row],[Activity Type]]&amp;Main3WData[[#This Row],[Pcode]]</f>
        <v>ACF-ESurveillance &amp; suiviOngoingGIN007003</v>
      </c>
      <c r="K730" s="69">
        <f>COUNTIF(Main3WData[Concatenate],Main3WData[[#This Row],[Concatenate]])</f>
        <v>1</v>
      </c>
      <c r="L730" s="61" t="str">
        <f>Main3WData[[#This Row],[Sector]]&amp;Main3WData[[#This Row],[Pcode]]</f>
        <v>Surveillance &amp; suiviGIN007003</v>
      </c>
      <c r="M730" s="71">
        <f>COUNTIF($L$5:L730,Main3WData[[#This Row],[PT.Concat]])</f>
        <v>5</v>
      </c>
      <c r="N730" s="70">
        <f>MATCH(Main3WData[[#This Row],[PT.Concat]],$L$5:L730,0)</f>
        <v>722</v>
      </c>
      <c r="O730" s="62" t="b">
        <f>Main3WData[[#This Row],[Count PT.Concat]]=1</f>
        <v>0</v>
      </c>
      <c r="P730" s="62">
        <f t="array" ref="P730">MAX(($N$4:N729=Main3WData[[#This Row],[PT.ID]])*ROW($N$4:N729))</f>
        <v>729</v>
      </c>
      <c r="Q730" s="62" t="str">
        <f>IF(Main3WData[[#This Row],[PT.FirstID]],Main3WData[[#This Row],[Acronym]],INDEX($Q$4:Q729,Main3WData[[#This Row],[PT.LastID.Row]]-ROW($Q$4)+1) &amp; ", "&amp;Main3WData[[#This Row],[Acronym]])</f>
        <v>UNFPA, OMS, Columbia Univ, CDC, ACF-E</v>
      </c>
      <c r="R730" s="62" t="b">
        <f t="array" ref="R730">MAX(IF(Main3WData[PT.ID]=Main3WData[[#This Row],[PT.ID]],Main3WData[PT.LastID.Row]))=Main3WData[[#This Row],[PT.LastID.Row]]</f>
        <v>1</v>
      </c>
    </row>
    <row r="731" spans="2:18" x14ac:dyDescent="0.2">
      <c r="B731" s="55" t="s">
        <v>77</v>
      </c>
      <c r="C731" s="27" t="str">
        <f>INDEX(Organizations[],MATCH(Main3WData[[#This Row],[Acronym]],AcronymList,0),1)</f>
        <v>United Nations Children's Fund</v>
      </c>
      <c r="D731" s="27" t="str">
        <f>INDEX(Organizations[],MATCH(Main3WData[[#This Row],[Acronym]],AcronymList,0),3)</f>
        <v>UN Agency</v>
      </c>
      <c r="E731" s="54" t="s">
        <v>350</v>
      </c>
      <c r="F731" s="53" t="s">
        <v>82</v>
      </c>
      <c r="G731" s="54" t="s">
        <v>394</v>
      </c>
      <c r="H731" s="28" t="str">
        <f>VLOOKUP(Main3WData[[#This Row],[Admin Unit Name]],AdminUnits[],2,FALSE)</f>
        <v>GIN004005</v>
      </c>
      <c r="I731" s="57">
        <v>0</v>
      </c>
      <c r="J731" s="67" t="str">
        <f>Main3WData[[#This Row],[Acronym]]&amp;Main3WData[[#This Row],[Sector]]&amp;Main3WData[[#This Row],[Activity Type]]&amp;Main3WData[[#This Row],[Pcode]]</f>
        <v>UNICEFCommunication/Mobilisation socialeOngoingGIN004005</v>
      </c>
      <c r="K731" s="69">
        <f>COUNTIF(Main3WData[Concatenate],Main3WData[[#This Row],[Concatenate]])</f>
        <v>1</v>
      </c>
      <c r="L731" s="61" t="str">
        <f>Main3WData[[#This Row],[Sector]]&amp;Main3WData[[#This Row],[Pcode]]</f>
        <v>Communication/Mobilisation socialeGIN004005</v>
      </c>
      <c r="M731" s="71">
        <f>COUNTIF($L$5:L731,Main3WData[[#This Row],[PT.Concat]])</f>
        <v>1</v>
      </c>
      <c r="N731" s="70">
        <f>MATCH(Main3WData[[#This Row],[PT.Concat]],$L$5:L731,0)</f>
        <v>727</v>
      </c>
      <c r="O731" s="62" t="b">
        <f>Main3WData[[#This Row],[Count PT.Concat]]=1</f>
        <v>1</v>
      </c>
      <c r="P731" s="62">
        <f t="array" ref="P731">MAX(($N$4:N730=Main3WData[[#This Row],[PT.ID]])*ROW($N$4:N730))</f>
        <v>0</v>
      </c>
      <c r="Q731" s="62" t="str">
        <f>IF(Main3WData[[#This Row],[PT.FirstID]],Main3WData[[#This Row],[Acronym]],INDEX($Q$4:Q730,Main3WData[[#This Row],[PT.LastID.Row]]-ROW($Q$4)+1) &amp; ", "&amp;Main3WData[[#This Row],[Acronym]])</f>
        <v>UNICEF</v>
      </c>
      <c r="R731" s="62" t="b">
        <f t="array" ref="R731">MAX(IF(Main3WData[PT.ID]=Main3WData[[#This Row],[PT.ID]],Main3WData[PT.LastID.Row]))=Main3WData[[#This Row],[PT.LastID.Row]]</f>
        <v>0</v>
      </c>
    </row>
    <row r="732" spans="2:18" x14ac:dyDescent="0.2">
      <c r="B732" s="55" t="s">
        <v>75</v>
      </c>
      <c r="C732" s="27" t="str">
        <f>INDEX(Organizations[],MATCH(Main3WData[[#This Row],[Acronym]],AcronymList,0),1)</f>
        <v>United Nations Population Fund</v>
      </c>
      <c r="D732" s="27" t="str">
        <f>INDEX(Organizations[],MATCH(Main3WData[[#This Row],[Acronym]],AcronymList,0),3)</f>
        <v>UN Agency</v>
      </c>
      <c r="E732" s="54" t="s">
        <v>350</v>
      </c>
      <c r="F732" s="53" t="s">
        <v>82</v>
      </c>
      <c r="G732" s="54" t="s">
        <v>394</v>
      </c>
      <c r="H732" s="28" t="str">
        <f>VLOOKUP(Main3WData[[#This Row],[Admin Unit Name]],AdminUnits[],2,FALSE)</f>
        <v>GIN004005</v>
      </c>
      <c r="I732" s="57">
        <v>0</v>
      </c>
      <c r="J732" s="67" t="str">
        <f>Main3WData[[#This Row],[Acronym]]&amp;Main3WData[[#This Row],[Sector]]&amp;Main3WData[[#This Row],[Activity Type]]&amp;Main3WData[[#This Row],[Pcode]]</f>
        <v>UNFPACommunication/Mobilisation socialeOngoingGIN004005</v>
      </c>
      <c r="K732" s="69">
        <f>COUNTIF(Main3WData[Concatenate],Main3WData[[#This Row],[Concatenate]])</f>
        <v>1</v>
      </c>
      <c r="L732" s="61" t="str">
        <f>Main3WData[[#This Row],[Sector]]&amp;Main3WData[[#This Row],[Pcode]]</f>
        <v>Communication/Mobilisation socialeGIN004005</v>
      </c>
      <c r="M732" s="71">
        <f>COUNTIF($L$5:L732,Main3WData[[#This Row],[PT.Concat]])</f>
        <v>2</v>
      </c>
      <c r="N732" s="70">
        <f>MATCH(Main3WData[[#This Row],[PT.Concat]],$L$5:L732,0)</f>
        <v>727</v>
      </c>
      <c r="O732" s="62" t="b">
        <f>Main3WData[[#This Row],[Count PT.Concat]]=1</f>
        <v>0</v>
      </c>
      <c r="P732" s="62">
        <f t="array" ref="P732">MAX(($N$4:N731=Main3WData[[#This Row],[PT.ID]])*ROW($N$4:N731))</f>
        <v>731</v>
      </c>
      <c r="Q732" s="62" t="str">
        <f>IF(Main3WData[[#This Row],[PT.FirstID]],Main3WData[[#This Row],[Acronym]],INDEX($Q$4:Q731,Main3WData[[#This Row],[PT.LastID.Row]]-ROW($Q$4)+1) &amp; ", "&amp;Main3WData[[#This Row],[Acronym]])</f>
        <v>UNICEF, UNFPA</v>
      </c>
      <c r="R732" s="62" t="b">
        <f t="array" ref="R732">MAX(IF(Main3WData[PT.ID]=Main3WData[[#This Row],[PT.ID]],Main3WData[PT.LastID.Row]))=Main3WData[[#This Row],[PT.LastID.Row]]</f>
        <v>0</v>
      </c>
    </row>
    <row r="733" spans="2:18" x14ac:dyDescent="0.2">
      <c r="B733" s="55" t="s">
        <v>73</v>
      </c>
      <c r="C733" s="27" t="str">
        <f>INDEX(Organizations[],MATCH(Main3WData[[#This Row],[Acronym]],AcronymList,0),1)</f>
        <v>Save the Children</v>
      </c>
      <c r="D733" s="27" t="str">
        <f>INDEX(Organizations[],MATCH(Main3WData[[#This Row],[Acronym]],AcronymList,0),3)</f>
        <v>International NGO</v>
      </c>
      <c r="E733" s="54" t="s">
        <v>350</v>
      </c>
      <c r="F733" s="53" t="s">
        <v>82</v>
      </c>
      <c r="G733" s="54" t="s">
        <v>394</v>
      </c>
      <c r="H733" s="28" t="str">
        <f>VLOOKUP(Main3WData[[#This Row],[Admin Unit Name]],AdminUnits[],2,FALSE)</f>
        <v>GIN004005</v>
      </c>
      <c r="I733" s="57">
        <v>0</v>
      </c>
      <c r="J733" s="67" t="str">
        <f>Main3WData[[#This Row],[Acronym]]&amp;Main3WData[[#This Row],[Sector]]&amp;Main3WData[[#This Row],[Activity Type]]&amp;Main3WData[[#This Row],[Pcode]]</f>
        <v>Save the ChildrenCommunication/Mobilisation socialeOngoingGIN004005</v>
      </c>
      <c r="K733" s="69">
        <f>COUNTIF(Main3WData[Concatenate],Main3WData[[#This Row],[Concatenate]])</f>
        <v>1</v>
      </c>
      <c r="L733" s="61" t="str">
        <f>Main3WData[[#This Row],[Sector]]&amp;Main3WData[[#This Row],[Pcode]]</f>
        <v>Communication/Mobilisation socialeGIN004005</v>
      </c>
      <c r="M733" s="71">
        <f>COUNTIF($L$5:L733,Main3WData[[#This Row],[PT.Concat]])</f>
        <v>3</v>
      </c>
      <c r="N733" s="70">
        <f>MATCH(Main3WData[[#This Row],[PT.Concat]],$L$5:L733,0)</f>
        <v>727</v>
      </c>
      <c r="O733" s="62" t="b">
        <f>Main3WData[[#This Row],[Count PT.Concat]]=1</f>
        <v>0</v>
      </c>
      <c r="P733" s="62">
        <f t="array" ref="P733">MAX(($N$4:N732=Main3WData[[#This Row],[PT.ID]])*ROW($N$4:N732))</f>
        <v>732</v>
      </c>
      <c r="Q733" s="62" t="str">
        <f>IF(Main3WData[[#This Row],[PT.FirstID]],Main3WData[[#This Row],[Acronym]],INDEX($Q$4:Q732,Main3WData[[#This Row],[PT.LastID.Row]]-ROW($Q$4)+1) &amp; ", "&amp;Main3WData[[#This Row],[Acronym]])</f>
        <v>UNICEF, UNFPA, Save the Children</v>
      </c>
      <c r="R733" s="62" t="b">
        <f t="array" ref="R733">MAX(IF(Main3WData[PT.ID]=Main3WData[[#This Row],[PT.ID]],Main3WData[PT.LastID.Row]))=Main3WData[[#This Row],[PT.LastID.Row]]</f>
        <v>0</v>
      </c>
    </row>
    <row r="734" spans="2:18" x14ac:dyDescent="0.2">
      <c r="B734" s="55" t="s">
        <v>72</v>
      </c>
      <c r="C734" s="27" t="str">
        <f>INDEX(Organizations[],MATCH(Main3WData[[#This Row],[Acronym]],AcronymList,0),1)</f>
        <v>PLAN</v>
      </c>
      <c r="D734" s="27" t="str">
        <f>INDEX(Organizations[],MATCH(Main3WData[[#This Row],[Acronym]],AcronymList,0),3)</f>
        <v>International Organization</v>
      </c>
      <c r="E734" s="54" t="s">
        <v>350</v>
      </c>
      <c r="F734" s="53" t="s">
        <v>82</v>
      </c>
      <c r="G734" s="54" t="s">
        <v>394</v>
      </c>
      <c r="H734" s="28" t="str">
        <f>VLOOKUP(Main3WData[[#This Row],[Admin Unit Name]],AdminUnits[],2,FALSE)</f>
        <v>GIN004005</v>
      </c>
      <c r="I734" s="57">
        <v>0</v>
      </c>
      <c r="J734" s="67" t="str">
        <f>Main3WData[[#This Row],[Acronym]]&amp;Main3WData[[#This Row],[Sector]]&amp;Main3WData[[#This Row],[Activity Type]]&amp;Main3WData[[#This Row],[Pcode]]</f>
        <v>PLANCommunication/Mobilisation socialeOngoingGIN004005</v>
      </c>
      <c r="K734" s="69">
        <f>COUNTIF(Main3WData[Concatenate],Main3WData[[#This Row],[Concatenate]])</f>
        <v>1</v>
      </c>
      <c r="L734" s="61" t="str">
        <f>Main3WData[[#This Row],[Sector]]&amp;Main3WData[[#This Row],[Pcode]]</f>
        <v>Communication/Mobilisation socialeGIN004005</v>
      </c>
      <c r="M734" s="71">
        <f>COUNTIF($L$5:L734,Main3WData[[#This Row],[PT.Concat]])</f>
        <v>4</v>
      </c>
      <c r="N734" s="70">
        <f>MATCH(Main3WData[[#This Row],[PT.Concat]],$L$5:L734,0)</f>
        <v>727</v>
      </c>
      <c r="O734" s="62" t="b">
        <f>Main3WData[[#This Row],[Count PT.Concat]]=1</f>
        <v>0</v>
      </c>
      <c r="P734" s="62">
        <f t="array" ref="P734">MAX(($N$4:N733=Main3WData[[#This Row],[PT.ID]])*ROW($N$4:N733))</f>
        <v>733</v>
      </c>
      <c r="Q734" s="62" t="str">
        <f>IF(Main3WData[[#This Row],[PT.FirstID]],Main3WData[[#This Row],[Acronym]],INDEX($Q$4:Q733,Main3WData[[#This Row],[PT.LastID.Row]]-ROW($Q$4)+1) &amp; ", "&amp;Main3WData[[#This Row],[Acronym]])</f>
        <v>UNICEF, UNFPA, Save the Children, PLAN</v>
      </c>
      <c r="R734" s="62" t="b">
        <f t="array" ref="R734">MAX(IF(Main3WData[PT.ID]=Main3WData[[#This Row],[PT.ID]],Main3WData[PT.LastID.Row]))=Main3WData[[#This Row],[PT.LastID.Row]]</f>
        <v>0</v>
      </c>
    </row>
    <row r="735" spans="2:18" x14ac:dyDescent="0.2">
      <c r="B735" s="55" t="s">
        <v>512</v>
      </c>
      <c r="C735" s="27" t="str">
        <f>INDEX(Organizations[],MATCH(Main3WData[[#This Row],[Acronym]],AcronymList,0),1)</f>
        <v>World Health Organization</v>
      </c>
      <c r="D735" s="27" t="str">
        <f>INDEX(Organizations[],MATCH(Main3WData[[#This Row],[Acronym]],AcronymList,0),3)</f>
        <v>UN Agency</v>
      </c>
      <c r="E735" s="54" t="s">
        <v>350</v>
      </c>
      <c r="F735" s="53" t="s">
        <v>82</v>
      </c>
      <c r="G735" s="54" t="s">
        <v>394</v>
      </c>
      <c r="H735" s="28" t="str">
        <f>VLOOKUP(Main3WData[[#This Row],[Admin Unit Name]],AdminUnits[],2,FALSE)</f>
        <v>GIN004005</v>
      </c>
      <c r="I735" s="57">
        <v>0</v>
      </c>
      <c r="J735" s="67" t="str">
        <f>Main3WData[[#This Row],[Acronym]]&amp;Main3WData[[#This Row],[Sector]]&amp;Main3WData[[#This Row],[Activity Type]]&amp;Main3WData[[#This Row],[Pcode]]</f>
        <v>OMSCommunication/Mobilisation socialeOngoingGIN004005</v>
      </c>
      <c r="K735" s="69">
        <f>COUNTIF(Main3WData[Concatenate],Main3WData[[#This Row],[Concatenate]])</f>
        <v>1</v>
      </c>
      <c r="L735" s="61" t="str">
        <f>Main3WData[[#This Row],[Sector]]&amp;Main3WData[[#This Row],[Pcode]]</f>
        <v>Communication/Mobilisation socialeGIN004005</v>
      </c>
      <c r="M735" s="71">
        <f>COUNTIF($L$5:L735,Main3WData[[#This Row],[PT.Concat]])</f>
        <v>5</v>
      </c>
      <c r="N735" s="70">
        <f>MATCH(Main3WData[[#This Row],[PT.Concat]],$L$5:L735,0)</f>
        <v>727</v>
      </c>
      <c r="O735" s="62" t="b">
        <f>Main3WData[[#This Row],[Count PT.Concat]]=1</f>
        <v>0</v>
      </c>
      <c r="P735" s="62">
        <f t="array" ref="P735">MAX(($N$4:N734=Main3WData[[#This Row],[PT.ID]])*ROW($N$4:N734))</f>
        <v>734</v>
      </c>
      <c r="Q735" s="62" t="str">
        <f>IF(Main3WData[[#This Row],[PT.FirstID]],Main3WData[[#This Row],[Acronym]],INDEX($Q$4:Q734,Main3WData[[#This Row],[PT.LastID.Row]]-ROW($Q$4)+1) &amp; ", "&amp;Main3WData[[#This Row],[Acronym]])</f>
        <v>UNICEF, UNFPA, Save the Children, PLAN, OMS</v>
      </c>
      <c r="R735" s="62" t="b">
        <f t="array" ref="R735">MAX(IF(Main3WData[PT.ID]=Main3WData[[#This Row],[PT.ID]],Main3WData[PT.LastID.Row]))=Main3WData[[#This Row],[PT.LastID.Row]]</f>
        <v>0</v>
      </c>
    </row>
    <row r="736" spans="2:18" x14ac:dyDescent="0.2">
      <c r="B736" s="55" t="s">
        <v>499</v>
      </c>
      <c r="C736" s="27" t="str">
        <f>INDEX(Organizations[],MATCH(Main3WData[[#This Row],[Acronym]],AcronymList,0),1)</f>
        <v>Croix-Rouge Guinée/Fédération internationale de la Croix-Rouge</v>
      </c>
      <c r="D736" s="27" t="str">
        <f>INDEX(Organizations[],MATCH(Main3WData[[#This Row],[Acronym]],AcronymList,0),3)</f>
        <v>International Organization</v>
      </c>
      <c r="E736" s="54" t="s">
        <v>350</v>
      </c>
      <c r="F736" s="53" t="s">
        <v>82</v>
      </c>
      <c r="G736" s="54" t="s">
        <v>394</v>
      </c>
      <c r="H736" s="28" t="str">
        <f>VLOOKUP(Main3WData[[#This Row],[Admin Unit Name]],AdminUnits[],2,FALSE)</f>
        <v>GIN004005</v>
      </c>
      <c r="I736" s="57">
        <v>0</v>
      </c>
      <c r="J736" s="67" t="str">
        <f>Main3WData[[#This Row],[Acronym]]&amp;Main3WData[[#This Row],[Sector]]&amp;Main3WData[[#This Row],[Activity Type]]&amp;Main3WData[[#This Row],[Pcode]]</f>
        <v>CRG/FICRCommunication/Mobilisation socialeOngoingGIN004005</v>
      </c>
      <c r="K736" s="69">
        <f>COUNTIF(Main3WData[Concatenate],Main3WData[[#This Row],[Concatenate]])</f>
        <v>1</v>
      </c>
      <c r="L736" s="61" t="str">
        <f>Main3WData[[#This Row],[Sector]]&amp;Main3WData[[#This Row],[Pcode]]</f>
        <v>Communication/Mobilisation socialeGIN004005</v>
      </c>
      <c r="M736" s="71">
        <f>COUNTIF($L$5:L736,Main3WData[[#This Row],[PT.Concat]])</f>
        <v>6</v>
      </c>
      <c r="N736" s="70">
        <f>MATCH(Main3WData[[#This Row],[PT.Concat]],$L$5:L736,0)</f>
        <v>727</v>
      </c>
      <c r="O736" s="62" t="b">
        <f>Main3WData[[#This Row],[Count PT.Concat]]=1</f>
        <v>0</v>
      </c>
      <c r="P736" s="62">
        <f t="array" ref="P736">MAX(($N$4:N735=Main3WData[[#This Row],[PT.ID]])*ROW($N$4:N735))</f>
        <v>735</v>
      </c>
      <c r="Q736" s="62" t="str">
        <f>IF(Main3WData[[#This Row],[PT.FirstID]],Main3WData[[#This Row],[Acronym]],INDEX($Q$4:Q735,Main3WData[[#This Row],[PT.LastID.Row]]-ROW($Q$4)+1) &amp; ", "&amp;Main3WData[[#This Row],[Acronym]])</f>
        <v>UNICEF, UNFPA, Save the Children, PLAN, OMS, CRG/FICR</v>
      </c>
      <c r="R736" s="62" t="b">
        <f t="array" ref="R736">MAX(IF(Main3WData[PT.ID]=Main3WData[[#This Row],[PT.ID]],Main3WData[PT.LastID.Row]))=Main3WData[[#This Row],[PT.LastID.Row]]</f>
        <v>1</v>
      </c>
    </row>
    <row r="737" spans="2:18" x14ac:dyDescent="0.2">
      <c r="B737" s="55" t="s">
        <v>516</v>
      </c>
      <c r="C737" s="27" t="str">
        <f>INDEX(Organizations[],MATCH(Main3WData[[#This Row],[Acronym]],AcronymList,0),1)</f>
        <v>UNITED NATION MISSION FOR EBOLA  EMERGENCY RESPONSE</v>
      </c>
      <c r="D737" s="27" t="str">
        <f>INDEX(Organizations[],MATCH(Main3WData[[#This Row],[Acronym]],AcronymList,0),3)</f>
        <v>UN Agency</v>
      </c>
      <c r="E737" s="54" t="s">
        <v>360</v>
      </c>
      <c r="F737" s="53" t="s">
        <v>82</v>
      </c>
      <c r="G737" s="54" t="s">
        <v>394</v>
      </c>
      <c r="H737" s="28" t="str">
        <f>VLOOKUP(Main3WData[[#This Row],[Admin Unit Name]],AdminUnits[],2,FALSE)</f>
        <v>GIN004005</v>
      </c>
      <c r="I737" s="57">
        <v>0</v>
      </c>
      <c r="J737" s="67" t="str">
        <f>Main3WData[[#This Row],[Acronym]]&amp;Main3WData[[#This Row],[Sector]]&amp;Main3WData[[#This Row],[Activity Type]]&amp;Main3WData[[#This Row],[Pcode]]</f>
        <v>UNMEERCoordinationOngoingGIN004005</v>
      </c>
      <c r="K737" s="69">
        <f>COUNTIF(Main3WData[Concatenate],Main3WData[[#This Row],[Concatenate]])</f>
        <v>1</v>
      </c>
      <c r="L737" s="61" t="str">
        <f>Main3WData[[#This Row],[Sector]]&amp;Main3WData[[#This Row],[Pcode]]</f>
        <v>CoordinationGIN004005</v>
      </c>
      <c r="M737" s="71">
        <f>COUNTIF($L$5:L737,Main3WData[[#This Row],[PT.Concat]])</f>
        <v>1</v>
      </c>
      <c r="N737" s="70">
        <f>MATCH(Main3WData[[#This Row],[PT.Concat]],$L$5:L737,0)</f>
        <v>733</v>
      </c>
      <c r="O737" s="62" t="b">
        <f>Main3WData[[#This Row],[Count PT.Concat]]=1</f>
        <v>1</v>
      </c>
      <c r="P737" s="62">
        <f t="array" ref="P737">MAX(($N$4:N736=Main3WData[[#This Row],[PT.ID]])*ROW($N$4:N736))</f>
        <v>0</v>
      </c>
      <c r="Q737" s="62" t="str">
        <f>IF(Main3WData[[#This Row],[PT.FirstID]],Main3WData[[#This Row],[Acronym]],INDEX($Q$4:Q736,Main3WData[[#This Row],[PT.LastID.Row]]-ROW($Q$4)+1) &amp; ", "&amp;Main3WData[[#This Row],[Acronym]])</f>
        <v>UNMEER</v>
      </c>
      <c r="R737" s="62" t="b">
        <f t="array" ref="R737">MAX(IF(Main3WData[PT.ID]=Main3WData[[#This Row],[PT.ID]],Main3WData[PT.LastID.Row]))=Main3WData[[#This Row],[PT.LastID.Row]]</f>
        <v>0</v>
      </c>
    </row>
    <row r="738" spans="2:18" x14ac:dyDescent="0.2">
      <c r="B738" s="55" t="s">
        <v>75</v>
      </c>
      <c r="C738" s="27" t="str">
        <f>INDEX(Organizations[],MATCH(Main3WData[[#This Row],[Acronym]],AcronymList,0),1)</f>
        <v>United Nations Population Fund</v>
      </c>
      <c r="D738" s="27" t="str">
        <f>INDEX(Organizations[],MATCH(Main3WData[[#This Row],[Acronym]],AcronymList,0),3)</f>
        <v>UN Agency</v>
      </c>
      <c r="E738" s="54" t="s">
        <v>360</v>
      </c>
      <c r="F738" s="53" t="s">
        <v>82</v>
      </c>
      <c r="G738" s="54" t="s">
        <v>394</v>
      </c>
      <c r="H738" s="28" t="str">
        <f>VLOOKUP(Main3WData[[#This Row],[Admin Unit Name]],AdminUnits[],2,FALSE)</f>
        <v>GIN004005</v>
      </c>
      <c r="I738" s="57">
        <v>0</v>
      </c>
      <c r="J738" s="67" t="str">
        <f>Main3WData[[#This Row],[Acronym]]&amp;Main3WData[[#This Row],[Sector]]&amp;Main3WData[[#This Row],[Activity Type]]&amp;Main3WData[[#This Row],[Pcode]]</f>
        <v>UNFPACoordinationOngoingGIN004005</v>
      </c>
      <c r="K738" s="69">
        <f>COUNTIF(Main3WData[Concatenate],Main3WData[[#This Row],[Concatenate]])</f>
        <v>1</v>
      </c>
      <c r="L738" s="61" t="str">
        <f>Main3WData[[#This Row],[Sector]]&amp;Main3WData[[#This Row],[Pcode]]</f>
        <v>CoordinationGIN004005</v>
      </c>
      <c r="M738" s="71">
        <f>COUNTIF($L$5:L738,Main3WData[[#This Row],[PT.Concat]])</f>
        <v>2</v>
      </c>
      <c r="N738" s="70">
        <f>MATCH(Main3WData[[#This Row],[PT.Concat]],$L$5:L738,0)</f>
        <v>733</v>
      </c>
      <c r="O738" s="62" t="b">
        <f>Main3WData[[#This Row],[Count PT.Concat]]=1</f>
        <v>0</v>
      </c>
      <c r="P738" s="62">
        <f t="array" ref="P738">MAX(($N$4:N737=Main3WData[[#This Row],[PT.ID]])*ROW($N$4:N737))</f>
        <v>737</v>
      </c>
      <c r="Q738" s="62" t="str">
        <f>IF(Main3WData[[#This Row],[PT.FirstID]],Main3WData[[#This Row],[Acronym]],INDEX($Q$4:Q737,Main3WData[[#This Row],[PT.LastID.Row]]-ROW($Q$4)+1) &amp; ", "&amp;Main3WData[[#This Row],[Acronym]])</f>
        <v>UNMEER, UNFPA</v>
      </c>
      <c r="R738" s="62" t="b">
        <f t="array" ref="R738">MAX(IF(Main3WData[PT.ID]=Main3WData[[#This Row],[PT.ID]],Main3WData[PT.LastID.Row]))=Main3WData[[#This Row],[PT.LastID.Row]]</f>
        <v>0</v>
      </c>
    </row>
    <row r="739" spans="2:18" x14ac:dyDescent="0.2">
      <c r="B739" s="55" t="s">
        <v>473</v>
      </c>
      <c r="C739" s="27" t="str">
        <f>INDEX(Organizations[],MATCH(Main3WData[[#This Row],[Acronym]],AcronymList,0),1)</f>
        <v>United Nations Development Programme</v>
      </c>
      <c r="D739" s="27" t="str">
        <f>INDEX(Organizations[],MATCH(Main3WData[[#This Row],[Acronym]],AcronymList,0),3)</f>
        <v>UN Agency</v>
      </c>
      <c r="E739" s="54" t="s">
        <v>360</v>
      </c>
      <c r="F739" s="53" t="s">
        <v>82</v>
      </c>
      <c r="G739" s="54" t="s">
        <v>394</v>
      </c>
      <c r="H739" s="28" t="str">
        <f>VLOOKUP(Main3WData[[#This Row],[Admin Unit Name]],AdminUnits[],2,FALSE)</f>
        <v>GIN004005</v>
      </c>
      <c r="I739" s="57">
        <v>0</v>
      </c>
      <c r="J739" s="67" t="str">
        <f>Main3WData[[#This Row],[Acronym]]&amp;Main3WData[[#This Row],[Sector]]&amp;Main3WData[[#This Row],[Activity Type]]&amp;Main3WData[[#This Row],[Pcode]]</f>
        <v>UNDPCoordinationOngoingGIN004005</v>
      </c>
      <c r="K739" s="69">
        <f>COUNTIF(Main3WData[Concatenate],Main3WData[[#This Row],[Concatenate]])</f>
        <v>1</v>
      </c>
      <c r="L739" s="61" t="str">
        <f>Main3WData[[#This Row],[Sector]]&amp;Main3WData[[#This Row],[Pcode]]</f>
        <v>CoordinationGIN004005</v>
      </c>
      <c r="M739" s="71">
        <f>COUNTIF($L$5:L739,Main3WData[[#This Row],[PT.Concat]])</f>
        <v>3</v>
      </c>
      <c r="N739" s="70">
        <f>MATCH(Main3WData[[#This Row],[PT.Concat]],$L$5:L739,0)</f>
        <v>733</v>
      </c>
      <c r="O739" s="62" t="b">
        <f>Main3WData[[#This Row],[Count PT.Concat]]=1</f>
        <v>0</v>
      </c>
      <c r="P739" s="62">
        <f t="array" ref="P739">MAX(($N$4:N738=Main3WData[[#This Row],[PT.ID]])*ROW($N$4:N738))</f>
        <v>738</v>
      </c>
      <c r="Q739" s="62" t="str">
        <f>IF(Main3WData[[#This Row],[PT.FirstID]],Main3WData[[#This Row],[Acronym]],INDEX($Q$4:Q738,Main3WData[[#This Row],[PT.LastID.Row]]-ROW($Q$4)+1) &amp; ", "&amp;Main3WData[[#This Row],[Acronym]])</f>
        <v>UNMEER, UNFPA, UNDP</v>
      </c>
      <c r="R739" s="62" t="b">
        <f t="array" ref="R739">MAX(IF(Main3WData[PT.ID]=Main3WData[[#This Row],[PT.ID]],Main3WData[PT.LastID.Row]))=Main3WData[[#This Row],[PT.LastID.Row]]</f>
        <v>0</v>
      </c>
    </row>
    <row r="740" spans="2:18" x14ac:dyDescent="0.2">
      <c r="B740" s="55" t="s">
        <v>512</v>
      </c>
      <c r="C740" s="27" t="str">
        <f>INDEX(Organizations[],MATCH(Main3WData[[#This Row],[Acronym]],AcronymList,0),1)</f>
        <v>World Health Organization</v>
      </c>
      <c r="D740" s="27" t="str">
        <f>INDEX(Organizations[],MATCH(Main3WData[[#This Row],[Acronym]],AcronymList,0),3)</f>
        <v>UN Agency</v>
      </c>
      <c r="E740" s="54" t="s">
        <v>360</v>
      </c>
      <c r="F740" s="53" t="s">
        <v>82</v>
      </c>
      <c r="G740" s="54" t="s">
        <v>394</v>
      </c>
      <c r="H740" s="28" t="str">
        <f>VLOOKUP(Main3WData[[#This Row],[Admin Unit Name]],AdminUnits[],2,FALSE)</f>
        <v>GIN004005</v>
      </c>
      <c r="I740" s="57">
        <v>0</v>
      </c>
      <c r="J740" s="67" t="str">
        <f>Main3WData[[#This Row],[Acronym]]&amp;Main3WData[[#This Row],[Sector]]&amp;Main3WData[[#This Row],[Activity Type]]&amp;Main3WData[[#This Row],[Pcode]]</f>
        <v>OMSCoordinationOngoingGIN004005</v>
      </c>
      <c r="K740" s="69">
        <f>COUNTIF(Main3WData[Concatenate],Main3WData[[#This Row],[Concatenate]])</f>
        <v>1</v>
      </c>
      <c r="L740" s="61" t="str">
        <f>Main3WData[[#This Row],[Sector]]&amp;Main3WData[[#This Row],[Pcode]]</f>
        <v>CoordinationGIN004005</v>
      </c>
      <c r="M740" s="71">
        <f>COUNTIF($L$5:L740,Main3WData[[#This Row],[PT.Concat]])</f>
        <v>4</v>
      </c>
      <c r="N740" s="70">
        <f>MATCH(Main3WData[[#This Row],[PT.Concat]],$L$5:L740,0)</f>
        <v>733</v>
      </c>
      <c r="O740" s="62" t="b">
        <f>Main3WData[[#This Row],[Count PT.Concat]]=1</f>
        <v>0</v>
      </c>
      <c r="P740" s="62">
        <f t="array" ref="P740">MAX(($N$4:N739=Main3WData[[#This Row],[PT.ID]])*ROW($N$4:N739))</f>
        <v>739</v>
      </c>
      <c r="Q740" s="62" t="str">
        <f>IF(Main3WData[[#This Row],[PT.FirstID]],Main3WData[[#This Row],[Acronym]],INDEX($Q$4:Q739,Main3WData[[#This Row],[PT.LastID.Row]]-ROW($Q$4)+1) &amp; ", "&amp;Main3WData[[#This Row],[Acronym]])</f>
        <v>UNMEER, UNFPA, UNDP, OMS</v>
      </c>
      <c r="R740" s="62" t="b">
        <f t="array" ref="R740">MAX(IF(Main3WData[PT.ID]=Main3WData[[#This Row],[PT.ID]],Main3WData[PT.LastID.Row]))=Main3WData[[#This Row],[PT.LastID.Row]]</f>
        <v>0</v>
      </c>
    </row>
    <row r="741" spans="2:18" x14ac:dyDescent="0.2">
      <c r="B741" s="55" t="s">
        <v>71</v>
      </c>
      <c r="C741" s="27" t="str">
        <f>INDEX(Organizations[],MATCH(Main3WData[[#This Row],[Acronym]],AcronymList,0),1)</f>
        <v>Medecins sans Frontieres</v>
      </c>
      <c r="D741" s="27" t="str">
        <f>INDEX(Organizations[],MATCH(Main3WData[[#This Row],[Acronym]],AcronymList,0),3)</f>
        <v>International NGO</v>
      </c>
      <c r="E741" s="54" t="s">
        <v>360</v>
      </c>
      <c r="F741" s="53" t="s">
        <v>82</v>
      </c>
      <c r="G741" s="54" t="s">
        <v>394</v>
      </c>
      <c r="H741" s="28" t="str">
        <f>VLOOKUP(Main3WData[[#This Row],[Admin Unit Name]],AdminUnits[],2,FALSE)</f>
        <v>GIN004005</v>
      </c>
      <c r="I741" s="57">
        <v>0</v>
      </c>
      <c r="J741" s="67" t="str">
        <f>Main3WData[[#This Row],[Acronym]]&amp;Main3WData[[#This Row],[Sector]]&amp;Main3WData[[#This Row],[Activity Type]]&amp;Main3WData[[#This Row],[Pcode]]</f>
        <v>MSFCoordinationOngoingGIN004005</v>
      </c>
      <c r="K741" s="69">
        <f>COUNTIF(Main3WData[Concatenate],Main3WData[[#This Row],[Concatenate]])</f>
        <v>1</v>
      </c>
      <c r="L741" s="61" t="str">
        <f>Main3WData[[#This Row],[Sector]]&amp;Main3WData[[#This Row],[Pcode]]</f>
        <v>CoordinationGIN004005</v>
      </c>
      <c r="M741" s="71">
        <f>COUNTIF($L$5:L741,Main3WData[[#This Row],[PT.Concat]])</f>
        <v>5</v>
      </c>
      <c r="N741" s="70">
        <f>MATCH(Main3WData[[#This Row],[PT.Concat]],$L$5:L741,0)</f>
        <v>733</v>
      </c>
      <c r="O741" s="62" t="b">
        <f>Main3WData[[#This Row],[Count PT.Concat]]=1</f>
        <v>0</v>
      </c>
      <c r="P741" s="62">
        <f t="array" ref="P741">MAX(($N$4:N740=Main3WData[[#This Row],[PT.ID]])*ROW($N$4:N740))</f>
        <v>740</v>
      </c>
      <c r="Q741" s="62" t="str">
        <f>IF(Main3WData[[#This Row],[PT.FirstID]],Main3WData[[#This Row],[Acronym]],INDEX($Q$4:Q740,Main3WData[[#This Row],[PT.LastID.Row]]-ROW($Q$4)+1) &amp; ", "&amp;Main3WData[[#This Row],[Acronym]])</f>
        <v>UNMEER, UNFPA, UNDP, OMS, MSF</v>
      </c>
      <c r="R741" s="62" t="b">
        <f t="array" ref="R741">MAX(IF(Main3WData[PT.ID]=Main3WData[[#This Row],[PT.ID]],Main3WData[PT.LastID.Row]))=Main3WData[[#This Row],[PT.LastID.Row]]</f>
        <v>0</v>
      </c>
    </row>
    <row r="742" spans="2:18" x14ac:dyDescent="0.2">
      <c r="B742" s="55" t="s">
        <v>507</v>
      </c>
      <c r="C742" s="27" t="str">
        <f>INDEX(Organizations[],MATCH(Main3WData[[#This Row],[Acronym]],AcronymList,0),1)</f>
        <v>eHealth Africa</v>
      </c>
      <c r="D742" s="27" t="str">
        <f>INDEX(Organizations[],MATCH(Main3WData[[#This Row],[Acronym]],AcronymList,0),3)</f>
        <v>International Organization</v>
      </c>
      <c r="E742" s="54" t="s">
        <v>360</v>
      </c>
      <c r="F742" s="53" t="s">
        <v>82</v>
      </c>
      <c r="G742" s="54" t="s">
        <v>394</v>
      </c>
      <c r="H742" s="28" t="str">
        <f>VLOOKUP(Main3WData[[#This Row],[Admin Unit Name]],AdminUnits[],2,FALSE)</f>
        <v>GIN004005</v>
      </c>
      <c r="I742" s="57">
        <v>0</v>
      </c>
      <c r="J742" s="67" t="str">
        <f>Main3WData[[#This Row],[Acronym]]&amp;Main3WData[[#This Row],[Sector]]&amp;Main3WData[[#This Row],[Activity Type]]&amp;Main3WData[[#This Row],[Pcode]]</f>
        <v>eHealth AfricaCoordinationOngoingGIN004005</v>
      </c>
      <c r="K742" s="69">
        <f>COUNTIF(Main3WData[Concatenate],Main3WData[[#This Row],[Concatenate]])</f>
        <v>1</v>
      </c>
      <c r="L742" s="61" t="str">
        <f>Main3WData[[#This Row],[Sector]]&amp;Main3WData[[#This Row],[Pcode]]</f>
        <v>CoordinationGIN004005</v>
      </c>
      <c r="M742" s="71">
        <f>COUNTIF($L$5:L742,Main3WData[[#This Row],[PT.Concat]])</f>
        <v>6</v>
      </c>
      <c r="N742" s="70">
        <f>MATCH(Main3WData[[#This Row],[PT.Concat]],$L$5:L742,0)</f>
        <v>733</v>
      </c>
      <c r="O742" s="62" t="b">
        <f>Main3WData[[#This Row],[Count PT.Concat]]=1</f>
        <v>0</v>
      </c>
      <c r="P742" s="62">
        <f t="array" ref="P742">MAX(($N$4:N741=Main3WData[[#This Row],[PT.ID]])*ROW($N$4:N741))</f>
        <v>741</v>
      </c>
      <c r="Q742" s="62" t="str">
        <f>IF(Main3WData[[#This Row],[PT.FirstID]],Main3WData[[#This Row],[Acronym]],INDEX($Q$4:Q741,Main3WData[[#This Row],[PT.LastID.Row]]-ROW($Q$4)+1) &amp; ", "&amp;Main3WData[[#This Row],[Acronym]])</f>
        <v>UNMEER, UNFPA, UNDP, OMS, MSF, eHealth Africa</v>
      </c>
      <c r="R742" s="62" t="b">
        <f t="array" ref="R742">MAX(IF(Main3WData[PT.ID]=Main3WData[[#This Row],[PT.ID]],Main3WData[PT.LastID.Row]))=Main3WData[[#This Row],[PT.LastID.Row]]</f>
        <v>1</v>
      </c>
    </row>
    <row r="743" spans="2:18" x14ac:dyDescent="0.2">
      <c r="B743" s="55" t="s">
        <v>473</v>
      </c>
      <c r="C743" s="27" t="str">
        <f>INDEX(Organizations[],MATCH(Main3WData[[#This Row],[Acronym]],AcronymList,0),1)</f>
        <v>United Nations Development Programme</v>
      </c>
      <c r="D743" s="27" t="str">
        <f>INDEX(Organizations[],MATCH(Main3WData[[#This Row],[Acronym]],AcronymList,0),3)</f>
        <v>UN Agency</v>
      </c>
      <c r="E743" s="54" t="s">
        <v>359</v>
      </c>
      <c r="F743" s="53" t="s">
        <v>82</v>
      </c>
      <c r="G743" s="54" t="s">
        <v>394</v>
      </c>
      <c r="H743" s="28" t="str">
        <f>VLOOKUP(Main3WData[[#This Row],[Admin Unit Name]],AdminUnits[],2,FALSE)</f>
        <v>GIN004005</v>
      </c>
      <c r="I743" s="57">
        <v>0</v>
      </c>
      <c r="J743" s="67" t="str">
        <f>Main3WData[[#This Row],[Acronym]]&amp;Main3WData[[#This Row],[Sector]]&amp;Main3WData[[#This Row],[Activity Type]]&amp;Main3WData[[#This Row],[Pcode]]</f>
        <v>UNDPFinanceOngoingGIN004005</v>
      </c>
      <c r="K743" s="69">
        <f>COUNTIF(Main3WData[Concatenate],Main3WData[[#This Row],[Concatenate]])</f>
        <v>1</v>
      </c>
      <c r="L743" s="61" t="str">
        <f>Main3WData[[#This Row],[Sector]]&amp;Main3WData[[#This Row],[Pcode]]</f>
        <v>FinanceGIN004005</v>
      </c>
      <c r="M743" s="71">
        <f>COUNTIF($L$5:L743,Main3WData[[#This Row],[PT.Concat]])</f>
        <v>1</v>
      </c>
      <c r="N743" s="70">
        <f>MATCH(Main3WData[[#This Row],[PT.Concat]],$L$5:L743,0)</f>
        <v>739</v>
      </c>
      <c r="O743" s="62" t="b">
        <f>Main3WData[[#This Row],[Count PT.Concat]]=1</f>
        <v>1</v>
      </c>
      <c r="P743" s="62">
        <f t="array" ref="P743">MAX(($N$4:N742=Main3WData[[#This Row],[PT.ID]])*ROW($N$4:N742))</f>
        <v>0</v>
      </c>
      <c r="Q743" s="62" t="str">
        <f>IF(Main3WData[[#This Row],[PT.FirstID]],Main3WData[[#This Row],[Acronym]],INDEX($Q$4:Q742,Main3WData[[#This Row],[PT.LastID.Row]]-ROW($Q$4)+1) &amp; ", "&amp;Main3WData[[#This Row],[Acronym]])</f>
        <v>UNDP</v>
      </c>
      <c r="R743" s="62" t="b">
        <f t="array" ref="R743">MAX(IF(Main3WData[PT.ID]=Main3WData[[#This Row],[PT.ID]],Main3WData[PT.LastID.Row]))=Main3WData[[#This Row],[PT.LastID.Row]]</f>
        <v>1</v>
      </c>
    </row>
    <row r="744" spans="2:18" x14ac:dyDescent="0.2">
      <c r="B744" s="55" t="s">
        <v>451</v>
      </c>
      <c r="C744" s="27" t="str">
        <f>INDEX(Organizations[],MATCH(Main3WData[[#This Row],[Acronym]],AcronymList,0),1)</f>
        <v>Croix-Rouge Guinée</v>
      </c>
      <c r="D744" s="27" t="str">
        <f>INDEX(Organizations[],MATCH(Main3WData[[#This Row],[Acronym]],AcronymList,0),3)</f>
        <v>Red Cross Movement</v>
      </c>
      <c r="E744" s="54" t="s">
        <v>354</v>
      </c>
      <c r="F744" s="53" t="s">
        <v>82</v>
      </c>
      <c r="G744" s="54" t="s">
        <v>394</v>
      </c>
      <c r="H744" s="28" t="str">
        <f>VLOOKUP(Main3WData[[#This Row],[Admin Unit Name]],AdminUnits[],2,FALSE)</f>
        <v>GIN004005</v>
      </c>
      <c r="I744" s="57">
        <v>0</v>
      </c>
      <c r="J744" s="67" t="str">
        <f>Main3WData[[#This Row],[Acronym]]&amp;Main3WData[[#This Row],[Sector]]&amp;Main3WData[[#This Row],[Activity Type]]&amp;Main3WData[[#This Row],[Pcode]]</f>
        <v>CRGGestion des corps et desinfectionOngoingGIN004005</v>
      </c>
      <c r="K744" s="69">
        <f>COUNTIF(Main3WData[Concatenate],Main3WData[[#This Row],[Concatenate]])</f>
        <v>1</v>
      </c>
      <c r="L744" s="61" t="str">
        <f>Main3WData[[#This Row],[Sector]]&amp;Main3WData[[#This Row],[Pcode]]</f>
        <v>Gestion des corps et desinfectionGIN004005</v>
      </c>
      <c r="M744" s="71">
        <f>COUNTIF($L$5:L744,Main3WData[[#This Row],[PT.Concat]])</f>
        <v>1</v>
      </c>
      <c r="N744" s="70">
        <f>MATCH(Main3WData[[#This Row],[PT.Concat]],$L$5:L744,0)</f>
        <v>740</v>
      </c>
      <c r="O744" s="62" t="b">
        <f>Main3WData[[#This Row],[Count PT.Concat]]=1</f>
        <v>1</v>
      </c>
      <c r="P744" s="62">
        <f t="array" ref="P744">MAX(($N$4:N743=Main3WData[[#This Row],[PT.ID]])*ROW($N$4:N743))</f>
        <v>0</v>
      </c>
      <c r="Q744" s="62" t="str">
        <f>IF(Main3WData[[#This Row],[PT.FirstID]],Main3WData[[#This Row],[Acronym]],INDEX($Q$4:Q743,Main3WData[[#This Row],[PT.LastID.Row]]-ROW($Q$4)+1) &amp; ", "&amp;Main3WData[[#This Row],[Acronym]])</f>
        <v>CRG</v>
      </c>
      <c r="R744" s="62" t="b">
        <f t="array" ref="R744">MAX(IF(Main3WData[PT.ID]=Main3WData[[#This Row],[PT.ID]],Main3WData[PT.LastID.Row]))=Main3WData[[#This Row],[PT.LastID.Row]]</f>
        <v>1</v>
      </c>
    </row>
    <row r="745" spans="2:18" x14ac:dyDescent="0.2">
      <c r="B745" s="55" t="s">
        <v>516</v>
      </c>
      <c r="C745" s="27" t="str">
        <f>INDEX(Organizations[],MATCH(Main3WData[[#This Row],[Acronym]],AcronymList,0),1)</f>
        <v>UNITED NATION MISSION FOR EBOLA  EMERGENCY RESPONSE</v>
      </c>
      <c r="D745" s="27" t="str">
        <f>INDEX(Organizations[],MATCH(Main3WData[[#This Row],[Acronym]],AcronymList,0),3)</f>
        <v>UN Agency</v>
      </c>
      <c r="E745" s="54" t="s">
        <v>356</v>
      </c>
      <c r="F745" s="53" t="s">
        <v>82</v>
      </c>
      <c r="G745" s="54" t="s">
        <v>394</v>
      </c>
      <c r="H745" s="28" t="str">
        <f>VLOOKUP(Main3WData[[#This Row],[Admin Unit Name]],AdminUnits[],2,FALSE)</f>
        <v>GIN004005</v>
      </c>
      <c r="I745" s="57">
        <v>0</v>
      </c>
      <c r="J745" s="67" t="str">
        <f>Main3WData[[#This Row],[Acronym]]&amp;Main3WData[[#This Row],[Sector]]&amp;Main3WData[[#This Row],[Activity Type]]&amp;Main3WData[[#This Row],[Pcode]]</f>
        <v>UNMEERGestion des donnéesOngoingGIN004005</v>
      </c>
      <c r="K745" s="69">
        <f>COUNTIF(Main3WData[Concatenate],Main3WData[[#This Row],[Concatenate]])</f>
        <v>1</v>
      </c>
      <c r="L745" s="61" t="str">
        <f>Main3WData[[#This Row],[Sector]]&amp;Main3WData[[#This Row],[Pcode]]</f>
        <v>Gestion des donnéesGIN004005</v>
      </c>
      <c r="M745" s="71">
        <f>COUNTIF($L$5:L745,Main3WData[[#This Row],[PT.Concat]])</f>
        <v>1</v>
      </c>
      <c r="N745" s="70">
        <f>MATCH(Main3WData[[#This Row],[PT.Concat]],$L$5:L745,0)</f>
        <v>741</v>
      </c>
      <c r="O745" s="62" t="b">
        <f>Main3WData[[#This Row],[Count PT.Concat]]=1</f>
        <v>1</v>
      </c>
      <c r="P745" s="62">
        <f t="array" ref="P745">MAX(($N$4:N744=Main3WData[[#This Row],[PT.ID]])*ROW($N$4:N744))</f>
        <v>0</v>
      </c>
      <c r="Q745" s="62" t="str">
        <f>IF(Main3WData[[#This Row],[PT.FirstID]],Main3WData[[#This Row],[Acronym]],INDEX($Q$4:Q744,Main3WData[[#This Row],[PT.LastID.Row]]-ROW($Q$4)+1) &amp; ", "&amp;Main3WData[[#This Row],[Acronym]])</f>
        <v>UNMEER</v>
      </c>
      <c r="R745" s="62" t="b">
        <f t="array" ref="R745">MAX(IF(Main3WData[PT.ID]=Main3WData[[#This Row],[PT.ID]],Main3WData[PT.LastID.Row]))=Main3WData[[#This Row],[PT.LastID.Row]]</f>
        <v>0</v>
      </c>
    </row>
    <row r="746" spans="2:18" x14ac:dyDescent="0.2">
      <c r="B746" s="55" t="s">
        <v>512</v>
      </c>
      <c r="C746" s="27" t="str">
        <f>INDEX(Organizations[],MATCH(Main3WData[[#This Row],[Acronym]],AcronymList,0),1)</f>
        <v>World Health Organization</v>
      </c>
      <c r="D746" s="27" t="str">
        <f>INDEX(Organizations[],MATCH(Main3WData[[#This Row],[Acronym]],AcronymList,0),3)</f>
        <v>UN Agency</v>
      </c>
      <c r="E746" s="54" t="s">
        <v>356</v>
      </c>
      <c r="F746" s="53" t="s">
        <v>82</v>
      </c>
      <c r="G746" s="54" t="s">
        <v>394</v>
      </c>
      <c r="H746" s="28" t="str">
        <f>VLOOKUP(Main3WData[[#This Row],[Admin Unit Name]],AdminUnits[],2,FALSE)</f>
        <v>GIN004005</v>
      </c>
      <c r="I746" s="57">
        <v>0</v>
      </c>
      <c r="J746" s="67" t="str">
        <f>Main3WData[[#This Row],[Acronym]]&amp;Main3WData[[#This Row],[Sector]]&amp;Main3WData[[#This Row],[Activity Type]]&amp;Main3WData[[#This Row],[Pcode]]</f>
        <v>OMSGestion des donnéesOngoingGIN004005</v>
      </c>
      <c r="K746" s="69">
        <f>COUNTIF(Main3WData[Concatenate],Main3WData[[#This Row],[Concatenate]])</f>
        <v>1</v>
      </c>
      <c r="L746" s="61" t="str">
        <f>Main3WData[[#This Row],[Sector]]&amp;Main3WData[[#This Row],[Pcode]]</f>
        <v>Gestion des donnéesGIN004005</v>
      </c>
      <c r="M746" s="71">
        <f>COUNTIF($L$5:L746,Main3WData[[#This Row],[PT.Concat]])</f>
        <v>2</v>
      </c>
      <c r="N746" s="70">
        <f>MATCH(Main3WData[[#This Row],[PT.Concat]],$L$5:L746,0)</f>
        <v>741</v>
      </c>
      <c r="O746" s="62" t="b">
        <f>Main3WData[[#This Row],[Count PT.Concat]]=1</f>
        <v>0</v>
      </c>
      <c r="P746" s="62">
        <f t="array" ref="P746">MAX(($N$4:N745=Main3WData[[#This Row],[PT.ID]])*ROW($N$4:N745))</f>
        <v>745</v>
      </c>
      <c r="Q746" s="62" t="str">
        <f>IF(Main3WData[[#This Row],[PT.FirstID]],Main3WData[[#This Row],[Acronym]],INDEX($Q$4:Q745,Main3WData[[#This Row],[PT.LastID.Row]]-ROW($Q$4)+1) &amp; ", "&amp;Main3WData[[#This Row],[Acronym]])</f>
        <v>UNMEER, OMS</v>
      </c>
      <c r="R746" s="62" t="b">
        <f t="array" ref="R746">MAX(IF(Main3WData[PT.ID]=Main3WData[[#This Row],[PT.ID]],Main3WData[PT.LastID.Row]))=Main3WData[[#This Row],[PT.LastID.Row]]</f>
        <v>1</v>
      </c>
    </row>
    <row r="747" spans="2:18" x14ac:dyDescent="0.2">
      <c r="B747" s="55" t="s">
        <v>516</v>
      </c>
      <c r="C747" s="27" t="str">
        <f>INDEX(Organizations[],MATCH(Main3WData[[#This Row],[Acronym]],AcronymList,0),1)</f>
        <v>UNITED NATION MISSION FOR EBOLA  EMERGENCY RESPONSE</v>
      </c>
      <c r="D747" s="27" t="str">
        <f>INDEX(Organizations[],MATCH(Main3WData[[#This Row],[Acronym]],AcronymList,0),3)</f>
        <v>UN Agency</v>
      </c>
      <c r="E747" s="54" t="s">
        <v>358</v>
      </c>
      <c r="F747" s="53" t="s">
        <v>82</v>
      </c>
      <c r="G747" s="54" t="s">
        <v>394</v>
      </c>
      <c r="H747" s="28" t="str">
        <f>VLOOKUP(Main3WData[[#This Row],[Admin Unit Name]],AdminUnits[],2,FALSE)</f>
        <v>GIN004005</v>
      </c>
      <c r="I747" s="57">
        <v>0</v>
      </c>
      <c r="J747" s="67" t="str">
        <f>Main3WData[[#This Row],[Acronym]]&amp;Main3WData[[#This Row],[Sector]]&amp;Main3WData[[#This Row],[Activity Type]]&amp;Main3WData[[#This Row],[Pcode]]</f>
        <v>UNMEERLogistiquesOngoingGIN004005</v>
      </c>
      <c r="K747" s="69">
        <f>COUNTIF(Main3WData[Concatenate],Main3WData[[#This Row],[Concatenate]])</f>
        <v>1</v>
      </c>
      <c r="L747" s="61" t="str">
        <f>Main3WData[[#This Row],[Sector]]&amp;Main3WData[[#This Row],[Pcode]]</f>
        <v>LogistiquesGIN004005</v>
      </c>
      <c r="M747" s="71">
        <f>COUNTIF($L$5:L747,Main3WData[[#This Row],[PT.Concat]])</f>
        <v>1</v>
      </c>
      <c r="N747" s="70">
        <f>MATCH(Main3WData[[#This Row],[PT.Concat]],$L$5:L747,0)</f>
        <v>743</v>
      </c>
      <c r="O747" s="62" t="b">
        <f>Main3WData[[#This Row],[Count PT.Concat]]=1</f>
        <v>1</v>
      </c>
      <c r="P747" s="62">
        <f t="array" ref="P747">MAX(($N$4:N746=Main3WData[[#This Row],[PT.ID]])*ROW($N$4:N746))</f>
        <v>0</v>
      </c>
      <c r="Q747" s="62" t="str">
        <f>IF(Main3WData[[#This Row],[PT.FirstID]],Main3WData[[#This Row],[Acronym]],INDEX($Q$4:Q746,Main3WData[[#This Row],[PT.LastID.Row]]-ROW($Q$4)+1) &amp; ", "&amp;Main3WData[[#This Row],[Acronym]])</f>
        <v>UNMEER</v>
      </c>
      <c r="R747" s="62" t="b">
        <f t="array" ref="R747">MAX(IF(Main3WData[PT.ID]=Main3WData[[#This Row],[PT.ID]],Main3WData[PT.LastID.Row]))=Main3WData[[#This Row],[PT.LastID.Row]]</f>
        <v>0</v>
      </c>
    </row>
    <row r="748" spans="2:18" x14ac:dyDescent="0.2">
      <c r="B748" s="55" t="s">
        <v>512</v>
      </c>
      <c r="C748" s="27" t="str">
        <f>INDEX(Organizations[],MATCH(Main3WData[[#This Row],[Acronym]],AcronymList,0),1)</f>
        <v>World Health Organization</v>
      </c>
      <c r="D748" s="27" t="str">
        <f>INDEX(Organizations[],MATCH(Main3WData[[#This Row],[Acronym]],AcronymList,0),3)</f>
        <v>UN Agency</v>
      </c>
      <c r="E748" s="54" t="s">
        <v>358</v>
      </c>
      <c r="F748" s="53" t="s">
        <v>82</v>
      </c>
      <c r="G748" s="54" t="s">
        <v>394</v>
      </c>
      <c r="H748" s="28" t="str">
        <f>VLOOKUP(Main3WData[[#This Row],[Admin Unit Name]],AdminUnits[],2,FALSE)</f>
        <v>GIN004005</v>
      </c>
      <c r="I748" s="57">
        <v>0</v>
      </c>
      <c r="J748" s="67" t="str">
        <f>Main3WData[[#This Row],[Acronym]]&amp;Main3WData[[#This Row],[Sector]]&amp;Main3WData[[#This Row],[Activity Type]]&amp;Main3WData[[#This Row],[Pcode]]</f>
        <v>OMSLogistiquesOngoingGIN004005</v>
      </c>
      <c r="K748" s="69">
        <f>COUNTIF(Main3WData[Concatenate],Main3WData[[#This Row],[Concatenate]])</f>
        <v>1</v>
      </c>
      <c r="L748" s="61" t="str">
        <f>Main3WData[[#This Row],[Sector]]&amp;Main3WData[[#This Row],[Pcode]]</f>
        <v>LogistiquesGIN004005</v>
      </c>
      <c r="M748" s="71">
        <f>COUNTIF($L$5:L748,Main3WData[[#This Row],[PT.Concat]])</f>
        <v>2</v>
      </c>
      <c r="N748" s="70">
        <f>MATCH(Main3WData[[#This Row],[PT.Concat]],$L$5:L748,0)</f>
        <v>743</v>
      </c>
      <c r="O748" s="62" t="b">
        <f>Main3WData[[#This Row],[Count PT.Concat]]=1</f>
        <v>0</v>
      </c>
      <c r="P748" s="62">
        <f t="array" ref="P748">MAX(($N$4:N747=Main3WData[[#This Row],[PT.ID]])*ROW($N$4:N747))</f>
        <v>747</v>
      </c>
      <c r="Q748" s="62" t="str">
        <f>IF(Main3WData[[#This Row],[PT.FirstID]],Main3WData[[#This Row],[Acronym]],INDEX($Q$4:Q747,Main3WData[[#This Row],[PT.LastID.Row]]-ROW($Q$4)+1) &amp; ", "&amp;Main3WData[[#This Row],[Acronym]])</f>
        <v>UNMEER, OMS</v>
      </c>
      <c r="R748" s="62" t="b">
        <f t="array" ref="R748">MAX(IF(Main3WData[PT.ID]=Main3WData[[#This Row],[PT.ID]],Main3WData[PT.LastID.Row]))=Main3WData[[#This Row],[PT.LastID.Row]]</f>
        <v>1</v>
      </c>
    </row>
    <row r="749" spans="2:18" x14ac:dyDescent="0.2">
      <c r="B749" s="55" t="s">
        <v>523</v>
      </c>
      <c r="C749" s="27" t="str">
        <f>INDEX(Organizations[],MATCH(Main3WData[[#This Row],[Acronym]],AcronymList,0),1)</f>
        <v>Save the Children</v>
      </c>
      <c r="D749" s="27" t="str">
        <f>INDEX(Organizations[],MATCH(Main3WData[[#This Row],[Acronym]],AcronymList,0),3)</f>
        <v>International NGO</v>
      </c>
      <c r="E749" s="54" t="s">
        <v>353</v>
      </c>
      <c r="F749" s="53" t="s">
        <v>82</v>
      </c>
      <c r="G749" s="54" t="s">
        <v>394</v>
      </c>
      <c r="H749" s="28" t="str">
        <f>VLOOKUP(Main3WData[[#This Row],[Admin Unit Name]],AdminUnits[],2,FALSE)</f>
        <v>GIN004005</v>
      </c>
      <c r="I749" s="57">
        <v>0</v>
      </c>
      <c r="J749" s="67" t="str">
        <f>Main3WData[[#This Row],[Acronym]]&amp;Main3WData[[#This Row],[Sector]]&amp;Main3WData[[#This Row],[Activity Type]]&amp;Main3WData[[#This Row],[Pcode]]</f>
        <v>save the childrenPrise en chargeOngoingGIN004005</v>
      </c>
      <c r="K749" s="69">
        <f>COUNTIF(Main3WData[Concatenate],Main3WData[[#This Row],[Concatenate]])</f>
        <v>1</v>
      </c>
      <c r="L749" s="61" t="str">
        <f>Main3WData[[#This Row],[Sector]]&amp;Main3WData[[#This Row],[Pcode]]</f>
        <v>Prise en chargeGIN004005</v>
      </c>
      <c r="M749" s="71">
        <f>COUNTIF($L$5:L749,Main3WData[[#This Row],[PT.Concat]])</f>
        <v>1</v>
      </c>
      <c r="N749" s="70">
        <f>MATCH(Main3WData[[#This Row],[PT.Concat]],$L$5:L749,0)</f>
        <v>745</v>
      </c>
      <c r="O749" s="62" t="b">
        <f>Main3WData[[#This Row],[Count PT.Concat]]=1</f>
        <v>1</v>
      </c>
      <c r="P749" s="62">
        <f t="array" ref="P749">MAX(($N$4:N748=Main3WData[[#This Row],[PT.ID]])*ROW($N$4:N748))</f>
        <v>0</v>
      </c>
      <c r="Q749" s="62" t="str">
        <f>IF(Main3WData[[#This Row],[PT.FirstID]],Main3WData[[#This Row],[Acronym]],INDEX($Q$4:Q748,Main3WData[[#This Row],[PT.LastID.Row]]-ROW($Q$4)+1) &amp; ", "&amp;Main3WData[[#This Row],[Acronym]])</f>
        <v>save the children</v>
      </c>
      <c r="R749" s="62" t="b">
        <f t="array" ref="R749">MAX(IF(Main3WData[PT.ID]=Main3WData[[#This Row],[PT.ID]],Main3WData[PT.LastID.Row]))=Main3WData[[#This Row],[PT.LastID.Row]]</f>
        <v>1</v>
      </c>
    </row>
    <row r="750" spans="2:18" x14ac:dyDescent="0.2">
      <c r="B750" s="55" t="s">
        <v>473</v>
      </c>
      <c r="C750" s="27" t="str">
        <f>INDEX(Organizations[],MATCH(Main3WData[[#This Row],[Acronym]],AcronymList,0),1)</f>
        <v>United Nations Development Programme</v>
      </c>
      <c r="D750" s="27" t="str">
        <f>INDEX(Organizations[],MATCH(Main3WData[[#This Row],[Acronym]],AcronymList,0),3)</f>
        <v>UN Agency</v>
      </c>
      <c r="E750" s="54" t="s">
        <v>357</v>
      </c>
      <c r="F750" s="53" t="s">
        <v>82</v>
      </c>
      <c r="G750" s="54" t="s">
        <v>394</v>
      </c>
      <c r="H750" s="28" t="str">
        <f>VLOOKUP(Main3WData[[#This Row],[Admin Unit Name]],AdminUnits[],2,FALSE)</f>
        <v>GIN004005</v>
      </c>
      <c r="I750" s="57">
        <v>0</v>
      </c>
      <c r="J750" s="67" t="str">
        <f>Main3WData[[#This Row],[Acronym]]&amp;Main3WData[[#This Row],[Sector]]&amp;Main3WData[[#This Row],[Activity Type]]&amp;Main3WData[[#This Row],[Pcode]]</f>
        <v>UNDPSécuritéOngoingGIN004005</v>
      </c>
      <c r="K750" s="69">
        <f>COUNTIF(Main3WData[Concatenate],Main3WData[[#This Row],[Concatenate]])</f>
        <v>1</v>
      </c>
      <c r="L750" s="61" t="str">
        <f>Main3WData[[#This Row],[Sector]]&amp;Main3WData[[#This Row],[Pcode]]</f>
        <v>SécuritéGIN004005</v>
      </c>
      <c r="M750" s="71">
        <f>COUNTIF($L$5:L750,Main3WData[[#This Row],[PT.Concat]])</f>
        <v>1</v>
      </c>
      <c r="N750" s="70">
        <f>MATCH(Main3WData[[#This Row],[PT.Concat]],$L$5:L750,0)</f>
        <v>746</v>
      </c>
      <c r="O750" s="62" t="b">
        <f>Main3WData[[#This Row],[Count PT.Concat]]=1</f>
        <v>1</v>
      </c>
      <c r="P750" s="62">
        <f t="array" ref="P750">MAX(($N$4:N749=Main3WData[[#This Row],[PT.ID]])*ROW($N$4:N749))</f>
        <v>0</v>
      </c>
      <c r="Q750" s="62" t="str">
        <f>IF(Main3WData[[#This Row],[PT.FirstID]],Main3WData[[#This Row],[Acronym]],INDEX($Q$4:Q749,Main3WData[[#This Row],[PT.LastID.Row]]-ROW($Q$4)+1) &amp; ", "&amp;Main3WData[[#This Row],[Acronym]])</f>
        <v>UNDP</v>
      </c>
      <c r="R750" s="62" t="b">
        <f t="array" ref="R750">MAX(IF(Main3WData[PT.ID]=Main3WData[[#This Row],[PT.ID]],Main3WData[PT.LastID.Row]))=Main3WData[[#This Row],[PT.LastID.Row]]</f>
        <v>1</v>
      </c>
    </row>
    <row r="751" spans="2:18" x14ac:dyDescent="0.2">
      <c r="B751" s="55" t="s">
        <v>78</v>
      </c>
      <c r="C751" s="27" t="str">
        <f>INDEX(Organizations[],MATCH(Main3WData[[#This Row],[Acronym]],AcronymList,0),1)</f>
        <v>World Food Programme</v>
      </c>
      <c r="D751" s="27" t="str">
        <f>INDEX(Organizations[],MATCH(Main3WData[[#This Row],[Acronym]],AcronymList,0),3)</f>
        <v>UN Agency</v>
      </c>
      <c r="E751" s="54" t="s">
        <v>355</v>
      </c>
      <c r="F751" s="53" t="s">
        <v>82</v>
      </c>
      <c r="G751" s="54" t="s">
        <v>394</v>
      </c>
      <c r="H751" s="28" t="str">
        <f>VLOOKUP(Main3WData[[#This Row],[Admin Unit Name]],AdminUnits[],2,FALSE)</f>
        <v>GIN004005</v>
      </c>
      <c r="I751" s="57">
        <v>0</v>
      </c>
      <c r="J751" s="67" t="str">
        <f>Main3WData[[#This Row],[Acronym]]&amp;Main3WData[[#This Row],[Sector]]&amp;Main3WData[[#This Row],[Activity Type]]&amp;Main3WData[[#This Row],[Pcode]]</f>
        <v>WFPSoutien nutritionnel et socialOngoingGIN004005</v>
      </c>
      <c r="K751" s="69">
        <f>COUNTIF(Main3WData[Concatenate],Main3WData[[#This Row],[Concatenate]])</f>
        <v>1</v>
      </c>
      <c r="L751" s="61" t="str">
        <f>Main3WData[[#This Row],[Sector]]&amp;Main3WData[[#This Row],[Pcode]]</f>
        <v>Soutien nutritionnel et socialGIN004005</v>
      </c>
      <c r="M751" s="71">
        <f>COUNTIF($L$5:L751,Main3WData[[#This Row],[PT.Concat]])</f>
        <v>1</v>
      </c>
      <c r="N751" s="70">
        <f>MATCH(Main3WData[[#This Row],[PT.Concat]],$L$5:L751,0)</f>
        <v>747</v>
      </c>
      <c r="O751" s="62" t="b">
        <f>Main3WData[[#This Row],[Count PT.Concat]]=1</f>
        <v>1</v>
      </c>
      <c r="P751" s="62">
        <f t="array" ref="P751">MAX(($N$4:N750=Main3WData[[#This Row],[PT.ID]])*ROW($N$4:N750))</f>
        <v>0</v>
      </c>
      <c r="Q751" s="62" t="str">
        <f>IF(Main3WData[[#This Row],[PT.FirstID]],Main3WData[[#This Row],[Acronym]],INDEX($Q$4:Q750,Main3WData[[#This Row],[PT.LastID.Row]]-ROW($Q$4)+1) &amp; ", "&amp;Main3WData[[#This Row],[Acronym]])</f>
        <v>WFP</v>
      </c>
      <c r="R751" s="62" t="b">
        <f t="array" ref="R751">MAX(IF(Main3WData[PT.ID]=Main3WData[[#This Row],[PT.ID]],Main3WData[PT.LastID.Row]))=Main3WData[[#This Row],[PT.LastID.Row]]</f>
        <v>1</v>
      </c>
    </row>
    <row r="752" spans="2:18" x14ac:dyDescent="0.2">
      <c r="B752" s="55" t="s">
        <v>75</v>
      </c>
      <c r="C752" s="27" t="str">
        <f>INDEX(Organizations[],MATCH(Main3WData[[#This Row],[Acronym]],AcronymList,0),1)</f>
        <v>United Nations Population Fund</v>
      </c>
      <c r="D752" s="27" t="str">
        <f>INDEX(Organizations[],MATCH(Main3WData[[#This Row],[Acronym]],AcronymList,0),3)</f>
        <v>UN Agency</v>
      </c>
      <c r="E752" s="54" t="s">
        <v>351</v>
      </c>
      <c r="F752" s="53" t="s">
        <v>82</v>
      </c>
      <c r="G752" s="54" t="s">
        <v>394</v>
      </c>
      <c r="H752" s="28" t="str">
        <f>VLOOKUP(Main3WData[[#This Row],[Admin Unit Name]],AdminUnits[],2,FALSE)</f>
        <v>GIN004005</v>
      </c>
      <c r="I752" s="57">
        <v>0</v>
      </c>
      <c r="J752" s="67" t="str">
        <f>Main3WData[[#This Row],[Acronym]]&amp;Main3WData[[#This Row],[Sector]]&amp;Main3WData[[#This Row],[Activity Type]]&amp;Main3WData[[#This Row],[Pcode]]</f>
        <v>UNFPASurveillance &amp; suiviOngoingGIN004005</v>
      </c>
      <c r="K752" s="69">
        <f>COUNTIF(Main3WData[Concatenate],Main3WData[[#This Row],[Concatenate]])</f>
        <v>1</v>
      </c>
      <c r="L752" s="61" t="str">
        <f>Main3WData[[#This Row],[Sector]]&amp;Main3WData[[#This Row],[Pcode]]</f>
        <v>Surveillance &amp; suiviGIN004005</v>
      </c>
      <c r="M752" s="71">
        <f>COUNTIF($L$5:L752,Main3WData[[#This Row],[PT.Concat]])</f>
        <v>1</v>
      </c>
      <c r="N752" s="70">
        <f>MATCH(Main3WData[[#This Row],[PT.Concat]],$L$5:L752,0)</f>
        <v>748</v>
      </c>
      <c r="O752" s="62" t="b">
        <f>Main3WData[[#This Row],[Count PT.Concat]]=1</f>
        <v>1</v>
      </c>
      <c r="P752" s="62">
        <f t="array" ref="P752">MAX(($N$4:N751=Main3WData[[#This Row],[PT.ID]])*ROW($N$4:N751))</f>
        <v>0</v>
      </c>
      <c r="Q752" s="62" t="str">
        <f>IF(Main3WData[[#This Row],[PT.FirstID]],Main3WData[[#This Row],[Acronym]],INDEX($Q$4:Q751,Main3WData[[#This Row],[PT.LastID.Row]]-ROW($Q$4)+1) &amp; ", "&amp;Main3WData[[#This Row],[Acronym]])</f>
        <v>UNFPA</v>
      </c>
      <c r="R752" s="62" t="b">
        <f t="array" ref="R752">MAX(IF(Main3WData[PT.ID]=Main3WData[[#This Row],[PT.ID]],Main3WData[PT.LastID.Row]))=Main3WData[[#This Row],[PT.LastID.Row]]</f>
        <v>0</v>
      </c>
    </row>
    <row r="753" spans="2:18" x14ac:dyDescent="0.2">
      <c r="B753" s="55" t="s">
        <v>524</v>
      </c>
      <c r="C753" s="27" t="str">
        <f>INDEX(Organizations[],MATCH(Main3WData[[#This Row],[Acronym]],AcronymList,0),1)</f>
        <v>Save the Children</v>
      </c>
      <c r="D753" s="27" t="str">
        <f>INDEX(Organizations[],MATCH(Main3WData[[#This Row],[Acronym]],AcronymList,0),3)</f>
        <v>International NGO</v>
      </c>
      <c r="E753" s="54" t="s">
        <v>351</v>
      </c>
      <c r="F753" s="53" t="s">
        <v>82</v>
      </c>
      <c r="G753" s="54" t="s">
        <v>394</v>
      </c>
      <c r="H753" s="28" t="str">
        <f>VLOOKUP(Main3WData[[#This Row],[Admin Unit Name]],AdminUnits[],2,FALSE)</f>
        <v>GIN004005</v>
      </c>
      <c r="I753" s="57">
        <v>0</v>
      </c>
      <c r="J753" s="67" t="str">
        <f>Main3WData[[#This Row],[Acronym]]&amp;Main3WData[[#This Row],[Sector]]&amp;Main3WData[[#This Row],[Activity Type]]&amp;Main3WData[[#This Row],[Pcode]]</f>
        <v>save the ChildrenSurveillance &amp; suiviOngoingGIN004005</v>
      </c>
      <c r="K753" s="69">
        <f>COUNTIF(Main3WData[Concatenate],Main3WData[[#This Row],[Concatenate]])</f>
        <v>1</v>
      </c>
      <c r="L753" s="61" t="str">
        <f>Main3WData[[#This Row],[Sector]]&amp;Main3WData[[#This Row],[Pcode]]</f>
        <v>Surveillance &amp; suiviGIN004005</v>
      </c>
      <c r="M753" s="71">
        <f>COUNTIF($L$5:L753,Main3WData[[#This Row],[PT.Concat]])</f>
        <v>2</v>
      </c>
      <c r="N753" s="70">
        <f>MATCH(Main3WData[[#This Row],[PT.Concat]],$L$5:L753,0)</f>
        <v>748</v>
      </c>
      <c r="O753" s="62" t="b">
        <f>Main3WData[[#This Row],[Count PT.Concat]]=1</f>
        <v>0</v>
      </c>
      <c r="P753" s="62">
        <f t="array" ref="P753">MAX(($N$4:N752=Main3WData[[#This Row],[PT.ID]])*ROW($N$4:N752))</f>
        <v>752</v>
      </c>
      <c r="Q753" s="62" t="str">
        <f>IF(Main3WData[[#This Row],[PT.FirstID]],Main3WData[[#This Row],[Acronym]],INDEX($Q$4:Q752,Main3WData[[#This Row],[PT.LastID.Row]]-ROW($Q$4)+1) &amp; ", "&amp;Main3WData[[#This Row],[Acronym]])</f>
        <v>UNFPA, save the Children</v>
      </c>
      <c r="R753" s="62" t="b">
        <f t="array" ref="R753">MAX(IF(Main3WData[PT.ID]=Main3WData[[#This Row],[PT.ID]],Main3WData[PT.LastID.Row]))=Main3WData[[#This Row],[PT.LastID.Row]]</f>
        <v>0</v>
      </c>
    </row>
    <row r="754" spans="2:18" x14ac:dyDescent="0.2">
      <c r="B754" s="55" t="s">
        <v>512</v>
      </c>
      <c r="C754" s="27" t="str">
        <f>INDEX(Organizations[],MATCH(Main3WData[[#This Row],[Acronym]],AcronymList,0),1)</f>
        <v>World Health Organization</v>
      </c>
      <c r="D754" s="27" t="str">
        <f>INDEX(Organizations[],MATCH(Main3WData[[#This Row],[Acronym]],AcronymList,0),3)</f>
        <v>UN Agency</v>
      </c>
      <c r="E754" s="54" t="s">
        <v>351</v>
      </c>
      <c r="F754" s="53" t="s">
        <v>82</v>
      </c>
      <c r="G754" s="54" t="s">
        <v>394</v>
      </c>
      <c r="H754" s="28" t="str">
        <f>VLOOKUP(Main3WData[[#This Row],[Admin Unit Name]],AdminUnits[],2,FALSE)</f>
        <v>GIN004005</v>
      </c>
      <c r="I754" s="57">
        <v>0</v>
      </c>
      <c r="J754" s="67" t="str">
        <f>Main3WData[[#This Row],[Acronym]]&amp;Main3WData[[#This Row],[Sector]]&amp;Main3WData[[#This Row],[Activity Type]]&amp;Main3WData[[#This Row],[Pcode]]</f>
        <v>OMSSurveillance &amp; suiviOngoingGIN004005</v>
      </c>
      <c r="K754" s="69">
        <f>COUNTIF(Main3WData[Concatenate],Main3WData[[#This Row],[Concatenate]])</f>
        <v>1</v>
      </c>
      <c r="L754" s="61" t="str">
        <f>Main3WData[[#This Row],[Sector]]&amp;Main3WData[[#This Row],[Pcode]]</f>
        <v>Surveillance &amp; suiviGIN004005</v>
      </c>
      <c r="M754" s="71">
        <f>COUNTIF($L$5:L754,Main3WData[[#This Row],[PT.Concat]])</f>
        <v>3</v>
      </c>
      <c r="N754" s="70">
        <f>MATCH(Main3WData[[#This Row],[PT.Concat]],$L$5:L754,0)</f>
        <v>748</v>
      </c>
      <c r="O754" s="62" t="b">
        <f>Main3WData[[#This Row],[Count PT.Concat]]=1</f>
        <v>0</v>
      </c>
      <c r="P754" s="62">
        <f t="array" ref="P754">MAX(($N$4:N753=Main3WData[[#This Row],[PT.ID]])*ROW($N$4:N753))</f>
        <v>753</v>
      </c>
      <c r="Q754" s="62" t="str">
        <f>IF(Main3WData[[#This Row],[PT.FirstID]],Main3WData[[#This Row],[Acronym]],INDEX($Q$4:Q753,Main3WData[[#This Row],[PT.LastID.Row]]-ROW($Q$4)+1) &amp; ", "&amp;Main3WData[[#This Row],[Acronym]])</f>
        <v>UNFPA, save the Children, OMS</v>
      </c>
      <c r="R754" s="62" t="b">
        <f t="array" ref="R754">MAX(IF(Main3WData[PT.ID]=Main3WData[[#This Row],[PT.ID]],Main3WData[PT.LastID.Row]))=Main3WData[[#This Row],[PT.LastID.Row]]</f>
        <v>0</v>
      </c>
    </row>
    <row r="755" spans="2:18" x14ac:dyDescent="0.2">
      <c r="B755" s="55" t="s">
        <v>496</v>
      </c>
      <c r="C755" s="27" t="str">
        <f>INDEX(Organizations[],MATCH(Main3WData[[#This Row],[Acronym]],AcronymList,0),1)</f>
        <v>Columbia University</v>
      </c>
      <c r="D755" s="27" t="str">
        <f>INDEX(Organizations[],MATCH(Main3WData[[#This Row],[Acronym]],AcronymList,0),3)</f>
        <v>Education</v>
      </c>
      <c r="E755" s="54" t="s">
        <v>351</v>
      </c>
      <c r="F755" s="53" t="s">
        <v>82</v>
      </c>
      <c r="G755" s="54" t="s">
        <v>394</v>
      </c>
      <c r="H755" s="28" t="str">
        <f>VLOOKUP(Main3WData[[#This Row],[Admin Unit Name]],AdminUnits[],2,FALSE)</f>
        <v>GIN004005</v>
      </c>
      <c r="I755" s="57">
        <v>0</v>
      </c>
      <c r="J755" s="67" t="str">
        <f>Main3WData[[#This Row],[Acronym]]&amp;Main3WData[[#This Row],[Sector]]&amp;Main3WData[[#This Row],[Activity Type]]&amp;Main3WData[[#This Row],[Pcode]]</f>
        <v>Columbia UnivSurveillance &amp; suiviOngoingGIN004005</v>
      </c>
      <c r="K755" s="69">
        <f>COUNTIF(Main3WData[Concatenate],Main3WData[[#This Row],[Concatenate]])</f>
        <v>1</v>
      </c>
      <c r="L755" s="61" t="str">
        <f>Main3WData[[#This Row],[Sector]]&amp;Main3WData[[#This Row],[Pcode]]</f>
        <v>Surveillance &amp; suiviGIN004005</v>
      </c>
      <c r="M755" s="71">
        <f>COUNTIF($L$5:L755,Main3WData[[#This Row],[PT.Concat]])</f>
        <v>4</v>
      </c>
      <c r="N755" s="70">
        <f>MATCH(Main3WData[[#This Row],[PT.Concat]],$L$5:L755,0)</f>
        <v>748</v>
      </c>
      <c r="O755" s="62" t="b">
        <f>Main3WData[[#This Row],[Count PT.Concat]]=1</f>
        <v>0</v>
      </c>
      <c r="P755" s="62">
        <f t="array" ref="P755">MAX(($N$4:N754=Main3WData[[#This Row],[PT.ID]])*ROW($N$4:N754))</f>
        <v>754</v>
      </c>
      <c r="Q755" s="62" t="str">
        <f>IF(Main3WData[[#This Row],[PT.FirstID]],Main3WData[[#This Row],[Acronym]],INDEX($Q$4:Q754,Main3WData[[#This Row],[PT.LastID.Row]]-ROW($Q$4)+1) &amp; ", "&amp;Main3WData[[#This Row],[Acronym]])</f>
        <v>UNFPA, save the Children, OMS, Columbia Univ</v>
      </c>
      <c r="R755" s="62" t="b">
        <f t="array" ref="R755">MAX(IF(Main3WData[PT.ID]=Main3WData[[#This Row],[PT.ID]],Main3WData[PT.LastID.Row]))=Main3WData[[#This Row],[PT.LastID.Row]]</f>
        <v>0</v>
      </c>
    </row>
    <row r="756" spans="2:18" x14ac:dyDescent="0.2">
      <c r="B756" s="55" t="s">
        <v>64</v>
      </c>
      <c r="C756" s="27" t="str">
        <f>INDEX(Organizations[],MATCH(Main3WData[[#This Row],[Acronym]],AcronymList,0),1)</f>
        <v>CDC</v>
      </c>
      <c r="D756" s="27" t="str">
        <f>INDEX(Organizations[],MATCH(Main3WData[[#This Row],[Acronym]],AcronymList,0),3)</f>
        <v>International NGO</v>
      </c>
      <c r="E756" s="54" t="s">
        <v>351</v>
      </c>
      <c r="F756" s="53" t="s">
        <v>82</v>
      </c>
      <c r="G756" s="54" t="s">
        <v>394</v>
      </c>
      <c r="H756" s="28" t="str">
        <f>VLOOKUP(Main3WData[[#This Row],[Admin Unit Name]],AdminUnits[],2,FALSE)</f>
        <v>GIN004005</v>
      </c>
      <c r="I756" s="57">
        <v>0</v>
      </c>
      <c r="J756" s="67" t="str">
        <f>Main3WData[[#This Row],[Acronym]]&amp;Main3WData[[#This Row],[Sector]]&amp;Main3WData[[#This Row],[Activity Type]]&amp;Main3WData[[#This Row],[Pcode]]</f>
        <v>CDCSurveillance &amp; suiviOngoingGIN004005</v>
      </c>
      <c r="K756" s="69">
        <f>COUNTIF(Main3WData[Concatenate],Main3WData[[#This Row],[Concatenate]])</f>
        <v>1</v>
      </c>
      <c r="L756" s="61" t="str">
        <f>Main3WData[[#This Row],[Sector]]&amp;Main3WData[[#This Row],[Pcode]]</f>
        <v>Surveillance &amp; suiviGIN004005</v>
      </c>
      <c r="M756" s="71">
        <f>COUNTIF($L$5:L756,Main3WData[[#This Row],[PT.Concat]])</f>
        <v>5</v>
      </c>
      <c r="N756" s="70">
        <f>MATCH(Main3WData[[#This Row],[PT.Concat]],$L$5:L756,0)</f>
        <v>748</v>
      </c>
      <c r="O756" s="62" t="b">
        <f>Main3WData[[#This Row],[Count PT.Concat]]=1</f>
        <v>0</v>
      </c>
      <c r="P756" s="62">
        <f t="array" ref="P756">MAX(($N$4:N755=Main3WData[[#This Row],[PT.ID]])*ROW($N$4:N755))</f>
        <v>755</v>
      </c>
      <c r="Q756" s="62" t="str">
        <f>IF(Main3WData[[#This Row],[PT.FirstID]],Main3WData[[#This Row],[Acronym]],INDEX($Q$4:Q755,Main3WData[[#This Row],[PT.LastID.Row]]-ROW($Q$4)+1) &amp; ", "&amp;Main3WData[[#This Row],[Acronym]])</f>
        <v>UNFPA, save the Children, OMS, Columbia Univ, CDC</v>
      </c>
      <c r="R756" s="62" t="b">
        <f t="array" ref="R756">MAX(IF(Main3WData[PT.ID]=Main3WData[[#This Row],[PT.ID]],Main3WData[PT.LastID.Row]))=Main3WData[[#This Row],[PT.LastID.Row]]</f>
        <v>1</v>
      </c>
    </row>
    <row r="757" spans="2:18" x14ac:dyDescent="0.2">
      <c r="B757" s="55" t="s">
        <v>77</v>
      </c>
      <c r="C757" s="27" t="str">
        <f>INDEX(Organizations[],MATCH(Main3WData[[#This Row],[Acronym]],AcronymList,0),1)</f>
        <v>United Nations Children's Fund</v>
      </c>
      <c r="D757" s="27" t="str">
        <f>INDEX(Organizations[],MATCH(Main3WData[[#This Row],[Acronym]],AcronymList,0),3)</f>
        <v>UN Agency</v>
      </c>
      <c r="E757" s="54" t="s">
        <v>350</v>
      </c>
      <c r="F757" s="53" t="s">
        <v>82</v>
      </c>
      <c r="G757" s="54" t="s">
        <v>406</v>
      </c>
      <c r="H757" s="28" t="str">
        <f>VLOOKUP(Main3WData[[#This Row],[Admin Unit Name]],AdminUnits[],2,FALSE)</f>
        <v>GIN005006</v>
      </c>
      <c r="I757" s="57">
        <v>0</v>
      </c>
      <c r="J757" s="67" t="str">
        <f>Main3WData[[#This Row],[Acronym]]&amp;Main3WData[[#This Row],[Sector]]&amp;Main3WData[[#This Row],[Activity Type]]&amp;Main3WData[[#This Row],[Pcode]]</f>
        <v>UNICEFCommunication/Mobilisation socialeOngoingGIN005006</v>
      </c>
      <c r="K757" s="69">
        <f>COUNTIF(Main3WData[Concatenate],Main3WData[[#This Row],[Concatenate]])</f>
        <v>1</v>
      </c>
      <c r="L757" s="61" t="str">
        <f>Main3WData[[#This Row],[Sector]]&amp;Main3WData[[#This Row],[Pcode]]</f>
        <v>Communication/Mobilisation socialeGIN005006</v>
      </c>
      <c r="M757" s="71">
        <f>COUNTIF($L$5:L757,Main3WData[[#This Row],[PT.Concat]])</f>
        <v>1</v>
      </c>
      <c r="N757" s="70">
        <f>MATCH(Main3WData[[#This Row],[PT.Concat]],$L$5:L757,0)</f>
        <v>753</v>
      </c>
      <c r="O757" s="62" t="b">
        <f>Main3WData[[#This Row],[Count PT.Concat]]=1</f>
        <v>1</v>
      </c>
      <c r="P757" s="62">
        <f t="array" ref="P757">MAX(($N$4:N756=Main3WData[[#This Row],[PT.ID]])*ROW($N$4:N756))</f>
        <v>0</v>
      </c>
      <c r="Q757" s="62" t="str">
        <f>IF(Main3WData[[#This Row],[PT.FirstID]],Main3WData[[#This Row],[Acronym]],INDEX($Q$4:Q756,Main3WData[[#This Row],[PT.LastID.Row]]-ROW($Q$4)+1) &amp; ", "&amp;Main3WData[[#This Row],[Acronym]])</f>
        <v>UNICEF</v>
      </c>
      <c r="R757" s="62" t="b">
        <f t="array" ref="R757">MAX(IF(Main3WData[PT.ID]=Main3WData[[#This Row],[PT.ID]],Main3WData[PT.LastID.Row]))=Main3WData[[#This Row],[PT.LastID.Row]]</f>
        <v>0</v>
      </c>
    </row>
    <row r="758" spans="2:18" x14ac:dyDescent="0.2">
      <c r="B758" s="55" t="s">
        <v>75</v>
      </c>
      <c r="C758" s="27" t="str">
        <f>INDEX(Organizations[],MATCH(Main3WData[[#This Row],[Acronym]],AcronymList,0),1)</f>
        <v>United Nations Population Fund</v>
      </c>
      <c r="D758" s="27" t="str">
        <f>INDEX(Organizations[],MATCH(Main3WData[[#This Row],[Acronym]],AcronymList,0),3)</f>
        <v>UN Agency</v>
      </c>
      <c r="E758" s="54" t="s">
        <v>350</v>
      </c>
      <c r="F758" s="53" t="s">
        <v>82</v>
      </c>
      <c r="G758" s="54" t="s">
        <v>406</v>
      </c>
      <c r="H758" s="28" t="str">
        <f>VLOOKUP(Main3WData[[#This Row],[Admin Unit Name]],AdminUnits[],2,FALSE)</f>
        <v>GIN005006</v>
      </c>
      <c r="I758" s="57">
        <v>0</v>
      </c>
      <c r="J758" s="67" t="str">
        <f>Main3WData[[#This Row],[Acronym]]&amp;Main3WData[[#This Row],[Sector]]&amp;Main3WData[[#This Row],[Activity Type]]&amp;Main3WData[[#This Row],[Pcode]]</f>
        <v>UNFPACommunication/Mobilisation socialeOngoingGIN005006</v>
      </c>
      <c r="K758" s="69">
        <f>COUNTIF(Main3WData[Concatenate],Main3WData[[#This Row],[Concatenate]])</f>
        <v>1</v>
      </c>
      <c r="L758" s="61" t="str">
        <f>Main3WData[[#This Row],[Sector]]&amp;Main3WData[[#This Row],[Pcode]]</f>
        <v>Communication/Mobilisation socialeGIN005006</v>
      </c>
      <c r="M758" s="71">
        <f>COUNTIF($L$5:L758,Main3WData[[#This Row],[PT.Concat]])</f>
        <v>2</v>
      </c>
      <c r="N758" s="70">
        <f>MATCH(Main3WData[[#This Row],[PT.Concat]],$L$5:L758,0)</f>
        <v>753</v>
      </c>
      <c r="O758" s="62" t="b">
        <f>Main3WData[[#This Row],[Count PT.Concat]]=1</f>
        <v>0</v>
      </c>
      <c r="P758" s="62">
        <f t="array" ref="P758">MAX(($N$4:N757=Main3WData[[#This Row],[PT.ID]])*ROW($N$4:N757))</f>
        <v>757</v>
      </c>
      <c r="Q758" s="62" t="str">
        <f>IF(Main3WData[[#This Row],[PT.FirstID]],Main3WData[[#This Row],[Acronym]],INDEX($Q$4:Q757,Main3WData[[#This Row],[PT.LastID.Row]]-ROW($Q$4)+1) &amp; ", "&amp;Main3WData[[#This Row],[Acronym]])</f>
        <v>UNICEF, UNFPA</v>
      </c>
      <c r="R758" s="62" t="b">
        <f t="array" ref="R758">MAX(IF(Main3WData[PT.ID]=Main3WData[[#This Row],[PT.ID]],Main3WData[PT.LastID.Row]))=Main3WData[[#This Row],[PT.LastID.Row]]</f>
        <v>0</v>
      </c>
    </row>
    <row r="759" spans="2:18" x14ac:dyDescent="0.2">
      <c r="B759" s="55" t="s">
        <v>473</v>
      </c>
      <c r="C759" s="27" t="str">
        <f>INDEX(Organizations[],MATCH(Main3WData[[#This Row],[Acronym]],AcronymList,0),1)</f>
        <v>United Nations Development Programme</v>
      </c>
      <c r="D759" s="27" t="str">
        <f>INDEX(Organizations[],MATCH(Main3WData[[#This Row],[Acronym]],AcronymList,0),3)</f>
        <v>UN Agency</v>
      </c>
      <c r="E759" s="54" t="s">
        <v>350</v>
      </c>
      <c r="F759" s="53" t="s">
        <v>82</v>
      </c>
      <c r="G759" s="54" t="s">
        <v>406</v>
      </c>
      <c r="H759" s="28" t="str">
        <f>VLOOKUP(Main3WData[[#This Row],[Admin Unit Name]],AdminUnits[],2,FALSE)</f>
        <v>GIN005006</v>
      </c>
      <c r="I759" s="57">
        <v>0</v>
      </c>
      <c r="J759" s="67" t="str">
        <f>Main3WData[[#This Row],[Acronym]]&amp;Main3WData[[#This Row],[Sector]]&amp;Main3WData[[#This Row],[Activity Type]]&amp;Main3WData[[#This Row],[Pcode]]</f>
        <v>UNDPCommunication/Mobilisation socialeOngoingGIN005006</v>
      </c>
      <c r="K759" s="69">
        <f>COUNTIF(Main3WData[Concatenate],Main3WData[[#This Row],[Concatenate]])</f>
        <v>1</v>
      </c>
      <c r="L759" s="61" t="str">
        <f>Main3WData[[#This Row],[Sector]]&amp;Main3WData[[#This Row],[Pcode]]</f>
        <v>Communication/Mobilisation socialeGIN005006</v>
      </c>
      <c r="M759" s="71">
        <f>COUNTIF($L$5:L759,Main3WData[[#This Row],[PT.Concat]])</f>
        <v>3</v>
      </c>
      <c r="N759" s="70">
        <f>MATCH(Main3WData[[#This Row],[PT.Concat]],$L$5:L759,0)</f>
        <v>753</v>
      </c>
      <c r="O759" s="62" t="b">
        <f>Main3WData[[#This Row],[Count PT.Concat]]=1</f>
        <v>0</v>
      </c>
      <c r="P759" s="62">
        <f t="array" ref="P759">MAX(($N$4:N758=Main3WData[[#This Row],[PT.ID]])*ROW($N$4:N758))</f>
        <v>758</v>
      </c>
      <c r="Q759" s="62" t="str">
        <f>IF(Main3WData[[#This Row],[PT.FirstID]],Main3WData[[#This Row],[Acronym]],INDEX($Q$4:Q758,Main3WData[[#This Row],[PT.LastID.Row]]-ROW($Q$4)+1) &amp; ", "&amp;Main3WData[[#This Row],[Acronym]])</f>
        <v>UNICEF, UNFPA, UNDP</v>
      </c>
      <c r="R759" s="62" t="b">
        <f t="array" ref="R759">MAX(IF(Main3WData[PT.ID]=Main3WData[[#This Row],[PT.ID]],Main3WData[PT.LastID.Row]))=Main3WData[[#This Row],[PT.LastID.Row]]</f>
        <v>0</v>
      </c>
    </row>
    <row r="760" spans="2:18" x14ac:dyDescent="0.2">
      <c r="B760" s="55" t="s">
        <v>72</v>
      </c>
      <c r="C760" s="27" t="str">
        <f>INDEX(Organizations[],MATCH(Main3WData[[#This Row],[Acronym]],AcronymList,0),1)</f>
        <v>PLAN</v>
      </c>
      <c r="D760" s="27" t="str">
        <f>INDEX(Organizations[],MATCH(Main3WData[[#This Row],[Acronym]],AcronymList,0),3)</f>
        <v>International Organization</v>
      </c>
      <c r="E760" s="54" t="s">
        <v>350</v>
      </c>
      <c r="F760" s="53" t="s">
        <v>82</v>
      </c>
      <c r="G760" s="54" t="s">
        <v>406</v>
      </c>
      <c r="H760" s="28" t="str">
        <f>VLOOKUP(Main3WData[[#This Row],[Admin Unit Name]],AdminUnits[],2,FALSE)</f>
        <v>GIN005006</v>
      </c>
      <c r="I760" s="57">
        <v>0</v>
      </c>
      <c r="J760" s="67" t="str">
        <f>Main3WData[[#This Row],[Acronym]]&amp;Main3WData[[#This Row],[Sector]]&amp;Main3WData[[#This Row],[Activity Type]]&amp;Main3WData[[#This Row],[Pcode]]</f>
        <v>PLANCommunication/Mobilisation socialeOngoingGIN005006</v>
      </c>
      <c r="K760" s="69">
        <f>COUNTIF(Main3WData[Concatenate],Main3WData[[#This Row],[Concatenate]])</f>
        <v>1</v>
      </c>
      <c r="L760" s="61" t="str">
        <f>Main3WData[[#This Row],[Sector]]&amp;Main3WData[[#This Row],[Pcode]]</f>
        <v>Communication/Mobilisation socialeGIN005006</v>
      </c>
      <c r="M760" s="71">
        <f>COUNTIF($L$5:L760,Main3WData[[#This Row],[PT.Concat]])</f>
        <v>4</v>
      </c>
      <c r="N760" s="70">
        <f>MATCH(Main3WData[[#This Row],[PT.Concat]],$L$5:L760,0)</f>
        <v>753</v>
      </c>
      <c r="O760" s="62" t="b">
        <f>Main3WData[[#This Row],[Count PT.Concat]]=1</f>
        <v>0</v>
      </c>
      <c r="P760" s="62">
        <f t="array" ref="P760">MAX(($N$4:N759=Main3WData[[#This Row],[PT.ID]])*ROW($N$4:N759))</f>
        <v>759</v>
      </c>
      <c r="Q760" s="62" t="str">
        <f>IF(Main3WData[[#This Row],[PT.FirstID]],Main3WData[[#This Row],[Acronym]],INDEX($Q$4:Q759,Main3WData[[#This Row],[PT.LastID.Row]]-ROW($Q$4)+1) &amp; ", "&amp;Main3WData[[#This Row],[Acronym]])</f>
        <v>UNICEF, UNFPA, UNDP, PLAN</v>
      </c>
      <c r="R760" s="62" t="b">
        <f t="array" ref="R760">MAX(IF(Main3WData[PT.ID]=Main3WData[[#This Row],[PT.ID]],Main3WData[PT.LastID.Row]))=Main3WData[[#This Row],[PT.LastID.Row]]</f>
        <v>0</v>
      </c>
    </row>
    <row r="761" spans="2:18" x14ac:dyDescent="0.2">
      <c r="B761" s="55" t="s">
        <v>512</v>
      </c>
      <c r="C761" s="27" t="str">
        <f>INDEX(Organizations[],MATCH(Main3WData[[#This Row],[Acronym]],AcronymList,0),1)</f>
        <v>World Health Organization</v>
      </c>
      <c r="D761" s="27" t="str">
        <f>INDEX(Organizations[],MATCH(Main3WData[[#This Row],[Acronym]],AcronymList,0),3)</f>
        <v>UN Agency</v>
      </c>
      <c r="E761" s="54" t="s">
        <v>350</v>
      </c>
      <c r="F761" s="53" t="s">
        <v>82</v>
      </c>
      <c r="G761" s="54" t="s">
        <v>406</v>
      </c>
      <c r="H761" s="28" t="str">
        <f>VLOOKUP(Main3WData[[#This Row],[Admin Unit Name]],AdminUnits[],2,FALSE)</f>
        <v>GIN005006</v>
      </c>
      <c r="I761" s="57">
        <v>0</v>
      </c>
      <c r="J761" s="67" t="str">
        <f>Main3WData[[#This Row],[Acronym]]&amp;Main3WData[[#This Row],[Sector]]&amp;Main3WData[[#This Row],[Activity Type]]&amp;Main3WData[[#This Row],[Pcode]]</f>
        <v>OMSCommunication/Mobilisation socialeOngoingGIN005006</v>
      </c>
      <c r="K761" s="69">
        <f>COUNTIF(Main3WData[Concatenate],Main3WData[[#This Row],[Concatenate]])</f>
        <v>1</v>
      </c>
      <c r="L761" s="61" t="str">
        <f>Main3WData[[#This Row],[Sector]]&amp;Main3WData[[#This Row],[Pcode]]</f>
        <v>Communication/Mobilisation socialeGIN005006</v>
      </c>
      <c r="M761" s="71">
        <f>COUNTIF($L$5:L761,Main3WData[[#This Row],[PT.Concat]])</f>
        <v>5</v>
      </c>
      <c r="N761" s="70">
        <f>MATCH(Main3WData[[#This Row],[PT.Concat]],$L$5:L761,0)</f>
        <v>753</v>
      </c>
      <c r="O761" s="62" t="b">
        <f>Main3WData[[#This Row],[Count PT.Concat]]=1</f>
        <v>0</v>
      </c>
      <c r="P761" s="62">
        <f t="array" ref="P761">MAX(($N$4:N760=Main3WData[[#This Row],[PT.ID]])*ROW($N$4:N760))</f>
        <v>760</v>
      </c>
      <c r="Q761" s="62" t="str">
        <f>IF(Main3WData[[#This Row],[PT.FirstID]],Main3WData[[#This Row],[Acronym]],INDEX($Q$4:Q760,Main3WData[[#This Row],[PT.LastID.Row]]-ROW($Q$4)+1) &amp; ", "&amp;Main3WData[[#This Row],[Acronym]])</f>
        <v>UNICEF, UNFPA, UNDP, PLAN, OMS</v>
      </c>
      <c r="R761" s="62" t="b">
        <f t="array" ref="R761">MAX(IF(Main3WData[PT.ID]=Main3WData[[#This Row],[PT.ID]],Main3WData[PT.LastID.Row]))=Main3WData[[#This Row],[PT.LastID.Row]]</f>
        <v>0</v>
      </c>
    </row>
    <row r="762" spans="2:18" x14ac:dyDescent="0.2">
      <c r="B762" s="55" t="s">
        <v>509</v>
      </c>
      <c r="C762" s="27" t="str">
        <f>INDEX(Organizations[],MATCH(Main3WData[[#This Row],[Acronym]],AcronymList,0),1)</f>
        <v>Internews</v>
      </c>
      <c r="D762" s="27" t="str">
        <f>INDEX(Organizations[],MATCH(Main3WData[[#This Row],[Acronym]],AcronymList,0),3)</f>
        <v>Media</v>
      </c>
      <c r="E762" s="54" t="s">
        <v>350</v>
      </c>
      <c r="F762" s="53" t="s">
        <v>82</v>
      </c>
      <c r="G762" s="54" t="s">
        <v>406</v>
      </c>
      <c r="H762" s="28" t="str">
        <f>VLOOKUP(Main3WData[[#This Row],[Admin Unit Name]],AdminUnits[],2,FALSE)</f>
        <v>GIN005006</v>
      </c>
      <c r="I762" s="57">
        <v>0</v>
      </c>
      <c r="J762" s="67" t="str">
        <f>Main3WData[[#This Row],[Acronym]]&amp;Main3WData[[#This Row],[Sector]]&amp;Main3WData[[#This Row],[Activity Type]]&amp;Main3WData[[#This Row],[Pcode]]</f>
        <v>InternewsCommunication/Mobilisation socialeOngoingGIN005006</v>
      </c>
      <c r="K762" s="69">
        <f>COUNTIF(Main3WData[Concatenate],Main3WData[[#This Row],[Concatenate]])</f>
        <v>1</v>
      </c>
      <c r="L762" s="61" t="str">
        <f>Main3WData[[#This Row],[Sector]]&amp;Main3WData[[#This Row],[Pcode]]</f>
        <v>Communication/Mobilisation socialeGIN005006</v>
      </c>
      <c r="M762" s="71">
        <f>COUNTIF($L$5:L762,Main3WData[[#This Row],[PT.Concat]])</f>
        <v>6</v>
      </c>
      <c r="N762" s="70">
        <f>MATCH(Main3WData[[#This Row],[PT.Concat]],$L$5:L762,0)</f>
        <v>753</v>
      </c>
      <c r="O762" s="62" t="b">
        <f>Main3WData[[#This Row],[Count PT.Concat]]=1</f>
        <v>0</v>
      </c>
      <c r="P762" s="62">
        <f t="array" ref="P762">MAX(($N$4:N761=Main3WData[[#This Row],[PT.ID]])*ROW($N$4:N761))</f>
        <v>761</v>
      </c>
      <c r="Q762" s="62" t="str">
        <f>IF(Main3WData[[#This Row],[PT.FirstID]],Main3WData[[#This Row],[Acronym]],INDEX($Q$4:Q761,Main3WData[[#This Row],[PT.LastID.Row]]-ROW($Q$4)+1) &amp; ", "&amp;Main3WData[[#This Row],[Acronym]])</f>
        <v>UNICEF, UNFPA, UNDP, PLAN, OMS, Internews</v>
      </c>
      <c r="R762" s="62" t="b">
        <f t="array" ref="R762">MAX(IF(Main3WData[PT.ID]=Main3WData[[#This Row],[PT.ID]],Main3WData[PT.LastID.Row]))=Main3WData[[#This Row],[PT.LastID.Row]]</f>
        <v>0</v>
      </c>
    </row>
    <row r="763" spans="2:18" x14ac:dyDescent="0.2">
      <c r="B763" s="55" t="s">
        <v>499</v>
      </c>
      <c r="C763" s="27" t="str">
        <f>INDEX(Organizations[],MATCH(Main3WData[[#This Row],[Acronym]],AcronymList,0),1)</f>
        <v>Croix-Rouge Guinée/Fédération internationale de la Croix-Rouge</v>
      </c>
      <c r="D763" s="27" t="str">
        <f>INDEX(Organizations[],MATCH(Main3WData[[#This Row],[Acronym]],AcronymList,0),3)</f>
        <v>International Organization</v>
      </c>
      <c r="E763" s="54" t="s">
        <v>350</v>
      </c>
      <c r="F763" s="53" t="s">
        <v>82</v>
      </c>
      <c r="G763" s="54" t="s">
        <v>406</v>
      </c>
      <c r="H763" s="28" t="str">
        <f>VLOOKUP(Main3WData[[#This Row],[Admin Unit Name]],AdminUnits[],2,FALSE)</f>
        <v>GIN005006</v>
      </c>
      <c r="I763" s="57">
        <v>0</v>
      </c>
      <c r="J763" s="67" t="str">
        <f>Main3WData[[#This Row],[Acronym]]&amp;Main3WData[[#This Row],[Sector]]&amp;Main3WData[[#This Row],[Activity Type]]&amp;Main3WData[[#This Row],[Pcode]]</f>
        <v>CRG/FICRCommunication/Mobilisation socialeOngoingGIN005006</v>
      </c>
      <c r="K763" s="69">
        <f>COUNTIF(Main3WData[Concatenate],Main3WData[[#This Row],[Concatenate]])</f>
        <v>1</v>
      </c>
      <c r="L763" s="61" t="str">
        <f>Main3WData[[#This Row],[Sector]]&amp;Main3WData[[#This Row],[Pcode]]</f>
        <v>Communication/Mobilisation socialeGIN005006</v>
      </c>
      <c r="M763" s="71">
        <f>COUNTIF($L$5:L763,Main3WData[[#This Row],[PT.Concat]])</f>
        <v>7</v>
      </c>
      <c r="N763" s="70">
        <f>MATCH(Main3WData[[#This Row],[PT.Concat]],$L$5:L763,0)</f>
        <v>753</v>
      </c>
      <c r="O763" s="62" t="b">
        <f>Main3WData[[#This Row],[Count PT.Concat]]=1</f>
        <v>0</v>
      </c>
      <c r="P763" s="62">
        <f t="array" ref="P763">MAX(($N$4:N762=Main3WData[[#This Row],[PT.ID]])*ROW($N$4:N762))</f>
        <v>762</v>
      </c>
      <c r="Q763" s="62" t="str">
        <f>IF(Main3WData[[#This Row],[PT.FirstID]],Main3WData[[#This Row],[Acronym]],INDEX($Q$4:Q762,Main3WData[[#This Row],[PT.LastID.Row]]-ROW($Q$4)+1) &amp; ", "&amp;Main3WData[[#This Row],[Acronym]])</f>
        <v>UNICEF, UNFPA, UNDP, PLAN, OMS, Internews, CRG/FICR</v>
      </c>
      <c r="R763" s="62" t="b">
        <f t="array" ref="R763">MAX(IF(Main3WData[PT.ID]=Main3WData[[#This Row],[PT.ID]],Main3WData[PT.LastID.Row]))=Main3WData[[#This Row],[PT.LastID.Row]]</f>
        <v>1</v>
      </c>
    </row>
    <row r="764" spans="2:18" x14ac:dyDescent="0.2">
      <c r="B764" s="55" t="s">
        <v>516</v>
      </c>
      <c r="C764" s="27" t="str">
        <f>INDEX(Organizations[],MATCH(Main3WData[[#This Row],[Acronym]],AcronymList,0),1)</f>
        <v>UNITED NATION MISSION FOR EBOLA  EMERGENCY RESPONSE</v>
      </c>
      <c r="D764" s="27" t="str">
        <f>INDEX(Organizations[],MATCH(Main3WData[[#This Row],[Acronym]],AcronymList,0),3)</f>
        <v>UN Agency</v>
      </c>
      <c r="E764" s="54" t="s">
        <v>360</v>
      </c>
      <c r="F764" s="53" t="s">
        <v>82</v>
      </c>
      <c r="G764" s="54" t="s">
        <v>406</v>
      </c>
      <c r="H764" s="28" t="str">
        <f>VLOOKUP(Main3WData[[#This Row],[Admin Unit Name]],AdminUnits[],2,FALSE)</f>
        <v>GIN005006</v>
      </c>
      <c r="I764" s="57">
        <v>0</v>
      </c>
      <c r="J764" s="67" t="str">
        <f>Main3WData[[#This Row],[Acronym]]&amp;Main3WData[[#This Row],[Sector]]&amp;Main3WData[[#This Row],[Activity Type]]&amp;Main3WData[[#This Row],[Pcode]]</f>
        <v>UNMEERCoordinationOngoingGIN005006</v>
      </c>
      <c r="K764" s="69">
        <f>COUNTIF(Main3WData[Concatenate],Main3WData[[#This Row],[Concatenate]])</f>
        <v>1</v>
      </c>
      <c r="L764" s="61" t="str">
        <f>Main3WData[[#This Row],[Sector]]&amp;Main3WData[[#This Row],[Pcode]]</f>
        <v>CoordinationGIN005006</v>
      </c>
      <c r="M764" s="71">
        <f>COUNTIF($L$5:L764,Main3WData[[#This Row],[PT.Concat]])</f>
        <v>1</v>
      </c>
      <c r="N764" s="70">
        <f>MATCH(Main3WData[[#This Row],[PT.Concat]],$L$5:L764,0)</f>
        <v>760</v>
      </c>
      <c r="O764" s="62" t="b">
        <f>Main3WData[[#This Row],[Count PT.Concat]]=1</f>
        <v>1</v>
      </c>
      <c r="P764" s="62">
        <f t="array" ref="P764">MAX(($N$4:N763=Main3WData[[#This Row],[PT.ID]])*ROW($N$4:N763))</f>
        <v>0</v>
      </c>
      <c r="Q764" s="62" t="str">
        <f>IF(Main3WData[[#This Row],[PT.FirstID]],Main3WData[[#This Row],[Acronym]],INDEX($Q$4:Q763,Main3WData[[#This Row],[PT.LastID.Row]]-ROW($Q$4)+1) &amp; ", "&amp;Main3WData[[#This Row],[Acronym]])</f>
        <v>UNMEER</v>
      </c>
      <c r="R764" s="62" t="b">
        <f t="array" ref="R764">MAX(IF(Main3WData[PT.ID]=Main3WData[[#This Row],[PT.ID]],Main3WData[PT.LastID.Row]))=Main3WData[[#This Row],[PT.LastID.Row]]</f>
        <v>0</v>
      </c>
    </row>
    <row r="765" spans="2:18" x14ac:dyDescent="0.2">
      <c r="B765" s="55" t="s">
        <v>75</v>
      </c>
      <c r="C765" s="27" t="str">
        <f>INDEX(Organizations[],MATCH(Main3WData[[#This Row],[Acronym]],AcronymList,0),1)</f>
        <v>United Nations Population Fund</v>
      </c>
      <c r="D765" s="27" t="str">
        <f>INDEX(Organizations[],MATCH(Main3WData[[#This Row],[Acronym]],AcronymList,0),3)</f>
        <v>UN Agency</v>
      </c>
      <c r="E765" s="54" t="s">
        <v>360</v>
      </c>
      <c r="F765" s="53" t="s">
        <v>82</v>
      </c>
      <c r="G765" s="54" t="s">
        <v>406</v>
      </c>
      <c r="H765" s="28" t="str">
        <f>VLOOKUP(Main3WData[[#This Row],[Admin Unit Name]],AdminUnits[],2,FALSE)</f>
        <v>GIN005006</v>
      </c>
      <c r="I765" s="57">
        <v>0</v>
      </c>
      <c r="J765" s="67" t="str">
        <f>Main3WData[[#This Row],[Acronym]]&amp;Main3WData[[#This Row],[Sector]]&amp;Main3WData[[#This Row],[Activity Type]]&amp;Main3WData[[#This Row],[Pcode]]</f>
        <v>UNFPACoordinationOngoingGIN005006</v>
      </c>
      <c r="K765" s="69">
        <f>COUNTIF(Main3WData[Concatenate],Main3WData[[#This Row],[Concatenate]])</f>
        <v>1</v>
      </c>
      <c r="L765" s="61" t="str">
        <f>Main3WData[[#This Row],[Sector]]&amp;Main3WData[[#This Row],[Pcode]]</f>
        <v>CoordinationGIN005006</v>
      </c>
      <c r="M765" s="71">
        <f>COUNTIF($L$5:L765,Main3WData[[#This Row],[PT.Concat]])</f>
        <v>2</v>
      </c>
      <c r="N765" s="70">
        <f>MATCH(Main3WData[[#This Row],[PT.Concat]],$L$5:L765,0)</f>
        <v>760</v>
      </c>
      <c r="O765" s="62" t="b">
        <f>Main3WData[[#This Row],[Count PT.Concat]]=1</f>
        <v>0</v>
      </c>
      <c r="P765" s="62">
        <f t="array" ref="P765">MAX(($N$4:N764=Main3WData[[#This Row],[PT.ID]])*ROW($N$4:N764))</f>
        <v>764</v>
      </c>
      <c r="Q765" s="62" t="str">
        <f>IF(Main3WData[[#This Row],[PT.FirstID]],Main3WData[[#This Row],[Acronym]],INDEX($Q$4:Q764,Main3WData[[#This Row],[PT.LastID.Row]]-ROW($Q$4)+1) &amp; ", "&amp;Main3WData[[#This Row],[Acronym]])</f>
        <v>UNMEER, UNFPA</v>
      </c>
      <c r="R765" s="62" t="b">
        <f t="array" ref="R765">MAX(IF(Main3WData[PT.ID]=Main3WData[[#This Row],[PT.ID]],Main3WData[PT.LastID.Row]))=Main3WData[[#This Row],[PT.LastID.Row]]</f>
        <v>0</v>
      </c>
    </row>
    <row r="766" spans="2:18" x14ac:dyDescent="0.2">
      <c r="B766" s="55" t="s">
        <v>473</v>
      </c>
      <c r="C766" s="27" t="str">
        <f>INDEX(Organizations[],MATCH(Main3WData[[#This Row],[Acronym]],AcronymList,0),1)</f>
        <v>United Nations Development Programme</v>
      </c>
      <c r="D766" s="27" t="str">
        <f>INDEX(Organizations[],MATCH(Main3WData[[#This Row],[Acronym]],AcronymList,0),3)</f>
        <v>UN Agency</v>
      </c>
      <c r="E766" s="54" t="s">
        <v>360</v>
      </c>
      <c r="F766" s="53" t="s">
        <v>82</v>
      </c>
      <c r="G766" s="54" t="s">
        <v>406</v>
      </c>
      <c r="H766" s="28" t="str">
        <f>VLOOKUP(Main3WData[[#This Row],[Admin Unit Name]],AdminUnits[],2,FALSE)</f>
        <v>GIN005006</v>
      </c>
      <c r="I766" s="57">
        <v>0</v>
      </c>
      <c r="J766" s="67" t="str">
        <f>Main3WData[[#This Row],[Acronym]]&amp;Main3WData[[#This Row],[Sector]]&amp;Main3WData[[#This Row],[Activity Type]]&amp;Main3WData[[#This Row],[Pcode]]</f>
        <v>UNDPCoordinationOngoingGIN005006</v>
      </c>
      <c r="K766" s="69">
        <f>COUNTIF(Main3WData[Concatenate],Main3WData[[#This Row],[Concatenate]])</f>
        <v>1</v>
      </c>
      <c r="L766" s="61" t="str">
        <f>Main3WData[[#This Row],[Sector]]&amp;Main3WData[[#This Row],[Pcode]]</f>
        <v>CoordinationGIN005006</v>
      </c>
      <c r="M766" s="71">
        <f>COUNTIF($L$5:L766,Main3WData[[#This Row],[PT.Concat]])</f>
        <v>3</v>
      </c>
      <c r="N766" s="70">
        <f>MATCH(Main3WData[[#This Row],[PT.Concat]],$L$5:L766,0)</f>
        <v>760</v>
      </c>
      <c r="O766" s="62" t="b">
        <f>Main3WData[[#This Row],[Count PT.Concat]]=1</f>
        <v>0</v>
      </c>
      <c r="P766" s="62">
        <f t="array" ref="P766">MAX(($N$4:N765=Main3WData[[#This Row],[PT.ID]])*ROW($N$4:N765))</f>
        <v>765</v>
      </c>
      <c r="Q766" s="62" t="str">
        <f>IF(Main3WData[[#This Row],[PT.FirstID]],Main3WData[[#This Row],[Acronym]],INDEX($Q$4:Q765,Main3WData[[#This Row],[PT.LastID.Row]]-ROW($Q$4)+1) &amp; ", "&amp;Main3WData[[#This Row],[Acronym]])</f>
        <v>UNMEER, UNFPA, UNDP</v>
      </c>
      <c r="R766" s="62" t="b">
        <f t="array" ref="R766">MAX(IF(Main3WData[PT.ID]=Main3WData[[#This Row],[PT.ID]],Main3WData[PT.LastID.Row]))=Main3WData[[#This Row],[PT.LastID.Row]]</f>
        <v>0</v>
      </c>
    </row>
    <row r="767" spans="2:18" x14ac:dyDescent="0.2">
      <c r="B767" s="55" t="s">
        <v>512</v>
      </c>
      <c r="C767" s="27" t="str">
        <f>INDEX(Organizations[],MATCH(Main3WData[[#This Row],[Acronym]],AcronymList,0),1)</f>
        <v>World Health Organization</v>
      </c>
      <c r="D767" s="27" t="str">
        <f>INDEX(Organizations[],MATCH(Main3WData[[#This Row],[Acronym]],AcronymList,0),3)</f>
        <v>UN Agency</v>
      </c>
      <c r="E767" s="54" t="s">
        <v>360</v>
      </c>
      <c r="F767" s="53" t="s">
        <v>82</v>
      </c>
      <c r="G767" s="54" t="s">
        <v>406</v>
      </c>
      <c r="H767" s="28" t="str">
        <f>VLOOKUP(Main3WData[[#This Row],[Admin Unit Name]],AdminUnits[],2,FALSE)</f>
        <v>GIN005006</v>
      </c>
      <c r="I767" s="57">
        <v>0</v>
      </c>
      <c r="J767" s="67" t="str">
        <f>Main3WData[[#This Row],[Acronym]]&amp;Main3WData[[#This Row],[Sector]]&amp;Main3WData[[#This Row],[Activity Type]]&amp;Main3WData[[#This Row],[Pcode]]</f>
        <v>OMSCoordinationOngoingGIN005006</v>
      </c>
      <c r="K767" s="69">
        <f>COUNTIF(Main3WData[Concatenate],Main3WData[[#This Row],[Concatenate]])</f>
        <v>1</v>
      </c>
      <c r="L767" s="61" t="str">
        <f>Main3WData[[#This Row],[Sector]]&amp;Main3WData[[#This Row],[Pcode]]</f>
        <v>CoordinationGIN005006</v>
      </c>
      <c r="M767" s="71">
        <f>COUNTIF($L$5:L767,Main3WData[[#This Row],[PT.Concat]])</f>
        <v>4</v>
      </c>
      <c r="N767" s="70">
        <f>MATCH(Main3WData[[#This Row],[PT.Concat]],$L$5:L767,0)</f>
        <v>760</v>
      </c>
      <c r="O767" s="62" t="b">
        <f>Main3WData[[#This Row],[Count PT.Concat]]=1</f>
        <v>0</v>
      </c>
      <c r="P767" s="62">
        <f t="array" ref="P767">MAX(($N$4:N766=Main3WData[[#This Row],[PT.ID]])*ROW($N$4:N766))</f>
        <v>766</v>
      </c>
      <c r="Q767" s="62" t="str">
        <f>IF(Main3WData[[#This Row],[PT.FirstID]],Main3WData[[#This Row],[Acronym]],INDEX($Q$4:Q766,Main3WData[[#This Row],[PT.LastID.Row]]-ROW($Q$4)+1) &amp; ", "&amp;Main3WData[[#This Row],[Acronym]])</f>
        <v>UNMEER, UNFPA, UNDP, OMS</v>
      </c>
      <c r="R767" s="62" t="b">
        <f t="array" ref="R767">MAX(IF(Main3WData[PT.ID]=Main3WData[[#This Row],[PT.ID]],Main3WData[PT.LastID.Row]))=Main3WData[[#This Row],[PT.LastID.Row]]</f>
        <v>0</v>
      </c>
    </row>
    <row r="768" spans="2:18" x14ac:dyDescent="0.2">
      <c r="B768" s="55" t="s">
        <v>71</v>
      </c>
      <c r="C768" s="27" t="str">
        <f>INDEX(Organizations[],MATCH(Main3WData[[#This Row],[Acronym]],AcronymList,0),1)</f>
        <v>Medecins sans Frontieres</v>
      </c>
      <c r="D768" s="27" t="str">
        <f>INDEX(Organizations[],MATCH(Main3WData[[#This Row],[Acronym]],AcronymList,0),3)</f>
        <v>International NGO</v>
      </c>
      <c r="E768" s="54" t="s">
        <v>360</v>
      </c>
      <c r="F768" s="53" t="s">
        <v>82</v>
      </c>
      <c r="G768" s="54" t="s">
        <v>406</v>
      </c>
      <c r="H768" s="28" t="str">
        <f>VLOOKUP(Main3WData[[#This Row],[Admin Unit Name]],AdminUnits[],2,FALSE)</f>
        <v>GIN005006</v>
      </c>
      <c r="I768" s="57">
        <v>0</v>
      </c>
      <c r="J768" s="67" t="str">
        <f>Main3WData[[#This Row],[Acronym]]&amp;Main3WData[[#This Row],[Sector]]&amp;Main3WData[[#This Row],[Activity Type]]&amp;Main3WData[[#This Row],[Pcode]]</f>
        <v>MSFCoordinationOngoingGIN005006</v>
      </c>
      <c r="K768" s="69">
        <f>COUNTIF(Main3WData[Concatenate],Main3WData[[#This Row],[Concatenate]])</f>
        <v>1</v>
      </c>
      <c r="L768" s="61" t="str">
        <f>Main3WData[[#This Row],[Sector]]&amp;Main3WData[[#This Row],[Pcode]]</f>
        <v>CoordinationGIN005006</v>
      </c>
      <c r="M768" s="71">
        <f>COUNTIF($L$5:L768,Main3WData[[#This Row],[PT.Concat]])</f>
        <v>5</v>
      </c>
      <c r="N768" s="70">
        <f>MATCH(Main3WData[[#This Row],[PT.Concat]],$L$5:L768,0)</f>
        <v>760</v>
      </c>
      <c r="O768" s="62" t="b">
        <f>Main3WData[[#This Row],[Count PT.Concat]]=1</f>
        <v>0</v>
      </c>
      <c r="P768" s="62">
        <f t="array" ref="P768">MAX(($N$4:N767=Main3WData[[#This Row],[PT.ID]])*ROW($N$4:N767))</f>
        <v>767</v>
      </c>
      <c r="Q768" s="62" t="str">
        <f>IF(Main3WData[[#This Row],[PT.FirstID]],Main3WData[[#This Row],[Acronym]],INDEX($Q$4:Q767,Main3WData[[#This Row],[PT.LastID.Row]]-ROW($Q$4)+1) &amp; ", "&amp;Main3WData[[#This Row],[Acronym]])</f>
        <v>UNMEER, UNFPA, UNDP, OMS, MSF</v>
      </c>
      <c r="R768" s="62" t="b">
        <f t="array" ref="R768">MAX(IF(Main3WData[PT.ID]=Main3WData[[#This Row],[PT.ID]],Main3WData[PT.LastID.Row]))=Main3WData[[#This Row],[PT.LastID.Row]]</f>
        <v>0</v>
      </c>
    </row>
    <row r="769" spans="2:18" x14ac:dyDescent="0.2">
      <c r="B769" s="55" t="s">
        <v>507</v>
      </c>
      <c r="C769" s="27" t="str">
        <f>INDEX(Organizations[],MATCH(Main3WData[[#This Row],[Acronym]],AcronymList,0),1)</f>
        <v>eHealth Africa</v>
      </c>
      <c r="D769" s="27" t="str">
        <f>INDEX(Organizations[],MATCH(Main3WData[[#This Row],[Acronym]],AcronymList,0),3)</f>
        <v>International Organization</v>
      </c>
      <c r="E769" s="54" t="s">
        <v>360</v>
      </c>
      <c r="F769" s="53" t="s">
        <v>82</v>
      </c>
      <c r="G769" s="54" t="s">
        <v>406</v>
      </c>
      <c r="H769" s="28" t="str">
        <f>VLOOKUP(Main3WData[[#This Row],[Admin Unit Name]],AdminUnits[],2,FALSE)</f>
        <v>GIN005006</v>
      </c>
      <c r="I769" s="57">
        <v>0</v>
      </c>
      <c r="J769" s="67" t="str">
        <f>Main3WData[[#This Row],[Acronym]]&amp;Main3WData[[#This Row],[Sector]]&amp;Main3WData[[#This Row],[Activity Type]]&amp;Main3WData[[#This Row],[Pcode]]</f>
        <v>eHealth AfricaCoordinationOngoingGIN005006</v>
      </c>
      <c r="K769" s="69">
        <f>COUNTIF(Main3WData[Concatenate],Main3WData[[#This Row],[Concatenate]])</f>
        <v>1</v>
      </c>
      <c r="L769" s="61" t="str">
        <f>Main3WData[[#This Row],[Sector]]&amp;Main3WData[[#This Row],[Pcode]]</f>
        <v>CoordinationGIN005006</v>
      </c>
      <c r="M769" s="71">
        <f>COUNTIF($L$5:L769,Main3WData[[#This Row],[PT.Concat]])</f>
        <v>6</v>
      </c>
      <c r="N769" s="70">
        <f>MATCH(Main3WData[[#This Row],[PT.Concat]],$L$5:L769,0)</f>
        <v>760</v>
      </c>
      <c r="O769" s="62" t="b">
        <f>Main3WData[[#This Row],[Count PT.Concat]]=1</f>
        <v>0</v>
      </c>
      <c r="P769" s="62">
        <f t="array" ref="P769">MAX(($N$4:N768=Main3WData[[#This Row],[PT.ID]])*ROW($N$4:N768))</f>
        <v>768</v>
      </c>
      <c r="Q769" s="62" t="str">
        <f>IF(Main3WData[[#This Row],[PT.FirstID]],Main3WData[[#This Row],[Acronym]],INDEX($Q$4:Q768,Main3WData[[#This Row],[PT.LastID.Row]]-ROW($Q$4)+1) &amp; ", "&amp;Main3WData[[#This Row],[Acronym]])</f>
        <v>UNMEER, UNFPA, UNDP, OMS, MSF, eHealth Africa</v>
      </c>
      <c r="R769" s="62" t="b">
        <f t="array" ref="R769">MAX(IF(Main3WData[PT.ID]=Main3WData[[#This Row],[PT.ID]],Main3WData[PT.LastID.Row]))=Main3WData[[#This Row],[PT.LastID.Row]]</f>
        <v>1</v>
      </c>
    </row>
    <row r="770" spans="2:18" x14ac:dyDescent="0.2">
      <c r="B770" s="55" t="s">
        <v>473</v>
      </c>
      <c r="C770" s="27" t="str">
        <f>INDEX(Organizations[],MATCH(Main3WData[[#This Row],[Acronym]],AcronymList,0),1)</f>
        <v>United Nations Development Programme</v>
      </c>
      <c r="D770" s="27" t="str">
        <f>INDEX(Organizations[],MATCH(Main3WData[[#This Row],[Acronym]],AcronymList,0),3)</f>
        <v>UN Agency</v>
      </c>
      <c r="E770" s="54" t="s">
        <v>359</v>
      </c>
      <c r="F770" s="53" t="s">
        <v>82</v>
      </c>
      <c r="G770" s="54" t="s">
        <v>406</v>
      </c>
      <c r="H770" s="28" t="str">
        <f>VLOOKUP(Main3WData[[#This Row],[Admin Unit Name]],AdminUnits[],2,FALSE)</f>
        <v>GIN005006</v>
      </c>
      <c r="I770" s="57">
        <v>0</v>
      </c>
      <c r="J770" s="67" t="str">
        <f>Main3WData[[#This Row],[Acronym]]&amp;Main3WData[[#This Row],[Sector]]&amp;Main3WData[[#This Row],[Activity Type]]&amp;Main3WData[[#This Row],[Pcode]]</f>
        <v>UNDPFinanceOngoingGIN005006</v>
      </c>
      <c r="K770" s="69">
        <f>COUNTIF(Main3WData[Concatenate],Main3WData[[#This Row],[Concatenate]])</f>
        <v>1</v>
      </c>
      <c r="L770" s="61" t="str">
        <f>Main3WData[[#This Row],[Sector]]&amp;Main3WData[[#This Row],[Pcode]]</f>
        <v>FinanceGIN005006</v>
      </c>
      <c r="M770" s="71">
        <f>COUNTIF($L$5:L770,Main3WData[[#This Row],[PT.Concat]])</f>
        <v>1</v>
      </c>
      <c r="N770" s="70">
        <f>MATCH(Main3WData[[#This Row],[PT.Concat]],$L$5:L770,0)</f>
        <v>766</v>
      </c>
      <c r="O770" s="62" t="b">
        <f>Main3WData[[#This Row],[Count PT.Concat]]=1</f>
        <v>1</v>
      </c>
      <c r="P770" s="62">
        <f t="array" ref="P770">MAX(($N$4:N769=Main3WData[[#This Row],[PT.ID]])*ROW($N$4:N769))</f>
        <v>0</v>
      </c>
      <c r="Q770" s="62" t="str">
        <f>IF(Main3WData[[#This Row],[PT.FirstID]],Main3WData[[#This Row],[Acronym]],INDEX($Q$4:Q769,Main3WData[[#This Row],[PT.LastID.Row]]-ROW($Q$4)+1) &amp; ", "&amp;Main3WData[[#This Row],[Acronym]])</f>
        <v>UNDP</v>
      </c>
      <c r="R770" s="62" t="b">
        <f t="array" ref="R770">MAX(IF(Main3WData[PT.ID]=Main3WData[[#This Row],[PT.ID]],Main3WData[PT.LastID.Row]))=Main3WData[[#This Row],[PT.LastID.Row]]</f>
        <v>1</v>
      </c>
    </row>
    <row r="771" spans="2:18" x14ac:dyDescent="0.2">
      <c r="B771" s="55" t="s">
        <v>451</v>
      </c>
      <c r="C771" s="27" t="str">
        <f>INDEX(Organizations[],MATCH(Main3WData[[#This Row],[Acronym]],AcronymList,0),1)</f>
        <v>Croix-Rouge Guinée</v>
      </c>
      <c r="D771" s="27" t="str">
        <f>INDEX(Organizations[],MATCH(Main3WData[[#This Row],[Acronym]],AcronymList,0),3)</f>
        <v>Red Cross Movement</v>
      </c>
      <c r="E771" s="54" t="s">
        <v>354</v>
      </c>
      <c r="F771" s="53" t="s">
        <v>82</v>
      </c>
      <c r="G771" s="54" t="s">
        <v>406</v>
      </c>
      <c r="H771" s="28" t="str">
        <f>VLOOKUP(Main3WData[[#This Row],[Admin Unit Name]],AdminUnits[],2,FALSE)</f>
        <v>GIN005006</v>
      </c>
      <c r="I771" s="57">
        <v>0</v>
      </c>
      <c r="J771" s="67" t="str">
        <f>Main3WData[[#This Row],[Acronym]]&amp;Main3WData[[#This Row],[Sector]]&amp;Main3WData[[#This Row],[Activity Type]]&amp;Main3WData[[#This Row],[Pcode]]</f>
        <v>CRGGestion des corps et desinfectionOngoingGIN005006</v>
      </c>
      <c r="K771" s="69">
        <f>COUNTIF(Main3WData[Concatenate],Main3WData[[#This Row],[Concatenate]])</f>
        <v>1</v>
      </c>
      <c r="L771" s="61" t="str">
        <f>Main3WData[[#This Row],[Sector]]&amp;Main3WData[[#This Row],[Pcode]]</f>
        <v>Gestion des corps et desinfectionGIN005006</v>
      </c>
      <c r="M771" s="71">
        <f>COUNTIF($L$5:L771,Main3WData[[#This Row],[PT.Concat]])</f>
        <v>1</v>
      </c>
      <c r="N771" s="70">
        <f>MATCH(Main3WData[[#This Row],[PT.Concat]],$L$5:L771,0)</f>
        <v>767</v>
      </c>
      <c r="O771" s="62" t="b">
        <f>Main3WData[[#This Row],[Count PT.Concat]]=1</f>
        <v>1</v>
      </c>
      <c r="P771" s="62">
        <f t="array" ref="P771">MAX(($N$4:N770=Main3WData[[#This Row],[PT.ID]])*ROW($N$4:N770))</f>
        <v>0</v>
      </c>
      <c r="Q771" s="62" t="str">
        <f>IF(Main3WData[[#This Row],[PT.FirstID]],Main3WData[[#This Row],[Acronym]],INDEX($Q$4:Q770,Main3WData[[#This Row],[PT.LastID.Row]]-ROW($Q$4)+1) &amp; ", "&amp;Main3WData[[#This Row],[Acronym]])</f>
        <v>CRG</v>
      </c>
      <c r="R771" s="62" t="b">
        <f t="array" ref="R771">MAX(IF(Main3WData[PT.ID]=Main3WData[[#This Row],[PT.ID]],Main3WData[PT.LastID.Row]))=Main3WData[[#This Row],[PT.LastID.Row]]</f>
        <v>1</v>
      </c>
    </row>
    <row r="772" spans="2:18" x14ac:dyDescent="0.2">
      <c r="B772" s="55" t="s">
        <v>516</v>
      </c>
      <c r="C772" s="27" t="str">
        <f>INDEX(Organizations[],MATCH(Main3WData[[#This Row],[Acronym]],AcronymList,0),1)</f>
        <v>UNITED NATION MISSION FOR EBOLA  EMERGENCY RESPONSE</v>
      </c>
      <c r="D772" s="27" t="str">
        <f>INDEX(Organizations[],MATCH(Main3WData[[#This Row],[Acronym]],AcronymList,0),3)</f>
        <v>UN Agency</v>
      </c>
      <c r="E772" s="54" t="s">
        <v>356</v>
      </c>
      <c r="F772" s="53" t="s">
        <v>82</v>
      </c>
      <c r="G772" s="54" t="s">
        <v>406</v>
      </c>
      <c r="H772" s="28" t="str">
        <f>VLOOKUP(Main3WData[[#This Row],[Admin Unit Name]],AdminUnits[],2,FALSE)</f>
        <v>GIN005006</v>
      </c>
      <c r="I772" s="57">
        <v>0</v>
      </c>
      <c r="J772" s="67" t="str">
        <f>Main3WData[[#This Row],[Acronym]]&amp;Main3WData[[#This Row],[Sector]]&amp;Main3WData[[#This Row],[Activity Type]]&amp;Main3WData[[#This Row],[Pcode]]</f>
        <v>UNMEERGestion des donnéesOngoingGIN005006</v>
      </c>
      <c r="K772" s="69">
        <f>COUNTIF(Main3WData[Concatenate],Main3WData[[#This Row],[Concatenate]])</f>
        <v>1</v>
      </c>
      <c r="L772" s="61" t="str">
        <f>Main3WData[[#This Row],[Sector]]&amp;Main3WData[[#This Row],[Pcode]]</f>
        <v>Gestion des donnéesGIN005006</v>
      </c>
      <c r="M772" s="71">
        <f>COUNTIF($L$5:L772,Main3WData[[#This Row],[PT.Concat]])</f>
        <v>1</v>
      </c>
      <c r="N772" s="70">
        <f>MATCH(Main3WData[[#This Row],[PT.Concat]],$L$5:L772,0)</f>
        <v>768</v>
      </c>
      <c r="O772" s="62" t="b">
        <f>Main3WData[[#This Row],[Count PT.Concat]]=1</f>
        <v>1</v>
      </c>
      <c r="P772" s="62">
        <f t="array" ref="P772">MAX(($N$4:N771=Main3WData[[#This Row],[PT.ID]])*ROW($N$4:N771))</f>
        <v>0</v>
      </c>
      <c r="Q772" s="62" t="str">
        <f>IF(Main3WData[[#This Row],[PT.FirstID]],Main3WData[[#This Row],[Acronym]],INDEX($Q$4:Q771,Main3WData[[#This Row],[PT.LastID.Row]]-ROW($Q$4)+1) &amp; ", "&amp;Main3WData[[#This Row],[Acronym]])</f>
        <v>UNMEER</v>
      </c>
      <c r="R772" s="62" t="b">
        <f t="array" ref="R772">MAX(IF(Main3WData[PT.ID]=Main3WData[[#This Row],[PT.ID]],Main3WData[PT.LastID.Row]))=Main3WData[[#This Row],[PT.LastID.Row]]</f>
        <v>0</v>
      </c>
    </row>
    <row r="773" spans="2:18" x14ac:dyDescent="0.2">
      <c r="B773" s="55" t="s">
        <v>72</v>
      </c>
      <c r="C773" s="27" t="str">
        <f>INDEX(Organizations[],MATCH(Main3WData[[#This Row],[Acronym]],AcronymList,0),1)</f>
        <v>PLAN</v>
      </c>
      <c r="D773" s="27" t="str">
        <f>INDEX(Organizations[],MATCH(Main3WData[[#This Row],[Acronym]],AcronymList,0),3)</f>
        <v>International Organization</v>
      </c>
      <c r="E773" s="54" t="s">
        <v>356</v>
      </c>
      <c r="F773" s="53" t="s">
        <v>82</v>
      </c>
      <c r="G773" s="54" t="s">
        <v>406</v>
      </c>
      <c r="H773" s="28" t="str">
        <f>VLOOKUP(Main3WData[[#This Row],[Admin Unit Name]],AdminUnits[],2,FALSE)</f>
        <v>GIN005006</v>
      </c>
      <c r="I773" s="57">
        <v>0</v>
      </c>
      <c r="J773" s="67" t="str">
        <f>Main3WData[[#This Row],[Acronym]]&amp;Main3WData[[#This Row],[Sector]]&amp;Main3WData[[#This Row],[Activity Type]]&amp;Main3WData[[#This Row],[Pcode]]</f>
        <v>PLANGestion des donnéesOngoingGIN005006</v>
      </c>
      <c r="K773" s="69">
        <f>COUNTIF(Main3WData[Concatenate],Main3WData[[#This Row],[Concatenate]])</f>
        <v>1</v>
      </c>
      <c r="L773" s="61" t="str">
        <f>Main3WData[[#This Row],[Sector]]&amp;Main3WData[[#This Row],[Pcode]]</f>
        <v>Gestion des donnéesGIN005006</v>
      </c>
      <c r="M773" s="71">
        <f>COUNTIF($L$5:L773,Main3WData[[#This Row],[PT.Concat]])</f>
        <v>2</v>
      </c>
      <c r="N773" s="70">
        <f>MATCH(Main3WData[[#This Row],[PT.Concat]],$L$5:L773,0)</f>
        <v>768</v>
      </c>
      <c r="O773" s="62" t="b">
        <f>Main3WData[[#This Row],[Count PT.Concat]]=1</f>
        <v>0</v>
      </c>
      <c r="P773" s="62">
        <f t="array" ref="P773">MAX(($N$4:N772=Main3WData[[#This Row],[PT.ID]])*ROW($N$4:N772))</f>
        <v>772</v>
      </c>
      <c r="Q773" s="62" t="str">
        <f>IF(Main3WData[[#This Row],[PT.FirstID]],Main3WData[[#This Row],[Acronym]],INDEX($Q$4:Q772,Main3WData[[#This Row],[PT.LastID.Row]]-ROW($Q$4)+1) &amp; ", "&amp;Main3WData[[#This Row],[Acronym]])</f>
        <v>UNMEER, PLAN</v>
      </c>
      <c r="R773" s="62" t="b">
        <f t="array" ref="R773">MAX(IF(Main3WData[PT.ID]=Main3WData[[#This Row],[PT.ID]],Main3WData[PT.LastID.Row]))=Main3WData[[#This Row],[PT.LastID.Row]]</f>
        <v>0</v>
      </c>
    </row>
    <row r="774" spans="2:18" x14ac:dyDescent="0.2">
      <c r="B774" s="55" t="s">
        <v>512</v>
      </c>
      <c r="C774" s="27" t="str">
        <f>INDEX(Organizations[],MATCH(Main3WData[[#This Row],[Acronym]],AcronymList,0),1)</f>
        <v>World Health Organization</v>
      </c>
      <c r="D774" s="27" t="str">
        <f>INDEX(Organizations[],MATCH(Main3WData[[#This Row],[Acronym]],AcronymList,0),3)</f>
        <v>UN Agency</v>
      </c>
      <c r="E774" s="54" t="s">
        <v>356</v>
      </c>
      <c r="F774" s="53" t="s">
        <v>82</v>
      </c>
      <c r="G774" s="54" t="s">
        <v>406</v>
      </c>
      <c r="H774" s="28" t="str">
        <f>VLOOKUP(Main3WData[[#This Row],[Admin Unit Name]],AdminUnits[],2,FALSE)</f>
        <v>GIN005006</v>
      </c>
      <c r="I774" s="57">
        <v>0</v>
      </c>
      <c r="J774" s="67" t="str">
        <f>Main3WData[[#This Row],[Acronym]]&amp;Main3WData[[#This Row],[Sector]]&amp;Main3WData[[#This Row],[Activity Type]]&amp;Main3WData[[#This Row],[Pcode]]</f>
        <v>OMSGestion des donnéesOngoingGIN005006</v>
      </c>
      <c r="K774" s="69">
        <f>COUNTIF(Main3WData[Concatenate],Main3WData[[#This Row],[Concatenate]])</f>
        <v>1</v>
      </c>
      <c r="L774" s="61" t="str">
        <f>Main3WData[[#This Row],[Sector]]&amp;Main3WData[[#This Row],[Pcode]]</f>
        <v>Gestion des donnéesGIN005006</v>
      </c>
      <c r="M774" s="71">
        <f>COUNTIF($L$5:L774,Main3WData[[#This Row],[PT.Concat]])</f>
        <v>3</v>
      </c>
      <c r="N774" s="70">
        <f>MATCH(Main3WData[[#This Row],[PT.Concat]],$L$5:L774,0)</f>
        <v>768</v>
      </c>
      <c r="O774" s="62" t="b">
        <f>Main3WData[[#This Row],[Count PT.Concat]]=1</f>
        <v>0</v>
      </c>
      <c r="P774" s="62">
        <f t="array" ref="P774">MAX(($N$4:N773=Main3WData[[#This Row],[PT.ID]])*ROW($N$4:N773))</f>
        <v>773</v>
      </c>
      <c r="Q774" s="62" t="str">
        <f>IF(Main3WData[[#This Row],[PT.FirstID]],Main3WData[[#This Row],[Acronym]],INDEX($Q$4:Q773,Main3WData[[#This Row],[PT.LastID.Row]]-ROW($Q$4)+1) &amp; ", "&amp;Main3WData[[#This Row],[Acronym]])</f>
        <v>UNMEER, PLAN, OMS</v>
      </c>
      <c r="R774" s="62" t="b">
        <f t="array" ref="R774">MAX(IF(Main3WData[PT.ID]=Main3WData[[#This Row],[PT.ID]],Main3WData[PT.LastID.Row]))=Main3WData[[#This Row],[PT.LastID.Row]]</f>
        <v>1</v>
      </c>
    </row>
    <row r="775" spans="2:18" x14ac:dyDescent="0.2">
      <c r="B775" s="55" t="s">
        <v>512</v>
      </c>
      <c r="C775" s="27" t="str">
        <f>INDEX(Organizations[],MATCH(Main3WData[[#This Row],[Acronym]],AcronymList,0),1)</f>
        <v>World Health Organization</v>
      </c>
      <c r="D775" s="27" t="str">
        <f>INDEX(Organizations[],MATCH(Main3WData[[#This Row],[Acronym]],AcronymList,0),3)</f>
        <v>UN Agency</v>
      </c>
      <c r="E775" s="54" t="s">
        <v>351</v>
      </c>
      <c r="F775" s="53" t="s">
        <v>82</v>
      </c>
      <c r="G775" s="54" t="s">
        <v>406</v>
      </c>
      <c r="H775" s="28" t="str">
        <f>VLOOKUP(Main3WData[[#This Row],[Admin Unit Name]],AdminUnits[],2,FALSE)</f>
        <v>GIN005006</v>
      </c>
      <c r="I775" s="57">
        <v>0</v>
      </c>
      <c r="J775" s="67" t="str">
        <f>Main3WData[[#This Row],[Acronym]]&amp;Main3WData[[#This Row],[Sector]]&amp;Main3WData[[#This Row],[Activity Type]]&amp;Main3WData[[#This Row],[Pcode]]</f>
        <v>OMSSurveillance &amp; suiviOngoingGIN005006</v>
      </c>
      <c r="K775" s="69">
        <f>COUNTIF(Main3WData[Concatenate],Main3WData[[#This Row],[Concatenate]])</f>
        <v>1</v>
      </c>
      <c r="L775" s="61" t="str">
        <f>Main3WData[[#This Row],[Sector]]&amp;Main3WData[[#This Row],[Pcode]]</f>
        <v>Surveillance &amp; suiviGIN005006</v>
      </c>
      <c r="M775" s="71">
        <f>COUNTIF($L$5:L775,Main3WData[[#This Row],[PT.Concat]])</f>
        <v>1</v>
      </c>
      <c r="N775" s="70">
        <f>MATCH(Main3WData[[#This Row],[PT.Concat]],$L$5:L775,0)</f>
        <v>771</v>
      </c>
      <c r="O775" s="62" t="b">
        <f>Main3WData[[#This Row],[Count PT.Concat]]=1</f>
        <v>1</v>
      </c>
      <c r="P775" s="62">
        <f t="array" ref="P775">MAX(($N$4:N774=Main3WData[[#This Row],[PT.ID]])*ROW($N$4:N774))</f>
        <v>0</v>
      </c>
      <c r="Q775" s="62" t="str">
        <f>IF(Main3WData[[#This Row],[PT.FirstID]],Main3WData[[#This Row],[Acronym]],INDEX($Q$4:Q774,Main3WData[[#This Row],[PT.LastID.Row]]-ROW($Q$4)+1) &amp; ", "&amp;Main3WData[[#This Row],[Acronym]])</f>
        <v>OMS</v>
      </c>
      <c r="R775" s="62" t="b">
        <f t="array" ref="R775">MAX(IF(Main3WData[PT.ID]=Main3WData[[#This Row],[PT.ID]],Main3WData[PT.LastID.Row]))=Main3WData[[#This Row],[PT.LastID.Row]]</f>
        <v>0</v>
      </c>
    </row>
    <row r="776" spans="2:18" x14ac:dyDescent="0.2">
      <c r="B776" s="55" t="s">
        <v>64</v>
      </c>
      <c r="C776" s="27" t="str">
        <f>INDEX(Organizations[],MATCH(Main3WData[[#This Row],[Acronym]],AcronymList,0),1)</f>
        <v>CDC</v>
      </c>
      <c r="D776" s="27" t="str">
        <f>INDEX(Organizations[],MATCH(Main3WData[[#This Row],[Acronym]],AcronymList,0),3)</f>
        <v>International NGO</v>
      </c>
      <c r="E776" s="54" t="s">
        <v>351</v>
      </c>
      <c r="F776" s="53" t="s">
        <v>82</v>
      </c>
      <c r="G776" s="54" t="s">
        <v>406</v>
      </c>
      <c r="H776" s="28" t="str">
        <f>VLOOKUP(Main3WData[[#This Row],[Admin Unit Name]],AdminUnits[],2,FALSE)</f>
        <v>GIN005006</v>
      </c>
      <c r="I776" s="57">
        <v>0</v>
      </c>
      <c r="J776" s="67" t="str">
        <f>Main3WData[[#This Row],[Acronym]]&amp;Main3WData[[#This Row],[Sector]]&amp;Main3WData[[#This Row],[Activity Type]]&amp;Main3WData[[#This Row],[Pcode]]</f>
        <v>CDCSurveillance &amp; suiviOngoingGIN005006</v>
      </c>
      <c r="K776" s="69">
        <f>COUNTIF(Main3WData[Concatenate],Main3WData[[#This Row],[Concatenate]])</f>
        <v>1</v>
      </c>
      <c r="L776" s="61" t="str">
        <f>Main3WData[[#This Row],[Sector]]&amp;Main3WData[[#This Row],[Pcode]]</f>
        <v>Surveillance &amp; suiviGIN005006</v>
      </c>
      <c r="M776" s="71">
        <f>COUNTIF($L$5:L776,Main3WData[[#This Row],[PT.Concat]])</f>
        <v>2</v>
      </c>
      <c r="N776" s="70">
        <f>MATCH(Main3WData[[#This Row],[PT.Concat]],$L$5:L776,0)</f>
        <v>771</v>
      </c>
      <c r="O776" s="62" t="b">
        <f>Main3WData[[#This Row],[Count PT.Concat]]=1</f>
        <v>0</v>
      </c>
      <c r="P776" s="62">
        <f t="array" ref="P776">MAX(($N$4:N775=Main3WData[[#This Row],[PT.ID]])*ROW($N$4:N775))</f>
        <v>775</v>
      </c>
      <c r="Q776" s="62" t="str">
        <f>IF(Main3WData[[#This Row],[PT.FirstID]],Main3WData[[#This Row],[Acronym]],INDEX($Q$4:Q775,Main3WData[[#This Row],[PT.LastID.Row]]-ROW($Q$4)+1) &amp; ", "&amp;Main3WData[[#This Row],[Acronym]])</f>
        <v>OMS, CDC</v>
      </c>
      <c r="R776" s="62" t="b">
        <f t="array" ref="R776">MAX(IF(Main3WData[PT.ID]=Main3WData[[#This Row],[PT.ID]],Main3WData[PT.LastID.Row]))=Main3WData[[#This Row],[PT.LastID.Row]]</f>
        <v>1</v>
      </c>
    </row>
    <row r="777" spans="2:18" x14ac:dyDescent="0.2">
      <c r="B777" s="55" t="s">
        <v>77</v>
      </c>
      <c r="C777" s="27" t="str">
        <f>INDEX(Organizations[],MATCH(Main3WData[[#This Row],[Acronym]],AcronymList,0),1)</f>
        <v>United Nations Children's Fund</v>
      </c>
      <c r="D777" s="27" t="str">
        <f>INDEX(Organizations[],MATCH(Main3WData[[#This Row],[Acronym]],AcronymList,0),3)</f>
        <v>UN Agency</v>
      </c>
      <c r="E777" s="54" t="s">
        <v>350</v>
      </c>
      <c r="F777" s="53" t="s">
        <v>82</v>
      </c>
      <c r="G777" s="54" t="s">
        <v>416</v>
      </c>
      <c r="H777" s="28" t="str">
        <f>VLOOKUP(Main3WData[[#This Row],[Admin Unit Name]],AdminUnits[],2,FALSE)</f>
        <v>GIN006005</v>
      </c>
      <c r="I777" s="57">
        <v>0</v>
      </c>
      <c r="J777" s="67" t="str">
        <f>Main3WData[[#This Row],[Acronym]]&amp;Main3WData[[#This Row],[Sector]]&amp;Main3WData[[#This Row],[Activity Type]]&amp;Main3WData[[#This Row],[Pcode]]</f>
        <v>UNICEFCommunication/Mobilisation socialeOngoingGIN006005</v>
      </c>
      <c r="K777" s="69">
        <f>COUNTIF(Main3WData[Concatenate],Main3WData[[#This Row],[Concatenate]])</f>
        <v>1</v>
      </c>
      <c r="L777" s="61" t="str">
        <f>Main3WData[[#This Row],[Sector]]&amp;Main3WData[[#This Row],[Pcode]]</f>
        <v>Communication/Mobilisation socialeGIN006005</v>
      </c>
      <c r="M777" s="71">
        <f>COUNTIF($L$5:L777,Main3WData[[#This Row],[PT.Concat]])</f>
        <v>1</v>
      </c>
      <c r="N777" s="70">
        <f>MATCH(Main3WData[[#This Row],[PT.Concat]],$L$5:L777,0)</f>
        <v>773</v>
      </c>
      <c r="O777" s="62" t="b">
        <f>Main3WData[[#This Row],[Count PT.Concat]]=1</f>
        <v>1</v>
      </c>
      <c r="P777" s="62">
        <f t="array" ref="P777">MAX(($N$4:N776=Main3WData[[#This Row],[PT.ID]])*ROW($N$4:N776))</f>
        <v>0</v>
      </c>
      <c r="Q777" s="62" t="str">
        <f>IF(Main3WData[[#This Row],[PT.FirstID]],Main3WData[[#This Row],[Acronym]],INDEX($Q$4:Q776,Main3WData[[#This Row],[PT.LastID.Row]]-ROW($Q$4)+1) &amp; ", "&amp;Main3WData[[#This Row],[Acronym]])</f>
        <v>UNICEF</v>
      </c>
      <c r="R777" s="62" t="b">
        <f t="array" ref="R777">MAX(IF(Main3WData[PT.ID]=Main3WData[[#This Row],[PT.ID]],Main3WData[PT.LastID.Row]))=Main3WData[[#This Row],[PT.LastID.Row]]</f>
        <v>0</v>
      </c>
    </row>
    <row r="778" spans="2:18" x14ac:dyDescent="0.2">
      <c r="B778" s="55" t="s">
        <v>75</v>
      </c>
      <c r="C778" s="27" t="str">
        <f>INDEX(Organizations[],MATCH(Main3WData[[#This Row],[Acronym]],AcronymList,0),1)</f>
        <v>United Nations Population Fund</v>
      </c>
      <c r="D778" s="27" t="str">
        <f>INDEX(Organizations[],MATCH(Main3WData[[#This Row],[Acronym]],AcronymList,0),3)</f>
        <v>UN Agency</v>
      </c>
      <c r="E778" s="54" t="s">
        <v>350</v>
      </c>
      <c r="F778" s="53" t="s">
        <v>82</v>
      </c>
      <c r="G778" s="54" t="s">
        <v>416</v>
      </c>
      <c r="H778" s="28" t="str">
        <f>VLOOKUP(Main3WData[[#This Row],[Admin Unit Name]],AdminUnits[],2,FALSE)</f>
        <v>GIN006005</v>
      </c>
      <c r="I778" s="57">
        <v>0</v>
      </c>
      <c r="J778" s="67" t="str">
        <f>Main3WData[[#This Row],[Acronym]]&amp;Main3WData[[#This Row],[Sector]]&amp;Main3WData[[#This Row],[Activity Type]]&amp;Main3WData[[#This Row],[Pcode]]</f>
        <v>UNFPACommunication/Mobilisation socialeOngoingGIN006005</v>
      </c>
      <c r="K778" s="69">
        <f>COUNTIF(Main3WData[Concatenate],Main3WData[[#This Row],[Concatenate]])</f>
        <v>1</v>
      </c>
      <c r="L778" s="61" t="str">
        <f>Main3WData[[#This Row],[Sector]]&amp;Main3WData[[#This Row],[Pcode]]</f>
        <v>Communication/Mobilisation socialeGIN006005</v>
      </c>
      <c r="M778" s="71">
        <f>COUNTIF($L$5:L778,Main3WData[[#This Row],[PT.Concat]])</f>
        <v>2</v>
      </c>
      <c r="N778" s="70">
        <f>MATCH(Main3WData[[#This Row],[PT.Concat]],$L$5:L778,0)</f>
        <v>773</v>
      </c>
      <c r="O778" s="62" t="b">
        <f>Main3WData[[#This Row],[Count PT.Concat]]=1</f>
        <v>0</v>
      </c>
      <c r="P778" s="62">
        <f t="array" ref="P778">MAX(($N$4:N777=Main3WData[[#This Row],[PT.ID]])*ROW($N$4:N777))</f>
        <v>777</v>
      </c>
      <c r="Q778" s="62" t="str">
        <f>IF(Main3WData[[#This Row],[PT.FirstID]],Main3WData[[#This Row],[Acronym]],INDEX($Q$4:Q777,Main3WData[[#This Row],[PT.LastID.Row]]-ROW($Q$4)+1) &amp; ", "&amp;Main3WData[[#This Row],[Acronym]])</f>
        <v>UNICEF, UNFPA</v>
      </c>
      <c r="R778" s="62" t="b">
        <f t="array" ref="R778">MAX(IF(Main3WData[PT.ID]=Main3WData[[#This Row],[PT.ID]],Main3WData[PT.LastID.Row]))=Main3WData[[#This Row],[PT.LastID.Row]]</f>
        <v>0</v>
      </c>
    </row>
    <row r="779" spans="2:18" x14ac:dyDescent="0.2">
      <c r="B779" s="55" t="s">
        <v>72</v>
      </c>
      <c r="C779" s="27" t="str">
        <f>INDEX(Organizations[],MATCH(Main3WData[[#This Row],[Acronym]],AcronymList,0),1)</f>
        <v>PLAN</v>
      </c>
      <c r="D779" s="27" t="str">
        <f>INDEX(Organizations[],MATCH(Main3WData[[#This Row],[Acronym]],AcronymList,0),3)</f>
        <v>International Organization</v>
      </c>
      <c r="E779" s="54" t="s">
        <v>350</v>
      </c>
      <c r="F779" s="53" t="s">
        <v>82</v>
      </c>
      <c r="G779" s="54" t="s">
        <v>416</v>
      </c>
      <c r="H779" s="28" t="str">
        <f>VLOOKUP(Main3WData[[#This Row],[Admin Unit Name]],AdminUnits[],2,FALSE)</f>
        <v>GIN006005</v>
      </c>
      <c r="I779" s="57">
        <v>0</v>
      </c>
      <c r="J779" s="67" t="str">
        <f>Main3WData[[#This Row],[Acronym]]&amp;Main3WData[[#This Row],[Sector]]&amp;Main3WData[[#This Row],[Activity Type]]&amp;Main3WData[[#This Row],[Pcode]]</f>
        <v>PLANCommunication/Mobilisation socialeOngoingGIN006005</v>
      </c>
      <c r="K779" s="69">
        <f>COUNTIF(Main3WData[Concatenate],Main3WData[[#This Row],[Concatenate]])</f>
        <v>1</v>
      </c>
      <c r="L779" s="61" t="str">
        <f>Main3WData[[#This Row],[Sector]]&amp;Main3WData[[#This Row],[Pcode]]</f>
        <v>Communication/Mobilisation socialeGIN006005</v>
      </c>
      <c r="M779" s="71">
        <f>COUNTIF($L$5:L779,Main3WData[[#This Row],[PT.Concat]])</f>
        <v>3</v>
      </c>
      <c r="N779" s="70">
        <f>MATCH(Main3WData[[#This Row],[PT.Concat]],$L$5:L779,0)</f>
        <v>773</v>
      </c>
      <c r="O779" s="62" t="b">
        <f>Main3WData[[#This Row],[Count PT.Concat]]=1</f>
        <v>0</v>
      </c>
      <c r="P779" s="62">
        <f t="array" ref="P779">MAX(($N$4:N778=Main3WData[[#This Row],[PT.ID]])*ROW($N$4:N778))</f>
        <v>778</v>
      </c>
      <c r="Q779" s="62" t="str">
        <f>IF(Main3WData[[#This Row],[PT.FirstID]],Main3WData[[#This Row],[Acronym]],INDEX($Q$4:Q778,Main3WData[[#This Row],[PT.LastID.Row]]-ROW($Q$4)+1) &amp; ", "&amp;Main3WData[[#This Row],[Acronym]])</f>
        <v>UNICEF, UNFPA, PLAN</v>
      </c>
      <c r="R779" s="62" t="b">
        <f t="array" ref="R779">MAX(IF(Main3WData[PT.ID]=Main3WData[[#This Row],[PT.ID]],Main3WData[PT.LastID.Row]))=Main3WData[[#This Row],[PT.LastID.Row]]</f>
        <v>0</v>
      </c>
    </row>
    <row r="780" spans="2:18" x14ac:dyDescent="0.2">
      <c r="B780" s="55" t="s">
        <v>512</v>
      </c>
      <c r="C780" s="27" t="str">
        <f>INDEX(Organizations[],MATCH(Main3WData[[#This Row],[Acronym]],AcronymList,0),1)</f>
        <v>World Health Organization</v>
      </c>
      <c r="D780" s="27" t="str">
        <f>INDEX(Organizations[],MATCH(Main3WData[[#This Row],[Acronym]],AcronymList,0),3)</f>
        <v>UN Agency</v>
      </c>
      <c r="E780" s="54" t="s">
        <v>350</v>
      </c>
      <c r="F780" s="53" t="s">
        <v>82</v>
      </c>
      <c r="G780" s="54" t="s">
        <v>416</v>
      </c>
      <c r="H780" s="28" t="str">
        <f>VLOOKUP(Main3WData[[#This Row],[Admin Unit Name]],AdminUnits[],2,FALSE)</f>
        <v>GIN006005</v>
      </c>
      <c r="I780" s="57">
        <v>0</v>
      </c>
      <c r="J780" s="67" t="str">
        <f>Main3WData[[#This Row],[Acronym]]&amp;Main3WData[[#This Row],[Sector]]&amp;Main3WData[[#This Row],[Activity Type]]&amp;Main3WData[[#This Row],[Pcode]]</f>
        <v>OMSCommunication/Mobilisation socialeOngoingGIN006005</v>
      </c>
      <c r="K780" s="69">
        <f>COUNTIF(Main3WData[Concatenate],Main3WData[[#This Row],[Concatenate]])</f>
        <v>1</v>
      </c>
      <c r="L780" s="61" t="str">
        <f>Main3WData[[#This Row],[Sector]]&amp;Main3WData[[#This Row],[Pcode]]</f>
        <v>Communication/Mobilisation socialeGIN006005</v>
      </c>
      <c r="M780" s="71">
        <f>COUNTIF($L$5:L780,Main3WData[[#This Row],[PT.Concat]])</f>
        <v>4</v>
      </c>
      <c r="N780" s="70">
        <f>MATCH(Main3WData[[#This Row],[PT.Concat]],$L$5:L780,0)</f>
        <v>773</v>
      </c>
      <c r="O780" s="62" t="b">
        <f>Main3WData[[#This Row],[Count PT.Concat]]=1</f>
        <v>0</v>
      </c>
      <c r="P780" s="62">
        <f t="array" ref="P780">MAX(($N$4:N779=Main3WData[[#This Row],[PT.ID]])*ROW($N$4:N779))</f>
        <v>779</v>
      </c>
      <c r="Q780" s="62" t="str">
        <f>IF(Main3WData[[#This Row],[PT.FirstID]],Main3WData[[#This Row],[Acronym]],INDEX($Q$4:Q779,Main3WData[[#This Row],[PT.LastID.Row]]-ROW($Q$4)+1) &amp; ", "&amp;Main3WData[[#This Row],[Acronym]])</f>
        <v>UNICEF, UNFPA, PLAN, OMS</v>
      </c>
      <c r="R780" s="62" t="b">
        <f t="array" ref="R780">MAX(IF(Main3WData[PT.ID]=Main3WData[[#This Row],[PT.ID]],Main3WData[PT.LastID.Row]))=Main3WData[[#This Row],[PT.LastID.Row]]</f>
        <v>1</v>
      </c>
    </row>
    <row r="781" spans="2:18" x14ac:dyDescent="0.2">
      <c r="B781" s="55" t="s">
        <v>516</v>
      </c>
      <c r="C781" s="27" t="str">
        <f>INDEX(Organizations[],MATCH(Main3WData[[#This Row],[Acronym]],AcronymList,0),1)</f>
        <v>UNITED NATION MISSION FOR EBOLA  EMERGENCY RESPONSE</v>
      </c>
      <c r="D781" s="27" t="str">
        <f>INDEX(Organizations[],MATCH(Main3WData[[#This Row],[Acronym]],AcronymList,0),3)</f>
        <v>UN Agency</v>
      </c>
      <c r="E781" s="54" t="s">
        <v>360</v>
      </c>
      <c r="F781" s="53" t="s">
        <v>82</v>
      </c>
      <c r="G781" s="54" t="s">
        <v>416</v>
      </c>
      <c r="H781" s="28" t="str">
        <f>VLOOKUP(Main3WData[[#This Row],[Admin Unit Name]],AdminUnits[],2,FALSE)</f>
        <v>GIN006005</v>
      </c>
      <c r="I781" s="57">
        <v>0</v>
      </c>
      <c r="J781" s="67" t="str">
        <f>Main3WData[[#This Row],[Acronym]]&amp;Main3WData[[#This Row],[Sector]]&amp;Main3WData[[#This Row],[Activity Type]]&amp;Main3WData[[#This Row],[Pcode]]</f>
        <v>UNMEERCoordinationOngoingGIN006005</v>
      </c>
      <c r="K781" s="69">
        <f>COUNTIF(Main3WData[Concatenate],Main3WData[[#This Row],[Concatenate]])</f>
        <v>1</v>
      </c>
      <c r="L781" s="61" t="str">
        <f>Main3WData[[#This Row],[Sector]]&amp;Main3WData[[#This Row],[Pcode]]</f>
        <v>CoordinationGIN006005</v>
      </c>
      <c r="M781" s="71">
        <f>COUNTIF($L$5:L781,Main3WData[[#This Row],[PT.Concat]])</f>
        <v>1</v>
      </c>
      <c r="N781" s="70">
        <f>MATCH(Main3WData[[#This Row],[PT.Concat]],$L$5:L781,0)</f>
        <v>777</v>
      </c>
      <c r="O781" s="62" t="b">
        <f>Main3WData[[#This Row],[Count PT.Concat]]=1</f>
        <v>1</v>
      </c>
      <c r="P781" s="62">
        <f t="array" ref="P781">MAX(($N$4:N780=Main3WData[[#This Row],[PT.ID]])*ROW($N$4:N780))</f>
        <v>0</v>
      </c>
      <c r="Q781" s="62" t="str">
        <f>IF(Main3WData[[#This Row],[PT.FirstID]],Main3WData[[#This Row],[Acronym]],INDEX($Q$4:Q780,Main3WData[[#This Row],[PT.LastID.Row]]-ROW($Q$4)+1) &amp; ", "&amp;Main3WData[[#This Row],[Acronym]])</f>
        <v>UNMEER</v>
      </c>
      <c r="R781" s="62" t="b">
        <f t="array" ref="R781">MAX(IF(Main3WData[PT.ID]=Main3WData[[#This Row],[PT.ID]],Main3WData[PT.LastID.Row]))=Main3WData[[#This Row],[PT.LastID.Row]]</f>
        <v>0</v>
      </c>
    </row>
    <row r="782" spans="2:18" x14ac:dyDescent="0.2">
      <c r="B782" s="55" t="s">
        <v>75</v>
      </c>
      <c r="C782" s="27" t="str">
        <f>INDEX(Organizations[],MATCH(Main3WData[[#This Row],[Acronym]],AcronymList,0),1)</f>
        <v>United Nations Population Fund</v>
      </c>
      <c r="D782" s="27" t="str">
        <f>INDEX(Organizations[],MATCH(Main3WData[[#This Row],[Acronym]],AcronymList,0),3)</f>
        <v>UN Agency</v>
      </c>
      <c r="E782" s="54" t="s">
        <v>360</v>
      </c>
      <c r="F782" s="53" t="s">
        <v>82</v>
      </c>
      <c r="G782" s="54" t="s">
        <v>416</v>
      </c>
      <c r="H782" s="28" t="str">
        <f>VLOOKUP(Main3WData[[#This Row],[Admin Unit Name]],AdminUnits[],2,FALSE)</f>
        <v>GIN006005</v>
      </c>
      <c r="I782" s="57">
        <v>0</v>
      </c>
      <c r="J782" s="67" t="str">
        <f>Main3WData[[#This Row],[Acronym]]&amp;Main3WData[[#This Row],[Sector]]&amp;Main3WData[[#This Row],[Activity Type]]&amp;Main3WData[[#This Row],[Pcode]]</f>
        <v>UNFPACoordinationOngoingGIN006005</v>
      </c>
      <c r="K782" s="69">
        <f>COUNTIF(Main3WData[Concatenate],Main3WData[[#This Row],[Concatenate]])</f>
        <v>1</v>
      </c>
      <c r="L782" s="61" t="str">
        <f>Main3WData[[#This Row],[Sector]]&amp;Main3WData[[#This Row],[Pcode]]</f>
        <v>CoordinationGIN006005</v>
      </c>
      <c r="M782" s="71">
        <f>COUNTIF($L$5:L782,Main3WData[[#This Row],[PT.Concat]])</f>
        <v>2</v>
      </c>
      <c r="N782" s="70">
        <f>MATCH(Main3WData[[#This Row],[PT.Concat]],$L$5:L782,0)</f>
        <v>777</v>
      </c>
      <c r="O782" s="62" t="b">
        <f>Main3WData[[#This Row],[Count PT.Concat]]=1</f>
        <v>0</v>
      </c>
      <c r="P782" s="62">
        <f t="array" ref="P782">MAX(($N$4:N781=Main3WData[[#This Row],[PT.ID]])*ROW($N$4:N781))</f>
        <v>781</v>
      </c>
      <c r="Q782" s="62" t="str">
        <f>IF(Main3WData[[#This Row],[PT.FirstID]],Main3WData[[#This Row],[Acronym]],INDEX($Q$4:Q781,Main3WData[[#This Row],[PT.LastID.Row]]-ROW($Q$4)+1) &amp; ", "&amp;Main3WData[[#This Row],[Acronym]])</f>
        <v>UNMEER, UNFPA</v>
      </c>
      <c r="R782" s="62" t="b">
        <f t="array" ref="R782">MAX(IF(Main3WData[PT.ID]=Main3WData[[#This Row],[PT.ID]],Main3WData[PT.LastID.Row]))=Main3WData[[#This Row],[PT.LastID.Row]]</f>
        <v>0</v>
      </c>
    </row>
    <row r="783" spans="2:18" x14ac:dyDescent="0.2">
      <c r="B783" s="55" t="s">
        <v>473</v>
      </c>
      <c r="C783" s="27" t="str">
        <f>INDEX(Organizations[],MATCH(Main3WData[[#This Row],[Acronym]],AcronymList,0),1)</f>
        <v>United Nations Development Programme</v>
      </c>
      <c r="D783" s="27" t="str">
        <f>INDEX(Organizations[],MATCH(Main3WData[[#This Row],[Acronym]],AcronymList,0),3)</f>
        <v>UN Agency</v>
      </c>
      <c r="E783" s="54" t="s">
        <v>360</v>
      </c>
      <c r="F783" s="53" t="s">
        <v>82</v>
      </c>
      <c r="G783" s="54" t="s">
        <v>416</v>
      </c>
      <c r="H783" s="28" t="str">
        <f>VLOOKUP(Main3WData[[#This Row],[Admin Unit Name]],AdminUnits[],2,FALSE)</f>
        <v>GIN006005</v>
      </c>
      <c r="I783" s="57">
        <v>0</v>
      </c>
      <c r="J783" s="67" t="str">
        <f>Main3WData[[#This Row],[Acronym]]&amp;Main3WData[[#This Row],[Sector]]&amp;Main3WData[[#This Row],[Activity Type]]&amp;Main3WData[[#This Row],[Pcode]]</f>
        <v>UNDPCoordinationOngoingGIN006005</v>
      </c>
      <c r="K783" s="69">
        <f>COUNTIF(Main3WData[Concatenate],Main3WData[[#This Row],[Concatenate]])</f>
        <v>1</v>
      </c>
      <c r="L783" s="61" t="str">
        <f>Main3WData[[#This Row],[Sector]]&amp;Main3WData[[#This Row],[Pcode]]</f>
        <v>CoordinationGIN006005</v>
      </c>
      <c r="M783" s="71">
        <f>COUNTIF($L$5:L783,Main3WData[[#This Row],[PT.Concat]])</f>
        <v>3</v>
      </c>
      <c r="N783" s="70">
        <f>MATCH(Main3WData[[#This Row],[PT.Concat]],$L$5:L783,0)</f>
        <v>777</v>
      </c>
      <c r="O783" s="62" t="b">
        <f>Main3WData[[#This Row],[Count PT.Concat]]=1</f>
        <v>0</v>
      </c>
      <c r="P783" s="62">
        <f t="array" ref="P783">MAX(($N$4:N782=Main3WData[[#This Row],[PT.ID]])*ROW($N$4:N782))</f>
        <v>782</v>
      </c>
      <c r="Q783" s="62" t="str">
        <f>IF(Main3WData[[#This Row],[PT.FirstID]],Main3WData[[#This Row],[Acronym]],INDEX($Q$4:Q782,Main3WData[[#This Row],[PT.LastID.Row]]-ROW($Q$4)+1) &amp; ", "&amp;Main3WData[[#This Row],[Acronym]])</f>
        <v>UNMEER, UNFPA, UNDP</v>
      </c>
      <c r="R783" s="62" t="b">
        <f t="array" ref="R783">MAX(IF(Main3WData[PT.ID]=Main3WData[[#This Row],[PT.ID]],Main3WData[PT.LastID.Row]))=Main3WData[[#This Row],[PT.LastID.Row]]</f>
        <v>0</v>
      </c>
    </row>
    <row r="784" spans="2:18" x14ac:dyDescent="0.2">
      <c r="B784" s="55" t="s">
        <v>512</v>
      </c>
      <c r="C784" s="27" t="str">
        <f>INDEX(Organizations[],MATCH(Main3WData[[#This Row],[Acronym]],AcronymList,0),1)</f>
        <v>World Health Organization</v>
      </c>
      <c r="D784" s="27" t="str">
        <f>INDEX(Organizations[],MATCH(Main3WData[[#This Row],[Acronym]],AcronymList,0),3)</f>
        <v>UN Agency</v>
      </c>
      <c r="E784" s="54" t="s">
        <v>360</v>
      </c>
      <c r="F784" s="53" t="s">
        <v>82</v>
      </c>
      <c r="G784" s="54" t="s">
        <v>416</v>
      </c>
      <c r="H784" s="28" t="str">
        <f>VLOOKUP(Main3WData[[#This Row],[Admin Unit Name]],AdminUnits[],2,FALSE)</f>
        <v>GIN006005</v>
      </c>
      <c r="I784" s="57">
        <v>0</v>
      </c>
      <c r="J784" s="67" t="str">
        <f>Main3WData[[#This Row],[Acronym]]&amp;Main3WData[[#This Row],[Sector]]&amp;Main3WData[[#This Row],[Activity Type]]&amp;Main3WData[[#This Row],[Pcode]]</f>
        <v>OMSCoordinationOngoingGIN006005</v>
      </c>
      <c r="K784" s="69">
        <f>COUNTIF(Main3WData[Concatenate],Main3WData[[#This Row],[Concatenate]])</f>
        <v>1</v>
      </c>
      <c r="L784" s="61" t="str">
        <f>Main3WData[[#This Row],[Sector]]&amp;Main3WData[[#This Row],[Pcode]]</f>
        <v>CoordinationGIN006005</v>
      </c>
      <c r="M784" s="71">
        <f>COUNTIF($L$5:L784,Main3WData[[#This Row],[PT.Concat]])</f>
        <v>4</v>
      </c>
      <c r="N784" s="70">
        <f>MATCH(Main3WData[[#This Row],[PT.Concat]],$L$5:L784,0)</f>
        <v>777</v>
      </c>
      <c r="O784" s="62" t="b">
        <f>Main3WData[[#This Row],[Count PT.Concat]]=1</f>
        <v>0</v>
      </c>
      <c r="P784" s="62">
        <f t="array" ref="P784">MAX(($N$4:N783=Main3WData[[#This Row],[PT.ID]])*ROW($N$4:N783))</f>
        <v>783</v>
      </c>
      <c r="Q784" s="62" t="str">
        <f>IF(Main3WData[[#This Row],[PT.FirstID]],Main3WData[[#This Row],[Acronym]],INDEX($Q$4:Q783,Main3WData[[#This Row],[PT.LastID.Row]]-ROW($Q$4)+1) &amp; ", "&amp;Main3WData[[#This Row],[Acronym]])</f>
        <v>UNMEER, UNFPA, UNDP, OMS</v>
      </c>
      <c r="R784" s="62" t="b">
        <f t="array" ref="R784">MAX(IF(Main3WData[PT.ID]=Main3WData[[#This Row],[PT.ID]],Main3WData[PT.LastID.Row]))=Main3WData[[#This Row],[PT.LastID.Row]]</f>
        <v>0</v>
      </c>
    </row>
    <row r="785" spans="2:18" x14ac:dyDescent="0.2">
      <c r="B785" s="55" t="s">
        <v>71</v>
      </c>
      <c r="C785" s="27" t="str">
        <f>INDEX(Organizations[],MATCH(Main3WData[[#This Row],[Acronym]],AcronymList,0),1)</f>
        <v>Medecins sans Frontieres</v>
      </c>
      <c r="D785" s="27" t="str">
        <f>INDEX(Organizations[],MATCH(Main3WData[[#This Row],[Acronym]],AcronymList,0),3)</f>
        <v>International NGO</v>
      </c>
      <c r="E785" s="54" t="s">
        <v>360</v>
      </c>
      <c r="F785" s="53" t="s">
        <v>82</v>
      </c>
      <c r="G785" s="54" t="s">
        <v>416</v>
      </c>
      <c r="H785" s="28" t="str">
        <f>VLOOKUP(Main3WData[[#This Row],[Admin Unit Name]],AdminUnits[],2,FALSE)</f>
        <v>GIN006005</v>
      </c>
      <c r="I785" s="57">
        <v>0</v>
      </c>
      <c r="J785" s="67" t="str">
        <f>Main3WData[[#This Row],[Acronym]]&amp;Main3WData[[#This Row],[Sector]]&amp;Main3WData[[#This Row],[Activity Type]]&amp;Main3WData[[#This Row],[Pcode]]</f>
        <v>MSFCoordinationOngoingGIN006005</v>
      </c>
      <c r="K785" s="69">
        <f>COUNTIF(Main3WData[Concatenate],Main3WData[[#This Row],[Concatenate]])</f>
        <v>1</v>
      </c>
      <c r="L785" s="61" t="str">
        <f>Main3WData[[#This Row],[Sector]]&amp;Main3WData[[#This Row],[Pcode]]</f>
        <v>CoordinationGIN006005</v>
      </c>
      <c r="M785" s="71">
        <f>COUNTIF($L$5:L785,Main3WData[[#This Row],[PT.Concat]])</f>
        <v>5</v>
      </c>
      <c r="N785" s="70">
        <f>MATCH(Main3WData[[#This Row],[PT.Concat]],$L$5:L785,0)</f>
        <v>777</v>
      </c>
      <c r="O785" s="62" t="b">
        <f>Main3WData[[#This Row],[Count PT.Concat]]=1</f>
        <v>0</v>
      </c>
      <c r="P785" s="62">
        <f t="array" ref="P785">MAX(($N$4:N784=Main3WData[[#This Row],[PT.ID]])*ROW($N$4:N784))</f>
        <v>784</v>
      </c>
      <c r="Q785" s="62" t="str">
        <f>IF(Main3WData[[#This Row],[PT.FirstID]],Main3WData[[#This Row],[Acronym]],INDEX($Q$4:Q784,Main3WData[[#This Row],[PT.LastID.Row]]-ROW($Q$4)+1) &amp; ", "&amp;Main3WData[[#This Row],[Acronym]])</f>
        <v>UNMEER, UNFPA, UNDP, OMS, MSF</v>
      </c>
      <c r="R785" s="62" t="b">
        <f t="array" ref="R785">MAX(IF(Main3WData[PT.ID]=Main3WData[[#This Row],[PT.ID]],Main3WData[PT.LastID.Row]))=Main3WData[[#This Row],[PT.LastID.Row]]</f>
        <v>0</v>
      </c>
    </row>
    <row r="786" spans="2:18" x14ac:dyDescent="0.2">
      <c r="B786" s="55" t="s">
        <v>507</v>
      </c>
      <c r="C786" s="27" t="str">
        <f>INDEX(Organizations[],MATCH(Main3WData[[#This Row],[Acronym]],AcronymList,0),1)</f>
        <v>eHealth Africa</v>
      </c>
      <c r="D786" s="27" t="str">
        <f>INDEX(Organizations[],MATCH(Main3WData[[#This Row],[Acronym]],AcronymList,0),3)</f>
        <v>International Organization</v>
      </c>
      <c r="E786" s="54" t="s">
        <v>360</v>
      </c>
      <c r="F786" s="53" t="s">
        <v>82</v>
      </c>
      <c r="G786" s="54" t="s">
        <v>416</v>
      </c>
      <c r="H786" s="28" t="str">
        <f>VLOOKUP(Main3WData[[#This Row],[Admin Unit Name]],AdminUnits[],2,FALSE)</f>
        <v>GIN006005</v>
      </c>
      <c r="I786" s="57">
        <v>0</v>
      </c>
      <c r="J786" s="67" t="str">
        <f>Main3WData[[#This Row],[Acronym]]&amp;Main3WData[[#This Row],[Sector]]&amp;Main3WData[[#This Row],[Activity Type]]&amp;Main3WData[[#This Row],[Pcode]]</f>
        <v>eHealth AfricaCoordinationOngoingGIN006005</v>
      </c>
      <c r="K786" s="69">
        <f>COUNTIF(Main3WData[Concatenate],Main3WData[[#This Row],[Concatenate]])</f>
        <v>1</v>
      </c>
      <c r="L786" s="61" t="str">
        <f>Main3WData[[#This Row],[Sector]]&amp;Main3WData[[#This Row],[Pcode]]</f>
        <v>CoordinationGIN006005</v>
      </c>
      <c r="M786" s="71">
        <f>COUNTIF($L$5:L786,Main3WData[[#This Row],[PT.Concat]])</f>
        <v>6</v>
      </c>
      <c r="N786" s="70">
        <f>MATCH(Main3WData[[#This Row],[PT.Concat]],$L$5:L786,0)</f>
        <v>777</v>
      </c>
      <c r="O786" s="62" t="b">
        <f>Main3WData[[#This Row],[Count PT.Concat]]=1</f>
        <v>0</v>
      </c>
      <c r="P786" s="62">
        <f t="array" ref="P786">MAX(($N$4:N785=Main3WData[[#This Row],[PT.ID]])*ROW($N$4:N785))</f>
        <v>785</v>
      </c>
      <c r="Q786" s="62" t="str">
        <f>IF(Main3WData[[#This Row],[PT.FirstID]],Main3WData[[#This Row],[Acronym]],INDEX($Q$4:Q785,Main3WData[[#This Row],[PT.LastID.Row]]-ROW($Q$4)+1) &amp; ", "&amp;Main3WData[[#This Row],[Acronym]])</f>
        <v>UNMEER, UNFPA, UNDP, OMS, MSF, eHealth Africa</v>
      </c>
      <c r="R786" s="62" t="b">
        <f t="array" ref="R786">MAX(IF(Main3WData[PT.ID]=Main3WData[[#This Row],[PT.ID]],Main3WData[PT.LastID.Row]))=Main3WData[[#This Row],[PT.LastID.Row]]</f>
        <v>1</v>
      </c>
    </row>
    <row r="787" spans="2:18" x14ac:dyDescent="0.2">
      <c r="B787" s="55" t="s">
        <v>473</v>
      </c>
      <c r="C787" s="27" t="str">
        <f>INDEX(Organizations[],MATCH(Main3WData[[#This Row],[Acronym]],AcronymList,0),1)</f>
        <v>United Nations Development Programme</v>
      </c>
      <c r="D787" s="27" t="str">
        <f>INDEX(Organizations[],MATCH(Main3WData[[#This Row],[Acronym]],AcronymList,0),3)</f>
        <v>UN Agency</v>
      </c>
      <c r="E787" s="54" t="s">
        <v>359</v>
      </c>
      <c r="F787" s="53" t="s">
        <v>82</v>
      </c>
      <c r="G787" s="54" t="s">
        <v>416</v>
      </c>
      <c r="H787" s="28" t="str">
        <f>VLOOKUP(Main3WData[[#This Row],[Admin Unit Name]],AdminUnits[],2,FALSE)</f>
        <v>GIN006005</v>
      </c>
      <c r="I787" s="57">
        <v>0</v>
      </c>
      <c r="J787" s="67" t="str">
        <f>Main3WData[[#This Row],[Acronym]]&amp;Main3WData[[#This Row],[Sector]]&amp;Main3WData[[#This Row],[Activity Type]]&amp;Main3WData[[#This Row],[Pcode]]</f>
        <v>UNDPFinanceOngoingGIN006005</v>
      </c>
      <c r="K787" s="69">
        <f>COUNTIF(Main3WData[Concatenate],Main3WData[[#This Row],[Concatenate]])</f>
        <v>1</v>
      </c>
      <c r="L787" s="61" t="str">
        <f>Main3WData[[#This Row],[Sector]]&amp;Main3WData[[#This Row],[Pcode]]</f>
        <v>FinanceGIN006005</v>
      </c>
      <c r="M787" s="71">
        <f>COUNTIF($L$5:L787,Main3WData[[#This Row],[PT.Concat]])</f>
        <v>1</v>
      </c>
      <c r="N787" s="70">
        <f>MATCH(Main3WData[[#This Row],[PT.Concat]],$L$5:L787,0)</f>
        <v>783</v>
      </c>
      <c r="O787" s="62" t="b">
        <f>Main3WData[[#This Row],[Count PT.Concat]]=1</f>
        <v>1</v>
      </c>
      <c r="P787" s="62">
        <f t="array" ref="P787">MAX(($N$4:N786=Main3WData[[#This Row],[PT.ID]])*ROW($N$4:N786))</f>
        <v>0</v>
      </c>
      <c r="Q787" s="62" t="str">
        <f>IF(Main3WData[[#This Row],[PT.FirstID]],Main3WData[[#This Row],[Acronym]],INDEX($Q$4:Q786,Main3WData[[#This Row],[PT.LastID.Row]]-ROW($Q$4)+1) &amp; ", "&amp;Main3WData[[#This Row],[Acronym]])</f>
        <v>UNDP</v>
      </c>
      <c r="R787" s="62" t="b">
        <f t="array" ref="R787">MAX(IF(Main3WData[PT.ID]=Main3WData[[#This Row],[PT.ID]],Main3WData[PT.LastID.Row]))=Main3WData[[#This Row],[PT.LastID.Row]]</f>
        <v>1</v>
      </c>
    </row>
    <row r="788" spans="2:18" x14ac:dyDescent="0.2">
      <c r="B788" s="55" t="s">
        <v>451</v>
      </c>
      <c r="C788" s="27" t="str">
        <f>INDEX(Organizations[],MATCH(Main3WData[[#This Row],[Acronym]],AcronymList,0),1)</f>
        <v>Croix-Rouge Guinée</v>
      </c>
      <c r="D788" s="27" t="str">
        <f>INDEX(Organizations[],MATCH(Main3WData[[#This Row],[Acronym]],AcronymList,0),3)</f>
        <v>Red Cross Movement</v>
      </c>
      <c r="E788" s="54" t="s">
        <v>354</v>
      </c>
      <c r="F788" s="53" t="s">
        <v>82</v>
      </c>
      <c r="G788" s="54" t="s">
        <v>416</v>
      </c>
      <c r="H788" s="28" t="str">
        <f>VLOOKUP(Main3WData[[#This Row],[Admin Unit Name]],AdminUnits[],2,FALSE)</f>
        <v>GIN006005</v>
      </c>
      <c r="I788" s="57">
        <v>0</v>
      </c>
      <c r="J788" s="67" t="str">
        <f>Main3WData[[#This Row],[Acronym]]&amp;Main3WData[[#This Row],[Sector]]&amp;Main3WData[[#This Row],[Activity Type]]&amp;Main3WData[[#This Row],[Pcode]]</f>
        <v>CRGGestion des corps et desinfectionOngoingGIN006005</v>
      </c>
      <c r="K788" s="69">
        <f>COUNTIF(Main3WData[Concatenate],Main3WData[[#This Row],[Concatenate]])</f>
        <v>1</v>
      </c>
      <c r="L788" s="61" t="str">
        <f>Main3WData[[#This Row],[Sector]]&amp;Main3WData[[#This Row],[Pcode]]</f>
        <v>Gestion des corps et desinfectionGIN006005</v>
      </c>
      <c r="M788" s="71">
        <f>COUNTIF($L$5:L788,Main3WData[[#This Row],[PT.Concat]])</f>
        <v>1</v>
      </c>
      <c r="N788" s="70">
        <f>MATCH(Main3WData[[#This Row],[PT.Concat]],$L$5:L788,0)</f>
        <v>784</v>
      </c>
      <c r="O788" s="62" t="b">
        <f>Main3WData[[#This Row],[Count PT.Concat]]=1</f>
        <v>1</v>
      </c>
      <c r="P788" s="62">
        <f t="array" ref="P788">MAX(($N$4:N787=Main3WData[[#This Row],[PT.ID]])*ROW($N$4:N787))</f>
        <v>0</v>
      </c>
      <c r="Q788" s="62" t="str">
        <f>IF(Main3WData[[#This Row],[PT.FirstID]],Main3WData[[#This Row],[Acronym]],INDEX($Q$4:Q787,Main3WData[[#This Row],[PT.LastID.Row]]-ROW($Q$4)+1) &amp; ", "&amp;Main3WData[[#This Row],[Acronym]])</f>
        <v>CRG</v>
      </c>
      <c r="R788" s="62" t="b">
        <f t="array" ref="R788">MAX(IF(Main3WData[PT.ID]=Main3WData[[#This Row],[PT.ID]],Main3WData[PT.LastID.Row]))=Main3WData[[#This Row],[PT.LastID.Row]]</f>
        <v>1</v>
      </c>
    </row>
    <row r="789" spans="2:18" x14ac:dyDescent="0.2">
      <c r="B789" s="55" t="s">
        <v>516</v>
      </c>
      <c r="C789" s="27" t="str">
        <f>INDEX(Organizations[],MATCH(Main3WData[[#This Row],[Acronym]],AcronymList,0),1)</f>
        <v>UNITED NATION MISSION FOR EBOLA  EMERGENCY RESPONSE</v>
      </c>
      <c r="D789" s="27" t="str">
        <f>INDEX(Organizations[],MATCH(Main3WData[[#This Row],[Acronym]],AcronymList,0),3)</f>
        <v>UN Agency</v>
      </c>
      <c r="E789" s="54" t="s">
        <v>356</v>
      </c>
      <c r="F789" s="53" t="s">
        <v>82</v>
      </c>
      <c r="G789" s="54" t="s">
        <v>416</v>
      </c>
      <c r="H789" s="28" t="str">
        <f>VLOOKUP(Main3WData[[#This Row],[Admin Unit Name]],AdminUnits[],2,FALSE)</f>
        <v>GIN006005</v>
      </c>
      <c r="I789" s="57">
        <v>0</v>
      </c>
      <c r="J789" s="67" t="str">
        <f>Main3WData[[#This Row],[Acronym]]&amp;Main3WData[[#This Row],[Sector]]&amp;Main3WData[[#This Row],[Activity Type]]&amp;Main3WData[[#This Row],[Pcode]]</f>
        <v>UNMEERGestion des donnéesOngoingGIN006005</v>
      </c>
      <c r="K789" s="69">
        <f>COUNTIF(Main3WData[Concatenate],Main3WData[[#This Row],[Concatenate]])</f>
        <v>1</v>
      </c>
      <c r="L789" s="61" t="str">
        <f>Main3WData[[#This Row],[Sector]]&amp;Main3WData[[#This Row],[Pcode]]</f>
        <v>Gestion des donnéesGIN006005</v>
      </c>
      <c r="M789" s="71">
        <f>COUNTIF($L$5:L789,Main3WData[[#This Row],[PT.Concat]])</f>
        <v>1</v>
      </c>
      <c r="N789" s="70">
        <f>MATCH(Main3WData[[#This Row],[PT.Concat]],$L$5:L789,0)</f>
        <v>785</v>
      </c>
      <c r="O789" s="62" t="b">
        <f>Main3WData[[#This Row],[Count PT.Concat]]=1</f>
        <v>1</v>
      </c>
      <c r="P789" s="62">
        <f t="array" ref="P789">MAX(($N$4:N788=Main3WData[[#This Row],[PT.ID]])*ROW($N$4:N788))</f>
        <v>0</v>
      </c>
      <c r="Q789" s="62" t="str">
        <f>IF(Main3WData[[#This Row],[PT.FirstID]],Main3WData[[#This Row],[Acronym]],INDEX($Q$4:Q788,Main3WData[[#This Row],[PT.LastID.Row]]-ROW($Q$4)+1) &amp; ", "&amp;Main3WData[[#This Row],[Acronym]])</f>
        <v>UNMEER</v>
      </c>
      <c r="R789" s="62" t="b">
        <f t="array" ref="R789">MAX(IF(Main3WData[PT.ID]=Main3WData[[#This Row],[PT.ID]],Main3WData[PT.LastID.Row]))=Main3WData[[#This Row],[PT.LastID.Row]]</f>
        <v>0</v>
      </c>
    </row>
    <row r="790" spans="2:18" x14ac:dyDescent="0.2">
      <c r="B790" s="55" t="s">
        <v>512</v>
      </c>
      <c r="C790" s="27" t="str">
        <f>INDEX(Organizations[],MATCH(Main3WData[[#This Row],[Acronym]],AcronymList,0),1)</f>
        <v>World Health Organization</v>
      </c>
      <c r="D790" s="27" t="str">
        <f>INDEX(Organizations[],MATCH(Main3WData[[#This Row],[Acronym]],AcronymList,0),3)</f>
        <v>UN Agency</v>
      </c>
      <c r="E790" s="54" t="s">
        <v>356</v>
      </c>
      <c r="F790" s="53" t="s">
        <v>82</v>
      </c>
      <c r="G790" s="54" t="s">
        <v>416</v>
      </c>
      <c r="H790" s="28" t="str">
        <f>VLOOKUP(Main3WData[[#This Row],[Admin Unit Name]],AdminUnits[],2,FALSE)</f>
        <v>GIN006005</v>
      </c>
      <c r="I790" s="57">
        <v>0</v>
      </c>
      <c r="J790" s="67" t="str">
        <f>Main3WData[[#This Row],[Acronym]]&amp;Main3WData[[#This Row],[Sector]]&amp;Main3WData[[#This Row],[Activity Type]]&amp;Main3WData[[#This Row],[Pcode]]</f>
        <v>OMSGestion des donnéesOngoingGIN006005</v>
      </c>
      <c r="K790" s="69">
        <f>COUNTIF(Main3WData[Concatenate],Main3WData[[#This Row],[Concatenate]])</f>
        <v>1</v>
      </c>
      <c r="L790" s="61" t="str">
        <f>Main3WData[[#This Row],[Sector]]&amp;Main3WData[[#This Row],[Pcode]]</f>
        <v>Gestion des donnéesGIN006005</v>
      </c>
      <c r="M790" s="71">
        <f>COUNTIF($L$5:L790,Main3WData[[#This Row],[PT.Concat]])</f>
        <v>2</v>
      </c>
      <c r="N790" s="70">
        <f>MATCH(Main3WData[[#This Row],[PT.Concat]],$L$5:L790,0)</f>
        <v>785</v>
      </c>
      <c r="O790" s="62" t="b">
        <f>Main3WData[[#This Row],[Count PT.Concat]]=1</f>
        <v>0</v>
      </c>
      <c r="P790" s="62">
        <f t="array" ref="P790">MAX(($N$4:N789=Main3WData[[#This Row],[PT.ID]])*ROW($N$4:N789))</f>
        <v>789</v>
      </c>
      <c r="Q790" s="62" t="str">
        <f>IF(Main3WData[[#This Row],[PT.FirstID]],Main3WData[[#This Row],[Acronym]],INDEX($Q$4:Q789,Main3WData[[#This Row],[PT.LastID.Row]]-ROW($Q$4)+1) &amp; ", "&amp;Main3WData[[#This Row],[Acronym]])</f>
        <v>UNMEER, OMS</v>
      </c>
      <c r="R790" s="62" t="b">
        <f t="array" ref="R790">MAX(IF(Main3WData[PT.ID]=Main3WData[[#This Row],[PT.ID]],Main3WData[PT.LastID.Row]))=Main3WData[[#This Row],[PT.LastID.Row]]</f>
        <v>1</v>
      </c>
    </row>
    <row r="791" spans="2:18" x14ac:dyDescent="0.2">
      <c r="B791" s="55" t="s">
        <v>64</v>
      </c>
      <c r="C791" s="27" t="str">
        <f>INDEX(Organizations[],MATCH(Main3WData[[#This Row],[Acronym]],AcronymList,0),1)</f>
        <v>CDC</v>
      </c>
      <c r="D791" s="27" t="str">
        <f>INDEX(Organizations[],MATCH(Main3WData[[#This Row],[Acronym]],AcronymList,0),3)</f>
        <v>International NGO</v>
      </c>
      <c r="E791" s="54" t="s">
        <v>351</v>
      </c>
      <c r="F791" s="53" t="s">
        <v>82</v>
      </c>
      <c r="G791" s="54" t="s">
        <v>416</v>
      </c>
      <c r="H791" s="28" t="str">
        <f>VLOOKUP(Main3WData[[#This Row],[Admin Unit Name]],AdminUnits[],2,FALSE)</f>
        <v>GIN006005</v>
      </c>
      <c r="I791" s="57">
        <v>0</v>
      </c>
      <c r="J791" s="67" t="str">
        <f>Main3WData[[#This Row],[Acronym]]&amp;Main3WData[[#This Row],[Sector]]&amp;Main3WData[[#This Row],[Activity Type]]&amp;Main3WData[[#This Row],[Pcode]]</f>
        <v>CDCSurveillance &amp; suiviOngoingGIN006005</v>
      </c>
      <c r="K791" s="69">
        <f>COUNTIF(Main3WData[Concatenate],Main3WData[[#This Row],[Concatenate]])</f>
        <v>1</v>
      </c>
      <c r="L791" s="61" t="str">
        <f>Main3WData[[#This Row],[Sector]]&amp;Main3WData[[#This Row],[Pcode]]</f>
        <v>Surveillance &amp; suiviGIN006005</v>
      </c>
      <c r="M791" s="71">
        <f>COUNTIF($L$5:L791,Main3WData[[#This Row],[PT.Concat]])</f>
        <v>1</v>
      </c>
      <c r="N791" s="70">
        <f>MATCH(Main3WData[[#This Row],[PT.Concat]],$L$5:L791,0)</f>
        <v>787</v>
      </c>
      <c r="O791" s="62" t="b">
        <f>Main3WData[[#This Row],[Count PT.Concat]]=1</f>
        <v>1</v>
      </c>
      <c r="P791" s="62">
        <f t="array" ref="P791">MAX(($N$4:N790=Main3WData[[#This Row],[PT.ID]])*ROW($N$4:N790))</f>
        <v>0</v>
      </c>
      <c r="Q791" s="62" t="str">
        <f>IF(Main3WData[[#This Row],[PT.FirstID]],Main3WData[[#This Row],[Acronym]],INDEX($Q$4:Q790,Main3WData[[#This Row],[PT.LastID.Row]]-ROW($Q$4)+1) &amp; ", "&amp;Main3WData[[#This Row],[Acronym]])</f>
        <v>CDC</v>
      </c>
      <c r="R791" s="62" t="b">
        <f t="array" ref="R791">MAX(IF(Main3WData[PT.ID]=Main3WData[[#This Row],[PT.ID]],Main3WData[PT.LastID.Row]))=Main3WData[[#This Row],[PT.LastID.Row]]</f>
        <v>1</v>
      </c>
    </row>
    <row r="792" spans="2:18" x14ac:dyDescent="0.2">
      <c r="B792" s="55" t="s">
        <v>77</v>
      </c>
      <c r="C792" s="27" t="str">
        <f>INDEX(Organizations[],MATCH(Main3WData[[#This Row],[Acronym]],AcronymList,0),1)</f>
        <v>United Nations Children's Fund</v>
      </c>
      <c r="D792" s="27" t="str">
        <f>INDEX(Organizations[],MATCH(Main3WData[[#This Row],[Acronym]],AcronymList,0),3)</f>
        <v>UN Agency</v>
      </c>
      <c r="E792" s="54" t="s">
        <v>350</v>
      </c>
      <c r="F792" s="53" t="s">
        <v>82</v>
      </c>
      <c r="G792" s="54" t="s">
        <v>434</v>
      </c>
      <c r="H792" s="28" t="str">
        <f>VLOOKUP(Main3WData[[#This Row],[Admin Unit Name]],AdminUnits[],2,FALSE)</f>
        <v>GIN008006</v>
      </c>
      <c r="I792" s="57">
        <v>0</v>
      </c>
      <c r="J792" s="67" t="str">
        <f>Main3WData[[#This Row],[Acronym]]&amp;Main3WData[[#This Row],[Sector]]&amp;Main3WData[[#This Row],[Activity Type]]&amp;Main3WData[[#This Row],[Pcode]]</f>
        <v>UNICEFCommunication/Mobilisation socialeOngoingGIN008006</v>
      </c>
      <c r="K792" s="69">
        <f>COUNTIF(Main3WData[Concatenate],Main3WData[[#This Row],[Concatenate]])</f>
        <v>1</v>
      </c>
      <c r="L792" s="61" t="str">
        <f>Main3WData[[#This Row],[Sector]]&amp;Main3WData[[#This Row],[Pcode]]</f>
        <v>Communication/Mobilisation socialeGIN008006</v>
      </c>
      <c r="M792" s="71">
        <f>COUNTIF($L$5:L792,Main3WData[[#This Row],[PT.Concat]])</f>
        <v>1</v>
      </c>
      <c r="N792" s="70">
        <f>MATCH(Main3WData[[#This Row],[PT.Concat]],$L$5:L792,0)</f>
        <v>788</v>
      </c>
      <c r="O792" s="62" t="b">
        <f>Main3WData[[#This Row],[Count PT.Concat]]=1</f>
        <v>1</v>
      </c>
      <c r="P792" s="62">
        <f t="array" ref="P792">MAX(($N$4:N791=Main3WData[[#This Row],[PT.ID]])*ROW($N$4:N791))</f>
        <v>0</v>
      </c>
      <c r="Q792" s="62" t="str">
        <f>IF(Main3WData[[#This Row],[PT.FirstID]],Main3WData[[#This Row],[Acronym]],INDEX($Q$4:Q791,Main3WData[[#This Row],[PT.LastID.Row]]-ROW($Q$4)+1) &amp; ", "&amp;Main3WData[[#This Row],[Acronym]])</f>
        <v>UNICEF</v>
      </c>
      <c r="R792" s="62" t="b">
        <f t="array" ref="R792">MAX(IF(Main3WData[PT.ID]=Main3WData[[#This Row],[PT.ID]],Main3WData[PT.LastID.Row]))=Main3WData[[#This Row],[PT.LastID.Row]]</f>
        <v>0</v>
      </c>
    </row>
    <row r="793" spans="2:18" x14ac:dyDescent="0.2">
      <c r="B793" s="55" t="s">
        <v>75</v>
      </c>
      <c r="C793" s="27" t="str">
        <f>INDEX(Organizations[],MATCH(Main3WData[[#This Row],[Acronym]],AcronymList,0),1)</f>
        <v>United Nations Population Fund</v>
      </c>
      <c r="D793" s="27" t="str">
        <f>INDEX(Organizations[],MATCH(Main3WData[[#This Row],[Acronym]],AcronymList,0),3)</f>
        <v>UN Agency</v>
      </c>
      <c r="E793" s="54" t="s">
        <v>350</v>
      </c>
      <c r="F793" s="53" t="s">
        <v>82</v>
      </c>
      <c r="G793" s="54" t="s">
        <v>434</v>
      </c>
      <c r="H793" s="28" t="str">
        <f>VLOOKUP(Main3WData[[#This Row],[Admin Unit Name]],AdminUnits[],2,FALSE)</f>
        <v>GIN008006</v>
      </c>
      <c r="I793" s="57">
        <v>0</v>
      </c>
      <c r="J793" s="67" t="str">
        <f>Main3WData[[#This Row],[Acronym]]&amp;Main3WData[[#This Row],[Sector]]&amp;Main3WData[[#This Row],[Activity Type]]&amp;Main3WData[[#This Row],[Pcode]]</f>
        <v>UNFPACommunication/Mobilisation socialeOngoingGIN008006</v>
      </c>
      <c r="K793" s="69">
        <f>COUNTIF(Main3WData[Concatenate],Main3WData[[#This Row],[Concatenate]])</f>
        <v>1</v>
      </c>
      <c r="L793" s="61" t="str">
        <f>Main3WData[[#This Row],[Sector]]&amp;Main3WData[[#This Row],[Pcode]]</f>
        <v>Communication/Mobilisation socialeGIN008006</v>
      </c>
      <c r="M793" s="71">
        <f>COUNTIF($L$5:L793,Main3WData[[#This Row],[PT.Concat]])</f>
        <v>2</v>
      </c>
      <c r="N793" s="70">
        <f>MATCH(Main3WData[[#This Row],[PT.Concat]],$L$5:L793,0)</f>
        <v>788</v>
      </c>
      <c r="O793" s="62" t="b">
        <f>Main3WData[[#This Row],[Count PT.Concat]]=1</f>
        <v>0</v>
      </c>
      <c r="P793" s="62">
        <f t="array" ref="P793">MAX(($N$4:N792=Main3WData[[#This Row],[PT.ID]])*ROW($N$4:N792))</f>
        <v>792</v>
      </c>
      <c r="Q793" s="62" t="str">
        <f>IF(Main3WData[[#This Row],[PT.FirstID]],Main3WData[[#This Row],[Acronym]],INDEX($Q$4:Q792,Main3WData[[#This Row],[PT.LastID.Row]]-ROW($Q$4)+1) &amp; ", "&amp;Main3WData[[#This Row],[Acronym]])</f>
        <v>UNICEF, UNFPA</v>
      </c>
      <c r="R793" s="62" t="b">
        <f t="array" ref="R793">MAX(IF(Main3WData[PT.ID]=Main3WData[[#This Row],[PT.ID]],Main3WData[PT.LastID.Row]))=Main3WData[[#This Row],[PT.LastID.Row]]</f>
        <v>0</v>
      </c>
    </row>
    <row r="794" spans="2:18" x14ac:dyDescent="0.2">
      <c r="B794" s="55" t="s">
        <v>473</v>
      </c>
      <c r="C794" s="27" t="str">
        <f>INDEX(Organizations[],MATCH(Main3WData[[#This Row],[Acronym]],AcronymList,0),1)</f>
        <v>United Nations Development Programme</v>
      </c>
      <c r="D794" s="27" t="str">
        <f>INDEX(Organizations[],MATCH(Main3WData[[#This Row],[Acronym]],AcronymList,0),3)</f>
        <v>UN Agency</v>
      </c>
      <c r="E794" s="54" t="s">
        <v>350</v>
      </c>
      <c r="F794" s="53" t="s">
        <v>82</v>
      </c>
      <c r="G794" s="54" t="s">
        <v>434</v>
      </c>
      <c r="H794" s="28" t="str">
        <f>VLOOKUP(Main3WData[[#This Row],[Admin Unit Name]],AdminUnits[],2,FALSE)</f>
        <v>GIN008006</v>
      </c>
      <c r="I794" s="57">
        <v>0</v>
      </c>
      <c r="J794" s="67" t="str">
        <f>Main3WData[[#This Row],[Acronym]]&amp;Main3WData[[#This Row],[Sector]]&amp;Main3WData[[#This Row],[Activity Type]]&amp;Main3WData[[#This Row],[Pcode]]</f>
        <v>UNDPCommunication/Mobilisation socialeOngoingGIN008006</v>
      </c>
      <c r="K794" s="69">
        <f>COUNTIF(Main3WData[Concatenate],Main3WData[[#This Row],[Concatenate]])</f>
        <v>1</v>
      </c>
      <c r="L794" s="61" t="str">
        <f>Main3WData[[#This Row],[Sector]]&amp;Main3WData[[#This Row],[Pcode]]</f>
        <v>Communication/Mobilisation socialeGIN008006</v>
      </c>
      <c r="M794" s="71">
        <f>COUNTIF($L$5:L794,Main3WData[[#This Row],[PT.Concat]])</f>
        <v>3</v>
      </c>
      <c r="N794" s="70">
        <f>MATCH(Main3WData[[#This Row],[PT.Concat]],$L$5:L794,0)</f>
        <v>788</v>
      </c>
      <c r="O794" s="62" t="b">
        <f>Main3WData[[#This Row],[Count PT.Concat]]=1</f>
        <v>0</v>
      </c>
      <c r="P794" s="62">
        <f t="array" ref="P794">MAX(($N$4:N793=Main3WData[[#This Row],[PT.ID]])*ROW($N$4:N793))</f>
        <v>793</v>
      </c>
      <c r="Q794" s="62" t="str">
        <f>IF(Main3WData[[#This Row],[PT.FirstID]],Main3WData[[#This Row],[Acronym]],INDEX($Q$4:Q793,Main3WData[[#This Row],[PT.LastID.Row]]-ROW($Q$4)+1) &amp; ", "&amp;Main3WData[[#This Row],[Acronym]])</f>
        <v>UNICEF, UNFPA, UNDP</v>
      </c>
      <c r="R794" s="62" t="b">
        <f t="array" ref="R794">MAX(IF(Main3WData[PT.ID]=Main3WData[[#This Row],[PT.ID]],Main3WData[PT.LastID.Row]))=Main3WData[[#This Row],[PT.LastID.Row]]</f>
        <v>0</v>
      </c>
    </row>
    <row r="795" spans="2:18" x14ac:dyDescent="0.2">
      <c r="B795" s="55" t="s">
        <v>72</v>
      </c>
      <c r="C795" s="27" t="str">
        <f>INDEX(Organizations[],MATCH(Main3WData[[#This Row],[Acronym]],AcronymList,0),1)</f>
        <v>PLAN</v>
      </c>
      <c r="D795" s="27" t="str">
        <f>INDEX(Organizations[],MATCH(Main3WData[[#This Row],[Acronym]],AcronymList,0),3)</f>
        <v>International Organization</v>
      </c>
      <c r="E795" s="54" t="s">
        <v>350</v>
      </c>
      <c r="F795" s="53" t="s">
        <v>82</v>
      </c>
      <c r="G795" s="54" t="s">
        <v>434</v>
      </c>
      <c r="H795" s="28" t="str">
        <f>VLOOKUP(Main3WData[[#This Row],[Admin Unit Name]],AdminUnits[],2,FALSE)</f>
        <v>GIN008006</v>
      </c>
      <c r="I795" s="57">
        <v>0</v>
      </c>
      <c r="J795" s="67" t="str">
        <f>Main3WData[[#This Row],[Acronym]]&amp;Main3WData[[#This Row],[Sector]]&amp;Main3WData[[#This Row],[Activity Type]]&amp;Main3WData[[#This Row],[Pcode]]</f>
        <v>PLANCommunication/Mobilisation socialeOngoingGIN008006</v>
      </c>
      <c r="K795" s="69">
        <f>COUNTIF(Main3WData[Concatenate],Main3WData[[#This Row],[Concatenate]])</f>
        <v>1</v>
      </c>
      <c r="L795" s="61" t="str">
        <f>Main3WData[[#This Row],[Sector]]&amp;Main3WData[[#This Row],[Pcode]]</f>
        <v>Communication/Mobilisation socialeGIN008006</v>
      </c>
      <c r="M795" s="71">
        <f>COUNTIF($L$5:L795,Main3WData[[#This Row],[PT.Concat]])</f>
        <v>4</v>
      </c>
      <c r="N795" s="70">
        <f>MATCH(Main3WData[[#This Row],[PT.Concat]],$L$5:L795,0)</f>
        <v>788</v>
      </c>
      <c r="O795" s="62" t="b">
        <f>Main3WData[[#This Row],[Count PT.Concat]]=1</f>
        <v>0</v>
      </c>
      <c r="P795" s="62">
        <f t="array" ref="P795">MAX(($N$4:N794=Main3WData[[#This Row],[PT.ID]])*ROW($N$4:N794))</f>
        <v>794</v>
      </c>
      <c r="Q795" s="62" t="str">
        <f>IF(Main3WData[[#This Row],[PT.FirstID]],Main3WData[[#This Row],[Acronym]],INDEX($Q$4:Q794,Main3WData[[#This Row],[PT.LastID.Row]]-ROW($Q$4)+1) &amp; ", "&amp;Main3WData[[#This Row],[Acronym]])</f>
        <v>UNICEF, UNFPA, UNDP, PLAN</v>
      </c>
      <c r="R795" s="62" t="b">
        <f t="array" ref="R795">MAX(IF(Main3WData[PT.ID]=Main3WData[[#This Row],[PT.ID]],Main3WData[PT.LastID.Row]))=Main3WData[[#This Row],[PT.LastID.Row]]</f>
        <v>0</v>
      </c>
    </row>
    <row r="796" spans="2:18" x14ac:dyDescent="0.2">
      <c r="B796" s="55" t="s">
        <v>512</v>
      </c>
      <c r="C796" s="27" t="str">
        <f>INDEX(Organizations[],MATCH(Main3WData[[#This Row],[Acronym]],AcronymList,0),1)</f>
        <v>World Health Organization</v>
      </c>
      <c r="D796" s="27" t="str">
        <f>INDEX(Organizations[],MATCH(Main3WData[[#This Row],[Acronym]],AcronymList,0),3)</f>
        <v>UN Agency</v>
      </c>
      <c r="E796" s="54" t="s">
        <v>350</v>
      </c>
      <c r="F796" s="53" t="s">
        <v>82</v>
      </c>
      <c r="G796" s="54" t="s">
        <v>434</v>
      </c>
      <c r="H796" s="28" t="str">
        <f>VLOOKUP(Main3WData[[#This Row],[Admin Unit Name]],AdminUnits[],2,FALSE)</f>
        <v>GIN008006</v>
      </c>
      <c r="I796" s="57">
        <v>0</v>
      </c>
      <c r="J796" s="67" t="str">
        <f>Main3WData[[#This Row],[Acronym]]&amp;Main3WData[[#This Row],[Sector]]&amp;Main3WData[[#This Row],[Activity Type]]&amp;Main3WData[[#This Row],[Pcode]]</f>
        <v>OMSCommunication/Mobilisation socialeOngoingGIN008006</v>
      </c>
      <c r="K796" s="69">
        <f>COUNTIF(Main3WData[Concatenate],Main3WData[[#This Row],[Concatenate]])</f>
        <v>1</v>
      </c>
      <c r="L796" s="61" t="str">
        <f>Main3WData[[#This Row],[Sector]]&amp;Main3WData[[#This Row],[Pcode]]</f>
        <v>Communication/Mobilisation socialeGIN008006</v>
      </c>
      <c r="M796" s="71">
        <f>COUNTIF($L$5:L796,Main3WData[[#This Row],[PT.Concat]])</f>
        <v>5</v>
      </c>
      <c r="N796" s="70">
        <f>MATCH(Main3WData[[#This Row],[PT.Concat]],$L$5:L796,0)</f>
        <v>788</v>
      </c>
      <c r="O796" s="62" t="b">
        <f>Main3WData[[#This Row],[Count PT.Concat]]=1</f>
        <v>0</v>
      </c>
      <c r="P796" s="62">
        <f t="array" ref="P796">MAX(($N$4:N795=Main3WData[[#This Row],[PT.ID]])*ROW($N$4:N795))</f>
        <v>795</v>
      </c>
      <c r="Q796" s="62" t="str">
        <f>IF(Main3WData[[#This Row],[PT.FirstID]],Main3WData[[#This Row],[Acronym]],INDEX($Q$4:Q795,Main3WData[[#This Row],[PT.LastID.Row]]-ROW($Q$4)+1) &amp; ", "&amp;Main3WData[[#This Row],[Acronym]])</f>
        <v>UNICEF, UNFPA, UNDP, PLAN, OMS</v>
      </c>
      <c r="R796" s="62" t="b">
        <f t="array" ref="R796">MAX(IF(Main3WData[PT.ID]=Main3WData[[#This Row],[PT.ID]],Main3WData[PT.LastID.Row]))=Main3WData[[#This Row],[PT.LastID.Row]]</f>
        <v>1</v>
      </c>
    </row>
    <row r="797" spans="2:18" x14ac:dyDescent="0.2">
      <c r="B797" s="55" t="s">
        <v>516</v>
      </c>
      <c r="C797" s="27" t="str">
        <f>INDEX(Organizations[],MATCH(Main3WData[[#This Row],[Acronym]],AcronymList,0),1)</f>
        <v>UNITED NATION MISSION FOR EBOLA  EMERGENCY RESPONSE</v>
      </c>
      <c r="D797" s="27" t="str">
        <f>INDEX(Organizations[],MATCH(Main3WData[[#This Row],[Acronym]],AcronymList,0),3)</f>
        <v>UN Agency</v>
      </c>
      <c r="E797" s="54" t="s">
        <v>360</v>
      </c>
      <c r="F797" s="53" t="s">
        <v>82</v>
      </c>
      <c r="G797" s="54" t="s">
        <v>434</v>
      </c>
      <c r="H797" s="28" t="str">
        <f>VLOOKUP(Main3WData[[#This Row],[Admin Unit Name]],AdminUnits[],2,FALSE)</f>
        <v>GIN008006</v>
      </c>
      <c r="I797" s="57">
        <v>0</v>
      </c>
      <c r="J797" s="67" t="str">
        <f>Main3WData[[#This Row],[Acronym]]&amp;Main3WData[[#This Row],[Sector]]&amp;Main3WData[[#This Row],[Activity Type]]&amp;Main3WData[[#This Row],[Pcode]]</f>
        <v>UNMEERCoordinationOngoingGIN008006</v>
      </c>
      <c r="K797" s="69">
        <f>COUNTIF(Main3WData[Concatenate],Main3WData[[#This Row],[Concatenate]])</f>
        <v>1</v>
      </c>
      <c r="L797" s="61" t="str">
        <f>Main3WData[[#This Row],[Sector]]&amp;Main3WData[[#This Row],[Pcode]]</f>
        <v>CoordinationGIN008006</v>
      </c>
      <c r="M797" s="71">
        <f>COUNTIF($L$5:L797,Main3WData[[#This Row],[PT.Concat]])</f>
        <v>1</v>
      </c>
      <c r="N797" s="70">
        <f>MATCH(Main3WData[[#This Row],[PT.Concat]],$L$5:L797,0)</f>
        <v>793</v>
      </c>
      <c r="O797" s="62" t="b">
        <f>Main3WData[[#This Row],[Count PT.Concat]]=1</f>
        <v>1</v>
      </c>
      <c r="P797" s="62">
        <f t="array" ref="P797">MAX(($N$4:N796=Main3WData[[#This Row],[PT.ID]])*ROW($N$4:N796))</f>
        <v>0</v>
      </c>
      <c r="Q797" s="62" t="str">
        <f>IF(Main3WData[[#This Row],[PT.FirstID]],Main3WData[[#This Row],[Acronym]],INDEX($Q$4:Q796,Main3WData[[#This Row],[PT.LastID.Row]]-ROW($Q$4)+1) &amp; ", "&amp;Main3WData[[#This Row],[Acronym]])</f>
        <v>UNMEER</v>
      </c>
      <c r="R797" s="62" t="b">
        <f t="array" ref="R797">MAX(IF(Main3WData[PT.ID]=Main3WData[[#This Row],[PT.ID]],Main3WData[PT.LastID.Row]))=Main3WData[[#This Row],[PT.LastID.Row]]</f>
        <v>0</v>
      </c>
    </row>
    <row r="798" spans="2:18" x14ac:dyDescent="0.2">
      <c r="B798" s="55" t="s">
        <v>75</v>
      </c>
      <c r="C798" s="27" t="str">
        <f>INDEX(Organizations[],MATCH(Main3WData[[#This Row],[Acronym]],AcronymList,0),1)</f>
        <v>United Nations Population Fund</v>
      </c>
      <c r="D798" s="27" t="str">
        <f>INDEX(Organizations[],MATCH(Main3WData[[#This Row],[Acronym]],AcronymList,0),3)</f>
        <v>UN Agency</v>
      </c>
      <c r="E798" s="54" t="s">
        <v>360</v>
      </c>
      <c r="F798" s="53" t="s">
        <v>82</v>
      </c>
      <c r="G798" s="54" t="s">
        <v>434</v>
      </c>
      <c r="H798" s="28" t="str">
        <f>VLOOKUP(Main3WData[[#This Row],[Admin Unit Name]],AdminUnits[],2,FALSE)</f>
        <v>GIN008006</v>
      </c>
      <c r="I798" s="57">
        <v>0</v>
      </c>
      <c r="J798" s="67" t="str">
        <f>Main3WData[[#This Row],[Acronym]]&amp;Main3WData[[#This Row],[Sector]]&amp;Main3WData[[#This Row],[Activity Type]]&amp;Main3WData[[#This Row],[Pcode]]</f>
        <v>UNFPACoordinationOngoingGIN008006</v>
      </c>
      <c r="K798" s="69">
        <f>COUNTIF(Main3WData[Concatenate],Main3WData[[#This Row],[Concatenate]])</f>
        <v>1</v>
      </c>
      <c r="L798" s="61" t="str">
        <f>Main3WData[[#This Row],[Sector]]&amp;Main3WData[[#This Row],[Pcode]]</f>
        <v>CoordinationGIN008006</v>
      </c>
      <c r="M798" s="71">
        <f>COUNTIF($L$5:L798,Main3WData[[#This Row],[PT.Concat]])</f>
        <v>2</v>
      </c>
      <c r="N798" s="70">
        <f>MATCH(Main3WData[[#This Row],[PT.Concat]],$L$5:L798,0)</f>
        <v>793</v>
      </c>
      <c r="O798" s="62" t="b">
        <f>Main3WData[[#This Row],[Count PT.Concat]]=1</f>
        <v>0</v>
      </c>
      <c r="P798" s="62">
        <f t="array" ref="P798">MAX(($N$4:N797=Main3WData[[#This Row],[PT.ID]])*ROW($N$4:N797))</f>
        <v>797</v>
      </c>
      <c r="Q798" s="62" t="str">
        <f>IF(Main3WData[[#This Row],[PT.FirstID]],Main3WData[[#This Row],[Acronym]],INDEX($Q$4:Q797,Main3WData[[#This Row],[PT.LastID.Row]]-ROW($Q$4)+1) &amp; ", "&amp;Main3WData[[#This Row],[Acronym]])</f>
        <v>UNMEER, UNFPA</v>
      </c>
      <c r="R798" s="62" t="b">
        <f t="array" ref="R798">MAX(IF(Main3WData[PT.ID]=Main3WData[[#This Row],[PT.ID]],Main3WData[PT.LastID.Row]))=Main3WData[[#This Row],[PT.LastID.Row]]</f>
        <v>0</v>
      </c>
    </row>
    <row r="799" spans="2:18" x14ac:dyDescent="0.2">
      <c r="B799" s="55" t="s">
        <v>473</v>
      </c>
      <c r="C799" s="27" t="str">
        <f>INDEX(Organizations[],MATCH(Main3WData[[#This Row],[Acronym]],AcronymList,0),1)</f>
        <v>United Nations Development Programme</v>
      </c>
      <c r="D799" s="27" t="str">
        <f>INDEX(Organizations[],MATCH(Main3WData[[#This Row],[Acronym]],AcronymList,0),3)</f>
        <v>UN Agency</v>
      </c>
      <c r="E799" s="54" t="s">
        <v>360</v>
      </c>
      <c r="F799" s="53" t="s">
        <v>82</v>
      </c>
      <c r="G799" s="54" t="s">
        <v>434</v>
      </c>
      <c r="H799" s="28" t="str">
        <f>VLOOKUP(Main3WData[[#This Row],[Admin Unit Name]],AdminUnits[],2,FALSE)</f>
        <v>GIN008006</v>
      </c>
      <c r="I799" s="57">
        <v>0</v>
      </c>
      <c r="J799" s="67" t="str">
        <f>Main3WData[[#This Row],[Acronym]]&amp;Main3WData[[#This Row],[Sector]]&amp;Main3WData[[#This Row],[Activity Type]]&amp;Main3WData[[#This Row],[Pcode]]</f>
        <v>UNDPCoordinationOngoingGIN008006</v>
      </c>
      <c r="K799" s="69">
        <f>COUNTIF(Main3WData[Concatenate],Main3WData[[#This Row],[Concatenate]])</f>
        <v>1</v>
      </c>
      <c r="L799" s="61" t="str">
        <f>Main3WData[[#This Row],[Sector]]&amp;Main3WData[[#This Row],[Pcode]]</f>
        <v>CoordinationGIN008006</v>
      </c>
      <c r="M799" s="71">
        <f>COUNTIF($L$5:L799,Main3WData[[#This Row],[PT.Concat]])</f>
        <v>3</v>
      </c>
      <c r="N799" s="70">
        <f>MATCH(Main3WData[[#This Row],[PT.Concat]],$L$5:L799,0)</f>
        <v>793</v>
      </c>
      <c r="O799" s="62" t="b">
        <f>Main3WData[[#This Row],[Count PT.Concat]]=1</f>
        <v>0</v>
      </c>
      <c r="P799" s="62">
        <f t="array" ref="P799">MAX(($N$4:N798=Main3WData[[#This Row],[PT.ID]])*ROW($N$4:N798))</f>
        <v>798</v>
      </c>
      <c r="Q799" s="62" t="str">
        <f>IF(Main3WData[[#This Row],[PT.FirstID]],Main3WData[[#This Row],[Acronym]],INDEX($Q$4:Q798,Main3WData[[#This Row],[PT.LastID.Row]]-ROW($Q$4)+1) &amp; ", "&amp;Main3WData[[#This Row],[Acronym]])</f>
        <v>UNMEER, UNFPA, UNDP</v>
      </c>
      <c r="R799" s="62" t="b">
        <f t="array" ref="R799">MAX(IF(Main3WData[PT.ID]=Main3WData[[#This Row],[PT.ID]],Main3WData[PT.LastID.Row]))=Main3WData[[#This Row],[PT.LastID.Row]]</f>
        <v>0</v>
      </c>
    </row>
    <row r="800" spans="2:18" x14ac:dyDescent="0.2">
      <c r="B800" s="55" t="s">
        <v>512</v>
      </c>
      <c r="C800" s="27" t="str">
        <f>INDEX(Organizations[],MATCH(Main3WData[[#This Row],[Acronym]],AcronymList,0),1)</f>
        <v>World Health Organization</v>
      </c>
      <c r="D800" s="27" t="str">
        <f>INDEX(Organizations[],MATCH(Main3WData[[#This Row],[Acronym]],AcronymList,0),3)</f>
        <v>UN Agency</v>
      </c>
      <c r="E800" s="54" t="s">
        <v>360</v>
      </c>
      <c r="F800" s="53" t="s">
        <v>82</v>
      </c>
      <c r="G800" s="54" t="s">
        <v>434</v>
      </c>
      <c r="H800" s="28" t="str">
        <f>VLOOKUP(Main3WData[[#This Row],[Admin Unit Name]],AdminUnits[],2,FALSE)</f>
        <v>GIN008006</v>
      </c>
      <c r="I800" s="57">
        <v>0</v>
      </c>
      <c r="J800" s="67" t="str">
        <f>Main3WData[[#This Row],[Acronym]]&amp;Main3WData[[#This Row],[Sector]]&amp;Main3WData[[#This Row],[Activity Type]]&amp;Main3WData[[#This Row],[Pcode]]</f>
        <v>OMSCoordinationOngoingGIN008006</v>
      </c>
      <c r="K800" s="69">
        <f>COUNTIF(Main3WData[Concatenate],Main3WData[[#This Row],[Concatenate]])</f>
        <v>1</v>
      </c>
      <c r="L800" s="61" t="str">
        <f>Main3WData[[#This Row],[Sector]]&amp;Main3WData[[#This Row],[Pcode]]</f>
        <v>CoordinationGIN008006</v>
      </c>
      <c r="M800" s="71">
        <f>COUNTIF($L$5:L800,Main3WData[[#This Row],[PT.Concat]])</f>
        <v>4</v>
      </c>
      <c r="N800" s="70">
        <f>MATCH(Main3WData[[#This Row],[PT.Concat]],$L$5:L800,0)</f>
        <v>793</v>
      </c>
      <c r="O800" s="62" t="b">
        <f>Main3WData[[#This Row],[Count PT.Concat]]=1</f>
        <v>0</v>
      </c>
      <c r="P800" s="62">
        <f t="array" ref="P800">MAX(($N$4:N799=Main3WData[[#This Row],[PT.ID]])*ROW($N$4:N799))</f>
        <v>799</v>
      </c>
      <c r="Q800" s="62" t="str">
        <f>IF(Main3WData[[#This Row],[PT.FirstID]],Main3WData[[#This Row],[Acronym]],INDEX($Q$4:Q799,Main3WData[[#This Row],[PT.LastID.Row]]-ROW($Q$4)+1) &amp; ", "&amp;Main3WData[[#This Row],[Acronym]])</f>
        <v>UNMEER, UNFPA, UNDP, OMS</v>
      </c>
      <c r="R800" s="62" t="b">
        <f t="array" ref="R800">MAX(IF(Main3WData[PT.ID]=Main3WData[[#This Row],[PT.ID]],Main3WData[PT.LastID.Row]))=Main3WData[[#This Row],[PT.LastID.Row]]</f>
        <v>0</v>
      </c>
    </row>
    <row r="801" spans="2:18" x14ac:dyDescent="0.2">
      <c r="B801" s="55" t="s">
        <v>71</v>
      </c>
      <c r="C801" s="27" t="str">
        <f>INDEX(Organizations[],MATCH(Main3WData[[#This Row],[Acronym]],AcronymList,0),1)</f>
        <v>Medecins sans Frontieres</v>
      </c>
      <c r="D801" s="27" t="str">
        <f>INDEX(Organizations[],MATCH(Main3WData[[#This Row],[Acronym]],AcronymList,0),3)</f>
        <v>International NGO</v>
      </c>
      <c r="E801" s="54" t="s">
        <v>360</v>
      </c>
      <c r="F801" s="53" t="s">
        <v>82</v>
      </c>
      <c r="G801" s="54" t="s">
        <v>434</v>
      </c>
      <c r="H801" s="28" t="str">
        <f>VLOOKUP(Main3WData[[#This Row],[Admin Unit Name]],AdminUnits[],2,FALSE)</f>
        <v>GIN008006</v>
      </c>
      <c r="I801" s="57">
        <v>0</v>
      </c>
      <c r="J801" s="67" t="str">
        <f>Main3WData[[#This Row],[Acronym]]&amp;Main3WData[[#This Row],[Sector]]&amp;Main3WData[[#This Row],[Activity Type]]&amp;Main3WData[[#This Row],[Pcode]]</f>
        <v>MSFCoordinationOngoingGIN008006</v>
      </c>
      <c r="K801" s="69">
        <f>COUNTIF(Main3WData[Concatenate],Main3WData[[#This Row],[Concatenate]])</f>
        <v>1</v>
      </c>
      <c r="L801" s="61" t="str">
        <f>Main3WData[[#This Row],[Sector]]&amp;Main3WData[[#This Row],[Pcode]]</f>
        <v>CoordinationGIN008006</v>
      </c>
      <c r="M801" s="71">
        <f>COUNTIF($L$5:L801,Main3WData[[#This Row],[PT.Concat]])</f>
        <v>5</v>
      </c>
      <c r="N801" s="70">
        <f>MATCH(Main3WData[[#This Row],[PT.Concat]],$L$5:L801,0)</f>
        <v>793</v>
      </c>
      <c r="O801" s="62" t="b">
        <f>Main3WData[[#This Row],[Count PT.Concat]]=1</f>
        <v>0</v>
      </c>
      <c r="P801" s="62">
        <f t="array" ref="P801">MAX(($N$4:N800=Main3WData[[#This Row],[PT.ID]])*ROW($N$4:N800))</f>
        <v>800</v>
      </c>
      <c r="Q801" s="62" t="str">
        <f>IF(Main3WData[[#This Row],[PT.FirstID]],Main3WData[[#This Row],[Acronym]],INDEX($Q$4:Q800,Main3WData[[#This Row],[PT.LastID.Row]]-ROW($Q$4)+1) &amp; ", "&amp;Main3WData[[#This Row],[Acronym]])</f>
        <v>UNMEER, UNFPA, UNDP, OMS, MSF</v>
      </c>
      <c r="R801" s="62" t="b">
        <f t="array" ref="R801">MAX(IF(Main3WData[PT.ID]=Main3WData[[#This Row],[PT.ID]],Main3WData[PT.LastID.Row]))=Main3WData[[#This Row],[PT.LastID.Row]]</f>
        <v>0</v>
      </c>
    </row>
    <row r="802" spans="2:18" x14ac:dyDescent="0.2">
      <c r="B802" s="55" t="s">
        <v>507</v>
      </c>
      <c r="C802" s="27" t="str">
        <f>INDEX(Organizations[],MATCH(Main3WData[[#This Row],[Acronym]],AcronymList,0),1)</f>
        <v>eHealth Africa</v>
      </c>
      <c r="D802" s="27" t="str">
        <f>INDEX(Organizations[],MATCH(Main3WData[[#This Row],[Acronym]],AcronymList,0),3)</f>
        <v>International Organization</v>
      </c>
      <c r="E802" s="54" t="s">
        <v>360</v>
      </c>
      <c r="F802" s="53" t="s">
        <v>82</v>
      </c>
      <c r="G802" s="54" t="s">
        <v>434</v>
      </c>
      <c r="H802" s="28" t="str">
        <f>VLOOKUP(Main3WData[[#This Row],[Admin Unit Name]],AdminUnits[],2,FALSE)</f>
        <v>GIN008006</v>
      </c>
      <c r="I802" s="57">
        <v>0</v>
      </c>
      <c r="J802" s="67" t="str">
        <f>Main3WData[[#This Row],[Acronym]]&amp;Main3WData[[#This Row],[Sector]]&amp;Main3WData[[#This Row],[Activity Type]]&amp;Main3WData[[#This Row],[Pcode]]</f>
        <v>eHealth AfricaCoordinationOngoingGIN008006</v>
      </c>
      <c r="K802" s="69">
        <f>COUNTIF(Main3WData[Concatenate],Main3WData[[#This Row],[Concatenate]])</f>
        <v>1</v>
      </c>
      <c r="L802" s="61" t="str">
        <f>Main3WData[[#This Row],[Sector]]&amp;Main3WData[[#This Row],[Pcode]]</f>
        <v>CoordinationGIN008006</v>
      </c>
      <c r="M802" s="71">
        <f>COUNTIF($L$5:L802,Main3WData[[#This Row],[PT.Concat]])</f>
        <v>6</v>
      </c>
      <c r="N802" s="70">
        <f>MATCH(Main3WData[[#This Row],[PT.Concat]],$L$5:L802,0)</f>
        <v>793</v>
      </c>
      <c r="O802" s="62" t="b">
        <f>Main3WData[[#This Row],[Count PT.Concat]]=1</f>
        <v>0</v>
      </c>
      <c r="P802" s="62">
        <f t="array" ref="P802">MAX(($N$4:N801=Main3WData[[#This Row],[PT.ID]])*ROW($N$4:N801))</f>
        <v>801</v>
      </c>
      <c r="Q802" s="62" t="str">
        <f>IF(Main3WData[[#This Row],[PT.FirstID]],Main3WData[[#This Row],[Acronym]],INDEX($Q$4:Q801,Main3WData[[#This Row],[PT.LastID.Row]]-ROW($Q$4)+1) &amp; ", "&amp;Main3WData[[#This Row],[Acronym]])</f>
        <v>UNMEER, UNFPA, UNDP, OMS, MSF, eHealth Africa</v>
      </c>
      <c r="R802" s="62" t="b">
        <f t="array" ref="R802">MAX(IF(Main3WData[PT.ID]=Main3WData[[#This Row],[PT.ID]],Main3WData[PT.LastID.Row]))=Main3WData[[#This Row],[PT.LastID.Row]]</f>
        <v>1</v>
      </c>
    </row>
    <row r="803" spans="2:18" x14ac:dyDescent="0.2">
      <c r="B803" s="55" t="s">
        <v>473</v>
      </c>
      <c r="C803" s="27" t="str">
        <f>INDEX(Organizations[],MATCH(Main3WData[[#This Row],[Acronym]],AcronymList,0),1)</f>
        <v>United Nations Development Programme</v>
      </c>
      <c r="D803" s="27" t="str">
        <f>INDEX(Organizations[],MATCH(Main3WData[[#This Row],[Acronym]],AcronymList,0),3)</f>
        <v>UN Agency</v>
      </c>
      <c r="E803" s="54" t="s">
        <v>359</v>
      </c>
      <c r="F803" s="53" t="s">
        <v>82</v>
      </c>
      <c r="G803" s="54" t="s">
        <v>434</v>
      </c>
      <c r="H803" s="28" t="str">
        <f>VLOOKUP(Main3WData[[#This Row],[Admin Unit Name]],AdminUnits[],2,FALSE)</f>
        <v>GIN008006</v>
      </c>
      <c r="I803" s="57">
        <v>0</v>
      </c>
      <c r="J803" s="67" t="str">
        <f>Main3WData[[#This Row],[Acronym]]&amp;Main3WData[[#This Row],[Sector]]&amp;Main3WData[[#This Row],[Activity Type]]&amp;Main3WData[[#This Row],[Pcode]]</f>
        <v>UNDPFinanceOngoingGIN008006</v>
      </c>
      <c r="K803" s="69">
        <f>COUNTIF(Main3WData[Concatenate],Main3WData[[#This Row],[Concatenate]])</f>
        <v>1</v>
      </c>
      <c r="L803" s="61" t="str">
        <f>Main3WData[[#This Row],[Sector]]&amp;Main3WData[[#This Row],[Pcode]]</f>
        <v>FinanceGIN008006</v>
      </c>
      <c r="M803" s="71">
        <f>COUNTIF($L$5:L803,Main3WData[[#This Row],[PT.Concat]])</f>
        <v>1</v>
      </c>
      <c r="N803" s="70">
        <f>MATCH(Main3WData[[#This Row],[PT.Concat]],$L$5:L803,0)</f>
        <v>799</v>
      </c>
      <c r="O803" s="62" t="b">
        <f>Main3WData[[#This Row],[Count PT.Concat]]=1</f>
        <v>1</v>
      </c>
      <c r="P803" s="62">
        <f t="array" ref="P803">MAX(($N$4:N802=Main3WData[[#This Row],[PT.ID]])*ROW($N$4:N802))</f>
        <v>0</v>
      </c>
      <c r="Q803" s="62" t="str">
        <f>IF(Main3WData[[#This Row],[PT.FirstID]],Main3WData[[#This Row],[Acronym]],INDEX($Q$4:Q802,Main3WData[[#This Row],[PT.LastID.Row]]-ROW($Q$4)+1) &amp; ", "&amp;Main3WData[[#This Row],[Acronym]])</f>
        <v>UNDP</v>
      </c>
      <c r="R803" s="62" t="b">
        <f t="array" ref="R803">MAX(IF(Main3WData[PT.ID]=Main3WData[[#This Row],[PT.ID]],Main3WData[PT.LastID.Row]))=Main3WData[[#This Row],[PT.LastID.Row]]</f>
        <v>1</v>
      </c>
    </row>
    <row r="804" spans="2:18" x14ac:dyDescent="0.2">
      <c r="B804" s="55" t="s">
        <v>451</v>
      </c>
      <c r="C804" s="27" t="str">
        <f>INDEX(Organizations[],MATCH(Main3WData[[#This Row],[Acronym]],AcronymList,0),1)</f>
        <v>Croix-Rouge Guinée</v>
      </c>
      <c r="D804" s="27" t="str">
        <f>INDEX(Organizations[],MATCH(Main3WData[[#This Row],[Acronym]],AcronymList,0),3)</f>
        <v>Red Cross Movement</v>
      </c>
      <c r="E804" s="54" t="s">
        <v>354</v>
      </c>
      <c r="F804" s="53" t="s">
        <v>82</v>
      </c>
      <c r="G804" s="54" t="s">
        <v>434</v>
      </c>
      <c r="H804" s="28" t="str">
        <f>VLOOKUP(Main3WData[[#This Row],[Admin Unit Name]],AdminUnits[],2,FALSE)</f>
        <v>GIN008006</v>
      </c>
      <c r="I804" s="57">
        <v>0</v>
      </c>
      <c r="J804" s="67" t="str">
        <f>Main3WData[[#This Row],[Acronym]]&amp;Main3WData[[#This Row],[Sector]]&amp;Main3WData[[#This Row],[Activity Type]]&amp;Main3WData[[#This Row],[Pcode]]</f>
        <v>CRGGestion des corps et desinfectionOngoingGIN008006</v>
      </c>
      <c r="K804" s="69">
        <f>COUNTIF(Main3WData[Concatenate],Main3WData[[#This Row],[Concatenate]])</f>
        <v>1</v>
      </c>
      <c r="L804" s="61" t="str">
        <f>Main3WData[[#This Row],[Sector]]&amp;Main3WData[[#This Row],[Pcode]]</f>
        <v>Gestion des corps et desinfectionGIN008006</v>
      </c>
      <c r="M804" s="71">
        <f>COUNTIF($L$5:L804,Main3WData[[#This Row],[PT.Concat]])</f>
        <v>1</v>
      </c>
      <c r="N804" s="70">
        <f>MATCH(Main3WData[[#This Row],[PT.Concat]],$L$5:L804,0)</f>
        <v>800</v>
      </c>
      <c r="O804" s="62" t="b">
        <f>Main3WData[[#This Row],[Count PT.Concat]]=1</f>
        <v>1</v>
      </c>
      <c r="P804" s="62">
        <f t="array" ref="P804">MAX(($N$4:N803=Main3WData[[#This Row],[PT.ID]])*ROW($N$4:N803))</f>
        <v>0</v>
      </c>
      <c r="Q804" s="62" t="str">
        <f>IF(Main3WData[[#This Row],[PT.FirstID]],Main3WData[[#This Row],[Acronym]],INDEX($Q$4:Q803,Main3WData[[#This Row],[PT.LastID.Row]]-ROW($Q$4)+1) &amp; ", "&amp;Main3WData[[#This Row],[Acronym]])</f>
        <v>CRG</v>
      </c>
      <c r="R804" s="62" t="b">
        <f t="array" ref="R804">MAX(IF(Main3WData[PT.ID]=Main3WData[[#This Row],[PT.ID]],Main3WData[PT.LastID.Row]))=Main3WData[[#This Row],[PT.LastID.Row]]</f>
        <v>1</v>
      </c>
    </row>
    <row r="805" spans="2:18" x14ac:dyDescent="0.2">
      <c r="B805" s="55" t="s">
        <v>516</v>
      </c>
      <c r="C805" s="27" t="str">
        <f>INDEX(Organizations[],MATCH(Main3WData[[#This Row],[Acronym]],AcronymList,0),1)</f>
        <v>UNITED NATION MISSION FOR EBOLA  EMERGENCY RESPONSE</v>
      </c>
      <c r="D805" s="27" t="str">
        <f>INDEX(Organizations[],MATCH(Main3WData[[#This Row],[Acronym]],AcronymList,0),3)</f>
        <v>UN Agency</v>
      </c>
      <c r="E805" s="54" t="s">
        <v>356</v>
      </c>
      <c r="F805" s="53" t="s">
        <v>82</v>
      </c>
      <c r="G805" s="54" t="s">
        <v>434</v>
      </c>
      <c r="H805" s="28" t="str">
        <f>VLOOKUP(Main3WData[[#This Row],[Admin Unit Name]],AdminUnits[],2,FALSE)</f>
        <v>GIN008006</v>
      </c>
      <c r="I805" s="57">
        <v>0</v>
      </c>
      <c r="J805" s="67" t="str">
        <f>Main3WData[[#This Row],[Acronym]]&amp;Main3WData[[#This Row],[Sector]]&amp;Main3WData[[#This Row],[Activity Type]]&amp;Main3WData[[#This Row],[Pcode]]</f>
        <v>UNMEERGestion des donnéesOngoingGIN008006</v>
      </c>
      <c r="K805" s="69">
        <f>COUNTIF(Main3WData[Concatenate],Main3WData[[#This Row],[Concatenate]])</f>
        <v>1</v>
      </c>
      <c r="L805" s="61" t="str">
        <f>Main3WData[[#This Row],[Sector]]&amp;Main3WData[[#This Row],[Pcode]]</f>
        <v>Gestion des donnéesGIN008006</v>
      </c>
      <c r="M805" s="71">
        <f>COUNTIF($L$5:L805,Main3WData[[#This Row],[PT.Concat]])</f>
        <v>1</v>
      </c>
      <c r="N805" s="70">
        <f>MATCH(Main3WData[[#This Row],[PT.Concat]],$L$5:L805,0)</f>
        <v>801</v>
      </c>
      <c r="O805" s="62" t="b">
        <f>Main3WData[[#This Row],[Count PT.Concat]]=1</f>
        <v>1</v>
      </c>
      <c r="P805" s="62">
        <f t="array" ref="P805">MAX(($N$4:N804=Main3WData[[#This Row],[PT.ID]])*ROW($N$4:N804))</f>
        <v>0</v>
      </c>
      <c r="Q805" s="62" t="str">
        <f>IF(Main3WData[[#This Row],[PT.FirstID]],Main3WData[[#This Row],[Acronym]],INDEX($Q$4:Q804,Main3WData[[#This Row],[PT.LastID.Row]]-ROW($Q$4)+1) &amp; ", "&amp;Main3WData[[#This Row],[Acronym]])</f>
        <v>UNMEER</v>
      </c>
      <c r="R805" s="62" t="b">
        <f t="array" ref="R805">MAX(IF(Main3WData[PT.ID]=Main3WData[[#This Row],[PT.ID]],Main3WData[PT.LastID.Row]))=Main3WData[[#This Row],[PT.LastID.Row]]</f>
        <v>0</v>
      </c>
    </row>
    <row r="806" spans="2:18" x14ac:dyDescent="0.2">
      <c r="B806" s="55" t="s">
        <v>72</v>
      </c>
      <c r="C806" s="27" t="str">
        <f>INDEX(Organizations[],MATCH(Main3WData[[#This Row],[Acronym]],AcronymList,0),1)</f>
        <v>PLAN</v>
      </c>
      <c r="D806" s="27" t="str">
        <f>INDEX(Organizations[],MATCH(Main3WData[[#This Row],[Acronym]],AcronymList,0),3)</f>
        <v>International Organization</v>
      </c>
      <c r="E806" s="54" t="s">
        <v>356</v>
      </c>
      <c r="F806" s="53" t="s">
        <v>82</v>
      </c>
      <c r="G806" s="54" t="s">
        <v>434</v>
      </c>
      <c r="H806" s="28" t="str">
        <f>VLOOKUP(Main3WData[[#This Row],[Admin Unit Name]],AdminUnits[],2,FALSE)</f>
        <v>GIN008006</v>
      </c>
      <c r="I806" s="57">
        <v>0</v>
      </c>
      <c r="J806" s="67" t="str">
        <f>Main3WData[[#This Row],[Acronym]]&amp;Main3WData[[#This Row],[Sector]]&amp;Main3WData[[#This Row],[Activity Type]]&amp;Main3WData[[#This Row],[Pcode]]</f>
        <v>PLANGestion des donnéesOngoingGIN008006</v>
      </c>
      <c r="K806" s="69">
        <f>COUNTIF(Main3WData[Concatenate],Main3WData[[#This Row],[Concatenate]])</f>
        <v>1</v>
      </c>
      <c r="L806" s="61" t="str">
        <f>Main3WData[[#This Row],[Sector]]&amp;Main3WData[[#This Row],[Pcode]]</f>
        <v>Gestion des donnéesGIN008006</v>
      </c>
      <c r="M806" s="71">
        <f>COUNTIF($L$5:L806,Main3WData[[#This Row],[PT.Concat]])</f>
        <v>2</v>
      </c>
      <c r="N806" s="70">
        <f>MATCH(Main3WData[[#This Row],[PT.Concat]],$L$5:L806,0)</f>
        <v>801</v>
      </c>
      <c r="O806" s="62" t="b">
        <f>Main3WData[[#This Row],[Count PT.Concat]]=1</f>
        <v>0</v>
      </c>
      <c r="P806" s="62">
        <f t="array" ref="P806">MAX(($N$4:N805=Main3WData[[#This Row],[PT.ID]])*ROW($N$4:N805))</f>
        <v>805</v>
      </c>
      <c r="Q806" s="62" t="str">
        <f>IF(Main3WData[[#This Row],[PT.FirstID]],Main3WData[[#This Row],[Acronym]],INDEX($Q$4:Q805,Main3WData[[#This Row],[PT.LastID.Row]]-ROW($Q$4)+1) &amp; ", "&amp;Main3WData[[#This Row],[Acronym]])</f>
        <v>UNMEER, PLAN</v>
      </c>
      <c r="R806" s="62" t="b">
        <f t="array" ref="R806">MAX(IF(Main3WData[PT.ID]=Main3WData[[#This Row],[PT.ID]],Main3WData[PT.LastID.Row]))=Main3WData[[#This Row],[PT.LastID.Row]]</f>
        <v>0</v>
      </c>
    </row>
    <row r="807" spans="2:18" x14ac:dyDescent="0.2">
      <c r="B807" s="55" t="s">
        <v>512</v>
      </c>
      <c r="C807" s="27" t="str">
        <f>INDEX(Organizations[],MATCH(Main3WData[[#This Row],[Acronym]],AcronymList,0),1)</f>
        <v>World Health Organization</v>
      </c>
      <c r="D807" s="27" t="str">
        <f>INDEX(Organizations[],MATCH(Main3WData[[#This Row],[Acronym]],AcronymList,0),3)</f>
        <v>UN Agency</v>
      </c>
      <c r="E807" s="54" t="s">
        <v>356</v>
      </c>
      <c r="F807" s="53" t="s">
        <v>82</v>
      </c>
      <c r="G807" s="54" t="s">
        <v>434</v>
      </c>
      <c r="H807" s="28" t="str">
        <f>VLOOKUP(Main3WData[[#This Row],[Admin Unit Name]],AdminUnits[],2,FALSE)</f>
        <v>GIN008006</v>
      </c>
      <c r="I807" s="57">
        <v>0</v>
      </c>
      <c r="J807" s="67" t="str">
        <f>Main3WData[[#This Row],[Acronym]]&amp;Main3WData[[#This Row],[Sector]]&amp;Main3WData[[#This Row],[Activity Type]]&amp;Main3WData[[#This Row],[Pcode]]</f>
        <v>OMSGestion des donnéesOngoingGIN008006</v>
      </c>
      <c r="K807" s="69">
        <f>COUNTIF(Main3WData[Concatenate],Main3WData[[#This Row],[Concatenate]])</f>
        <v>1</v>
      </c>
      <c r="L807" s="61" t="str">
        <f>Main3WData[[#This Row],[Sector]]&amp;Main3WData[[#This Row],[Pcode]]</f>
        <v>Gestion des donnéesGIN008006</v>
      </c>
      <c r="M807" s="71">
        <f>COUNTIF($L$5:L807,Main3WData[[#This Row],[PT.Concat]])</f>
        <v>3</v>
      </c>
      <c r="N807" s="70">
        <f>MATCH(Main3WData[[#This Row],[PT.Concat]],$L$5:L807,0)</f>
        <v>801</v>
      </c>
      <c r="O807" s="62" t="b">
        <f>Main3WData[[#This Row],[Count PT.Concat]]=1</f>
        <v>0</v>
      </c>
      <c r="P807" s="62">
        <f t="array" ref="P807">MAX(($N$4:N806=Main3WData[[#This Row],[PT.ID]])*ROW($N$4:N806))</f>
        <v>806</v>
      </c>
      <c r="Q807" s="62" t="str">
        <f>IF(Main3WData[[#This Row],[PT.FirstID]],Main3WData[[#This Row],[Acronym]],INDEX($Q$4:Q806,Main3WData[[#This Row],[PT.LastID.Row]]-ROW($Q$4)+1) &amp; ", "&amp;Main3WData[[#This Row],[Acronym]])</f>
        <v>UNMEER, PLAN, OMS</v>
      </c>
      <c r="R807" s="62" t="b">
        <f t="array" ref="R807">MAX(IF(Main3WData[PT.ID]=Main3WData[[#This Row],[PT.ID]],Main3WData[PT.LastID.Row]))=Main3WData[[#This Row],[PT.LastID.Row]]</f>
        <v>1</v>
      </c>
    </row>
    <row r="808" spans="2:18" x14ac:dyDescent="0.2">
      <c r="B808" s="55" t="s">
        <v>78</v>
      </c>
      <c r="C808" s="27" t="str">
        <f>INDEX(Organizations[],MATCH(Main3WData[[#This Row],[Acronym]],AcronymList,0),1)</f>
        <v>World Food Programme</v>
      </c>
      <c r="D808" s="27" t="str">
        <f>INDEX(Organizations[],MATCH(Main3WData[[#This Row],[Acronym]],AcronymList,0),3)</f>
        <v>UN Agency</v>
      </c>
      <c r="E808" s="54" t="s">
        <v>353</v>
      </c>
      <c r="F808" s="53" t="s">
        <v>82</v>
      </c>
      <c r="G808" s="54" t="s">
        <v>434</v>
      </c>
      <c r="H808" s="28" t="str">
        <f>VLOOKUP(Main3WData[[#This Row],[Admin Unit Name]],AdminUnits[],2,FALSE)</f>
        <v>GIN008006</v>
      </c>
      <c r="I808" s="57">
        <v>0</v>
      </c>
      <c r="J808" s="67" t="str">
        <f>Main3WData[[#This Row],[Acronym]]&amp;Main3WData[[#This Row],[Sector]]&amp;Main3WData[[#This Row],[Activity Type]]&amp;Main3WData[[#This Row],[Pcode]]</f>
        <v>WFPPrise en chargeOngoingGIN008006</v>
      </c>
      <c r="K808" s="69">
        <f>COUNTIF(Main3WData[Concatenate],Main3WData[[#This Row],[Concatenate]])</f>
        <v>1</v>
      </c>
      <c r="L808" s="61" t="str">
        <f>Main3WData[[#This Row],[Sector]]&amp;Main3WData[[#This Row],[Pcode]]</f>
        <v>Prise en chargeGIN008006</v>
      </c>
      <c r="M808" s="71">
        <f>COUNTIF($L$5:L808,Main3WData[[#This Row],[PT.Concat]])</f>
        <v>1</v>
      </c>
      <c r="N808" s="70">
        <f>MATCH(Main3WData[[#This Row],[PT.Concat]],$L$5:L808,0)</f>
        <v>804</v>
      </c>
      <c r="O808" s="62" t="b">
        <f>Main3WData[[#This Row],[Count PT.Concat]]=1</f>
        <v>1</v>
      </c>
      <c r="P808" s="62">
        <f t="array" ref="P808">MAX(($N$4:N807=Main3WData[[#This Row],[PT.ID]])*ROW($N$4:N807))</f>
        <v>0</v>
      </c>
      <c r="Q808" s="62" t="str">
        <f>IF(Main3WData[[#This Row],[PT.FirstID]],Main3WData[[#This Row],[Acronym]],INDEX($Q$4:Q807,Main3WData[[#This Row],[PT.LastID.Row]]-ROW($Q$4)+1) &amp; ", "&amp;Main3WData[[#This Row],[Acronym]])</f>
        <v>WFP</v>
      </c>
      <c r="R808" s="62" t="b">
        <f t="array" ref="R808">MAX(IF(Main3WData[PT.ID]=Main3WData[[#This Row],[PT.ID]],Main3WData[PT.LastID.Row]))=Main3WData[[#This Row],[PT.LastID.Row]]</f>
        <v>0</v>
      </c>
    </row>
    <row r="809" spans="2:18" x14ac:dyDescent="0.2">
      <c r="B809" s="55" t="s">
        <v>66</v>
      </c>
      <c r="C809" s="27" t="str">
        <f>INDEX(Organizations[],MATCH(Main3WData[[#This Row],[Acronym]],AcronymList,0),1)</f>
        <v>Catholic Relief Services</v>
      </c>
      <c r="D809" s="27" t="str">
        <f>INDEX(Organizations[],MATCH(Main3WData[[#This Row],[Acronym]],AcronymList,0),3)</f>
        <v>International NGO</v>
      </c>
      <c r="E809" s="54" t="s">
        <v>353</v>
      </c>
      <c r="F809" s="53" t="s">
        <v>82</v>
      </c>
      <c r="G809" s="54" t="s">
        <v>434</v>
      </c>
      <c r="H809" s="28" t="str">
        <f>VLOOKUP(Main3WData[[#This Row],[Admin Unit Name]],AdminUnits[],2,FALSE)</f>
        <v>GIN008006</v>
      </c>
      <c r="I809" s="57">
        <v>0</v>
      </c>
      <c r="J809" s="67" t="str">
        <f>Main3WData[[#This Row],[Acronym]]&amp;Main3WData[[#This Row],[Sector]]&amp;Main3WData[[#This Row],[Activity Type]]&amp;Main3WData[[#This Row],[Pcode]]</f>
        <v>CRSPrise en chargeOngoingGIN008006</v>
      </c>
      <c r="K809" s="69">
        <f>COUNTIF(Main3WData[Concatenate],Main3WData[[#This Row],[Concatenate]])</f>
        <v>1</v>
      </c>
      <c r="L809" s="61" t="str">
        <f>Main3WData[[#This Row],[Sector]]&amp;Main3WData[[#This Row],[Pcode]]</f>
        <v>Prise en chargeGIN008006</v>
      </c>
      <c r="M809" s="71">
        <f>COUNTIF($L$5:L809,Main3WData[[#This Row],[PT.Concat]])</f>
        <v>2</v>
      </c>
      <c r="N809" s="70">
        <f>MATCH(Main3WData[[#This Row],[PT.Concat]],$L$5:L809,0)</f>
        <v>804</v>
      </c>
      <c r="O809" s="62" t="b">
        <f>Main3WData[[#This Row],[Count PT.Concat]]=1</f>
        <v>0</v>
      </c>
      <c r="P809" s="62">
        <f t="array" ref="P809">MAX(($N$4:N808=Main3WData[[#This Row],[PT.ID]])*ROW($N$4:N808))</f>
        <v>808</v>
      </c>
      <c r="Q809" s="62" t="str">
        <f>IF(Main3WData[[#This Row],[PT.FirstID]],Main3WData[[#This Row],[Acronym]],INDEX($Q$4:Q808,Main3WData[[#This Row],[PT.LastID.Row]]-ROW($Q$4)+1) &amp; ", "&amp;Main3WData[[#This Row],[Acronym]])</f>
        <v>WFP, CRS</v>
      </c>
      <c r="R809" s="62" t="b">
        <f t="array" ref="R809">MAX(IF(Main3WData[PT.ID]=Main3WData[[#This Row],[PT.ID]],Main3WData[PT.LastID.Row]))=Main3WData[[#This Row],[PT.LastID.Row]]</f>
        <v>1</v>
      </c>
    </row>
    <row r="810" spans="2:18" x14ac:dyDescent="0.2">
      <c r="B810" s="55" t="s">
        <v>78</v>
      </c>
      <c r="C810" s="27" t="str">
        <f>INDEX(Organizations[],MATCH(Main3WData[[#This Row],[Acronym]],AcronymList,0),1)</f>
        <v>World Food Programme</v>
      </c>
      <c r="D810" s="27" t="str">
        <f>INDEX(Organizations[],MATCH(Main3WData[[#This Row],[Acronym]],AcronymList,0),3)</f>
        <v>UN Agency</v>
      </c>
      <c r="E810" s="54" t="s">
        <v>355</v>
      </c>
      <c r="F810" s="53" t="s">
        <v>82</v>
      </c>
      <c r="G810" s="54" t="s">
        <v>434</v>
      </c>
      <c r="H810" s="28" t="str">
        <f>VLOOKUP(Main3WData[[#This Row],[Admin Unit Name]],AdminUnits[],2,FALSE)</f>
        <v>GIN008006</v>
      </c>
      <c r="I810" s="57">
        <v>0</v>
      </c>
      <c r="J810" s="67" t="str">
        <f>Main3WData[[#This Row],[Acronym]]&amp;Main3WData[[#This Row],[Sector]]&amp;Main3WData[[#This Row],[Activity Type]]&amp;Main3WData[[#This Row],[Pcode]]</f>
        <v>WFPSoutien nutritionnel et socialOngoingGIN008006</v>
      </c>
      <c r="K810" s="69">
        <f>COUNTIF(Main3WData[Concatenate],Main3WData[[#This Row],[Concatenate]])</f>
        <v>1</v>
      </c>
      <c r="L810" s="61" t="str">
        <f>Main3WData[[#This Row],[Sector]]&amp;Main3WData[[#This Row],[Pcode]]</f>
        <v>Soutien nutritionnel et socialGIN008006</v>
      </c>
      <c r="M810" s="71">
        <f>COUNTIF($L$5:L810,Main3WData[[#This Row],[PT.Concat]])</f>
        <v>1</v>
      </c>
      <c r="N810" s="70">
        <f>MATCH(Main3WData[[#This Row],[PT.Concat]],$L$5:L810,0)</f>
        <v>806</v>
      </c>
      <c r="O810" s="62" t="b">
        <f>Main3WData[[#This Row],[Count PT.Concat]]=1</f>
        <v>1</v>
      </c>
      <c r="P810" s="62">
        <f t="array" ref="P810">MAX(($N$4:N809=Main3WData[[#This Row],[PT.ID]])*ROW($N$4:N809))</f>
        <v>0</v>
      </c>
      <c r="Q810" s="62" t="str">
        <f>IF(Main3WData[[#This Row],[PT.FirstID]],Main3WData[[#This Row],[Acronym]],INDEX($Q$4:Q809,Main3WData[[#This Row],[PT.LastID.Row]]-ROW($Q$4)+1) &amp; ", "&amp;Main3WData[[#This Row],[Acronym]])</f>
        <v>WFP</v>
      </c>
      <c r="R810" s="62" t="b">
        <f t="array" ref="R810">MAX(IF(Main3WData[PT.ID]=Main3WData[[#This Row],[PT.ID]],Main3WData[PT.LastID.Row]))=Main3WData[[#This Row],[PT.LastID.Row]]</f>
        <v>0</v>
      </c>
    </row>
    <row r="811" spans="2:18" x14ac:dyDescent="0.2">
      <c r="B811" s="55" t="s">
        <v>66</v>
      </c>
      <c r="C811" s="27" t="str">
        <f>INDEX(Organizations[],MATCH(Main3WData[[#This Row],[Acronym]],AcronymList,0),1)</f>
        <v>Catholic Relief Services</v>
      </c>
      <c r="D811" s="27" t="str">
        <f>INDEX(Organizations[],MATCH(Main3WData[[#This Row],[Acronym]],AcronymList,0),3)</f>
        <v>International NGO</v>
      </c>
      <c r="E811" s="54" t="s">
        <v>355</v>
      </c>
      <c r="F811" s="53" t="s">
        <v>82</v>
      </c>
      <c r="G811" s="54" t="s">
        <v>434</v>
      </c>
      <c r="H811" s="28" t="str">
        <f>VLOOKUP(Main3WData[[#This Row],[Admin Unit Name]],AdminUnits[],2,FALSE)</f>
        <v>GIN008006</v>
      </c>
      <c r="I811" s="57">
        <v>0</v>
      </c>
      <c r="J811" s="67" t="str">
        <f>Main3WData[[#This Row],[Acronym]]&amp;Main3WData[[#This Row],[Sector]]&amp;Main3WData[[#This Row],[Activity Type]]&amp;Main3WData[[#This Row],[Pcode]]</f>
        <v>CRSSoutien nutritionnel et socialOngoingGIN008006</v>
      </c>
      <c r="K811" s="69">
        <f>COUNTIF(Main3WData[Concatenate],Main3WData[[#This Row],[Concatenate]])</f>
        <v>1</v>
      </c>
      <c r="L811" s="61" t="str">
        <f>Main3WData[[#This Row],[Sector]]&amp;Main3WData[[#This Row],[Pcode]]</f>
        <v>Soutien nutritionnel et socialGIN008006</v>
      </c>
      <c r="M811" s="71">
        <f>COUNTIF($L$5:L811,Main3WData[[#This Row],[PT.Concat]])</f>
        <v>2</v>
      </c>
      <c r="N811" s="70">
        <f>MATCH(Main3WData[[#This Row],[PT.Concat]],$L$5:L811,0)</f>
        <v>806</v>
      </c>
      <c r="O811" s="62" t="b">
        <f>Main3WData[[#This Row],[Count PT.Concat]]=1</f>
        <v>0</v>
      </c>
      <c r="P811" s="62">
        <f t="array" ref="P811">MAX(($N$4:N810=Main3WData[[#This Row],[PT.ID]])*ROW($N$4:N810))</f>
        <v>810</v>
      </c>
      <c r="Q811" s="62" t="str">
        <f>IF(Main3WData[[#This Row],[PT.FirstID]],Main3WData[[#This Row],[Acronym]],INDEX($Q$4:Q810,Main3WData[[#This Row],[PT.LastID.Row]]-ROW($Q$4)+1) &amp; ", "&amp;Main3WData[[#This Row],[Acronym]])</f>
        <v>WFP, CRS</v>
      </c>
      <c r="R811" s="62" t="b">
        <f t="array" ref="R811">MAX(IF(Main3WData[PT.ID]=Main3WData[[#This Row],[PT.ID]],Main3WData[PT.LastID.Row]))=Main3WData[[#This Row],[PT.LastID.Row]]</f>
        <v>1</v>
      </c>
    </row>
    <row r="812" spans="2:18" x14ac:dyDescent="0.2">
      <c r="B812" s="55" t="s">
        <v>75</v>
      </c>
      <c r="C812" s="27" t="str">
        <f>INDEX(Organizations[],MATCH(Main3WData[[#This Row],[Acronym]],AcronymList,0),1)</f>
        <v>United Nations Population Fund</v>
      </c>
      <c r="D812" s="27" t="str">
        <f>INDEX(Organizations[],MATCH(Main3WData[[#This Row],[Acronym]],AcronymList,0),3)</f>
        <v>UN Agency</v>
      </c>
      <c r="E812" s="54" t="s">
        <v>351</v>
      </c>
      <c r="F812" s="53" t="s">
        <v>82</v>
      </c>
      <c r="G812" s="54" t="s">
        <v>434</v>
      </c>
      <c r="H812" s="28" t="str">
        <f>VLOOKUP(Main3WData[[#This Row],[Admin Unit Name]],AdminUnits[],2,FALSE)</f>
        <v>GIN008006</v>
      </c>
      <c r="I812" s="57">
        <v>0</v>
      </c>
      <c r="J812" s="67" t="str">
        <f>Main3WData[[#This Row],[Acronym]]&amp;Main3WData[[#This Row],[Sector]]&amp;Main3WData[[#This Row],[Activity Type]]&amp;Main3WData[[#This Row],[Pcode]]</f>
        <v>UNFPASurveillance &amp; suiviOngoingGIN008006</v>
      </c>
      <c r="K812" s="69">
        <f>COUNTIF(Main3WData[Concatenate],Main3WData[[#This Row],[Concatenate]])</f>
        <v>1</v>
      </c>
      <c r="L812" s="61" t="str">
        <f>Main3WData[[#This Row],[Sector]]&amp;Main3WData[[#This Row],[Pcode]]</f>
        <v>Surveillance &amp; suiviGIN008006</v>
      </c>
      <c r="M812" s="71">
        <f>COUNTIF($L$5:L812,Main3WData[[#This Row],[PT.Concat]])</f>
        <v>1</v>
      </c>
      <c r="N812" s="70">
        <f>MATCH(Main3WData[[#This Row],[PT.Concat]],$L$5:L812,0)</f>
        <v>808</v>
      </c>
      <c r="O812" s="62" t="b">
        <f>Main3WData[[#This Row],[Count PT.Concat]]=1</f>
        <v>1</v>
      </c>
      <c r="P812" s="62">
        <f t="array" ref="P812">MAX(($N$4:N811=Main3WData[[#This Row],[PT.ID]])*ROW($N$4:N811))</f>
        <v>0</v>
      </c>
      <c r="Q812" s="62" t="str">
        <f>IF(Main3WData[[#This Row],[PT.FirstID]],Main3WData[[#This Row],[Acronym]],INDEX($Q$4:Q811,Main3WData[[#This Row],[PT.LastID.Row]]-ROW($Q$4)+1) &amp; ", "&amp;Main3WData[[#This Row],[Acronym]])</f>
        <v>UNFPA</v>
      </c>
      <c r="R812" s="62" t="b">
        <f t="array" ref="R812">MAX(IF(Main3WData[PT.ID]=Main3WData[[#This Row],[PT.ID]],Main3WData[PT.LastID.Row]))=Main3WData[[#This Row],[PT.LastID.Row]]</f>
        <v>0</v>
      </c>
    </row>
    <row r="813" spans="2:18" x14ac:dyDescent="0.2">
      <c r="B813" s="55" t="s">
        <v>512</v>
      </c>
      <c r="C813" s="27" t="str">
        <f>INDEX(Organizations[],MATCH(Main3WData[[#This Row],[Acronym]],AcronymList,0),1)</f>
        <v>World Health Organization</v>
      </c>
      <c r="D813" s="27" t="str">
        <f>INDEX(Organizations[],MATCH(Main3WData[[#This Row],[Acronym]],AcronymList,0),3)</f>
        <v>UN Agency</v>
      </c>
      <c r="E813" s="54" t="s">
        <v>351</v>
      </c>
      <c r="F813" s="53" t="s">
        <v>82</v>
      </c>
      <c r="G813" s="54" t="s">
        <v>434</v>
      </c>
      <c r="H813" s="28" t="str">
        <f>VLOOKUP(Main3WData[[#This Row],[Admin Unit Name]],AdminUnits[],2,FALSE)</f>
        <v>GIN008006</v>
      </c>
      <c r="I813" s="57">
        <v>0</v>
      </c>
      <c r="J813" s="67" t="str">
        <f>Main3WData[[#This Row],[Acronym]]&amp;Main3WData[[#This Row],[Sector]]&amp;Main3WData[[#This Row],[Activity Type]]&amp;Main3WData[[#This Row],[Pcode]]</f>
        <v>OMSSurveillance &amp; suiviOngoingGIN008006</v>
      </c>
      <c r="K813" s="69">
        <f>COUNTIF(Main3WData[Concatenate],Main3WData[[#This Row],[Concatenate]])</f>
        <v>1</v>
      </c>
      <c r="L813" s="61" t="str">
        <f>Main3WData[[#This Row],[Sector]]&amp;Main3WData[[#This Row],[Pcode]]</f>
        <v>Surveillance &amp; suiviGIN008006</v>
      </c>
      <c r="M813" s="71">
        <f>COUNTIF($L$5:L813,Main3WData[[#This Row],[PT.Concat]])</f>
        <v>2</v>
      </c>
      <c r="N813" s="70">
        <f>MATCH(Main3WData[[#This Row],[PT.Concat]],$L$5:L813,0)</f>
        <v>808</v>
      </c>
      <c r="O813" s="62" t="b">
        <f>Main3WData[[#This Row],[Count PT.Concat]]=1</f>
        <v>0</v>
      </c>
      <c r="P813" s="62">
        <f t="array" ref="P813">MAX(($N$4:N812=Main3WData[[#This Row],[PT.ID]])*ROW($N$4:N812))</f>
        <v>812</v>
      </c>
      <c r="Q813" s="62" t="str">
        <f>IF(Main3WData[[#This Row],[PT.FirstID]],Main3WData[[#This Row],[Acronym]],INDEX($Q$4:Q812,Main3WData[[#This Row],[PT.LastID.Row]]-ROW($Q$4)+1) &amp; ", "&amp;Main3WData[[#This Row],[Acronym]])</f>
        <v>UNFPA, OMS</v>
      </c>
      <c r="R813" s="62" t="b">
        <f t="array" ref="R813">MAX(IF(Main3WData[PT.ID]=Main3WData[[#This Row],[PT.ID]],Main3WData[PT.LastID.Row]))=Main3WData[[#This Row],[PT.LastID.Row]]</f>
        <v>0</v>
      </c>
    </row>
    <row r="814" spans="2:18" x14ac:dyDescent="0.2">
      <c r="B814" s="55" t="s">
        <v>64</v>
      </c>
      <c r="C814" s="27" t="str">
        <f>INDEX(Organizations[],MATCH(Main3WData[[#This Row],[Acronym]],AcronymList,0),1)</f>
        <v>CDC</v>
      </c>
      <c r="D814" s="27" t="str">
        <f>INDEX(Organizations[],MATCH(Main3WData[[#This Row],[Acronym]],AcronymList,0),3)</f>
        <v>International NGO</v>
      </c>
      <c r="E814" s="54" t="s">
        <v>351</v>
      </c>
      <c r="F814" s="53" t="s">
        <v>82</v>
      </c>
      <c r="G814" s="54" t="s">
        <v>434</v>
      </c>
      <c r="H814" s="28" t="str">
        <f>VLOOKUP(Main3WData[[#This Row],[Admin Unit Name]],AdminUnits[],2,FALSE)</f>
        <v>GIN008006</v>
      </c>
      <c r="I814" s="57">
        <v>0</v>
      </c>
      <c r="J814" s="67" t="str">
        <f>Main3WData[[#This Row],[Acronym]]&amp;Main3WData[[#This Row],[Sector]]&amp;Main3WData[[#This Row],[Activity Type]]&amp;Main3WData[[#This Row],[Pcode]]</f>
        <v>CDCSurveillance &amp; suiviOngoingGIN008006</v>
      </c>
      <c r="K814" s="69">
        <f>COUNTIF(Main3WData[Concatenate],Main3WData[[#This Row],[Concatenate]])</f>
        <v>1</v>
      </c>
      <c r="L814" s="61" t="str">
        <f>Main3WData[[#This Row],[Sector]]&amp;Main3WData[[#This Row],[Pcode]]</f>
        <v>Surveillance &amp; suiviGIN008006</v>
      </c>
      <c r="M814" s="71">
        <f>COUNTIF($L$5:L814,Main3WData[[#This Row],[PT.Concat]])</f>
        <v>3</v>
      </c>
      <c r="N814" s="70">
        <f>MATCH(Main3WData[[#This Row],[PT.Concat]],$L$5:L814,0)</f>
        <v>808</v>
      </c>
      <c r="O814" s="62" t="b">
        <f>Main3WData[[#This Row],[Count PT.Concat]]=1</f>
        <v>0</v>
      </c>
      <c r="P814" s="62">
        <f t="array" ref="P814">MAX(($N$4:N813=Main3WData[[#This Row],[PT.ID]])*ROW($N$4:N813))</f>
        <v>813</v>
      </c>
      <c r="Q814" s="62" t="str">
        <f>IF(Main3WData[[#This Row],[PT.FirstID]],Main3WData[[#This Row],[Acronym]],INDEX($Q$4:Q813,Main3WData[[#This Row],[PT.LastID.Row]]-ROW($Q$4)+1) &amp; ", "&amp;Main3WData[[#This Row],[Acronym]])</f>
        <v>UNFPA, OMS, CDC</v>
      </c>
      <c r="R814" s="62" t="b">
        <f t="array" ref="R814">MAX(IF(Main3WData[PT.ID]=Main3WData[[#This Row],[PT.ID]],Main3WData[PT.LastID.Row]))=Main3WData[[#This Row],[PT.LastID.Row]]</f>
        <v>1</v>
      </c>
    </row>
    <row r="815" spans="2:18" x14ac:dyDescent="0.2">
      <c r="O815" s="68"/>
    </row>
    <row r="817" spans="11:13" x14ac:dyDescent="0.2">
      <c r="K817" s="4"/>
      <c r="M817" s="68"/>
    </row>
    <row r="818" spans="11:13" x14ac:dyDescent="0.2">
      <c r="K818" s="4"/>
    </row>
    <row r="819" spans="11:13" x14ac:dyDescent="0.2">
      <c r="K819" s="4"/>
    </row>
  </sheetData>
  <mergeCells count="2">
    <mergeCell ref="B1:G1"/>
    <mergeCell ref="C3:D3"/>
  </mergeCells>
  <dataValidations count="4">
    <dataValidation type="list" allowBlank="1" showInputMessage="1" showErrorMessage="1" sqref="G5:G814">
      <formula1>AdminNamesList</formula1>
    </dataValidation>
    <dataValidation type="list" allowBlank="1" showInputMessage="1" showErrorMessage="1" sqref="B5:B814">
      <formula1>AcronymList</formula1>
    </dataValidation>
    <dataValidation type="list" allowBlank="1" showInputMessage="1" showErrorMessage="1" sqref="E5:E814">
      <formula1>SectorList</formula1>
    </dataValidation>
    <dataValidation type="list" allowBlank="1" showInputMessage="1" showErrorMessage="1" sqref="F5:F814">
      <formula1>ActivityTypesForValidation</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5" id="{65A3BEA9-AC53-4119-B395-71258D59C65D}">
            <x14:iconSet iconSet="3Symbols2" showValue="0" custom="1">
              <x14:cfvo type="percent">
                <xm:f>0</xm:f>
              </x14:cfvo>
              <x14:cfvo type="num">
                <xm:f>0</xm:f>
              </x14:cfvo>
              <x14:cfvo type="num" gte="0">
                <xm:f>0</xm:f>
              </x14:cfvo>
              <x14:cfIcon iconSet="3TrafficLights1" iconId="0"/>
              <x14:cfIcon iconSet="3Symbols2" iconId="2"/>
              <x14:cfIcon iconSet="3Symbols2" iconId="1"/>
            </x14:iconSet>
          </x14:cfRule>
          <xm:sqref>B3</xm:sqref>
        </x14:conditionalFormatting>
        <x14:conditionalFormatting xmlns:xm="http://schemas.microsoft.com/office/excel/2006/main">
          <x14:cfRule type="iconSet" priority="4" id="{10B28279-78DE-4EE9-BC8D-A69CDC5E7C18}">
            <x14:iconSet iconSet="3Symbols2" showValue="0" custom="1">
              <x14:cfvo type="percent">
                <xm:f>0</xm:f>
              </x14:cfvo>
              <x14:cfvo type="num">
                <xm:f>0</xm:f>
              </x14:cfvo>
              <x14:cfvo type="num" gte="0">
                <xm:f>0</xm:f>
              </x14:cfvo>
              <x14:cfIcon iconSet="3TrafficLights1" iconId="0"/>
              <x14:cfIcon iconSet="3Symbols2" iconId="2"/>
              <x14:cfIcon iconSet="3Symbols2" iconId="1"/>
            </x14:iconSet>
          </x14:cfRule>
          <xm:sqref>E3</xm:sqref>
        </x14:conditionalFormatting>
        <x14:conditionalFormatting xmlns:xm="http://schemas.microsoft.com/office/excel/2006/main">
          <x14:cfRule type="iconSet" priority="3" id="{41A7D334-7512-41B1-A832-2C28BA05D9A0}">
            <x14:iconSet iconSet="3Symbols2" showValue="0" custom="1">
              <x14:cfvo type="percent">
                <xm:f>0</xm:f>
              </x14:cfvo>
              <x14:cfvo type="num">
                <xm:f>0</xm:f>
              </x14:cfvo>
              <x14:cfvo type="num" gte="0">
                <xm:f>0</xm:f>
              </x14:cfvo>
              <x14:cfIcon iconSet="3TrafficLights1" iconId="0"/>
              <x14:cfIcon iconSet="3Symbols2" iconId="2"/>
              <x14:cfIcon iconSet="3Symbols2" iconId="1"/>
            </x14:iconSet>
          </x14:cfRule>
          <xm:sqref>F3</xm:sqref>
        </x14:conditionalFormatting>
        <x14:conditionalFormatting xmlns:xm="http://schemas.microsoft.com/office/excel/2006/main">
          <x14:cfRule type="iconSet" priority="2" id="{82F88863-AF52-4B39-BA8B-6CD1038E7D9A}">
            <x14:iconSet iconSet="3Symbols2" showValue="0" custom="1">
              <x14:cfvo type="percent">
                <xm:f>0</xm:f>
              </x14:cfvo>
              <x14:cfvo type="num">
                <xm:f>0</xm:f>
              </x14:cfvo>
              <x14:cfvo type="num" gte="0">
                <xm:f>0</xm:f>
              </x14:cfvo>
              <x14:cfIcon iconSet="3TrafficLights1" iconId="0"/>
              <x14:cfIcon iconSet="3Symbols2" iconId="2"/>
              <x14:cfIcon iconSet="3Symbols2" iconId="1"/>
            </x14:iconSet>
          </x14:cfRule>
          <xm:sqref>G3</xm:sqref>
        </x14:conditionalFormatting>
        <x14:conditionalFormatting xmlns:xm="http://schemas.microsoft.com/office/excel/2006/main">
          <x14:cfRule type="iconSet" priority="1" id="{A7B94B12-7D1C-4EDD-862F-7E6B35A6AE3E}">
            <x14:iconSet iconSet="3Symbols2" showValue="0" custom="1">
              <x14:cfvo type="percent">
                <xm:f>0</xm:f>
              </x14:cfvo>
              <x14:cfvo type="num">
                <xm:f>0</xm:f>
              </x14:cfvo>
              <x14:cfvo type="num" gte="0">
                <xm:f>0</xm:f>
              </x14:cfvo>
              <x14:cfIcon iconSet="3TrafficLights1" iconId="0"/>
              <x14:cfIcon iconSet="3Symbols2" iconId="2"/>
              <x14:cfIcon iconSet="3Symbols2" iconId="1"/>
            </x14:iconSet>
          </x14:cfRule>
          <xm:sqref>I3</xm:sqref>
        </x14:conditionalFormatting>
        <x14:conditionalFormatting xmlns:xm="http://schemas.microsoft.com/office/excel/2006/main">
          <x14:cfRule type="iconSet" priority="124" id="{5276680C-F0D4-4BEF-A8EB-8CB565A427C5}">
            <x14:iconSet showValue="0" custom="1">
              <x14:cfvo type="percent">
                <xm:f>0</xm:f>
              </x14:cfvo>
              <x14:cfvo type="num" gte="0">
                <xm:f>0</xm:f>
              </x14:cfvo>
              <x14:cfvo type="num">
                <xm:f>2</xm:f>
              </x14:cfvo>
              <x14:cfIcon iconSet="3TrafficLights1" iconId="0"/>
              <x14:cfIcon iconSet="3TrafficLights1" iconId="2"/>
              <x14:cfIcon iconSet="3TrafficLights1" iconId="0"/>
            </x14:iconSet>
          </x14:cfRule>
          <xm:sqref>K5:K814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201">
    <tabColor theme="3" tint="-0.249977111117893"/>
  </sheetPr>
  <dimension ref="A1:C64"/>
  <sheetViews>
    <sheetView showGridLines="0" workbookViewId="0">
      <selection activeCell="B2" sqref="B2"/>
    </sheetView>
  </sheetViews>
  <sheetFormatPr baseColWidth="10" defaultColWidth="11.42578125" defaultRowHeight="12.75" x14ac:dyDescent="0.2"/>
  <cols>
    <col min="1" max="1" width="50.7109375" bestFit="1" customWidth="1"/>
    <col min="2" max="2" width="13.140625" bestFit="1" customWidth="1"/>
    <col min="3" max="3" width="23.42578125" customWidth="1"/>
    <col min="4" max="5" width="11.42578125" customWidth="1"/>
  </cols>
  <sheetData>
    <row r="1" spans="1:3" ht="24" customHeight="1" x14ac:dyDescent="0.2">
      <c r="A1" t="s">
        <v>21</v>
      </c>
      <c r="B1" t="s">
        <v>0</v>
      </c>
      <c r="C1" t="s">
        <v>7</v>
      </c>
    </row>
    <row r="2" spans="1:3" s="10" customFormat="1" ht="15.75" customHeight="1" x14ac:dyDescent="0.2">
      <c r="A2" s="110" t="s">
        <v>521</v>
      </c>
      <c r="B2" s="110" t="s">
        <v>494</v>
      </c>
      <c r="C2" s="52" t="s">
        <v>56</v>
      </c>
    </row>
    <row r="3" spans="1:3" s="10" customFormat="1" ht="15.75" customHeight="1" x14ac:dyDescent="0.2">
      <c r="A3" s="111" t="s">
        <v>436</v>
      </c>
      <c r="B3" s="112" t="s">
        <v>437</v>
      </c>
      <c r="C3" s="52" t="s">
        <v>39</v>
      </c>
    </row>
    <row r="4" spans="1:3" s="10" customFormat="1" ht="15.75" customHeight="1" x14ac:dyDescent="0.2">
      <c r="A4" s="52" t="s">
        <v>438</v>
      </c>
      <c r="B4" s="52" t="s">
        <v>439</v>
      </c>
      <c r="C4" s="52" t="s">
        <v>40</v>
      </c>
    </row>
    <row r="5" spans="1:3" s="10" customFormat="1" ht="15.75" customHeight="1" x14ac:dyDescent="0.2">
      <c r="A5" s="52" t="s">
        <v>440</v>
      </c>
      <c r="B5" s="52" t="s">
        <v>441</v>
      </c>
      <c r="C5" s="52" t="s">
        <v>40</v>
      </c>
    </row>
    <row r="6" spans="1:3" s="10" customFormat="1" ht="15.75" customHeight="1" x14ac:dyDescent="0.2">
      <c r="A6" s="52" t="s">
        <v>492</v>
      </c>
      <c r="B6" s="52" t="s">
        <v>492</v>
      </c>
      <c r="C6" s="52" t="s">
        <v>39</v>
      </c>
    </row>
    <row r="7" spans="1:3" s="10" customFormat="1" ht="15.75" customHeight="1" x14ac:dyDescent="0.2">
      <c r="A7" s="52" t="s">
        <v>493</v>
      </c>
      <c r="B7" s="52" t="s">
        <v>493</v>
      </c>
      <c r="C7" s="52" t="s">
        <v>39</v>
      </c>
    </row>
    <row r="8" spans="1:3" s="10" customFormat="1" ht="15.75" customHeight="1" x14ac:dyDescent="0.2">
      <c r="A8" s="52" t="s">
        <v>442</v>
      </c>
      <c r="B8" s="52" t="s">
        <v>443</v>
      </c>
      <c r="C8" s="52" t="s">
        <v>58</v>
      </c>
    </row>
    <row r="9" spans="1:3" s="10" customFormat="1" ht="15.75" customHeight="1" x14ac:dyDescent="0.2">
      <c r="A9" s="52" t="s">
        <v>62</v>
      </c>
      <c r="B9" s="52" t="s">
        <v>63</v>
      </c>
      <c r="C9" s="52" t="s">
        <v>39</v>
      </c>
    </row>
    <row r="10" spans="1:3" s="10" customFormat="1" ht="15.75" customHeight="1" x14ac:dyDescent="0.2">
      <c r="A10" s="52" t="s">
        <v>65</v>
      </c>
      <c r="B10" s="52" t="s">
        <v>66</v>
      </c>
      <c r="C10" s="52" t="s">
        <v>39</v>
      </c>
    </row>
    <row r="11" spans="1:3" s="10" customFormat="1" ht="15.75" customHeight="1" x14ac:dyDescent="0.2">
      <c r="A11" s="52" t="s">
        <v>64</v>
      </c>
      <c r="B11" s="52" t="s">
        <v>64</v>
      </c>
      <c r="C11" s="52" t="s">
        <v>39</v>
      </c>
    </row>
    <row r="12" spans="1:3" s="10" customFormat="1" ht="15.75" customHeight="1" x14ac:dyDescent="0.2">
      <c r="A12" s="52" t="s">
        <v>495</v>
      </c>
      <c r="B12" s="52" t="s">
        <v>496</v>
      </c>
      <c r="C12" s="52" t="s">
        <v>497</v>
      </c>
    </row>
    <row r="13" spans="1:3" s="10" customFormat="1" ht="15.75" customHeight="1" x14ac:dyDescent="0.2">
      <c r="A13" s="52" t="s">
        <v>444</v>
      </c>
      <c r="B13" s="52" t="s">
        <v>445</v>
      </c>
      <c r="C13" s="52" t="s">
        <v>39</v>
      </c>
    </row>
    <row r="14" spans="1:3" s="10" customFormat="1" ht="15.75" customHeight="1" x14ac:dyDescent="0.2">
      <c r="A14" s="52" t="s">
        <v>446</v>
      </c>
      <c r="B14" s="52" t="s">
        <v>447</v>
      </c>
      <c r="C14" s="52" t="s">
        <v>39</v>
      </c>
    </row>
    <row r="15" spans="1:3" s="10" customFormat="1" ht="15.75" customHeight="1" x14ac:dyDescent="0.2">
      <c r="A15" s="52" t="s">
        <v>448</v>
      </c>
      <c r="B15" s="52" t="s">
        <v>449</v>
      </c>
      <c r="C15" s="52" t="s">
        <v>60</v>
      </c>
    </row>
    <row r="16" spans="1:3" s="10" customFormat="1" ht="15.75" customHeight="1" x14ac:dyDescent="0.2">
      <c r="A16" s="52" t="s">
        <v>450</v>
      </c>
      <c r="B16" s="52" t="s">
        <v>451</v>
      </c>
      <c r="C16" s="52" t="s">
        <v>60</v>
      </c>
    </row>
    <row r="17" spans="1:3" s="10" customFormat="1" ht="15.75" customHeight="1" x14ac:dyDescent="0.2">
      <c r="A17" s="52" t="s">
        <v>498</v>
      </c>
      <c r="B17" s="52" t="s">
        <v>499</v>
      </c>
      <c r="C17" s="52" t="s">
        <v>57</v>
      </c>
    </row>
    <row r="18" spans="1:3" s="10" customFormat="1" ht="15.75" customHeight="1" x14ac:dyDescent="0.2">
      <c r="A18" s="52" t="s">
        <v>500</v>
      </c>
      <c r="B18" s="52" t="s">
        <v>500</v>
      </c>
      <c r="C18" s="52" t="s">
        <v>39</v>
      </c>
    </row>
    <row r="19" spans="1:3" s="10" customFormat="1" ht="15.75" customHeight="1" x14ac:dyDescent="0.2">
      <c r="A19" s="52" t="s">
        <v>502</v>
      </c>
      <c r="B19" s="52" t="s">
        <v>503</v>
      </c>
      <c r="C19" s="52" t="s">
        <v>39</v>
      </c>
    </row>
    <row r="20" spans="1:3" s="10" customFormat="1" ht="15.75" customHeight="1" x14ac:dyDescent="0.2">
      <c r="A20" s="52" t="s">
        <v>481</v>
      </c>
      <c r="B20" s="52" t="s">
        <v>482</v>
      </c>
      <c r="C20" s="52" t="s">
        <v>56</v>
      </c>
    </row>
    <row r="21" spans="1:3" s="10" customFormat="1" ht="15.75" customHeight="1" x14ac:dyDescent="0.2">
      <c r="A21" s="52" t="s">
        <v>501</v>
      </c>
      <c r="B21" s="52" t="s">
        <v>501</v>
      </c>
      <c r="C21" s="52" t="s">
        <v>55</v>
      </c>
    </row>
    <row r="22" spans="1:3" s="10" customFormat="1" ht="15.75" customHeight="1" x14ac:dyDescent="0.2">
      <c r="A22" s="52" t="s">
        <v>504</v>
      </c>
      <c r="B22" s="52" t="s">
        <v>504</v>
      </c>
      <c r="C22" s="52" t="s">
        <v>39</v>
      </c>
    </row>
    <row r="23" spans="1:3" s="10" customFormat="1" ht="15.75" customHeight="1" x14ac:dyDescent="0.2">
      <c r="A23" s="52" t="s">
        <v>486</v>
      </c>
      <c r="B23" s="52" t="s">
        <v>487</v>
      </c>
      <c r="C23" s="52" t="s">
        <v>57</v>
      </c>
    </row>
    <row r="24" spans="1:3" s="10" customFormat="1" ht="15.75" customHeight="1" x14ac:dyDescent="0.2">
      <c r="A24" s="52" t="s">
        <v>507</v>
      </c>
      <c r="B24" s="52" t="s">
        <v>507</v>
      </c>
      <c r="C24" s="52" t="s">
        <v>57</v>
      </c>
    </row>
    <row r="25" spans="1:3" s="10" customFormat="1" ht="15.75" customHeight="1" x14ac:dyDescent="0.2">
      <c r="A25" s="52" t="s">
        <v>505</v>
      </c>
      <c r="B25" s="52" t="s">
        <v>506</v>
      </c>
      <c r="C25" s="52" t="s">
        <v>57</v>
      </c>
    </row>
    <row r="26" spans="1:3" s="10" customFormat="1" ht="15.75" customHeight="1" x14ac:dyDescent="0.2">
      <c r="A26" s="52" t="s">
        <v>452</v>
      </c>
      <c r="B26" s="52" t="s">
        <v>453</v>
      </c>
      <c r="C26" s="52" t="s">
        <v>55</v>
      </c>
    </row>
    <row r="27" spans="1:3" s="10" customFormat="1" ht="15.75" customHeight="1" x14ac:dyDescent="0.2">
      <c r="A27" s="52" t="s">
        <v>508</v>
      </c>
      <c r="B27" s="52" t="s">
        <v>508</v>
      </c>
      <c r="C27" s="52" t="s">
        <v>39</v>
      </c>
    </row>
    <row r="28" spans="1:3" s="10" customFormat="1" ht="15.75" customHeight="1" x14ac:dyDescent="0.2">
      <c r="A28" s="52" t="s">
        <v>454</v>
      </c>
      <c r="B28" s="52" t="s">
        <v>454</v>
      </c>
      <c r="C28" s="52" t="s">
        <v>55</v>
      </c>
    </row>
    <row r="29" spans="1:3" s="10" customFormat="1" ht="15.75" customHeight="1" x14ac:dyDescent="0.2">
      <c r="A29" s="52" t="s">
        <v>455</v>
      </c>
      <c r="B29" s="52" t="s">
        <v>456</v>
      </c>
      <c r="C29" s="52" t="s">
        <v>58</v>
      </c>
    </row>
    <row r="30" spans="1:3" s="10" customFormat="1" ht="15.75" customHeight="1" x14ac:dyDescent="0.2">
      <c r="A30" s="52" t="s">
        <v>490</v>
      </c>
      <c r="B30" s="52" t="s">
        <v>491</v>
      </c>
      <c r="C30" s="52" t="s">
        <v>39</v>
      </c>
    </row>
    <row r="31" spans="1:3" s="10" customFormat="1" ht="15.75" customHeight="1" x14ac:dyDescent="0.2">
      <c r="A31" s="52" t="s">
        <v>457</v>
      </c>
      <c r="B31" s="52" t="s">
        <v>67</v>
      </c>
      <c r="C31" s="52" t="s">
        <v>60</v>
      </c>
    </row>
    <row r="32" spans="1:3" s="10" customFormat="1" ht="15.75" customHeight="1" x14ac:dyDescent="0.2">
      <c r="A32" s="52" t="s">
        <v>509</v>
      </c>
      <c r="B32" s="52" t="s">
        <v>509</v>
      </c>
      <c r="C32" s="52" t="s">
        <v>510</v>
      </c>
    </row>
    <row r="33" spans="1:3" s="10" customFormat="1" ht="15.75" customHeight="1" x14ac:dyDescent="0.2">
      <c r="A33" s="52" t="s">
        <v>458</v>
      </c>
      <c r="B33" s="52" t="s">
        <v>459</v>
      </c>
      <c r="C33" s="52" t="s">
        <v>58</v>
      </c>
    </row>
    <row r="34" spans="1:3" s="10" customFormat="1" ht="15.75" customHeight="1" x14ac:dyDescent="0.2">
      <c r="A34" s="52" t="s">
        <v>70</v>
      </c>
      <c r="B34" s="52" t="s">
        <v>71</v>
      </c>
      <c r="C34" s="52" t="s">
        <v>39</v>
      </c>
    </row>
    <row r="35" spans="1:3" s="10" customFormat="1" ht="15.75" customHeight="1" x14ac:dyDescent="0.2">
      <c r="A35" s="52" t="s">
        <v>511</v>
      </c>
      <c r="B35" s="52" t="s">
        <v>511</v>
      </c>
      <c r="C35" s="52" t="s">
        <v>61</v>
      </c>
    </row>
    <row r="36" spans="1:3" s="10" customFormat="1" ht="15.75" customHeight="1" x14ac:dyDescent="0.2">
      <c r="A36" s="52" t="s">
        <v>68</v>
      </c>
      <c r="B36" s="52" t="s">
        <v>69</v>
      </c>
      <c r="C36" s="52" t="s">
        <v>56</v>
      </c>
    </row>
    <row r="37" spans="1:3" s="10" customFormat="1" ht="15.75" customHeight="1" x14ac:dyDescent="0.2">
      <c r="A37" s="52" t="s">
        <v>460</v>
      </c>
      <c r="B37" s="52" t="s">
        <v>461</v>
      </c>
      <c r="C37" s="52" t="s">
        <v>61</v>
      </c>
    </row>
    <row r="38" spans="1:3" s="10" customFormat="1" ht="15.75" customHeight="1" x14ac:dyDescent="0.2">
      <c r="A38" s="52" t="s">
        <v>520</v>
      </c>
      <c r="B38" s="52" t="s">
        <v>520</v>
      </c>
      <c r="C38" s="52" t="s">
        <v>39</v>
      </c>
    </row>
    <row r="39" spans="1:3" s="10" customFormat="1" ht="15.75" customHeight="1" x14ac:dyDescent="0.2">
      <c r="A39" s="52" t="s">
        <v>464</v>
      </c>
      <c r="B39" s="52" t="s">
        <v>465</v>
      </c>
      <c r="C39" s="52" t="s">
        <v>39</v>
      </c>
    </row>
    <row r="40" spans="1:3" s="10" customFormat="1" ht="15.75" customHeight="1" x14ac:dyDescent="0.2">
      <c r="A40" s="52" t="s">
        <v>462</v>
      </c>
      <c r="B40" s="52" t="s">
        <v>463</v>
      </c>
      <c r="C40" s="52" t="s">
        <v>39</v>
      </c>
    </row>
    <row r="41" spans="1:3" s="10" customFormat="1" ht="15.75" customHeight="1" x14ac:dyDescent="0.2">
      <c r="A41" s="52" t="s">
        <v>72</v>
      </c>
      <c r="B41" s="52" t="s">
        <v>72</v>
      </c>
      <c r="C41" s="52" t="s">
        <v>57</v>
      </c>
    </row>
    <row r="42" spans="1:3" s="10" customFormat="1" ht="15.75" customHeight="1" x14ac:dyDescent="0.2">
      <c r="A42" s="52" t="s">
        <v>513</v>
      </c>
      <c r="B42" s="52" t="s">
        <v>513</v>
      </c>
      <c r="C42" s="52" t="s">
        <v>57</v>
      </c>
    </row>
    <row r="43" spans="1:3" s="10" customFormat="1" ht="15.75" customHeight="1" x14ac:dyDescent="0.2">
      <c r="A43" s="52" t="s">
        <v>466</v>
      </c>
      <c r="B43" s="52" t="s">
        <v>467</v>
      </c>
      <c r="C43" s="52" t="s">
        <v>39</v>
      </c>
    </row>
    <row r="44" spans="1:3" s="10" customFormat="1" ht="15.75" customHeight="1" x14ac:dyDescent="0.2">
      <c r="A44" s="52" t="s">
        <v>468</v>
      </c>
      <c r="B44" s="52" t="s">
        <v>468</v>
      </c>
      <c r="C44" s="52" t="s">
        <v>59</v>
      </c>
    </row>
    <row r="45" spans="1:3" s="10" customFormat="1" ht="15.75" customHeight="1" x14ac:dyDescent="0.2">
      <c r="A45" s="52" t="s">
        <v>514</v>
      </c>
      <c r="B45" s="52" t="s">
        <v>514</v>
      </c>
      <c r="C45" s="52" t="s">
        <v>55</v>
      </c>
    </row>
    <row r="46" spans="1:3" s="10" customFormat="1" ht="15.75" customHeight="1" x14ac:dyDescent="0.2">
      <c r="A46" s="52" t="s">
        <v>73</v>
      </c>
      <c r="B46" s="52" t="s">
        <v>73</v>
      </c>
      <c r="C46" s="52" t="s">
        <v>39</v>
      </c>
    </row>
    <row r="47" spans="1:3" s="73" customFormat="1" ht="15.75" customHeight="1" x14ac:dyDescent="0.2">
      <c r="A47" s="52" t="s">
        <v>484</v>
      </c>
      <c r="B47" s="52" t="s">
        <v>485</v>
      </c>
      <c r="C47" s="52" t="s">
        <v>56</v>
      </c>
    </row>
    <row r="48" spans="1:3" s="73" customFormat="1" ht="15.75" customHeight="1" x14ac:dyDescent="0.2">
      <c r="A48" s="52" t="s">
        <v>479</v>
      </c>
      <c r="B48" s="52" t="s">
        <v>480</v>
      </c>
      <c r="C48" s="52" t="s">
        <v>39</v>
      </c>
    </row>
    <row r="49" spans="1:3" s="10" customFormat="1" ht="15.75" customHeight="1" x14ac:dyDescent="0.2">
      <c r="A49" s="52" t="s">
        <v>483</v>
      </c>
      <c r="B49" s="52" t="s">
        <v>483</v>
      </c>
      <c r="C49" s="52" t="s">
        <v>40</v>
      </c>
    </row>
    <row r="50" spans="1:3" s="10" customFormat="1" ht="15.75" customHeight="1" x14ac:dyDescent="0.2">
      <c r="A50" s="52" t="s">
        <v>469</v>
      </c>
      <c r="B50" s="52" t="s">
        <v>469</v>
      </c>
      <c r="C50" s="52" t="s">
        <v>39</v>
      </c>
    </row>
    <row r="51" spans="1:3" s="10" customFormat="1" ht="15.75" customHeight="1" x14ac:dyDescent="0.2">
      <c r="A51" s="52" t="s">
        <v>470</v>
      </c>
      <c r="B51" s="52" t="s">
        <v>471</v>
      </c>
      <c r="C51" s="52" t="s">
        <v>61</v>
      </c>
    </row>
    <row r="52" spans="1:3" s="10" customFormat="1" ht="15.75" customHeight="1" x14ac:dyDescent="0.2">
      <c r="A52" s="52" t="s">
        <v>515</v>
      </c>
      <c r="B52" s="52" t="s">
        <v>516</v>
      </c>
      <c r="C52" s="52" t="s">
        <v>61</v>
      </c>
    </row>
    <row r="53" spans="1:3" s="10" customFormat="1" ht="15.75" customHeight="1" x14ac:dyDescent="0.2">
      <c r="A53" s="52" t="s">
        <v>76</v>
      </c>
      <c r="B53" s="52" t="s">
        <v>77</v>
      </c>
      <c r="C53" s="52" t="s">
        <v>61</v>
      </c>
    </row>
    <row r="54" spans="1:3" s="10" customFormat="1" ht="15.75" customHeight="1" x14ac:dyDescent="0.2">
      <c r="A54" s="52" t="s">
        <v>472</v>
      </c>
      <c r="B54" s="52" t="s">
        <v>473</v>
      </c>
      <c r="C54" s="52" t="s">
        <v>61</v>
      </c>
    </row>
    <row r="55" spans="1:3" s="10" customFormat="1" ht="15.75" customHeight="1" x14ac:dyDescent="0.2">
      <c r="A55" s="52" t="s">
        <v>474</v>
      </c>
      <c r="B55" s="52" t="s">
        <v>475</v>
      </c>
      <c r="C55" s="52" t="s">
        <v>61</v>
      </c>
    </row>
    <row r="56" spans="1:3" s="10" customFormat="1" ht="15.75" customHeight="1" x14ac:dyDescent="0.2">
      <c r="A56" s="52" t="s">
        <v>74</v>
      </c>
      <c r="B56" s="52" t="s">
        <v>75</v>
      </c>
      <c r="C56" s="52" t="s">
        <v>61</v>
      </c>
    </row>
    <row r="57" spans="1:3" s="10" customFormat="1" ht="15.75" customHeight="1" x14ac:dyDescent="0.2">
      <c r="A57" s="52" t="s">
        <v>476</v>
      </c>
      <c r="B57" s="52" t="s">
        <v>477</v>
      </c>
      <c r="C57" s="52" t="s">
        <v>55</v>
      </c>
    </row>
    <row r="58" spans="1:3" s="10" customFormat="1" ht="15.75" customHeight="1" x14ac:dyDescent="0.2">
      <c r="A58" s="52" t="s">
        <v>517</v>
      </c>
      <c r="B58" s="52" t="s">
        <v>517</v>
      </c>
      <c r="C58" s="52" t="s">
        <v>57</v>
      </c>
    </row>
    <row r="59" spans="1:3" s="10" customFormat="1" ht="15.75" customHeight="1" x14ac:dyDescent="0.2">
      <c r="A59" s="52" t="s">
        <v>518</v>
      </c>
      <c r="B59" s="52" t="s">
        <v>518</v>
      </c>
      <c r="C59" s="52" t="s">
        <v>57</v>
      </c>
    </row>
    <row r="60" spans="1:3" s="10" customFormat="1" ht="15.75" customHeight="1" x14ac:dyDescent="0.2">
      <c r="A60" s="52" t="s">
        <v>519</v>
      </c>
      <c r="B60" s="52" t="s">
        <v>519</v>
      </c>
      <c r="C60" s="52" t="s">
        <v>39</v>
      </c>
    </row>
    <row r="61" spans="1:3" s="10" customFormat="1" ht="15.75" customHeight="1" x14ac:dyDescent="0.2">
      <c r="A61" s="52" t="s">
        <v>488</v>
      </c>
      <c r="B61" s="52" t="s">
        <v>489</v>
      </c>
      <c r="C61" s="52" t="s">
        <v>39</v>
      </c>
    </row>
    <row r="62" spans="1:3" x14ac:dyDescent="0.2">
      <c r="A62" s="52" t="s">
        <v>478</v>
      </c>
      <c r="B62" s="52" t="s">
        <v>78</v>
      </c>
      <c r="C62" s="52" t="s">
        <v>61</v>
      </c>
    </row>
    <row r="63" spans="1:3" x14ac:dyDescent="0.2">
      <c r="A63" s="52" t="s">
        <v>79</v>
      </c>
      <c r="B63" s="52" t="s">
        <v>80</v>
      </c>
      <c r="C63" s="52" t="s">
        <v>61</v>
      </c>
    </row>
    <row r="64" spans="1:3" x14ac:dyDescent="0.2">
      <c r="A64" s="52" t="s">
        <v>79</v>
      </c>
      <c r="B64" s="52" t="s">
        <v>512</v>
      </c>
      <c r="C64" s="52" t="s">
        <v>61</v>
      </c>
    </row>
  </sheetData>
  <dataValidations count="1">
    <dataValidation type="list" allowBlank="1" showInputMessage="1" showErrorMessage="1" sqref="C2:C64">
      <formula1>OrgTypeList</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030">
    <tabColor theme="1"/>
  </sheetPr>
  <dimension ref="A1:V438"/>
  <sheetViews>
    <sheetView showGridLines="0" topLeftCell="A12" workbookViewId="0">
      <selection activeCell="K2" sqref="K2:K35"/>
    </sheetView>
  </sheetViews>
  <sheetFormatPr baseColWidth="10" defaultColWidth="0" defaultRowHeight="12.75" x14ac:dyDescent="0.2"/>
  <cols>
    <col min="1" max="1" width="2.5703125" customWidth="1"/>
    <col min="2" max="2" width="35" style="1" customWidth="1"/>
    <col min="3" max="3" width="1.42578125" customWidth="1"/>
    <col min="4" max="4" width="18.28515625" customWidth="1"/>
    <col min="5" max="5" width="6.85546875" customWidth="1"/>
    <col min="6" max="6" width="20.42578125" customWidth="1"/>
    <col min="7" max="7" width="45" customWidth="1"/>
    <col min="8" max="8" width="2" customWidth="1"/>
    <col min="9" max="9" width="23.85546875" style="1" bestFit="1" customWidth="1"/>
    <col min="10" max="10" width="1.42578125" customWidth="1"/>
    <col min="11" max="12" width="14.28515625" customWidth="1"/>
    <col min="13" max="13" width="53.42578125" customWidth="1"/>
    <col min="14" max="16" width="11.42578125" hidden="1" customWidth="1"/>
    <col min="17" max="17" width="13.42578125" hidden="1" customWidth="1"/>
    <col min="18" max="18" width="2.85546875" hidden="1" customWidth="1"/>
    <col min="19" max="19" width="28.140625" hidden="1" customWidth="1"/>
    <col min="20" max="20" width="3.42578125" hidden="1" customWidth="1"/>
    <col min="21" max="21" width="19.7109375" hidden="1" customWidth="1"/>
    <col min="22" max="22" width="1" hidden="1" customWidth="1"/>
    <col min="23" max="16384" width="11.42578125" hidden="1"/>
  </cols>
  <sheetData>
    <row r="1" spans="2:21" ht="13.5" thickBot="1" x14ac:dyDescent="0.25">
      <c r="B1" s="30" t="s">
        <v>5</v>
      </c>
      <c r="D1" s="30" t="s">
        <v>11</v>
      </c>
      <c r="E1" s="30" t="s">
        <v>6</v>
      </c>
      <c r="F1" s="31" t="s">
        <v>16</v>
      </c>
      <c r="G1" s="31" t="s">
        <v>13</v>
      </c>
      <c r="I1" s="31" t="s">
        <v>12</v>
      </c>
      <c r="K1" s="30" t="s">
        <v>8</v>
      </c>
      <c r="L1" s="30" t="s">
        <v>9</v>
      </c>
      <c r="N1" s="33" t="s">
        <v>2</v>
      </c>
      <c r="O1" s="33" t="s">
        <v>3</v>
      </c>
      <c r="P1" s="33" t="s">
        <v>4</v>
      </c>
      <c r="Q1" s="34" t="s">
        <v>14</v>
      </c>
      <c r="S1" s="31" t="s">
        <v>15</v>
      </c>
      <c r="U1" s="31" t="s">
        <v>22</v>
      </c>
    </row>
    <row r="2" spans="2:21" ht="15" x14ac:dyDescent="0.25">
      <c r="B2" s="79" t="s">
        <v>350</v>
      </c>
      <c r="D2" s="31" t="s">
        <v>83</v>
      </c>
      <c r="E2" s="30">
        <v>3</v>
      </c>
      <c r="F2" s="35" t="s">
        <v>362</v>
      </c>
      <c r="G2" s="35" t="s">
        <v>365</v>
      </c>
      <c r="I2" s="4" t="s">
        <v>55</v>
      </c>
      <c r="K2" t="s">
        <v>368</v>
      </c>
      <c r="L2" t="s">
        <v>369</v>
      </c>
      <c r="N2" s="35">
        <v>255</v>
      </c>
      <c r="O2" s="35">
        <v>255</v>
      </c>
      <c r="P2" s="35">
        <v>255</v>
      </c>
      <c r="Q2" s="39" t="s">
        <v>25</v>
      </c>
      <c r="S2" s="32">
        <f>COUNTA(Sectors[]) + 1</f>
        <v>13</v>
      </c>
      <c r="U2" s="30" t="b">
        <v>1</v>
      </c>
    </row>
    <row r="3" spans="2:21" ht="15" x14ac:dyDescent="0.25">
      <c r="B3" s="75" t="s">
        <v>360</v>
      </c>
      <c r="D3" s="31" t="s">
        <v>82</v>
      </c>
      <c r="E3" s="30">
        <v>2</v>
      </c>
      <c r="F3" s="35" t="s">
        <v>363</v>
      </c>
      <c r="G3" s="35" t="s">
        <v>366</v>
      </c>
      <c r="I3" s="4" t="s">
        <v>56</v>
      </c>
      <c r="K3" t="s">
        <v>370</v>
      </c>
      <c r="L3" t="s">
        <v>371</v>
      </c>
      <c r="N3" s="35">
        <v>199</v>
      </c>
      <c r="O3" s="35">
        <v>214</v>
      </c>
      <c r="P3" s="35">
        <v>238</v>
      </c>
      <c r="Q3" s="21" t="s">
        <v>25</v>
      </c>
    </row>
    <row r="4" spans="2:21" ht="15" x14ac:dyDescent="0.25">
      <c r="B4" s="79" t="s">
        <v>359</v>
      </c>
      <c r="D4" s="30" t="s">
        <v>10</v>
      </c>
      <c r="E4" s="30">
        <v>1</v>
      </c>
      <c r="F4" s="35" t="s">
        <v>364</v>
      </c>
      <c r="G4" s="35" t="s">
        <v>367</v>
      </c>
      <c r="I4" s="4" t="s">
        <v>39</v>
      </c>
      <c r="K4" t="s">
        <v>372</v>
      </c>
      <c r="L4" t="s">
        <v>373</v>
      </c>
      <c r="N4" s="35">
        <v>149</v>
      </c>
      <c r="O4" s="35">
        <v>182</v>
      </c>
      <c r="P4" s="35">
        <v>223</v>
      </c>
      <c r="Q4" s="22" t="s">
        <v>25</v>
      </c>
    </row>
    <row r="5" spans="2:21" ht="15" x14ac:dyDescent="0.25">
      <c r="B5" s="74" t="s">
        <v>354</v>
      </c>
      <c r="D5" s="121" t="s">
        <v>23</v>
      </c>
      <c r="E5" s="121"/>
      <c r="F5" s="121"/>
      <c r="G5" s="121"/>
      <c r="I5" s="4" t="s">
        <v>57</v>
      </c>
      <c r="K5" t="s">
        <v>374</v>
      </c>
      <c r="L5" t="s">
        <v>375</v>
      </c>
      <c r="N5" s="35">
        <v>101</v>
      </c>
      <c r="O5" s="35">
        <v>154</v>
      </c>
      <c r="P5" s="35">
        <v>210</v>
      </c>
      <c r="Q5" s="40" t="s">
        <v>25</v>
      </c>
    </row>
    <row r="6" spans="2:21" ht="15" x14ac:dyDescent="0.25">
      <c r="B6" s="74" t="s">
        <v>356</v>
      </c>
      <c r="I6" s="4" t="s">
        <v>58</v>
      </c>
      <c r="K6" t="s">
        <v>376</v>
      </c>
      <c r="L6" t="s">
        <v>377</v>
      </c>
      <c r="N6" s="35">
        <v>2</v>
      </c>
      <c r="O6" s="35">
        <v>108</v>
      </c>
      <c r="P6" s="35">
        <v>182</v>
      </c>
      <c r="Q6" s="41" t="s">
        <v>25</v>
      </c>
    </row>
    <row r="7" spans="2:21" ht="15.75" thickBot="1" x14ac:dyDescent="0.3">
      <c r="B7" s="79" t="s">
        <v>358</v>
      </c>
      <c r="I7" s="4" t="s">
        <v>40</v>
      </c>
      <c r="K7" t="s">
        <v>378</v>
      </c>
      <c r="L7" t="s">
        <v>379</v>
      </c>
      <c r="N7" s="35">
        <v>0</v>
      </c>
      <c r="O7" s="35">
        <v>52</v>
      </c>
      <c r="P7" s="35">
        <v>105</v>
      </c>
      <c r="Q7" s="42" t="s">
        <v>25</v>
      </c>
    </row>
    <row r="8" spans="2:21" ht="15" x14ac:dyDescent="0.25">
      <c r="B8" s="74" t="s">
        <v>353</v>
      </c>
      <c r="I8" s="4" t="s">
        <v>59</v>
      </c>
      <c r="K8" t="s">
        <v>380</v>
      </c>
      <c r="L8" t="s">
        <v>381</v>
      </c>
      <c r="N8" s="121" t="s">
        <v>23</v>
      </c>
      <c r="O8" s="121"/>
      <c r="P8" s="121"/>
      <c r="Q8" s="121"/>
    </row>
    <row r="9" spans="2:21" ht="15" x14ac:dyDescent="0.25">
      <c r="B9" s="79" t="s">
        <v>361</v>
      </c>
      <c r="I9" s="4" t="s">
        <v>60</v>
      </c>
      <c r="K9" t="s">
        <v>382</v>
      </c>
      <c r="L9" t="s">
        <v>383</v>
      </c>
    </row>
    <row r="10" spans="2:21" ht="15" x14ac:dyDescent="0.25">
      <c r="B10" s="79" t="s">
        <v>357</v>
      </c>
      <c r="I10" s="4" t="s">
        <v>61</v>
      </c>
      <c r="K10" t="s">
        <v>384</v>
      </c>
      <c r="L10" t="s">
        <v>385</v>
      </c>
      <c r="N10" s="122" t="s">
        <v>36</v>
      </c>
      <c r="O10" s="123"/>
      <c r="P10" s="123"/>
      <c r="Q10" s="123"/>
    </row>
    <row r="11" spans="2:21" ht="15" x14ac:dyDescent="0.25">
      <c r="B11" s="79" t="s">
        <v>355</v>
      </c>
      <c r="K11" t="s">
        <v>386</v>
      </c>
      <c r="L11" t="s">
        <v>387</v>
      </c>
      <c r="N11" s="123"/>
      <c r="O11" s="123"/>
      <c r="P11" s="123"/>
      <c r="Q11" s="123"/>
    </row>
    <row r="12" spans="2:21" ht="15.75" thickBot="1" x14ac:dyDescent="0.3">
      <c r="B12" s="79" t="s">
        <v>351</v>
      </c>
      <c r="C12" s="9"/>
      <c r="D12" s="9"/>
      <c r="K12" t="s">
        <v>388</v>
      </c>
      <c r="L12" t="s">
        <v>389</v>
      </c>
      <c r="N12" s="33" t="s">
        <v>2</v>
      </c>
      <c r="O12" s="33" t="s">
        <v>3</v>
      </c>
      <c r="P12" s="33" t="s">
        <v>4</v>
      </c>
      <c r="Q12" s="34" t="s">
        <v>14</v>
      </c>
    </row>
    <row r="13" spans="2:21" ht="15" x14ac:dyDescent="0.25">
      <c r="B13" s="79" t="s">
        <v>352</v>
      </c>
      <c r="C13" s="9"/>
      <c r="D13" s="9"/>
      <c r="K13" t="s">
        <v>390</v>
      </c>
      <c r="L13" t="s">
        <v>391</v>
      </c>
      <c r="N13" s="35">
        <v>255</v>
      </c>
      <c r="O13" s="35">
        <v>255</v>
      </c>
      <c r="P13" s="35">
        <v>255</v>
      </c>
      <c r="Q13" s="39" t="s">
        <v>25</v>
      </c>
    </row>
    <row r="14" spans="2:21" x14ac:dyDescent="0.2">
      <c r="B14"/>
      <c r="C14" s="9"/>
      <c r="D14" s="9"/>
      <c r="K14" t="s">
        <v>392</v>
      </c>
      <c r="L14" t="s">
        <v>393</v>
      </c>
      <c r="N14" s="35">
        <v>254</v>
      </c>
      <c r="O14" s="35">
        <v>226</v>
      </c>
      <c r="P14" s="35">
        <v>202</v>
      </c>
      <c r="Q14" s="47" t="s">
        <v>25</v>
      </c>
    </row>
    <row r="15" spans="2:21" x14ac:dyDescent="0.2">
      <c r="B15"/>
      <c r="C15" s="9"/>
      <c r="D15" s="9"/>
      <c r="K15" t="s">
        <v>394</v>
      </c>
      <c r="L15" t="s">
        <v>395</v>
      </c>
      <c r="N15" s="35">
        <v>252</v>
      </c>
      <c r="O15" s="35">
        <v>200</v>
      </c>
      <c r="P15" s="35">
        <v>159</v>
      </c>
      <c r="Q15" s="48" t="s">
        <v>25</v>
      </c>
    </row>
    <row r="16" spans="2:21" x14ac:dyDescent="0.2">
      <c r="K16" t="s">
        <v>396</v>
      </c>
      <c r="L16" t="s">
        <v>397</v>
      </c>
      <c r="N16" s="35">
        <v>250</v>
      </c>
      <c r="O16" s="35">
        <v>174</v>
      </c>
      <c r="P16" s="35">
        <v>119</v>
      </c>
      <c r="Q16" s="49" t="s">
        <v>25</v>
      </c>
    </row>
    <row r="17" spans="2:17" x14ac:dyDescent="0.2">
      <c r="B17"/>
      <c r="K17" t="s">
        <v>398</v>
      </c>
      <c r="L17" t="s">
        <v>399</v>
      </c>
      <c r="N17" s="35">
        <v>247</v>
      </c>
      <c r="O17" s="35">
        <v>149</v>
      </c>
      <c r="P17" s="35">
        <v>82</v>
      </c>
      <c r="Q17" s="50" t="s">
        <v>25</v>
      </c>
    </row>
    <row r="18" spans="2:17" ht="13.5" thickBot="1" x14ac:dyDescent="0.25">
      <c r="B18"/>
      <c r="K18" t="s">
        <v>400</v>
      </c>
      <c r="L18" t="s">
        <v>401</v>
      </c>
      <c r="N18" s="35">
        <v>241</v>
      </c>
      <c r="O18" s="35">
        <v>90</v>
      </c>
      <c r="P18" s="35">
        <v>34</v>
      </c>
      <c r="Q18" s="51" t="s">
        <v>25</v>
      </c>
    </row>
    <row r="19" spans="2:17" x14ac:dyDescent="0.2">
      <c r="K19" t="s">
        <v>402</v>
      </c>
      <c r="L19" t="s">
        <v>403</v>
      </c>
    </row>
    <row r="20" spans="2:17" x14ac:dyDescent="0.2">
      <c r="K20" t="s">
        <v>404</v>
      </c>
      <c r="L20" t="s">
        <v>405</v>
      </c>
    </row>
    <row r="21" spans="2:17" x14ac:dyDescent="0.2">
      <c r="K21" t="s">
        <v>406</v>
      </c>
      <c r="L21" t="s">
        <v>407</v>
      </c>
    </row>
    <row r="22" spans="2:17" x14ac:dyDescent="0.2">
      <c r="K22" t="s">
        <v>408</v>
      </c>
      <c r="L22" t="s">
        <v>409</v>
      </c>
    </row>
    <row r="23" spans="2:17" x14ac:dyDescent="0.2">
      <c r="K23" t="s">
        <v>410</v>
      </c>
      <c r="L23" t="s">
        <v>411</v>
      </c>
    </row>
    <row r="24" spans="2:17" x14ac:dyDescent="0.2">
      <c r="K24" t="s">
        <v>412</v>
      </c>
      <c r="L24" t="s">
        <v>413</v>
      </c>
    </row>
    <row r="25" spans="2:17" x14ac:dyDescent="0.2">
      <c r="K25" t="s">
        <v>414</v>
      </c>
      <c r="L25" t="s">
        <v>415</v>
      </c>
    </row>
    <row r="26" spans="2:17" x14ac:dyDescent="0.2">
      <c r="K26" t="s">
        <v>416</v>
      </c>
      <c r="L26" t="s">
        <v>417</v>
      </c>
    </row>
    <row r="27" spans="2:17" x14ac:dyDescent="0.2">
      <c r="I27"/>
      <c r="K27" t="s">
        <v>418</v>
      </c>
      <c r="L27" t="s">
        <v>419</v>
      </c>
    </row>
    <row r="28" spans="2:17" x14ac:dyDescent="0.2">
      <c r="I28"/>
      <c r="K28" t="s">
        <v>420</v>
      </c>
      <c r="L28" t="s">
        <v>421</v>
      </c>
    </row>
    <row r="29" spans="2:17" x14ac:dyDescent="0.2">
      <c r="B29"/>
      <c r="I29"/>
      <c r="K29" t="s">
        <v>422</v>
      </c>
      <c r="L29" t="s">
        <v>423</v>
      </c>
    </row>
    <row r="30" spans="2:17" x14ac:dyDescent="0.2">
      <c r="B30"/>
      <c r="I30"/>
      <c r="K30" t="s">
        <v>424</v>
      </c>
      <c r="L30" t="s">
        <v>425</v>
      </c>
    </row>
    <row r="31" spans="2:17" x14ac:dyDescent="0.2">
      <c r="B31"/>
      <c r="I31"/>
      <c r="K31" t="s">
        <v>426</v>
      </c>
      <c r="L31" t="s">
        <v>427</v>
      </c>
    </row>
    <row r="32" spans="2:17" x14ac:dyDescent="0.2">
      <c r="B32"/>
      <c r="I32"/>
      <c r="K32" t="s">
        <v>428</v>
      </c>
      <c r="L32" t="s">
        <v>429</v>
      </c>
    </row>
    <row r="33" spans="2:12" x14ac:dyDescent="0.2">
      <c r="B33"/>
      <c r="I33"/>
      <c r="K33" t="s">
        <v>430</v>
      </c>
      <c r="L33" t="s">
        <v>431</v>
      </c>
    </row>
    <row r="34" spans="2:12" x14ac:dyDescent="0.2">
      <c r="B34"/>
      <c r="I34"/>
      <c r="K34" t="s">
        <v>432</v>
      </c>
      <c r="L34" t="s">
        <v>433</v>
      </c>
    </row>
    <row r="35" spans="2:12" x14ac:dyDescent="0.2">
      <c r="B35"/>
      <c r="I35"/>
      <c r="K35" t="s">
        <v>434</v>
      </c>
      <c r="L35" t="s">
        <v>435</v>
      </c>
    </row>
    <row r="36" spans="2:12" x14ac:dyDescent="0.2">
      <c r="B36"/>
      <c r="I36"/>
    </row>
    <row r="37" spans="2:12" x14ac:dyDescent="0.2">
      <c r="B37"/>
      <c r="I37"/>
    </row>
    <row r="38" spans="2:12" x14ac:dyDescent="0.2">
      <c r="B38"/>
      <c r="I38"/>
    </row>
    <row r="39" spans="2:12" x14ac:dyDescent="0.2">
      <c r="B39"/>
      <c r="I39"/>
    </row>
    <row r="40" spans="2:12" x14ac:dyDescent="0.2">
      <c r="B40"/>
      <c r="I40"/>
    </row>
    <row r="41" spans="2:12" x14ac:dyDescent="0.2">
      <c r="B41"/>
      <c r="I41"/>
    </row>
    <row r="42" spans="2:12" x14ac:dyDescent="0.2">
      <c r="B42"/>
      <c r="I42"/>
    </row>
    <row r="43" spans="2:12" x14ac:dyDescent="0.2">
      <c r="B43"/>
      <c r="I43"/>
    </row>
    <row r="44" spans="2:12" x14ac:dyDescent="0.2">
      <c r="B44"/>
      <c r="I44"/>
    </row>
    <row r="45" spans="2:12" x14ac:dyDescent="0.2">
      <c r="B45"/>
      <c r="I45"/>
    </row>
    <row r="46" spans="2:12" x14ac:dyDescent="0.2">
      <c r="B46"/>
      <c r="I46"/>
    </row>
    <row r="47" spans="2:12" x14ac:dyDescent="0.2">
      <c r="B47"/>
      <c r="I47"/>
    </row>
    <row r="48" spans="2:12" x14ac:dyDescent="0.2">
      <c r="B48"/>
      <c r="I48"/>
    </row>
    <row r="49" spans="2:9" x14ac:dyDescent="0.2">
      <c r="B49"/>
      <c r="I49"/>
    </row>
    <row r="50" spans="2:9" x14ac:dyDescent="0.2">
      <c r="B50"/>
      <c r="I50"/>
    </row>
    <row r="51" spans="2:9" x14ac:dyDescent="0.2">
      <c r="B51"/>
      <c r="I51"/>
    </row>
    <row r="52" spans="2:9" x14ac:dyDescent="0.2">
      <c r="B52"/>
      <c r="I52"/>
    </row>
    <row r="53" spans="2:9" x14ac:dyDescent="0.2">
      <c r="B53"/>
      <c r="I53"/>
    </row>
    <row r="54" spans="2:9" x14ac:dyDescent="0.2">
      <c r="B54"/>
      <c r="I54"/>
    </row>
    <row r="55" spans="2:9" x14ac:dyDescent="0.2">
      <c r="B55"/>
      <c r="I55"/>
    </row>
    <row r="56" spans="2:9" x14ac:dyDescent="0.2">
      <c r="B56"/>
      <c r="I56"/>
    </row>
    <row r="57" spans="2:9" x14ac:dyDescent="0.2">
      <c r="B57"/>
      <c r="I57"/>
    </row>
    <row r="58" spans="2:9" x14ac:dyDescent="0.2">
      <c r="B58"/>
      <c r="I58"/>
    </row>
    <row r="59" spans="2:9" x14ac:dyDescent="0.2">
      <c r="B59"/>
      <c r="I59"/>
    </row>
    <row r="60" spans="2:9" x14ac:dyDescent="0.2">
      <c r="B60"/>
      <c r="I60"/>
    </row>
    <row r="61" spans="2:9" x14ac:dyDescent="0.2">
      <c r="B61"/>
      <c r="I61"/>
    </row>
    <row r="62" spans="2:9" x14ac:dyDescent="0.2">
      <c r="B62"/>
      <c r="I62"/>
    </row>
    <row r="63" spans="2:9" x14ac:dyDescent="0.2">
      <c r="B63"/>
      <c r="I63"/>
    </row>
    <row r="64" spans="2:9" x14ac:dyDescent="0.2">
      <c r="B64"/>
      <c r="I64"/>
    </row>
    <row r="65" spans="2:9" x14ac:dyDescent="0.2">
      <c r="B65"/>
      <c r="I65"/>
    </row>
    <row r="66" spans="2:9" x14ac:dyDescent="0.2">
      <c r="B66"/>
      <c r="I66"/>
    </row>
    <row r="67" spans="2:9" x14ac:dyDescent="0.2">
      <c r="B67"/>
      <c r="I67"/>
    </row>
    <row r="68" spans="2:9" x14ac:dyDescent="0.2">
      <c r="B68"/>
      <c r="I68"/>
    </row>
    <row r="69" spans="2:9" x14ac:dyDescent="0.2">
      <c r="B69"/>
      <c r="I69"/>
    </row>
    <row r="70" spans="2:9" x14ac:dyDescent="0.2">
      <c r="B70"/>
      <c r="I70"/>
    </row>
    <row r="71" spans="2:9" x14ac:dyDescent="0.2">
      <c r="B71"/>
      <c r="I71"/>
    </row>
    <row r="72" spans="2:9" x14ac:dyDescent="0.2">
      <c r="B72"/>
      <c r="I72"/>
    </row>
    <row r="73" spans="2:9" x14ac:dyDescent="0.2">
      <c r="B73"/>
      <c r="I73"/>
    </row>
    <row r="74" spans="2:9" x14ac:dyDescent="0.2">
      <c r="B74"/>
      <c r="I74"/>
    </row>
    <row r="75" spans="2:9" x14ac:dyDescent="0.2">
      <c r="B75"/>
      <c r="I75"/>
    </row>
    <row r="76" spans="2:9" x14ac:dyDescent="0.2">
      <c r="B76"/>
      <c r="I76"/>
    </row>
    <row r="77" spans="2:9" x14ac:dyDescent="0.2">
      <c r="B77"/>
      <c r="I77"/>
    </row>
    <row r="78" spans="2:9" x14ac:dyDescent="0.2">
      <c r="B78"/>
      <c r="I78"/>
    </row>
    <row r="79" spans="2:9" x14ac:dyDescent="0.2">
      <c r="B79"/>
      <c r="I79"/>
    </row>
    <row r="80" spans="2:9" x14ac:dyDescent="0.2">
      <c r="B80"/>
      <c r="I80"/>
    </row>
    <row r="81" spans="2:9" x14ac:dyDescent="0.2">
      <c r="B81"/>
      <c r="I81"/>
    </row>
    <row r="82" spans="2:9" x14ac:dyDescent="0.2">
      <c r="B82"/>
      <c r="I82"/>
    </row>
    <row r="83" spans="2:9" x14ac:dyDescent="0.2">
      <c r="B83"/>
      <c r="I83"/>
    </row>
    <row r="84" spans="2:9" x14ac:dyDescent="0.2">
      <c r="B84"/>
      <c r="I84"/>
    </row>
    <row r="85" spans="2:9" x14ac:dyDescent="0.2">
      <c r="B85"/>
      <c r="I85"/>
    </row>
    <row r="86" spans="2:9" x14ac:dyDescent="0.2">
      <c r="B86"/>
      <c r="I86"/>
    </row>
    <row r="87" spans="2:9" x14ac:dyDescent="0.2">
      <c r="B87"/>
      <c r="I87"/>
    </row>
    <row r="88" spans="2:9" x14ac:dyDescent="0.2">
      <c r="B88"/>
      <c r="I88"/>
    </row>
    <row r="89" spans="2:9" x14ac:dyDescent="0.2">
      <c r="B89"/>
      <c r="I89"/>
    </row>
    <row r="90" spans="2:9" x14ac:dyDescent="0.2">
      <c r="B90"/>
      <c r="I90"/>
    </row>
    <row r="91" spans="2:9" x14ac:dyDescent="0.2">
      <c r="B91"/>
      <c r="I91"/>
    </row>
    <row r="92" spans="2:9" x14ac:dyDescent="0.2">
      <c r="B92"/>
      <c r="I92"/>
    </row>
    <row r="93" spans="2:9" x14ac:dyDescent="0.2">
      <c r="B93"/>
      <c r="I93"/>
    </row>
    <row r="94" spans="2:9" x14ac:dyDescent="0.2">
      <c r="B94"/>
      <c r="I94"/>
    </row>
    <row r="95" spans="2:9" x14ac:dyDescent="0.2">
      <c r="B95"/>
      <c r="I95"/>
    </row>
    <row r="96" spans="2:9" x14ac:dyDescent="0.2">
      <c r="B96"/>
      <c r="I96"/>
    </row>
    <row r="97" spans="2:9" x14ac:dyDescent="0.2">
      <c r="B97"/>
      <c r="I97"/>
    </row>
    <row r="98" spans="2:9" x14ac:dyDescent="0.2">
      <c r="B98"/>
      <c r="I98"/>
    </row>
    <row r="99" spans="2:9" x14ac:dyDescent="0.2">
      <c r="B99"/>
      <c r="I99"/>
    </row>
    <row r="100" spans="2:9" x14ac:dyDescent="0.2">
      <c r="B100"/>
      <c r="I100"/>
    </row>
    <row r="101" spans="2:9" x14ac:dyDescent="0.2">
      <c r="B101"/>
      <c r="I101"/>
    </row>
    <row r="102" spans="2:9" x14ac:dyDescent="0.2">
      <c r="B102"/>
      <c r="I102"/>
    </row>
    <row r="103" spans="2:9" x14ac:dyDescent="0.2">
      <c r="B103"/>
      <c r="I103"/>
    </row>
    <row r="104" spans="2:9" x14ac:dyDescent="0.2">
      <c r="B104"/>
      <c r="I104"/>
    </row>
    <row r="105" spans="2:9" x14ac:dyDescent="0.2">
      <c r="B105"/>
      <c r="I105"/>
    </row>
    <row r="106" spans="2:9" x14ac:dyDescent="0.2">
      <c r="B106"/>
      <c r="I106"/>
    </row>
    <row r="107" spans="2:9" x14ac:dyDescent="0.2">
      <c r="B107"/>
      <c r="I107"/>
    </row>
    <row r="108" spans="2:9" x14ac:dyDescent="0.2">
      <c r="B108"/>
      <c r="I108"/>
    </row>
    <row r="109" spans="2:9" x14ac:dyDescent="0.2">
      <c r="B109"/>
      <c r="I109"/>
    </row>
    <row r="110" spans="2:9" x14ac:dyDescent="0.2">
      <c r="B110"/>
      <c r="I110"/>
    </row>
    <row r="111" spans="2:9" x14ac:dyDescent="0.2">
      <c r="B111"/>
      <c r="I111"/>
    </row>
    <row r="112" spans="2:9" x14ac:dyDescent="0.2">
      <c r="B112"/>
      <c r="I112"/>
    </row>
    <row r="113" spans="2:9" x14ac:dyDescent="0.2">
      <c r="B113"/>
      <c r="I113"/>
    </row>
    <row r="114" spans="2:9" x14ac:dyDescent="0.2">
      <c r="B114"/>
      <c r="I114"/>
    </row>
    <row r="115" spans="2:9" x14ac:dyDescent="0.2">
      <c r="B115"/>
      <c r="I115"/>
    </row>
    <row r="116" spans="2:9" x14ac:dyDescent="0.2">
      <c r="B116"/>
      <c r="I116"/>
    </row>
    <row r="117" spans="2:9" x14ac:dyDescent="0.2">
      <c r="B117"/>
      <c r="I117"/>
    </row>
    <row r="118" spans="2:9" x14ac:dyDescent="0.2">
      <c r="B118"/>
      <c r="I118"/>
    </row>
    <row r="119" spans="2:9" x14ac:dyDescent="0.2">
      <c r="B119"/>
      <c r="I119"/>
    </row>
    <row r="120" spans="2:9" x14ac:dyDescent="0.2">
      <c r="B120"/>
      <c r="I120"/>
    </row>
    <row r="121" spans="2:9" x14ac:dyDescent="0.2">
      <c r="B121"/>
      <c r="I121"/>
    </row>
    <row r="122" spans="2:9" x14ac:dyDescent="0.2">
      <c r="B122"/>
      <c r="I122"/>
    </row>
    <row r="123" spans="2:9" x14ac:dyDescent="0.2">
      <c r="B123"/>
      <c r="I123"/>
    </row>
    <row r="124" spans="2:9" x14ac:dyDescent="0.2">
      <c r="B124"/>
      <c r="I124"/>
    </row>
    <row r="125" spans="2:9" x14ac:dyDescent="0.2">
      <c r="B125"/>
      <c r="I125"/>
    </row>
    <row r="126" spans="2:9" x14ac:dyDescent="0.2">
      <c r="B126"/>
      <c r="I126"/>
    </row>
    <row r="127" spans="2:9" x14ac:dyDescent="0.2">
      <c r="B127"/>
      <c r="I127"/>
    </row>
    <row r="128" spans="2:9" x14ac:dyDescent="0.2">
      <c r="B128"/>
      <c r="I128"/>
    </row>
    <row r="129" spans="2:9" x14ac:dyDescent="0.2">
      <c r="B129"/>
      <c r="I129"/>
    </row>
    <row r="130" spans="2:9" x14ac:dyDescent="0.2">
      <c r="B130"/>
      <c r="I130"/>
    </row>
    <row r="131" spans="2:9" x14ac:dyDescent="0.2">
      <c r="B131"/>
      <c r="I131"/>
    </row>
    <row r="132" spans="2:9" x14ac:dyDescent="0.2">
      <c r="B132"/>
      <c r="I132"/>
    </row>
    <row r="133" spans="2:9" x14ac:dyDescent="0.2">
      <c r="B133"/>
      <c r="I133"/>
    </row>
    <row r="134" spans="2:9" x14ac:dyDescent="0.2">
      <c r="B134"/>
      <c r="I134"/>
    </row>
    <row r="135" spans="2:9" x14ac:dyDescent="0.2">
      <c r="B135"/>
      <c r="I135"/>
    </row>
    <row r="136" spans="2:9" x14ac:dyDescent="0.2">
      <c r="B136"/>
      <c r="I136"/>
    </row>
    <row r="137" spans="2:9" x14ac:dyDescent="0.2">
      <c r="B137"/>
      <c r="I137"/>
    </row>
    <row r="138" spans="2:9" x14ac:dyDescent="0.2">
      <c r="B138"/>
      <c r="I138"/>
    </row>
    <row r="139" spans="2:9" x14ac:dyDescent="0.2">
      <c r="B139"/>
      <c r="I139"/>
    </row>
    <row r="140" spans="2:9" x14ac:dyDescent="0.2">
      <c r="B140"/>
      <c r="I140"/>
    </row>
    <row r="141" spans="2:9" x14ac:dyDescent="0.2">
      <c r="B141"/>
      <c r="I141"/>
    </row>
    <row r="142" spans="2:9" x14ac:dyDescent="0.2">
      <c r="B142"/>
      <c r="I142"/>
    </row>
    <row r="143" spans="2:9" x14ac:dyDescent="0.2">
      <c r="B143"/>
      <c r="I143"/>
    </row>
    <row r="144" spans="2:9" x14ac:dyDescent="0.2">
      <c r="B144"/>
      <c r="I144"/>
    </row>
    <row r="145" spans="2:9" x14ac:dyDescent="0.2">
      <c r="B145"/>
      <c r="I145"/>
    </row>
    <row r="146" spans="2:9" x14ac:dyDescent="0.2">
      <c r="B146"/>
      <c r="I146"/>
    </row>
    <row r="147" spans="2:9" x14ac:dyDescent="0.2">
      <c r="B147"/>
      <c r="I147"/>
    </row>
    <row r="148" spans="2:9" x14ac:dyDescent="0.2">
      <c r="B148"/>
      <c r="I148"/>
    </row>
    <row r="149" spans="2:9" x14ac:dyDescent="0.2">
      <c r="B149"/>
      <c r="I149"/>
    </row>
    <row r="150" spans="2:9" x14ac:dyDescent="0.2">
      <c r="B150"/>
      <c r="I150"/>
    </row>
    <row r="151" spans="2:9" x14ac:dyDescent="0.2">
      <c r="B151"/>
      <c r="I151"/>
    </row>
    <row r="152" spans="2:9" x14ac:dyDescent="0.2">
      <c r="B152"/>
      <c r="I152"/>
    </row>
    <row r="153" spans="2:9" x14ac:dyDescent="0.2">
      <c r="B153"/>
      <c r="I153"/>
    </row>
    <row r="154" spans="2:9" x14ac:dyDescent="0.2">
      <c r="B154"/>
      <c r="I154"/>
    </row>
    <row r="155" spans="2:9" x14ac:dyDescent="0.2">
      <c r="B155"/>
      <c r="I155"/>
    </row>
    <row r="156" spans="2:9" x14ac:dyDescent="0.2">
      <c r="B156"/>
      <c r="I156"/>
    </row>
    <row r="157" spans="2:9" x14ac:dyDescent="0.2">
      <c r="B157"/>
      <c r="I157"/>
    </row>
    <row r="158" spans="2:9" x14ac:dyDescent="0.2">
      <c r="B158"/>
      <c r="I158"/>
    </row>
    <row r="159" spans="2:9" x14ac:dyDescent="0.2">
      <c r="B159"/>
      <c r="I159"/>
    </row>
    <row r="160" spans="2:9" x14ac:dyDescent="0.2">
      <c r="B160"/>
      <c r="I160"/>
    </row>
    <row r="161" spans="2:9" x14ac:dyDescent="0.2">
      <c r="B161"/>
      <c r="I161"/>
    </row>
    <row r="162" spans="2:9" x14ac:dyDescent="0.2">
      <c r="B162"/>
      <c r="I162"/>
    </row>
    <row r="163" spans="2:9" x14ac:dyDescent="0.2">
      <c r="B163"/>
      <c r="I163"/>
    </row>
    <row r="164" spans="2:9" x14ac:dyDescent="0.2">
      <c r="B164"/>
      <c r="I164"/>
    </row>
    <row r="165" spans="2:9" x14ac:dyDescent="0.2">
      <c r="B165"/>
      <c r="I165"/>
    </row>
    <row r="166" spans="2:9" x14ac:dyDescent="0.2">
      <c r="B166"/>
      <c r="I166"/>
    </row>
    <row r="167" spans="2:9" x14ac:dyDescent="0.2">
      <c r="B167"/>
      <c r="I167"/>
    </row>
    <row r="168" spans="2:9" x14ac:dyDescent="0.2">
      <c r="B168"/>
      <c r="I168"/>
    </row>
    <row r="169" spans="2:9" x14ac:dyDescent="0.2">
      <c r="B169"/>
      <c r="I169"/>
    </row>
    <row r="170" spans="2:9" x14ac:dyDescent="0.2">
      <c r="B170"/>
      <c r="I170"/>
    </row>
    <row r="171" spans="2:9" x14ac:dyDescent="0.2">
      <c r="B171"/>
      <c r="I171"/>
    </row>
    <row r="172" spans="2:9" x14ac:dyDescent="0.2">
      <c r="B172"/>
      <c r="I172"/>
    </row>
    <row r="173" spans="2:9" x14ac:dyDescent="0.2">
      <c r="B173"/>
      <c r="I173"/>
    </row>
    <row r="174" spans="2:9" x14ac:dyDescent="0.2">
      <c r="B174"/>
      <c r="I174"/>
    </row>
    <row r="175" spans="2:9" x14ac:dyDescent="0.2">
      <c r="B175"/>
      <c r="I175"/>
    </row>
    <row r="176" spans="2:9" x14ac:dyDescent="0.2">
      <c r="B176"/>
      <c r="I176"/>
    </row>
    <row r="177" spans="2:9" x14ac:dyDescent="0.2">
      <c r="B177"/>
      <c r="I177"/>
    </row>
    <row r="178" spans="2:9" x14ac:dyDescent="0.2">
      <c r="B178"/>
      <c r="I178"/>
    </row>
    <row r="179" spans="2:9" x14ac:dyDescent="0.2">
      <c r="B179"/>
      <c r="I179"/>
    </row>
    <row r="180" spans="2:9" x14ac:dyDescent="0.2">
      <c r="B180"/>
      <c r="I180"/>
    </row>
    <row r="181" spans="2:9" x14ac:dyDescent="0.2">
      <c r="B181"/>
      <c r="I181"/>
    </row>
    <row r="182" spans="2:9" x14ac:dyDescent="0.2">
      <c r="B182"/>
      <c r="I182"/>
    </row>
    <row r="183" spans="2:9" x14ac:dyDescent="0.2">
      <c r="B183"/>
      <c r="I183"/>
    </row>
    <row r="184" spans="2:9" x14ac:dyDescent="0.2">
      <c r="B184"/>
      <c r="I184"/>
    </row>
    <row r="185" spans="2:9" x14ac:dyDescent="0.2">
      <c r="B185"/>
      <c r="I185"/>
    </row>
    <row r="186" spans="2:9" x14ac:dyDescent="0.2">
      <c r="B186"/>
      <c r="I186"/>
    </row>
    <row r="187" spans="2:9" x14ac:dyDescent="0.2">
      <c r="B187"/>
      <c r="I187"/>
    </row>
    <row r="188" spans="2:9" x14ac:dyDescent="0.2">
      <c r="B188"/>
      <c r="I188"/>
    </row>
    <row r="189" spans="2:9" x14ac:dyDescent="0.2">
      <c r="B189"/>
      <c r="I189"/>
    </row>
    <row r="190" spans="2:9" x14ac:dyDescent="0.2">
      <c r="B190"/>
      <c r="I190"/>
    </row>
    <row r="191" spans="2:9" x14ac:dyDescent="0.2">
      <c r="B191"/>
      <c r="I191"/>
    </row>
    <row r="192" spans="2:9" x14ac:dyDescent="0.2">
      <c r="B192"/>
      <c r="I192"/>
    </row>
    <row r="193" spans="2:9" x14ac:dyDescent="0.2">
      <c r="B193"/>
      <c r="I193"/>
    </row>
    <row r="194" spans="2:9" x14ac:dyDescent="0.2">
      <c r="B194"/>
      <c r="I194"/>
    </row>
    <row r="195" spans="2:9" x14ac:dyDescent="0.2">
      <c r="B195"/>
      <c r="I195"/>
    </row>
    <row r="196" spans="2:9" x14ac:dyDescent="0.2">
      <c r="B196"/>
      <c r="I196"/>
    </row>
    <row r="197" spans="2:9" x14ac:dyDescent="0.2">
      <c r="B197"/>
      <c r="I197"/>
    </row>
    <row r="198" spans="2:9" x14ac:dyDescent="0.2">
      <c r="B198"/>
      <c r="I198"/>
    </row>
    <row r="199" spans="2:9" x14ac:dyDescent="0.2">
      <c r="B199"/>
      <c r="I199"/>
    </row>
    <row r="200" spans="2:9" x14ac:dyDescent="0.2">
      <c r="B200"/>
      <c r="I200"/>
    </row>
    <row r="201" spans="2:9" x14ac:dyDescent="0.2">
      <c r="B201"/>
      <c r="I201"/>
    </row>
    <row r="202" spans="2:9" x14ac:dyDescent="0.2">
      <c r="B202"/>
      <c r="I202"/>
    </row>
    <row r="203" spans="2:9" x14ac:dyDescent="0.2">
      <c r="B203"/>
      <c r="I203"/>
    </row>
    <row r="204" spans="2:9" x14ac:dyDescent="0.2">
      <c r="B204"/>
      <c r="I204"/>
    </row>
    <row r="205" spans="2:9" x14ac:dyDescent="0.2">
      <c r="B205"/>
      <c r="I205"/>
    </row>
    <row r="206" spans="2:9" x14ac:dyDescent="0.2">
      <c r="B206"/>
      <c r="I206"/>
    </row>
    <row r="207" spans="2:9" x14ac:dyDescent="0.2">
      <c r="B207"/>
      <c r="I207"/>
    </row>
    <row r="208" spans="2:9" x14ac:dyDescent="0.2">
      <c r="B208"/>
      <c r="I208"/>
    </row>
    <row r="209" spans="2:9" x14ac:dyDescent="0.2">
      <c r="B209"/>
      <c r="I209"/>
    </row>
    <row r="210" spans="2:9" x14ac:dyDescent="0.2">
      <c r="B210"/>
      <c r="I210"/>
    </row>
    <row r="211" spans="2:9" x14ac:dyDescent="0.2">
      <c r="B211"/>
      <c r="I211"/>
    </row>
    <row r="212" spans="2:9" x14ac:dyDescent="0.2">
      <c r="B212"/>
      <c r="I212"/>
    </row>
    <row r="213" spans="2:9" x14ac:dyDescent="0.2">
      <c r="B213"/>
      <c r="I213"/>
    </row>
    <row r="214" spans="2:9" x14ac:dyDescent="0.2">
      <c r="B214"/>
      <c r="I214"/>
    </row>
    <row r="215" spans="2:9" x14ac:dyDescent="0.2">
      <c r="B215"/>
      <c r="I215"/>
    </row>
    <row r="216" spans="2:9" x14ac:dyDescent="0.2">
      <c r="B216"/>
      <c r="I216"/>
    </row>
    <row r="217" spans="2:9" x14ac:dyDescent="0.2">
      <c r="B217"/>
      <c r="I217"/>
    </row>
    <row r="218" spans="2:9" x14ac:dyDescent="0.2">
      <c r="B218"/>
      <c r="I218"/>
    </row>
    <row r="219" spans="2:9" x14ac:dyDescent="0.2">
      <c r="B219"/>
      <c r="I219"/>
    </row>
    <row r="220" spans="2:9" x14ac:dyDescent="0.2">
      <c r="B220"/>
      <c r="I220"/>
    </row>
    <row r="221" spans="2:9" x14ac:dyDescent="0.2">
      <c r="B221"/>
      <c r="I221"/>
    </row>
    <row r="222" spans="2:9" x14ac:dyDescent="0.2">
      <c r="B222"/>
      <c r="I222"/>
    </row>
    <row r="223" spans="2:9" x14ac:dyDescent="0.2">
      <c r="B223"/>
      <c r="I223"/>
    </row>
    <row r="224" spans="2:9" x14ac:dyDescent="0.2">
      <c r="B224"/>
      <c r="I224"/>
    </row>
    <row r="225" spans="2:9" x14ac:dyDescent="0.2">
      <c r="B225"/>
      <c r="I225"/>
    </row>
    <row r="226" spans="2:9" x14ac:dyDescent="0.2">
      <c r="B226"/>
      <c r="I226"/>
    </row>
    <row r="227" spans="2:9" x14ac:dyDescent="0.2">
      <c r="B227"/>
      <c r="I227"/>
    </row>
    <row r="228" spans="2:9" x14ac:dyDescent="0.2">
      <c r="B228"/>
      <c r="I228"/>
    </row>
    <row r="229" spans="2:9" x14ac:dyDescent="0.2">
      <c r="B229"/>
      <c r="I229"/>
    </row>
    <row r="230" spans="2:9" x14ac:dyDescent="0.2">
      <c r="B230"/>
      <c r="I230"/>
    </row>
    <row r="231" spans="2:9" x14ac:dyDescent="0.2">
      <c r="B231"/>
      <c r="I231"/>
    </row>
    <row r="232" spans="2:9" x14ac:dyDescent="0.2">
      <c r="B232"/>
      <c r="I232"/>
    </row>
    <row r="233" spans="2:9" x14ac:dyDescent="0.2">
      <c r="B233"/>
      <c r="I233"/>
    </row>
    <row r="234" spans="2:9" x14ac:dyDescent="0.2">
      <c r="B234"/>
      <c r="I234"/>
    </row>
    <row r="235" spans="2:9" x14ac:dyDescent="0.2">
      <c r="B235"/>
      <c r="I235"/>
    </row>
    <row r="236" spans="2:9" x14ac:dyDescent="0.2">
      <c r="B236"/>
      <c r="I236"/>
    </row>
    <row r="237" spans="2:9" x14ac:dyDescent="0.2">
      <c r="B237"/>
      <c r="I237"/>
    </row>
    <row r="238" spans="2:9" x14ac:dyDescent="0.2">
      <c r="B238"/>
      <c r="I238"/>
    </row>
    <row r="239" spans="2:9" x14ac:dyDescent="0.2">
      <c r="B239"/>
      <c r="I239"/>
    </row>
    <row r="240" spans="2:9" x14ac:dyDescent="0.2">
      <c r="B240"/>
      <c r="I240"/>
    </row>
    <row r="241" spans="2:9" x14ac:dyDescent="0.2">
      <c r="B241"/>
      <c r="I241"/>
    </row>
    <row r="242" spans="2:9" x14ac:dyDescent="0.2">
      <c r="B242"/>
      <c r="I242"/>
    </row>
    <row r="243" spans="2:9" x14ac:dyDescent="0.2">
      <c r="B243"/>
      <c r="I243"/>
    </row>
    <row r="244" spans="2:9" x14ac:dyDescent="0.2">
      <c r="B244"/>
      <c r="I244"/>
    </row>
    <row r="245" spans="2:9" x14ac:dyDescent="0.2">
      <c r="B245"/>
      <c r="I245"/>
    </row>
    <row r="246" spans="2:9" x14ac:dyDescent="0.2">
      <c r="B246"/>
      <c r="I246"/>
    </row>
    <row r="247" spans="2:9" x14ac:dyDescent="0.2">
      <c r="B247"/>
      <c r="I247"/>
    </row>
    <row r="248" spans="2:9" x14ac:dyDescent="0.2">
      <c r="B248"/>
      <c r="I248"/>
    </row>
    <row r="249" spans="2:9" x14ac:dyDescent="0.2">
      <c r="B249"/>
      <c r="I249"/>
    </row>
    <row r="250" spans="2:9" x14ac:dyDescent="0.2">
      <c r="B250"/>
      <c r="I250"/>
    </row>
    <row r="251" spans="2:9" x14ac:dyDescent="0.2">
      <c r="B251"/>
      <c r="I251"/>
    </row>
    <row r="252" spans="2:9" x14ac:dyDescent="0.2">
      <c r="B252"/>
      <c r="I252"/>
    </row>
    <row r="253" spans="2:9" x14ac:dyDescent="0.2">
      <c r="B253"/>
      <c r="I253"/>
    </row>
    <row r="254" spans="2:9" x14ac:dyDescent="0.2">
      <c r="B254"/>
      <c r="I254"/>
    </row>
    <row r="255" spans="2:9" x14ac:dyDescent="0.2">
      <c r="B255"/>
      <c r="I255"/>
    </row>
    <row r="256" spans="2:9" x14ac:dyDescent="0.2">
      <c r="B256"/>
      <c r="I256"/>
    </row>
    <row r="257" spans="2:9" x14ac:dyDescent="0.2">
      <c r="B257"/>
      <c r="I257"/>
    </row>
    <row r="258" spans="2:9" x14ac:dyDescent="0.2">
      <c r="B258"/>
      <c r="I258"/>
    </row>
    <row r="259" spans="2:9" x14ac:dyDescent="0.2">
      <c r="B259"/>
      <c r="I259"/>
    </row>
    <row r="260" spans="2:9" x14ac:dyDescent="0.2">
      <c r="B260"/>
      <c r="I260"/>
    </row>
    <row r="261" spans="2:9" x14ac:dyDescent="0.2">
      <c r="B261"/>
      <c r="I261"/>
    </row>
    <row r="262" spans="2:9" x14ac:dyDescent="0.2">
      <c r="B262"/>
      <c r="I262"/>
    </row>
    <row r="263" spans="2:9" x14ac:dyDescent="0.2">
      <c r="B263"/>
      <c r="I263"/>
    </row>
    <row r="264" spans="2:9" x14ac:dyDescent="0.2">
      <c r="B264"/>
      <c r="I264"/>
    </row>
    <row r="265" spans="2:9" x14ac:dyDescent="0.2">
      <c r="B265"/>
      <c r="I265"/>
    </row>
    <row r="266" spans="2:9" x14ac:dyDescent="0.2">
      <c r="B266"/>
      <c r="I266"/>
    </row>
    <row r="267" spans="2:9" x14ac:dyDescent="0.2">
      <c r="B267"/>
      <c r="I267"/>
    </row>
    <row r="268" spans="2:9" x14ac:dyDescent="0.2">
      <c r="B268"/>
      <c r="I268"/>
    </row>
    <row r="269" spans="2:9" x14ac:dyDescent="0.2">
      <c r="B269"/>
      <c r="I269"/>
    </row>
    <row r="270" spans="2:9" x14ac:dyDescent="0.2">
      <c r="B270"/>
      <c r="I270"/>
    </row>
    <row r="271" spans="2:9" x14ac:dyDescent="0.2">
      <c r="B271"/>
      <c r="I271"/>
    </row>
    <row r="272" spans="2:9" x14ac:dyDescent="0.2">
      <c r="B272"/>
      <c r="I272"/>
    </row>
    <row r="273" spans="2:9" x14ac:dyDescent="0.2">
      <c r="B273"/>
      <c r="I273"/>
    </row>
    <row r="274" spans="2:9" x14ac:dyDescent="0.2">
      <c r="B274"/>
      <c r="I274"/>
    </row>
    <row r="275" spans="2:9" x14ac:dyDescent="0.2">
      <c r="B275"/>
      <c r="I275"/>
    </row>
    <row r="276" spans="2:9" x14ac:dyDescent="0.2">
      <c r="B276"/>
      <c r="I276"/>
    </row>
    <row r="277" spans="2:9" x14ac:dyDescent="0.2">
      <c r="B277"/>
      <c r="I277"/>
    </row>
    <row r="278" spans="2:9" x14ac:dyDescent="0.2">
      <c r="B278"/>
      <c r="I278"/>
    </row>
    <row r="279" spans="2:9" x14ac:dyDescent="0.2">
      <c r="B279"/>
      <c r="I279"/>
    </row>
    <row r="280" spans="2:9" x14ac:dyDescent="0.2">
      <c r="B280"/>
      <c r="I280"/>
    </row>
    <row r="281" spans="2:9" x14ac:dyDescent="0.2">
      <c r="B281"/>
      <c r="I281"/>
    </row>
    <row r="282" spans="2:9" x14ac:dyDescent="0.2">
      <c r="B282"/>
      <c r="I282"/>
    </row>
    <row r="283" spans="2:9" x14ac:dyDescent="0.2">
      <c r="B283"/>
      <c r="I283"/>
    </row>
    <row r="284" spans="2:9" x14ac:dyDescent="0.2">
      <c r="B284"/>
      <c r="I284"/>
    </row>
    <row r="285" spans="2:9" x14ac:dyDescent="0.2">
      <c r="B285"/>
      <c r="I285"/>
    </row>
    <row r="286" spans="2:9" x14ac:dyDescent="0.2">
      <c r="B286"/>
      <c r="I286"/>
    </row>
    <row r="287" spans="2:9" x14ac:dyDescent="0.2">
      <c r="B287"/>
      <c r="I287"/>
    </row>
    <row r="288" spans="2:9" x14ac:dyDescent="0.2">
      <c r="B288"/>
      <c r="I288"/>
    </row>
    <row r="289" spans="2:9" x14ac:dyDescent="0.2">
      <c r="B289"/>
      <c r="I289"/>
    </row>
    <row r="290" spans="2:9" x14ac:dyDescent="0.2">
      <c r="B290"/>
      <c r="I290"/>
    </row>
    <row r="291" spans="2:9" x14ac:dyDescent="0.2">
      <c r="B291"/>
      <c r="I291"/>
    </row>
    <row r="292" spans="2:9" x14ac:dyDescent="0.2">
      <c r="B292"/>
      <c r="I292"/>
    </row>
    <row r="293" spans="2:9" x14ac:dyDescent="0.2">
      <c r="B293"/>
      <c r="I293"/>
    </row>
    <row r="294" spans="2:9" x14ac:dyDescent="0.2">
      <c r="B294"/>
      <c r="I294"/>
    </row>
    <row r="295" spans="2:9" x14ac:dyDescent="0.2">
      <c r="B295"/>
      <c r="I295"/>
    </row>
    <row r="296" spans="2:9" x14ac:dyDescent="0.2">
      <c r="B296"/>
      <c r="I296"/>
    </row>
    <row r="297" spans="2:9" x14ac:dyDescent="0.2">
      <c r="B297"/>
      <c r="I297"/>
    </row>
    <row r="298" spans="2:9" x14ac:dyDescent="0.2">
      <c r="B298"/>
      <c r="I298"/>
    </row>
    <row r="299" spans="2:9" x14ac:dyDescent="0.2">
      <c r="B299"/>
      <c r="I299"/>
    </row>
    <row r="300" spans="2:9" x14ac:dyDescent="0.2">
      <c r="B300"/>
      <c r="I300"/>
    </row>
    <row r="301" spans="2:9" x14ac:dyDescent="0.2">
      <c r="B301"/>
      <c r="I301"/>
    </row>
    <row r="302" spans="2:9" x14ac:dyDescent="0.2">
      <c r="B302"/>
      <c r="I302"/>
    </row>
    <row r="303" spans="2:9" x14ac:dyDescent="0.2">
      <c r="B303"/>
      <c r="I303"/>
    </row>
    <row r="304" spans="2:9" x14ac:dyDescent="0.2">
      <c r="B304"/>
      <c r="I304"/>
    </row>
    <row r="305" spans="2:9" x14ac:dyDescent="0.2">
      <c r="B305"/>
      <c r="I305"/>
    </row>
    <row r="306" spans="2:9" x14ac:dyDescent="0.2">
      <c r="B306"/>
      <c r="I306"/>
    </row>
    <row r="307" spans="2:9" x14ac:dyDescent="0.2">
      <c r="B307"/>
      <c r="I307"/>
    </row>
    <row r="308" spans="2:9" x14ac:dyDescent="0.2">
      <c r="B308"/>
      <c r="I308"/>
    </row>
    <row r="309" spans="2:9" x14ac:dyDescent="0.2">
      <c r="B309"/>
      <c r="I309"/>
    </row>
    <row r="310" spans="2:9" x14ac:dyDescent="0.2">
      <c r="B310"/>
      <c r="I310"/>
    </row>
    <row r="311" spans="2:9" x14ac:dyDescent="0.2">
      <c r="B311"/>
      <c r="I311"/>
    </row>
    <row r="312" spans="2:9" x14ac:dyDescent="0.2">
      <c r="B312"/>
      <c r="I312"/>
    </row>
    <row r="313" spans="2:9" x14ac:dyDescent="0.2">
      <c r="B313"/>
      <c r="I313"/>
    </row>
    <row r="314" spans="2:9" x14ac:dyDescent="0.2">
      <c r="B314"/>
      <c r="I314"/>
    </row>
    <row r="315" spans="2:9" x14ac:dyDescent="0.2">
      <c r="B315"/>
      <c r="I315"/>
    </row>
    <row r="316" spans="2:9" x14ac:dyDescent="0.2">
      <c r="B316"/>
      <c r="I316"/>
    </row>
    <row r="317" spans="2:9" x14ac:dyDescent="0.2">
      <c r="B317"/>
      <c r="I317"/>
    </row>
    <row r="318" spans="2:9" x14ac:dyDescent="0.2">
      <c r="B318"/>
      <c r="I318"/>
    </row>
    <row r="319" spans="2:9" x14ac:dyDescent="0.2">
      <c r="B319"/>
      <c r="I319"/>
    </row>
    <row r="320" spans="2:9" x14ac:dyDescent="0.2">
      <c r="B320"/>
      <c r="I320"/>
    </row>
    <row r="321" spans="2:9" x14ac:dyDescent="0.2">
      <c r="B321"/>
      <c r="I321"/>
    </row>
    <row r="322" spans="2:9" x14ac:dyDescent="0.2">
      <c r="B322"/>
      <c r="I322"/>
    </row>
    <row r="323" spans="2:9" x14ac:dyDescent="0.2">
      <c r="B323"/>
      <c r="I323"/>
    </row>
    <row r="324" spans="2:9" x14ac:dyDescent="0.2">
      <c r="B324"/>
      <c r="I324"/>
    </row>
    <row r="325" spans="2:9" x14ac:dyDescent="0.2">
      <c r="B325"/>
      <c r="I325"/>
    </row>
    <row r="326" spans="2:9" x14ac:dyDescent="0.2">
      <c r="B326"/>
      <c r="I326"/>
    </row>
    <row r="327" spans="2:9" x14ac:dyDescent="0.2">
      <c r="B327"/>
      <c r="I327"/>
    </row>
    <row r="328" spans="2:9" x14ac:dyDescent="0.2">
      <c r="B328"/>
      <c r="I328"/>
    </row>
    <row r="329" spans="2:9" x14ac:dyDescent="0.2">
      <c r="B329"/>
      <c r="I329"/>
    </row>
    <row r="330" spans="2:9" x14ac:dyDescent="0.2">
      <c r="B330"/>
      <c r="I330"/>
    </row>
    <row r="331" spans="2:9" x14ac:dyDescent="0.2">
      <c r="B331"/>
      <c r="I331"/>
    </row>
    <row r="332" spans="2:9" x14ac:dyDescent="0.2">
      <c r="B332"/>
      <c r="I332"/>
    </row>
    <row r="333" spans="2:9" x14ac:dyDescent="0.2">
      <c r="B333"/>
      <c r="I333"/>
    </row>
    <row r="334" spans="2:9" x14ac:dyDescent="0.2">
      <c r="B334"/>
      <c r="I334"/>
    </row>
    <row r="335" spans="2:9" x14ac:dyDescent="0.2">
      <c r="B335"/>
      <c r="I335"/>
    </row>
    <row r="336" spans="2:9" x14ac:dyDescent="0.2">
      <c r="B336"/>
      <c r="I336"/>
    </row>
    <row r="337" spans="2:9" x14ac:dyDescent="0.2">
      <c r="B337"/>
      <c r="I337"/>
    </row>
    <row r="338" spans="2:9" x14ac:dyDescent="0.2">
      <c r="B338"/>
      <c r="I338"/>
    </row>
    <row r="339" spans="2:9" x14ac:dyDescent="0.2">
      <c r="B339"/>
      <c r="I339"/>
    </row>
    <row r="340" spans="2:9" x14ac:dyDescent="0.2">
      <c r="B340"/>
      <c r="I340"/>
    </row>
    <row r="341" spans="2:9" x14ac:dyDescent="0.2">
      <c r="B341"/>
      <c r="I341"/>
    </row>
    <row r="342" spans="2:9" x14ac:dyDescent="0.2">
      <c r="B342"/>
      <c r="I342"/>
    </row>
    <row r="343" spans="2:9" x14ac:dyDescent="0.2">
      <c r="B343"/>
      <c r="I343"/>
    </row>
    <row r="344" spans="2:9" x14ac:dyDescent="0.2">
      <c r="B344"/>
      <c r="I344"/>
    </row>
    <row r="345" spans="2:9" x14ac:dyDescent="0.2">
      <c r="B345"/>
      <c r="I345"/>
    </row>
    <row r="346" spans="2:9" x14ac:dyDescent="0.2">
      <c r="B346"/>
      <c r="I346"/>
    </row>
    <row r="347" spans="2:9" x14ac:dyDescent="0.2">
      <c r="B347"/>
      <c r="I347"/>
    </row>
    <row r="348" spans="2:9" x14ac:dyDescent="0.2">
      <c r="B348"/>
      <c r="I348"/>
    </row>
    <row r="349" spans="2:9" x14ac:dyDescent="0.2">
      <c r="B349"/>
      <c r="I349"/>
    </row>
    <row r="350" spans="2:9" x14ac:dyDescent="0.2">
      <c r="B350"/>
      <c r="I350"/>
    </row>
    <row r="351" spans="2:9" x14ac:dyDescent="0.2">
      <c r="B351"/>
      <c r="I351"/>
    </row>
    <row r="352" spans="2:9" x14ac:dyDescent="0.2">
      <c r="B352"/>
      <c r="I352"/>
    </row>
    <row r="353" spans="2:9" x14ac:dyDescent="0.2">
      <c r="B353"/>
      <c r="I353"/>
    </row>
    <row r="354" spans="2:9" x14ac:dyDescent="0.2">
      <c r="B354"/>
      <c r="I354"/>
    </row>
    <row r="355" spans="2:9" x14ac:dyDescent="0.2">
      <c r="B355"/>
      <c r="I355"/>
    </row>
    <row r="356" spans="2:9" x14ac:dyDescent="0.2">
      <c r="B356"/>
      <c r="I356"/>
    </row>
    <row r="357" spans="2:9" x14ac:dyDescent="0.2">
      <c r="B357"/>
      <c r="I357"/>
    </row>
    <row r="358" spans="2:9" x14ac:dyDescent="0.2">
      <c r="B358"/>
      <c r="I358"/>
    </row>
    <row r="359" spans="2:9" x14ac:dyDescent="0.2">
      <c r="B359"/>
      <c r="I359"/>
    </row>
    <row r="360" spans="2:9" x14ac:dyDescent="0.2">
      <c r="B360"/>
      <c r="I360"/>
    </row>
    <row r="361" spans="2:9" x14ac:dyDescent="0.2">
      <c r="B361"/>
      <c r="I361"/>
    </row>
    <row r="362" spans="2:9" x14ac:dyDescent="0.2">
      <c r="B362"/>
      <c r="I362"/>
    </row>
    <row r="363" spans="2:9" x14ac:dyDescent="0.2">
      <c r="B363"/>
      <c r="I363"/>
    </row>
    <row r="364" spans="2:9" x14ac:dyDescent="0.2">
      <c r="B364"/>
      <c r="I364"/>
    </row>
    <row r="365" spans="2:9" x14ac:dyDescent="0.2">
      <c r="B365"/>
      <c r="I365"/>
    </row>
    <row r="366" spans="2:9" x14ac:dyDescent="0.2">
      <c r="B366"/>
      <c r="I366"/>
    </row>
    <row r="367" spans="2:9" x14ac:dyDescent="0.2">
      <c r="B367"/>
      <c r="I367"/>
    </row>
    <row r="368" spans="2:9" x14ac:dyDescent="0.2">
      <c r="B368"/>
      <c r="I368"/>
    </row>
    <row r="369" spans="2:9" x14ac:dyDescent="0.2">
      <c r="B369"/>
      <c r="I369"/>
    </row>
    <row r="370" spans="2:9" x14ac:dyDescent="0.2">
      <c r="B370"/>
      <c r="I370"/>
    </row>
    <row r="371" spans="2:9" x14ac:dyDescent="0.2">
      <c r="B371"/>
      <c r="I371"/>
    </row>
    <row r="372" spans="2:9" x14ac:dyDescent="0.2">
      <c r="B372"/>
      <c r="I372"/>
    </row>
    <row r="373" spans="2:9" x14ac:dyDescent="0.2">
      <c r="B373"/>
      <c r="I373"/>
    </row>
    <row r="374" spans="2:9" x14ac:dyDescent="0.2">
      <c r="B374"/>
      <c r="I374"/>
    </row>
    <row r="375" spans="2:9" x14ac:dyDescent="0.2">
      <c r="B375"/>
      <c r="I375"/>
    </row>
    <row r="376" spans="2:9" x14ac:dyDescent="0.2">
      <c r="B376"/>
      <c r="I376"/>
    </row>
    <row r="377" spans="2:9" x14ac:dyDescent="0.2">
      <c r="B377"/>
      <c r="I377"/>
    </row>
    <row r="378" spans="2:9" x14ac:dyDescent="0.2">
      <c r="B378"/>
      <c r="I378"/>
    </row>
    <row r="379" spans="2:9" x14ac:dyDescent="0.2">
      <c r="B379"/>
      <c r="I379"/>
    </row>
    <row r="380" spans="2:9" x14ac:dyDescent="0.2">
      <c r="B380"/>
      <c r="I380"/>
    </row>
    <row r="381" spans="2:9" x14ac:dyDescent="0.2">
      <c r="B381"/>
      <c r="I381"/>
    </row>
    <row r="382" spans="2:9" x14ac:dyDescent="0.2">
      <c r="B382"/>
      <c r="I382"/>
    </row>
    <row r="383" spans="2:9" x14ac:dyDescent="0.2">
      <c r="B383"/>
      <c r="I383"/>
    </row>
    <row r="384" spans="2:9" x14ac:dyDescent="0.2">
      <c r="B384"/>
      <c r="I384"/>
    </row>
    <row r="385" spans="2:9" x14ac:dyDescent="0.2">
      <c r="B385"/>
      <c r="I385"/>
    </row>
    <row r="386" spans="2:9" x14ac:dyDescent="0.2">
      <c r="B386"/>
      <c r="I386"/>
    </row>
    <row r="387" spans="2:9" x14ac:dyDescent="0.2">
      <c r="B387"/>
      <c r="I387"/>
    </row>
    <row r="388" spans="2:9" x14ac:dyDescent="0.2">
      <c r="B388"/>
      <c r="I388"/>
    </row>
    <row r="389" spans="2:9" x14ac:dyDescent="0.2">
      <c r="B389"/>
      <c r="I389"/>
    </row>
    <row r="390" spans="2:9" x14ac:dyDescent="0.2">
      <c r="B390"/>
      <c r="I390"/>
    </row>
    <row r="391" spans="2:9" x14ac:dyDescent="0.2">
      <c r="B391"/>
      <c r="I391"/>
    </row>
    <row r="392" spans="2:9" x14ac:dyDescent="0.2">
      <c r="B392"/>
      <c r="I392"/>
    </row>
    <row r="393" spans="2:9" x14ac:dyDescent="0.2">
      <c r="B393"/>
      <c r="I393"/>
    </row>
    <row r="394" spans="2:9" x14ac:dyDescent="0.2">
      <c r="B394"/>
      <c r="I394"/>
    </row>
    <row r="395" spans="2:9" x14ac:dyDescent="0.2">
      <c r="B395"/>
      <c r="I395"/>
    </row>
    <row r="396" spans="2:9" x14ac:dyDescent="0.2">
      <c r="B396"/>
      <c r="I396"/>
    </row>
    <row r="397" spans="2:9" x14ac:dyDescent="0.2">
      <c r="B397"/>
      <c r="I397"/>
    </row>
    <row r="398" spans="2:9" x14ac:dyDescent="0.2">
      <c r="B398"/>
      <c r="I398"/>
    </row>
    <row r="399" spans="2:9" x14ac:dyDescent="0.2">
      <c r="B399"/>
      <c r="I399"/>
    </row>
    <row r="400" spans="2:9" x14ac:dyDescent="0.2">
      <c r="B400"/>
      <c r="I400"/>
    </row>
    <row r="401" spans="2:9" x14ac:dyDescent="0.2">
      <c r="B401"/>
      <c r="I401"/>
    </row>
    <row r="402" spans="2:9" x14ac:dyDescent="0.2">
      <c r="B402"/>
      <c r="I402"/>
    </row>
    <row r="403" spans="2:9" x14ac:dyDescent="0.2">
      <c r="B403"/>
      <c r="I403"/>
    </row>
    <row r="404" spans="2:9" x14ac:dyDescent="0.2">
      <c r="B404"/>
      <c r="I404"/>
    </row>
    <row r="405" spans="2:9" x14ac:dyDescent="0.2">
      <c r="B405"/>
      <c r="I405"/>
    </row>
    <row r="406" spans="2:9" x14ac:dyDescent="0.2">
      <c r="B406"/>
      <c r="I406"/>
    </row>
    <row r="407" spans="2:9" x14ac:dyDescent="0.2">
      <c r="B407"/>
      <c r="I407"/>
    </row>
    <row r="408" spans="2:9" x14ac:dyDescent="0.2">
      <c r="B408"/>
      <c r="I408"/>
    </row>
    <row r="409" spans="2:9" x14ac:dyDescent="0.2">
      <c r="B409"/>
      <c r="I409"/>
    </row>
    <row r="410" spans="2:9" x14ac:dyDescent="0.2">
      <c r="B410"/>
      <c r="I410"/>
    </row>
    <row r="411" spans="2:9" x14ac:dyDescent="0.2">
      <c r="B411"/>
      <c r="I411"/>
    </row>
    <row r="412" spans="2:9" x14ac:dyDescent="0.2">
      <c r="B412"/>
      <c r="I412"/>
    </row>
    <row r="413" spans="2:9" x14ac:dyDescent="0.2">
      <c r="B413"/>
      <c r="I413"/>
    </row>
    <row r="414" spans="2:9" x14ac:dyDescent="0.2">
      <c r="B414"/>
      <c r="I414"/>
    </row>
    <row r="415" spans="2:9" x14ac:dyDescent="0.2">
      <c r="B415"/>
      <c r="I415"/>
    </row>
    <row r="416" spans="2:9" x14ac:dyDescent="0.2">
      <c r="B416"/>
      <c r="I416"/>
    </row>
    <row r="417" spans="2:9" x14ac:dyDescent="0.2">
      <c r="B417"/>
      <c r="I417"/>
    </row>
    <row r="418" spans="2:9" x14ac:dyDescent="0.2">
      <c r="B418"/>
      <c r="I418"/>
    </row>
    <row r="419" spans="2:9" x14ac:dyDescent="0.2">
      <c r="B419"/>
      <c r="I419"/>
    </row>
    <row r="420" spans="2:9" x14ac:dyDescent="0.2">
      <c r="B420"/>
      <c r="I420"/>
    </row>
    <row r="421" spans="2:9" x14ac:dyDescent="0.2">
      <c r="B421"/>
      <c r="I421"/>
    </row>
    <row r="422" spans="2:9" x14ac:dyDescent="0.2">
      <c r="B422"/>
      <c r="I422"/>
    </row>
    <row r="423" spans="2:9" x14ac:dyDescent="0.2">
      <c r="B423"/>
      <c r="I423"/>
    </row>
    <row r="424" spans="2:9" x14ac:dyDescent="0.2">
      <c r="B424"/>
      <c r="I424"/>
    </row>
    <row r="425" spans="2:9" x14ac:dyDescent="0.2">
      <c r="B425"/>
      <c r="I425"/>
    </row>
    <row r="426" spans="2:9" x14ac:dyDescent="0.2">
      <c r="B426"/>
      <c r="I426"/>
    </row>
    <row r="427" spans="2:9" x14ac:dyDescent="0.2">
      <c r="B427"/>
      <c r="I427"/>
    </row>
    <row r="428" spans="2:9" x14ac:dyDescent="0.2">
      <c r="B428"/>
      <c r="I428"/>
    </row>
    <row r="429" spans="2:9" x14ac:dyDescent="0.2">
      <c r="B429"/>
    </row>
    <row r="430" spans="2:9" x14ac:dyDescent="0.2">
      <c r="B430"/>
    </row>
    <row r="431" spans="2:9" x14ac:dyDescent="0.2">
      <c r="B431"/>
    </row>
    <row r="432" spans="2:9"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sheetData>
  <sortState ref="A56:D65">
    <sortCondition descending="1" ref="D56"/>
  </sortState>
  <mergeCells count="3">
    <mergeCell ref="D5:G5"/>
    <mergeCell ref="N8:Q8"/>
    <mergeCell ref="N10:Q11"/>
  </mergeCells>
  <pageMargins left="0.7" right="0.7" top="0.75" bottom="0.75" header="0.3" footer="0.3"/>
  <pageSetup paperSize="9" orientation="portrait" verticalDpi="0" r:id="rId1"/>
  <drawing r:id="rId2"/>
  <tableParts count="8">
    <tablePart r:id="rId3"/>
    <tablePart r:id="rId4"/>
    <tablePart r:id="rId5"/>
    <tablePart r:id="rId6"/>
    <tablePart r:id="rId7"/>
    <tablePart r:id="rId8"/>
    <tablePart r:id="rId9"/>
    <tablePart r:id="rId1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010">
    <tabColor theme="1"/>
  </sheetPr>
  <dimension ref="A3:AS68"/>
  <sheetViews>
    <sheetView topLeftCell="L1" workbookViewId="0">
      <selection activeCell="W6" sqref="W6"/>
    </sheetView>
  </sheetViews>
  <sheetFormatPr baseColWidth="10" defaultColWidth="9.140625" defaultRowHeight="12.75" x14ac:dyDescent="0.2"/>
  <cols>
    <col min="1" max="1" width="35" customWidth="1"/>
    <col min="2" max="2" width="14.28515625" customWidth="1"/>
    <col min="3" max="3" width="10.85546875" bestFit="1" customWidth="1"/>
    <col min="4" max="4" width="9.85546875" bestFit="1" customWidth="1"/>
    <col min="5" max="5" width="11.28515625" bestFit="1" customWidth="1"/>
    <col min="6" max="6" width="9.28515625" bestFit="1" customWidth="1"/>
    <col min="9" max="9" width="10.7109375" customWidth="1"/>
    <col min="14" max="14" width="15.28515625" customWidth="1"/>
    <col min="15" max="15" width="10.42578125" bestFit="1" customWidth="1"/>
    <col min="16" max="16" width="15.42578125" customWidth="1"/>
    <col min="17" max="17" width="17.42578125" customWidth="1"/>
    <col min="18" max="18" width="11.5703125" customWidth="1"/>
    <col min="19" max="19" width="19.85546875" customWidth="1"/>
    <col min="20" max="20" width="18.28515625" bestFit="1" customWidth="1"/>
    <col min="24" max="24" width="10.5703125" customWidth="1"/>
  </cols>
  <sheetData>
    <row r="3" spans="1:45" x14ac:dyDescent="0.2">
      <c r="T3" t="s">
        <v>30</v>
      </c>
    </row>
    <row r="4" spans="1:45" x14ac:dyDescent="0.2">
      <c r="A4" t="s">
        <v>26</v>
      </c>
      <c r="P4" t="s">
        <v>27</v>
      </c>
      <c r="T4" t="s">
        <v>31</v>
      </c>
      <c r="V4" t="s">
        <v>350</v>
      </c>
      <c r="X4" t="s">
        <v>360</v>
      </c>
      <c r="Z4" t="s">
        <v>359</v>
      </c>
      <c r="AB4" t="s">
        <v>354</v>
      </c>
      <c r="AD4" t="s">
        <v>356</v>
      </c>
      <c r="AF4" t="s">
        <v>358</v>
      </c>
      <c r="AH4" t="s">
        <v>353</v>
      </c>
      <c r="AJ4" t="s">
        <v>361</v>
      </c>
      <c r="AL4" t="s">
        <v>357</v>
      </c>
      <c r="AN4" t="s">
        <v>355</v>
      </c>
      <c r="AP4" t="s">
        <v>351</v>
      </c>
      <c r="AR4" t="s">
        <v>352</v>
      </c>
    </row>
    <row r="5" spans="1:45" x14ac:dyDescent="0.2">
      <c r="A5" t="s">
        <v>8</v>
      </c>
      <c r="B5" t="s">
        <v>9</v>
      </c>
      <c r="C5" t="s">
        <v>350</v>
      </c>
      <c r="D5" t="s">
        <v>360</v>
      </c>
      <c r="E5" t="s">
        <v>359</v>
      </c>
      <c r="F5" t="s">
        <v>354</v>
      </c>
      <c r="G5" t="s">
        <v>356</v>
      </c>
      <c r="H5" t="s">
        <v>358</v>
      </c>
      <c r="I5" t="s">
        <v>353</v>
      </c>
      <c r="J5" t="s">
        <v>361</v>
      </c>
      <c r="K5" t="s">
        <v>357</v>
      </c>
      <c r="L5" t="s">
        <v>355</v>
      </c>
      <c r="M5" t="s">
        <v>351</v>
      </c>
      <c r="N5" t="s">
        <v>352</v>
      </c>
      <c r="P5" t="s">
        <v>83</v>
      </c>
      <c r="Q5" t="s">
        <v>82</v>
      </c>
      <c r="R5" t="s">
        <v>10</v>
      </c>
      <c r="T5" t="s">
        <v>32</v>
      </c>
      <c r="U5" t="s">
        <v>33</v>
      </c>
      <c r="V5" t="s">
        <v>34</v>
      </c>
      <c r="W5" t="s">
        <v>33</v>
      </c>
      <c r="X5" t="s">
        <v>34</v>
      </c>
      <c r="Y5" t="s">
        <v>33</v>
      </c>
      <c r="Z5" t="s">
        <v>34</v>
      </c>
      <c r="AA5" t="s">
        <v>33</v>
      </c>
      <c r="AB5" t="s">
        <v>34</v>
      </c>
      <c r="AC5" t="s">
        <v>33</v>
      </c>
      <c r="AD5" t="s">
        <v>34</v>
      </c>
      <c r="AE5" t="s">
        <v>33</v>
      </c>
      <c r="AF5" t="s">
        <v>34</v>
      </c>
      <c r="AG5" t="s">
        <v>33</v>
      </c>
      <c r="AH5" t="s">
        <v>34</v>
      </c>
      <c r="AI5" t="s">
        <v>33</v>
      </c>
      <c r="AJ5" t="s">
        <v>34</v>
      </c>
      <c r="AK5" t="s">
        <v>33</v>
      </c>
      <c r="AL5" t="s">
        <v>34</v>
      </c>
      <c r="AM5" t="s">
        <v>33</v>
      </c>
      <c r="AN5" t="s">
        <v>34</v>
      </c>
      <c r="AO5" t="s">
        <v>33</v>
      </c>
      <c r="AP5" t="s">
        <v>34</v>
      </c>
      <c r="AQ5" t="s">
        <v>33</v>
      </c>
      <c r="AR5" t="s">
        <v>34</v>
      </c>
      <c r="AS5" t="s">
        <v>33</v>
      </c>
    </row>
    <row r="6" spans="1:45" x14ac:dyDescent="0.2">
      <c r="A6" t="s">
        <v>368</v>
      </c>
      <c r="B6" t="s">
        <v>369</v>
      </c>
      <c r="C6">
        <f>IF(Activity&lt;&gt;"All Programs",COUNTIFS(Data!$E:$E,C$5,Data!$G:$G,$A6,Data!$F:$F,Activity),COUNTIFS(Data!$E:$E,C$5,Data!$G:$G,$A6))</f>
        <v>5</v>
      </c>
      <c r="D6">
        <f>IF(Activity&lt;&gt;"All Programs",COUNTIFS(Data!$E:$E,D$5,Data!$G:$G,$A6,Data!$F:$F,Activity),COUNTIFS(Data!$E:$E,D$5,Data!$G:$G,$A6))</f>
        <v>6</v>
      </c>
      <c r="E6">
        <f>IF(Activity&lt;&gt;"All Programs",COUNTIFS(Data!$E:$E,E$5,Data!$G:$G,$A6,Data!$F:$F,Activity),COUNTIFS(Data!$E:$E,E$5,Data!$G:$G,$A6))</f>
        <v>1</v>
      </c>
      <c r="F6">
        <f>IF(Activity&lt;&gt;"All Programs",COUNTIFS(Data!$E:$E,F$5,Data!$G:$G,$A6,Data!$F:$F,Activity),COUNTIFS(Data!$E:$E,F$5,Data!$G:$G,$A6))</f>
        <v>1</v>
      </c>
      <c r="G6">
        <f>IF(Activity&lt;&gt;"All Programs",COUNTIFS(Data!$E:$E,G$5,Data!$G:$G,$A6,Data!$F:$F,Activity),COUNTIFS(Data!$E:$E,G$5,Data!$G:$G,$A6))</f>
        <v>2</v>
      </c>
      <c r="H6">
        <f>IF(Activity&lt;&gt;"All Programs",COUNTIFS(Data!$E:$E,H$5,Data!$G:$G,$A6,Data!$F:$F,Activity),COUNTIFS(Data!$E:$E,H$5,Data!$G:$G,$A6))</f>
        <v>0</v>
      </c>
      <c r="I6">
        <f>IF(Activity&lt;&gt;"All Programs",COUNTIFS(Data!$E:$E,I$5,Data!$G:$G,$A6,Data!$F:$F,Activity),COUNTIFS(Data!$E:$E,I$5,Data!$G:$G,$A6))</f>
        <v>0</v>
      </c>
      <c r="J6">
        <f>IF(Activity&lt;&gt;"All Programs",COUNTIFS(Data!$E:$E,J$5,Data!$G:$G,$A6,Data!$F:$F,Activity),COUNTIFS(Data!$E:$E,J$5,Data!$G:$G,$A6))</f>
        <v>0</v>
      </c>
      <c r="K6">
        <f>IF(Activity&lt;&gt;"All Programs",COUNTIFS(Data!$E:$E,K$5,Data!$G:$G,$A6,Data!$F:$F,Activity),COUNTIFS(Data!$E:$E,K$5,Data!$G:$G,$A6))</f>
        <v>0</v>
      </c>
      <c r="L6">
        <f>IF(Activity&lt;&gt;"All Programs",COUNTIFS(Data!$E:$E,L$5,Data!$G:$G,$A6,Data!$F:$F,Activity),COUNTIFS(Data!$E:$E,L$5,Data!$G:$G,$A6))</f>
        <v>2</v>
      </c>
      <c r="M6">
        <f>IF(Activity&lt;&gt;"All Programs",COUNTIFS(Data!$E:$E,M$5,Data!$G:$G,$A6,Data!$F:$F,Activity),COUNTIFS(Data!$E:$E,M$5,Data!$G:$G,$A6))</f>
        <v>2</v>
      </c>
      <c r="N6">
        <f>IF(Activity&lt;&gt;"All Programs",COUNTIFS(Data!$E:$E,N$5,Data!$G:$G,$A6,Data!$F:$F,Activity),COUNTIFS(Data!$E:$E,N$5,Data!$G:$G,$A6))</f>
        <v>0</v>
      </c>
      <c r="P6">
        <f t="array" ref="P6">SUM(IF(FREQUENCY(IF((LEN(Data_Acro)&gt;0)*(Data_Act="Planned")*(Data_Pcd=B6),MATCH(Data_Acro,Data_Acro,0),""),IF((LEN(Data_Acro)&gt;0)*(Data_Act="Planned")*(Data_Pcd=B6),MATCH(Data_Acro,Data_Acro,0),""))&gt;0,1))</f>
        <v>0</v>
      </c>
      <c r="Q6">
        <f t="array" ref="Q6">SUM(IF(FREQUENCY(IF((LEN(Data_Acro)&gt;0)*(Data_Act="Ongoing")*(Data_Pcd=B6),MATCH(Data_Acro,Data_Acro,0),""),IF((LEN(Data_Acro)&gt;0)*(Data_Act="Ongoing")*(Data_Pcd=B6),MATCH(Data_Acro,Data_Acro,0),""))&gt;0,1))</f>
        <v>12</v>
      </c>
      <c r="R6">
        <f t="array" ref="R6">SUM(IF(FREQUENCY(IF((LEN(Data_Acro)&gt;0)*(Data_Pcd=B6),MATCH(Data_Acro,Data_Acro,0),""),IF((LEN(Data_Acro)&gt;0)*(Data_Pcd=B6),MATCH(Data_Acro,Data_Acro,0),""))&gt;0,1))</f>
        <v>12</v>
      </c>
      <c r="T6">
        <f t="shared" ref="T6:T39" si="0">IF(Q6=0,1,IFERROR(MATCH(Q6,$U$6:$U$10,1)+1,1))</f>
        <v>2</v>
      </c>
      <c r="U6">
        <f t="array" ref="U6">MIN(IF(OrgByAdmin_Emg&gt;0,OrgByAdmin_Emg))</f>
        <v>10</v>
      </c>
      <c r="V6">
        <f>IF(INDEX(SectorCount0,1)=0,1,MATCH(INDEX(SectorCount0,1),SectorCountBins0,1)+1)</f>
        <v>4</v>
      </c>
      <c r="W6">
        <f t="array" ref="W6">IF(StdScale="Yes",1,MIN(IF(SectorCount0&gt;0,SectorCount0)))</f>
        <v>1</v>
      </c>
      <c r="X6">
        <f>IF(INDEX(SectorCount1,1)=0,1,MATCH(INDEX(SectorCount1,1),SectorCountBins1,1)+1)</f>
        <v>4</v>
      </c>
      <c r="Y6">
        <f t="array" ref="Y6">IF(StdScale="Yes",1,MIN(IF(SectorCount1&gt;0,SectorCount1)))</f>
        <v>1</v>
      </c>
      <c r="Z6">
        <f>IF(INDEX(SectorCount2,1)=0,1,MATCH(INDEX(SectorCount2,1),SectorCountBins2,1)+1)</f>
        <v>2</v>
      </c>
      <c r="AA6">
        <f t="array" ref="AA6">IF(StdScale="Yes",1,MIN(IF(SectorCount2&gt;0,SectorCount2)))</f>
        <v>1</v>
      </c>
      <c r="AB6">
        <f>IF(INDEX(SectorCount3,1)=0,1,MATCH(INDEX(SectorCount3,1),SectorCountBins3,1)+1)</f>
        <v>2</v>
      </c>
      <c r="AC6">
        <f t="array" ref="AC6">IF(StdScale="Yes",1,MIN(IF(SectorCount3&gt;0,SectorCount3)))</f>
        <v>1</v>
      </c>
      <c r="AD6">
        <f>IF(INDEX(SectorCount4,1)=0,1,MATCH(INDEX(SectorCount4,1),SectorCountBins4,1)+1)</f>
        <v>2</v>
      </c>
      <c r="AE6">
        <f t="array" ref="AE6">IF(StdScale="Yes",1,MIN(IF(SectorCount4&gt;0,SectorCount4)))</f>
        <v>1</v>
      </c>
      <c r="AF6">
        <f>IF(INDEX(SectorCount5,1)=0,1,MATCH(INDEX(SectorCount5,1),SectorCountBins5,1)+1)</f>
        <v>1</v>
      </c>
      <c r="AG6">
        <f t="array" ref="AG6">IF(StdScale="Yes",1,MIN(IF(SectorCount5&gt;0,SectorCount5)))</f>
        <v>1</v>
      </c>
      <c r="AH6">
        <f>IF(INDEX(SectorCount6,1)=0,1,MATCH(INDEX(SectorCount6,1),SectorCountBins6,1)+1)</f>
        <v>1</v>
      </c>
      <c r="AI6">
        <f t="array" ref="AI6">IF(StdScale="Yes",1,MIN(IF(SectorCount6&gt;0,SectorCount6)))</f>
        <v>1</v>
      </c>
      <c r="AJ6">
        <f>IF(INDEX(SectorCount7,1)=0,1,MATCH(INDEX(SectorCount7,1),SectorCountBins7,1)+1)</f>
        <v>1</v>
      </c>
      <c r="AK6">
        <f t="array" ref="AK6">IF(StdScale="Yes",1,MIN(IF(SectorCount7&gt;0,SectorCount7)))</f>
        <v>1</v>
      </c>
      <c r="AL6">
        <f>IF(INDEX(SectorCount8,1)=0,1,MATCH(INDEX(SectorCount8,1),SectorCountBins8,1)+1)</f>
        <v>1</v>
      </c>
      <c r="AM6">
        <f t="array" ref="AM6">IF(StdScale="Yes",1,MIN(IF(SectorCount8&gt;0,SectorCount8)))</f>
        <v>1</v>
      </c>
      <c r="AN6">
        <f>IF(INDEX(SectorCount9,1)=0,1,MATCH(INDEX(SectorCount9,1),SectorCountBins9,1)+1)</f>
        <v>2</v>
      </c>
      <c r="AO6">
        <f t="array" ref="AO6">IF(StdScale="Yes",1,MIN(IF(SectorCount9&gt;0,SectorCount9)))</f>
        <v>1</v>
      </c>
      <c r="AP6">
        <f>IF(INDEX(SectorCount10,1)=0,1,MATCH(INDEX(SectorCount10,1),SectorCountBins10,1)+1)</f>
        <v>2</v>
      </c>
      <c r="AQ6">
        <f t="array" ref="AQ6">IF(StdScale="Yes",1,MIN(IF(SectorCount10&gt;0,SectorCount10)))</f>
        <v>1</v>
      </c>
      <c r="AR6">
        <f>IF(INDEX(SectorCount11,1)=0,1,MATCH(INDEX(SectorCount11,1),SectorCountBins11,1)+1)</f>
        <v>1</v>
      </c>
      <c r="AS6">
        <f t="array" ref="AS6">IF(StdScale="Yes",1,MIN(IF(SectorCount11&gt;0,SectorCount11)))</f>
        <v>1</v>
      </c>
    </row>
    <row r="7" spans="1:45" x14ac:dyDescent="0.2">
      <c r="A7" t="s">
        <v>370</v>
      </c>
      <c r="B7" t="s">
        <v>371</v>
      </c>
      <c r="C7">
        <f>IF(Activity&lt;&gt;"All Programs",COUNTIFS(Data!$E:$E,C$5,Data!$G:$G,$A7,Data!$F:$F,Activity),COUNTIFS(Data!$E:$E,C$5,Data!$G:$G,$A7))</f>
        <v>7</v>
      </c>
      <c r="D7">
        <f>IF(Activity&lt;&gt;"All Programs",COUNTIFS(Data!$E:$E,D$5,Data!$G:$G,$A7,Data!$F:$F,Activity),COUNTIFS(Data!$E:$E,D$5,Data!$G:$G,$A7))</f>
        <v>6</v>
      </c>
      <c r="E7">
        <f>IF(Activity&lt;&gt;"All Programs",COUNTIFS(Data!$E:$E,E$5,Data!$G:$G,$A7,Data!$F:$F,Activity),COUNTIFS(Data!$E:$E,E$5,Data!$G:$G,$A7))</f>
        <v>1</v>
      </c>
      <c r="F7">
        <f>IF(Activity&lt;&gt;"All Programs",COUNTIFS(Data!$E:$E,F$5,Data!$G:$G,$A7,Data!$F:$F,Activity),COUNTIFS(Data!$E:$E,F$5,Data!$G:$G,$A7))</f>
        <v>1</v>
      </c>
      <c r="G7">
        <f>IF(Activity&lt;&gt;"All Programs",COUNTIFS(Data!$E:$E,G$5,Data!$G:$G,$A7,Data!$F:$F,Activity),COUNTIFS(Data!$E:$E,G$5,Data!$G:$G,$A7))</f>
        <v>2</v>
      </c>
      <c r="H7">
        <f>IF(Activity&lt;&gt;"All Programs",COUNTIFS(Data!$E:$E,H$5,Data!$G:$G,$A7,Data!$F:$F,Activity),COUNTIFS(Data!$E:$E,H$5,Data!$G:$G,$A7))</f>
        <v>0</v>
      </c>
      <c r="I7">
        <f>IF(Activity&lt;&gt;"All Programs",COUNTIFS(Data!$E:$E,I$5,Data!$G:$G,$A7,Data!$F:$F,Activity),COUNTIFS(Data!$E:$E,I$5,Data!$G:$G,$A7))</f>
        <v>0</v>
      </c>
      <c r="J7">
        <f>IF(Activity&lt;&gt;"All Programs",COUNTIFS(Data!$E:$E,J$5,Data!$G:$G,$A7,Data!$F:$F,Activity),COUNTIFS(Data!$E:$E,J$5,Data!$G:$G,$A7))</f>
        <v>0</v>
      </c>
      <c r="K7">
        <f>IF(Activity&lt;&gt;"All Programs",COUNTIFS(Data!$E:$E,K$5,Data!$G:$G,$A7,Data!$F:$F,Activity),COUNTIFS(Data!$E:$E,K$5,Data!$G:$G,$A7))</f>
        <v>0</v>
      </c>
      <c r="L7">
        <f>IF(Activity&lt;&gt;"All Programs",COUNTIFS(Data!$E:$E,L$5,Data!$G:$G,$A7,Data!$F:$F,Activity),COUNTIFS(Data!$E:$E,L$5,Data!$G:$G,$A7))</f>
        <v>0</v>
      </c>
      <c r="M7">
        <f>IF(Activity&lt;&gt;"All Programs",COUNTIFS(Data!$E:$E,M$5,Data!$G:$G,$A7,Data!$F:$F,Activity),COUNTIFS(Data!$E:$E,M$5,Data!$G:$G,$A7))</f>
        <v>4</v>
      </c>
      <c r="N7">
        <f>IF(Activity&lt;&gt;"All Programs",COUNTIFS(Data!$E:$E,N$5,Data!$G:$G,$A7,Data!$F:$F,Activity),COUNTIFS(Data!$E:$E,N$5,Data!$G:$G,$A7))</f>
        <v>0</v>
      </c>
      <c r="P7">
        <f t="array" ref="P7">SUM(IF(FREQUENCY(IF((LEN(Data_Acro)&gt;0)*(Data_Act="Planned")*(Data_Pcd=B7),MATCH(Data_Acro,Data_Acro,0),""),IF((LEN(Data_Acro)&gt;0)*(Data_Act="Planned")*(Data_Pcd=B7),MATCH(Data_Acro,Data_Acro,0),""))&gt;0,1))</f>
        <v>0</v>
      </c>
      <c r="Q7">
        <f t="array" ref="Q7">SUM(IF(FREQUENCY(IF((LEN(Data_Acro)&gt;0)*(Data_Act="Ongoing")*(Data_Pcd=B7),MATCH(Data_Acro,Data_Acro,0),""),IF((LEN(Data_Acro)&gt;0)*(Data_Act="Ongoing")*(Data_Pcd=B7),MATCH(Data_Acro,Data_Acro,0),""))&gt;0,1))</f>
        <v>13</v>
      </c>
      <c r="R7">
        <f t="array" ref="R7">SUM(IF(FREQUENCY(IF((LEN(Data_Acro)&gt;0)*(Data_Pcd=B7),MATCH(Data_Acro,Data_Acro,0),""),IF((LEN(Data_Acro)&gt;0)*(Data_Pcd=B7),MATCH(Data_Acro,Data_Acro,0),""))&gt;0,1))</f>
        <v>13</v>
      </c>
      <c r="T7">
        <f t="shared" si="0"/>
        <v>3</v>
      </c>
      <c r="U7">
        <f>$U$6+(12/4)</f>
        <v>13</v>
      </c>
      <c r="V7">
        <f>IF(INDEX(SectorCount0,2)=0,1,MATCH(INDEX(SectorCount0,2),SectorCountBins0,1)+1)</f>
        <v>5</v>
      </c>
      <c r="W7">
        <f>$W$6+($W$10-$W$6)/4</f>
        <v>3</v>
      </c>
      <c r="X7">
        <f>IF(INDEX(SectorCount1,2)=0,1,MATCH(INDEX(SectorCount1,2),SectorCountBins1,1)+1)</f>
        <v>4</v>
      </c>
      <c r="Y7">
        <f>$Y$6+($Y$10-$Y$6)/4</f>
        <v>3</v>
      </c>
      <c r="Z7">
        <f>IF(INDEX(SectorCount2,2)=0,1,MATCH(INDEX(SectorCount2,2),SectorCountBins2,1)+1)</f>
        <v>2</v>
      </c>
      <c r="AA7">
        <f>$AA$6+($AA$10-$AA$6)/4</f>
        <v>3</v>
      </c>
      <c r="AB7">
        <f>IF(INDEX(SectorCount3,2)=0,1,MATCH(INDEX(SectorCount3,2),SectorCountBins3,1)+1)</f>
        <v>2</v>
      </c>
      <c r="AC7">
        <f>$AC$6+($AC$10-$AC$6)/4</f>
        <v>3</v>
      </c>
      <c r="AD7">
        <f>IF(INDEX(SectorCount4,2)=0,1,MATCH(INDEX(SectorCount4,2),SectorCountBins4,1)+1)</f>
        <v>2</v>
      </c>
      <c r="AE7">
        <f>$AE$6+($AE$10-$AE$6)/4</f>
        <v>3</v>
      </c>
      <c r="AF7">
        <f>IF(INDEX(SectorCount5,2)=0,1,MATCH(INDEX(SectorCount5,2),SectorCountBins5,1)+1)</f>
        <v>1</v>
      </c>
      <c r="AG7">
        <f>$AG$6+($AG$10-$AG$6)/4</f>
        <v>3</v>
      </c>
      <c r="AH7">
        <f>IF(INDEX(SectorCount6,2)=0,1,MATCH(INDEX(SectorCount6,2),SectorCountBins6,1)+1)</f>
        <v>1</v>
      </c>
      <c r="AI7">
        <f>$AI$6+($AI$10-$AI$6)/4</f>
        <v>3</v>
      </c>
      <c r="AJ7">
        <f>IF(INDEX(SectorCount7,2)=0,1,MATCH(INDEX(SectorCount7,2),SectorCountBins7,1)+1)</f>
        <v>1</v>
      </c>
      <c r="AK7">
        <f>$AK$6+($AK$10-$AK$6)/4</f>
        <v>3</v>
      </c>
      <c r="AL7">
        <f>IF(INDEX(SectorCount8,2)=0,1,MATCH(INDEX(SectorCount8,2),SectorCountBins8,1)+1)</f>
        <v>1</v>
      </c>
      <c r="AM7">
        <f>$AM$6+($AM$10-$AM$6)/4</f>
        <v>3</v>
      </c>
      <c r="AN7">
        <f>IF(INDEX(SectorCount9,2)=0,1,MATCH(INDEX(SectorCount9,2),SectorCountBins9,1)+1)</f>
        <v>1</v>
      </c>
      <c r="AO7">
        <f>$AO$6+($AO$10-$AO$6)/4</f>
        <v>3</v>
      </c>
      <c r="AP7">
        <f>IF(INDEX(SectorCount10,2)=0,1,MATCH(INDEX(SectorCount10,2),SectorCountBins10,1)+1)</f>
        <v>3</v>
      </c>
      <c r="AQ7">
        <f>$AQ$6+($AQ$10-$AQ$6)/4</f>
        <v>3</v>
      </c>
      <c r="AR7">
        <f>IF(INDEX(SectorCount11,2)=0,1,MATCH(INDEX(SectorCount11,2),SectorCountBins11,1)+1)</f>
        <v>1</v>
      </c>
      <c r="AS7">
        <f>$AS$6+($AS$10-$AS$6)/4</f>
        <v>3</v>
      </c>
    </row>
    <row r="8" spans="1:45" x14ac:dyDescent="0.2">
      <c r="A8" t="s">
        <v>372</v>
      </c>
      <c r="B8" t="s">
        <v>373</v>
      </c>
      <c r="C8">
        <f>IF(Activity&lt;&gt;"All Programs",COUNTIFS(Data!$E:$E,C$5,Data!$G:$G,$A8,Data!$F:$F,Activity),COUNTIFS(Data!$E:$E,C$5,Data!$G:$G,$A8))</f>
        <v>5</v>
      </c>
      <c r="D8">
        <f>IF(Activity&lt;&gt;"All Programs",COUNTIFS(Data!$E:$E,D$5,Data!$G:$G,$A8,Data!$F:$F,Activity),COUNTIFS(Data!$E:$E,D$5,Data!$G:$G,$A8))</f>
        <v>6</v>
      </c>
      <c r="E8">
        <f>IF(Activity&lt;&gt;"All Programs",COUNTIFS(Data!$E:$E,E$5,Data!$G:$G,$A8,Data!$F:$F,Activity),COUNTIFS(Data!$E:$E,E$5,Data!$G:$G,$A8))</f>
        <v>1</v>
      </c>
      <c r="F8">
        <f>IF(Activity&lt;&gt;"All Programs",COUNTIFS(Data!$E:$E,F$5,Data!$G:$G,$A8,Data!$F:$F,Activity),COUNTIFS(Data!$E:$E,F$5,Data!$G:$G,$A8))</f>
        <v>1</v>
      </c>
      <c r="G8">
        <f>IF(Activity&lt;&gt;"All Programs",COUNTIFS(Data!$E:$E,G$5,Data!$G:$G,$A8,Data!$F:$F,Activity),COUNTIFS(Data!$E:$E,G$5,Data!$G:$G,$A8))</f>
        <v>2</v>
      </c>
      <c r="H8">
        <f>IF(Activity&lt;&gt;"All Programs",COUNTIFS(Data!$E:$E,H$5,Data!$G:$G,$A8,Data!$F:$F,Activity),COUNTIFS(Data!$E:$E,H$5,Data!$G:$G,$A8))</f>
        <v>0</v>
      </c>
      <c r="I8">
        <f>IF(Activity&lt;&gt;"All Programs",COUNTIFS(Data!$E:$E,I$5,Data!$G:$G,$A8,Data!$F:$F,Activity),COUNTIFS(Data!$E:$E,I$5,Data!$G:$G,$A8))</f>
        <v>0</v>
      </c>
      <c r="J8">
        <f>IF(Activity&lt;&gt;"All Programs",COUNTIFS(Data!$E:$E,J$5,Data!$G:$G,$A8,Data!$F:$F,Activity),COUNTIFS(Data!$E:$E,J$5,Data!$G:$G,$A8))</f>
        <v>0</v>
      </c>
      <c r="K8">
        <f>IF(Activity&lt;&gt;"All Programs",COUNTIFS(Data!$E:$E,K$5,Data!$G:$G,$A8,Data!$F:$F,Activity),COUNTIFS(Data!$E:$E,K$5,Data!$G:$G,$A8))</f>
        <v>0</v>
      </c>
      <c r="L8">
        <f>IF(Activity&lt;&gt;"All Programs",COUNTIFS(Data!$E:$E,L$5,Data!$G:$G,$A8,Data!$F:$F,Activity),COUNTIFS(Data!$E:$E,L$5,Data!$G:$G,$A8))</f>
        <v>0</v>
      </c>
      <c r="M8">
        <f>IF(Activity&lt;&gt;"All Programs",COUNTIFS(Data!$E:$E,M$5,Data!$G:$G,$A8,Data!$F:$F,Activity),COUNTIFS(Data!$E:$E,M$5,Data!$G:$G,$A8))</f>
        <v>1</v>
      </c>
      <c r="N8">
        <f>IF(Activity&lt;&gt;"All Programs",COUNTIFS(Data!$E:$E,N$5,Data!$G:$G,$A8,Data!$F:$F,Activity),COUNTIFS(Data!$E:$E,N$5,Data!$G:$G,$A8))</f>
        <v>0</v>
      </c>
      <c r="P8">
        <f t="array" ref="P8">SUM(IF(FREQUENCY(IF((LEN(Data_Acro)&gt;0)*(Data_Act="Planned")*(Data_Pcd=B8),MATCH(Data_Acro,Data_Acro,0),""),IF((LEN(Data_Acro)&gt;0)*(Data_Act="Planned")*(Data_Pcd=B8),MATCH(Data_Acro,Data_Acro,0),""))&gt;0,1))</f>
        <v>0</v>
      </c>
      <c r="Q8">
        <f t="array" ref="Q8">SUM(IF(FREQUENCY(IF((LEN(Data_Acro)&gt;0)*(Data_Act="Ongoing")*(Data_Pcd=B8),MATCH(Data_Acro,Data_Acro,0),""),IF((LEN(Data_Acro)&gt;0)*(Data_Act="Ongoing")*(Data_Pcd=B8),MATCH(Data_Acro,Data_Acro,0),""))&gt;0,1))</f>
        <v>11</v>
      </c>
      <c r="R8">
        <f t="array" ref="R8">SUM(IF(FREQUENCY(IF((LEN(Data_Acro)&gt;0)*(Data_Pcd=B8),MATCH(Data_Acro,Data_Acro,0),""),IF((LEN(Data_Acro)&gt;0)*(Data_Pcd=B8),MATCH(Data_Acro,Data_Acro,0),""))&gt;0,1))</f>
        <v>11</v>
      </c>
      <c r="T8">
        <f t="shared" si="0"/>
        <v>2</v>
      </c>
      <c r="U8">
        <f>$U$7+(12/4)</f>
        <v>16</v>
      </c>
      <c r="V8">
        <f>IF(INDEX(SectorCount0,3)=0,1,MATCH(INDEX(SectorCount0,3),SectorCountBins0,1)+1)</f>
        <v>4</v>
      </c>
      <c r="W8">
        <f>$W$7+($W$10-$W$6)/4</f>
        <v>5</v>
      </c>
      <c r="X8">
        <f>IF(INDEX(SectorCount1,3)=0,1,MATCH(INDEX(SectorCount1,3),SectorCountBins1,1)+1)</f>
        <v>4</v>
      </c>
      <c r="Y8">
        <f>$Y$7+($Y$10-$Y$6)/4</f>
        <v>5</v>
      </c>
      <c r="Z8">
        <f>IF(INDEX(SectorCount2,3)=0,1,MATCH(INDEX(SectorCount2,3),SectorCountBins2,1)+1)</f>
        <v>2</v>
      </c>
      <c r="AA8">
        <f>$AA$7+($AA$10-$AA$6)/4</f>
        <v>5</v>
      </c>
      <c r="AB8">
        <f>IF(INDEX(SectorCount3,3)=0,1,MATCH(INDEX(SectorCount3,3),SectorCountBins3,1)+1)</f>
        <v>2</v>
      </c>
      <c r="AC8">
        <f>$AC$7+($AC$10-$AC$6)/4</f>
        <v>5</v>
      </c>
      <c r="AD8">
        <f>IF(INDEX(SectorCount4,3)=0,1,MATCH(INDEX(SectorCount4,3),SectorCountBins4,1)+1)</f>
        <v>2</v>
      </c>
      <c r="AE8">
        <f>$AE$7+($AE$10-$AE$6)/4</f>
        <v>5</v>
      </c>
      <c r="AF8">
        <f>IF(INDEX(SectorCount5,3)=0,1,MATCH(INDEX(SectorCount5,3),SectorCountBins5,1)+1)</f>
        <v>1</v>
      </c>
      <c r="AG8">
        <f>$AG$7+($AG$10-$AG$6)/4</f>
        <v>5</v>
      </c>
      <c r="AH8">
        <f>IF(INDEX(SectorCount6,3)=0,1,MATCH(INDEX(SectorCount6,3),SectorCountBins6,1)+1)</f>
        <v>1</v>
      </c>
      <c r="AI8">
        <f>$AI$7+($AI$10-$AI$6)/4</f>
        <v>5</v>
      </c>
      <c r="AJ8">
        <f>IF(INDEX(SectorCount7,3)=0,1,MATCH(INDEX(SectorCount7,3),SectorCountBins7,1)+1)</f>
        <v>1</v>
      </c>
      <c r="AK8">
        <f>$AK$7+($AK$10-$AK$6)/4</f>
        <v>5</v>
      </c>
      <c r="AL8">
        <f>IF(INDEX(SectorCount8,3)=0,1,MATCH(INDEX(SectorCount8,3),SectorCountBins8,1)+1)</f>
        <v>1</v>
      </c>
      <c r="AM8">
        <f>$AM$7+($AM$10-$AM$6)/4</f>
        <v>5</v>
      </c>
      <c r="AN8">
        <f>IF(INDEX(SectorCount9,3)=0,1,MATCH(INDEX(SectorCount9,3),SectorCountBins9,1)+1)</f>
        <v>1</v>
      </c>
      <c r="AO8">
        <f>$AO$7+($AO$10-$AO$6)/4</f>
        <v>5</v>
      </c>
      <c r="AP8">
        <f>IF(INDEX(SectorCount10,3)=0,1,MATCH(INDEX(SectorCount10,3),SectorCountBins10,1)+1)</f>
        <v>2</v>
      </c>
      <c r="AQ8">
        <f>$AQ$7+($AQ$10-$AQ$6)/4</f>
        <v>5</v>
      </c>
      <c r="AR8">
        <f>IF(INDEX(SectorCount11,3)=0,1,MATCH(INDEX(SectorCount11,3),SectorCountBins11,1)+1)</f>
        <v>1</v>
      </c>
      <c r="AS8">
        <f>$AS$7+($AS$10-$AS$6)/4</f>
        <v>5</v>
      </c>
    </row>
    <row r="9" spans="1:45" x14ac:dyDescent="0.2">
      <c r="A9" t="s">
        <v>374</v>
      </c>
      <c r="B9" t="s">
        <v>375</v>
      </c>
      <c r="C9">
        <f>IF(Activity&lt;&gt;"All Programs",COUNTIFS(Data!$E:$E,C$5,Data!$G:$G,$A9,Data!$F:$F,Activity),COUNTIFS(Data!$E:$E,C$5,Data!$G:$G,$A9))</f>
        <v>4</v>
      </c>
      <c r="D9">
        <f>IF(Activity&lt;&gt;"All Programs",COUNTIFS(Data!$E:$E,D$5,Data!$G:$G,$A9,Data!$F:$F,Activity),COUNTIFS(Data!$E:$E,D$5,Data!$G:$G,$A9))</f>
        <v>6</v>
      </c>
      <c r="E9">
        <f>IF(Activity&lt;&gt;"All Programs",COUNTIFS(Data!$E:$E,E$5,Data!$G:$G,$A9,Data!$F:$F,Activity),COUNTIFS(Data!$E:$E,E$5,Data!$G:$G,$A9))</f>
        <v>1</v>
      </c>
      <c r="F9">
        <f>IF(Activity&lt;&gt;"All Programs",COUNTIFS(Data!$E:$E,F$5,Data!$G:$G,$A9,Data!$F:$F,Activity),COUNTIFS(Data!$E:$E,F$5,Data!$G:$G,$A9))</f>
        <v>1</v>
      </c>
      <c r="G9">
        <f>IF(Activity&lt;&gt;"All Programs",COUNTIFS(Data!$E:$E,G$5,Data!$G:$G,$A9,Data!$F:$F,Activity),COUNTIFS(Data!$E:$E,G$5,Data!$G:$G,$A9))</f>
        <v>2</v>
      </c>
      <c r="H9">
        <f>IF(Activity&lt;&gt;"All Programs",COUNTIFS(Data!$E:$E,H$5,Data!$G:$G,$A9,Data!$F:$F,Activity),COUNTIFS(Data!$E:$E,H$5,Data!$G:$G,$A9))</f>
        <v>0</v>
      </c>
      <c r="I9">
        <f>IF(Activity&lt;&gt;"All Programs",COUNTIFS(Data!$E:$E,I$5,Data!$G:$G,$A9,Data!$F:$F,Activity),COUNTIFS(Data!$E:$E,I$5,Data!$G:$G,$A9))</f>
        <v>0</v>
      </c>
      <c r="J9">
        <f>IF(Activity&lt;&gt;"All Programs",COUNTIFS(Data!$E:$E,J$5,Data!$G:$G,$A9,Data!$F:$F,Activity),COUNTIFS(Data!$E:$E,J$5,Data!$G:$G,$A9))</f>
        <v>0</v>
      </c>
      <c r="K9">
        <f>IF(Activity&lt;&gt;"All Programs",COUNTIFS(Data!$E:$E,K$5,Data!$G:$G,$A9,Data!$F:$F,Activity),COUNTIFS(Data!$E:$E,K$5,Data!$G:$G,$A9))</f>
        <v>0</v>
      </c>
      <c r="L9">
        <f>IF(Activity&lt;&gt;"All Programs",COUNTIFS(Data!$E:$E,L$5,Data!$G:$G,$A9,Data!$F:$F,Activity),COUNTIFS(Data!$E:$E,L$5,Data!$G:$G,$A9))</f>
        <v>0</v>
      </c>
      <c r="M9">
        <f>IF(Activity&lt;&gt;"All Programs",COUNTIFS(Data!$E:$E,M$5,Data!$G:$G,$A9,Data!$F:$F,Activity),COUNTIFS(Data!$E:$E,M$5,Data!$G:$G,$A9))</f>
        <v>1</v>
      </c>
      <c r="N9">
        <f>IF(Activity&lt;&gt;"All Programs",COUNTIFS(Data!$E:$E,N$5,Data!$G:$G,$A9,Data!$F:$F,Activity),COUNTIFS(Data!$E:$E,N$5,Data!$G:$G,$A9))</f>
        <v>0</v>
      </c>
      <c r="P9">
        <f t="array" ref="P9">SUM(IF(FREQUENCY(IF((LEN(Data_Acro)&gt;0)*(Data_Act="Planned")*(Data_Pcd=B9),MATCH(Data_Acro,Data_Acro,0),""),IF((LEN(Data_Acro)&gt;0)*(Data_Act="Planned")*(Data_Pcd=B9),MATCH(Data_Acro,Data_Acro,0),""))&gt;0,1))</f>
        <v>0</v>
      </c>
      <c r="Q9">
        <f t="array" ref="Q9">SUM(IF(FREQUENCY(IF((LEN(Data_Acro)&gt;0)*(Data_Act="Ongoing")*(Data_Pcd=B9),MATCH(Data_Acro,Data_Acro,0),""),IF((LEN(Data_Acro)&gt;0)*(Data_Act="Ongoing")*(Data_Pcd=B9),MATCH(Data_Acro,Data_Acro,0),""))&gt;0,1))</f>
        <v>10</v>
      </c>
      <c r="R9">
        <f t="array" ref="R9">SUM(IF(FREQUENCY(IF((LEN(Data_Acro)&gt;0)*(Data_Pcd=B9),MATCH(Data_Acro,Data_Acro,0),""),IF((LEN(Data_Acro)&gt;0)*(Data_Pcd=B9),MATCH(Data_Acro,Data_Acro,0),""))&gt;0,1))</f>
        <v>10</v>
      </c>
      <c r="T9">
        <f t="shared" si="0"/>
        <v>2</v>
      </c>
      <c r="U9">
        <f>$U$8+(12/4)</f>
        <v>19</v>
      </c>
      <c r="V9">
        <f>IF(INDEX(SectorCount0,4)=0,1,MATCH(INDEX(SectorCount0,4),SectorCountBins0,1)+1)</f>
        <v>3</v>
      </c>
      <c r="W9">
        <f>$W$8+($W$10-$W$6)/4</f>
        <v>7</v>
      </c>
      <c r="X9">
        <f>IF(INDEX(SectorCount1,4)=0,1,MATCH(INDEX(SectorCount1,4),SectorCountBins1,1)+1)</f>
        <v>4</v>
      </c>
      <c r="Y9">
        <f>$Y$8+($Y$10-$Y$6)/4</f>
        <v>7</v>
      </c>
      <c r="Z9">
        <f>IF(INDEX(SectorCount2,4)=0,1,MATCH(INDEX(SectorCount2,4),SectorCountBins2,1)+1)</f>
        <v>2</v>
      </c>
      <c r="AA9">
        <f>$AA$8+($AA$10-$AA$6)/4</f>
        <v>7</v>
      </c>
      <c r="AB9">
        <f>IF(INDEX(SectorCount3,4)=0,1,MATCH(INDEX(SectorCount3,4),SectorCountBins3,1)+1)</f>
        <v>2</v>
      </c>
      <c r="AC9">
        <f>$AC$8+($AC$10-$AC$6)/4</f>
        <v>7</v>
      </c>
      <c r="AD9">
        <f>IF(INDEX(SectorCount4,4)=0,1,MATCH(INDEX(SectorCount4,4),SectorCountBins4,1)+1)</f>
        <v>2</v>
      </c>
      <c r="AE9">
        <f>$AE$8+($AE$10-$AE$6)/4</f>
        <v>7</v>
      </c>
      <c r="AF9">
        <f>IF(INDEX(SectorCount5,4)=0,1,MATCH(INDEX(SectorCount5,4),SectorCountBins5,1)+1)</f>
        <v>1</v>
      </c>
      <c r="AG9">
        <f>$AG$8+($AG$10-$AG$6)/4</f>
        <v>7</v>
      </c>
      <c r="AH9">
        <f>IF(INDEX(SectorCount6,4)=0,1,MATCH(INDEX(SectorCount6,4),SectorCountBins6,1)+1)</f>
        <v>1</v>
      </c>
      <c r="AI9">
        <f>$AI$8+($AI$10-$AI$6)/4</f>
        <v>7</v>
      </c>
      <c r="AJ9">
        <f>IF(INDEX(SectorCount7,4)=0,1,MATCH(INDEX(SectorCount7,4),SectorCountBins7,1)+1)</f>
        <v>1</v>
      </c>
      <c r="AK9">
        <f>$AK$8+($AK$10-$AK$6)/4</f>
        <v>7</v>
      </c>
      <c r="AL9">
        <f>IF(INDEX(SectorCount8,4)=0,1,MATCH(INDEX(SectorCount8,4),SectorCountBins8,1)+1)</f>
        <v>1</v>
      </c>
      <c r="AM9">
        <f>$AM$8+($AM$10-$AM$6)/4</f>
        <v>7</v>
      </c>
      <c r="AN9">
        <f>IF(INDEX(SectorCount9,4)=0,1,MATCH(INDEX(SectorCount9,4),SectorCountBins9,1)+1)</f>
        <v>1</v>
      </c>
      <c r="AO9">
        <f>$AO$8+($AO$10-$AO$6)/4</f>
        <v>7</v>
      </c>
      <c r="AP9">
        <f>IF(INDEX(SectorCount10,4)=0,1,MATCH(INDEX(SectorCount10,4),SectorCountBins10,1)+1)</f>
        <v>2</v>
      </c>
      <c r="AQ9">
        <f>$AQ$8+($AQ$10-$AQ$6)/4</f>
        <v>7</v>
      </c>
      <c r="AR9">
        <f>IF(INDEX(SectorCount11,4)=0,1,MATCH(INDEX(SectorCount11,4),SectorCountBins11,1)+1)</f>
        <v>1</v>
      </c>
      <c r="AS9">
        <f>$AS$8+($AS$10-$AS$6)/4</f>
        <v>7</v>
      </c>
    </row>
    <row r="10" spans="1:45" x14ac:dyDescent="0.2">
      <c r="A10" t="s">
        <v>376</v>
      </c>
      <c r="B10" t="s">
        <v>377</v>
      </c>
      <c r="C10">
        <f>IF(Activity&lt;&gt;"All Programs",COUNTIFS(Data!$E:$E,C$5,Data!$G:$G,$A10,Data!$F:$F,Activity),COUNTIFS(Data!$E:$E,C$5,Data!$G:$G,$A10))</f>
        <v>7</v>
      </c>
      <c r="D10">
        <f>IF(Activity&lt;&gt;"All Programs",COUNTIFS(Data!$E:$E,D$5,Data!$G:$G,$A10,Data!$F:$F,Activity),COUNTIFS(Data!$E:$E,D$5,Data!$G:$G,$A10))</f>
        <v>6</v>
      </c>
      <c r="E10">
        <f>IF(Activity&lt;&gt;"All Programs",COUNTIFS(Data!$E:$E,E$5,Data!$G:$G,$A10,Data!$F:$F,Activity),COUNTIFS(Data!$E:$E,E$5,Data!$G:$G,$A10))</f>
        <v>1</v>
      </c>
      <c r="F10">
        <f>IF(Activity&lt;&gt;"All Programs",COUNTIFS(Data!$E:$E,F$5,Data!$G:$G,$A10,Data!$F:$F,Activity),COUNTIFS(Data!$E:$E,F$5,Data!$G:$G,$A10))</f>
        <v>1</v>
      </c>
      <c r="G10">
        <f>IF(Activity&lt;&gt;"All Programs",COUNTIFS(Data!$E:$E,G$5,Data!$G:$G,$A10,Data!$F:$F,Activity),COUNTIFS(Data!$E:$E,G$5,Data!$G:$G,$A10))</f>
        <v>2</v>
      </c>
      <c r="H10">
        <f>IF(Activity&lt;&gt;"All Programs",COUNTIFS(Data!$E:$E,H$5,Data!$G:$G,$A10,Data!$F:$F,Activity),COUNTIFS(Data!$E:$E,H$5,Data!$G:$G,$A10))</f>
        <v>2</v>
      </c>
      <c r="I10">
        <f>IF(Activity&lt;&gt;"All Programs",COUNTIFS(Data!$E:$E,I$5,Data!$G:$G,$A10,Data!$F:$F,Activity),COUNTIFS(Data!$E:$E,I$5,Data!$G:$G,$A10))</f>
        <v>5</v>
      </c>
      <c r="J10">
        <f>IF(Activity&lt;&gt;"All Programs",COUNTIFS(Data!$E:$E,J$5,Data!$G:$G,$A10,Data!$F:$F,Activity),COUNTIFS(Data!$E:$E,J$5,Data!$G:$G,$A10))</f>
        <v>0</v>
      </c>
      <c r="K10">
        <f>IF(Activity&lt;&gt;"All Programs",COUNTIFS(Data!$E:$E,K$5,Data!$G:$G,$A10,Data!$F:$F,Activity),COUNTIFS(Data!$E:$E,K$5,Data!$G:$G,$A10))</f>
        <v>0</v>
      </c>
      <c r="L10">
        <f>IF(Activity&lt;&gt;"All Programs",COUNTIFS(Data!$E:$E,L$5,Data!$G:$G,$A10,Data!$F:$F,Activity),COUNTIFS(Data!$E:$E,L$5,Data!$G:$G,$A10))</f>
        <v>2</v>
      </c>
      <c r="M10">
        <f>IF(Activity&lt;&gt;"All Programs",COUNTIFS(Data!$E:$E,M$5,Data!$G:$G,$A10,Data!$F:$F,Activity),COUNTIFS(Data!$E:$E,M$5,Data!$G:$G,$A10))</f>
        <v>7</v>
      </c>
      <c r="N10">
        <f>IF(Activity&lt;&gt;"All Programs",COUNTIFS(Data!$E:$E,N$5,Data!$G:$G,$A10,Data!$F:$F,Activity),COUNTIFS(Data!$E:$E,N$5,Data!$G:$G,$A10))</f>
        <v>3</v>
      </c>
      <c r="P10">
        <f t="array" ref="P10">SUM(IF(FREQUENCY(IF((LEN(Data_Acro)&gt;0)*(Data_Act="Planned")*(Data_Pcd=B10),MATCH(Data_Acro,Data_Acro,0),""),IF((LEN(Data_Acro)&gt;0)*(Data_Act="Planned")*(Data_Pcd=B10),MATCH(Data_Acro,Data_Acro,0),""))&gt;0,1))</f>
        <v>0</v>
      </c>
      <c r="Q10">
        <f t="array" ref="Q10">SUM(IF(FREQUENCY(IF((LEN(Data_Acro)&gt;0)*(Data_Act="Ongoing")*(Data_Pcd=B10),MATCH(Data_Acro,Data_Acro,0),""),IF((LEN(Data_Acro)&gt;0)*(Data_Act="Ongoing")*(Data_Pcd=B10),MATCH(Data_Acro,Data_Acro,0),""))&gt;0,1))</f>
        <v>22</v>
      </c>
      <c r="R10">
        <f t="array" ref="R10">SUM(IF(FREQUENCY(IF((LEN(Data_Acro)&gt;0)*(Data_Pcd=B10),MATCH(Data_Acro,Data_Acro,0),""),IF((LEN(Data_Acro)&gt;0)*(Data_Pcd=B10),MATCH(Data_Acro,Data_Acro,0),""))&gt;0,1))</f>
        <v>22</v>
      </c>
      <c r="T10">
        <f t="shared" si="0"/>
        <v>6</v>
      </c>
      <c r="U10">
        <f>MAX(OrgByAdmin_Emg)</f>
        <v>22</v>
      </c>
      <c r="V10">
        <f>IF(INDEX(SectorCount0,5)=0,1,MATCH(INDEX(SectorCount0,5),SectorCountBins0,1)+1)</f>
        <v>5</v>
      </c>
      <c r="W10">
        <f>IF(StdScale="Yes",MAX(SectorCount0,SectorCount1,SectorCount2,SectorCount3,SectorCount4,SectorCount5,SectorCount6,SectorCount7,SectorCount8,SectorCount9,SectorCount10,SectorCount11),MAX(SectorCount0))</f>
        <v>9</v>
      </c>
      <c r="X10">
        <f>IF(INDEX(SectorCount1,5)=0,1,MATCH(INDEX(SectorCount1,5),SectorCountBins1,1)+1)</f>
        <v>4</v>
      </c>
      <c r="Y10">
        <f>IF(StdScale="Yes",MAX(SectorCount0,SectorCount1,SectorCount2,SectorCount3,SectorCount4,SectorCount5,SectorCount6,SectorCount7,SectorCount8,SectorCount9,SectorCount10,SectorCount11),MAX(SectorCount1))</f>
        <v>9</v>
      </c>
      <c r="Z10">
        <f>IF(INDEX(SectorCount2,5)=0,1,MATCH(INDEX(SectorCount2,5),SectorCountBins2,1)+1)</f>
        <v>2</v>
      </c>
      <c r="AA10">
        <f>IF(StdScale="Yes",MAX(SectorCount0,SectorCount1,SectorCount2,SectorCount3,SectorCount4,SectorCount5,SectorCount6,SectorCount7,SectorCount8,SectorCount9,SectorCount10,SectorCount11),MAX(SectorCount2))</f>
        <v>9</v>
      </c>
      <c r="AB10">
        <f>IF(INDEX(SectorCount3,5)=0,1,MATCH(INDEX(SectorCount3,5),SectorCountBins3,1)+1)</f>
        <v>2</v>
      </c>
      <c r="AC10">
        <f>IF(StdScale="Yes",MAX(SectorCount0,SectorCount1,SectorCount2,SectorCount3,SectorCount4,SectorCount5,SectorCount6,SectorCount7,SectorCount8,SectorCount9,SectorCount10,SectorCount11),MAX(SectorCount3))</f>
        <v>9</v>
      </c>
      <c r="AD10">
        <f>IF(INDEX(SectorCount4,5)=0,1,MATCH(INDEX(SectorCount4,5),SectorCountBins4,1)+1)</f>
        <v>2</v>
      </c>
      <c r="AE10">
        <f>IF(StdScale="Yes",MAX(SectorCount0,SectorCount1,SectorCount2,SectorCount3,SectorCount4,SectorCount5,SectorCount6,SectorCount7,SectorCount8,SectorCount9,SectorCount10,SectorCount11),MAX(SectorCount4))</f>
        <v>9</v>
      </c>
      <c r="AF10">
        <f>IF(INDEX(SectorCount5,5)=0,1,MATCH(INDEX(SectorCount5,5),SectorCountBins5,1)+1)</f>
        <v>2</v>
      </c>
      <c r="AG10">
        <f>IF(StdScale="Yes",MAX(SectorCount0,SectorCount1,SectorCount2,SectorCount3,SectorCount4,SectorCount5,SectorCount6,SectorCount7,SectorCount8,SectorCount9,SectorCount10,SectorCount11),MAX(SectorCount5))</f>
        <v>9</v>
      </c>
      <c r="AH10">
        <f>IF(INDEX(SectorCount6,5)=0,1,MATCH(INDEX(SectorCount6,5),SectorCountBins6,1)+1)</f>
        <v>4</v>
      </c>
      <c r="AI10">
        <f>IF(StdScale="Yes",MAX(SectorCount0,SectorCount1,SectorCount2,SectorCount3,SectorCount4,SectorCount5,SectorCount6,SectorCount7,SectorCount8,SectorCount9,SectorCount10,SectorCount11),MAX(SectorCount6))</f>
        <v>9</v>
      </c>
      <c r="AJ10">
        <f>IF(INDEX(SectorCount7,5)=0,1,MATCH(INDEX(SectorCount7,5),SectorCountBins7,1)+1)</f>
        <v>1</v>
      </c>
      <c r="AK10">
        <f>IF(StdScale="Yes",MAX(SectorCount0,SectorCount1,SectorCount2,SectorCount3,SectorCount4,SectorCount5,SectorCount6,SectorCount7,SectorCount8,SectorCount9,SectorCount10,SectorCount11),MAX(SectorCount7))</f>
        <v>9</v>
      </c>
      <c r="AL10">
        <f>IF(INDEX(SectorCount8,5)=0,1,MATCH(INDEX(SectorCount8,5),SectorCountBins8,1)+1)</f>
        <v>1</v>
      </c>
      <c r="AM10">
        <f>IF(StdScale="Yes",MAX(SectorCount0,SectorCount1,SectorCount2,SectorCount3,SectorCount4,SectorCount5,SectorCount6,SectorCount7,SectorCount8,SectorCount9,SectorCount10,SectorCount11),MAX(SectorCount8))</f>
        <v>9</v>
      </c>
      <c r="AN10">
        <f>IF(INDEX(SectorCount9,5)=0,1,MATCH(INDEX(SectorCount9,5),SectorCountBins9,1)+1)</f>
        <v>2</v>
      </c>
      <c r="AO10">
        <f>IF(StdScale="Yes",MAX(SectorCount0,SectorCount1,SectorCount2,SectorCount3,SectorCount4,SectorCount5,SectorCount6,SectorCount7,SectorCount8,SectorCount9,SectorCount10,SectorCount11),MAX(SectorCount9))</f>
        <v>9</v>
      </c>
      <c r="AP10">
        <f>IF(INDEX(SectorCount10,5)=0,1,MATCH(INDEX(SectorCount10,5),SectorCountBins10,1)+1)</f>
        <v>5</v>
      </c>
      <c r="AQ10">
        <f>IF(StdScale="Yes",MAX(SectorCount0,SectorCount1,SectorCount2,SectorCount3,SectorCount4,SectorCount5,SectorCount6,SectorCount7,SectorCount8,SectorCount9,SectorCount10,SectorCount11),MAX(SectorCount10))</f>
        <v>9</v>
      </c>
      <c r="AR10">
        <f>IF(INDEX(SectorCount11,5)=0,1,MATCH(INDEX(SectorCount11,5),SectorCountBins11,1)+1)</f>
        <v>3</v>
      </c>
      <c r="AS10">
        <f>IF(StdScale="Yes",MAX(SectorCount0,SectorCount1,SectorCount2,SectorCount3,SectorCount4,SectorCount5,SectorCount6,SectorCount7,SectorCount8,SectorCount9,SectorCount10,SectorCount11),MAX(SectorCount11))</f>
        <v>9</v>
      </c>
    </row>
    <row r="11" spans="1:45" x14ac:dyDescent="0.2">
      <c r="A11" t="s">
        <v>378</v>
      </c>
      <c r="B11" t="s">
        <v>379</v>
      </c>
      <c r="C11">
        <f>IF(Activity&lt;&gt;"All Programs",COUNTIFS(Data!$E:$E,C$5,Data!$G:$G,$A11,Data!$F:$F,Activity),COUNTIFS(Data!$E:$E,C$5,Data!$G:$G,$A11))</f>
        <v>4</v>
      </c>
      <c r="D11">
        <f>IF(Activity&lt;&gt;"All Programs",COUNTIFS(Data!$E:$E,D$5,Data!$G:$G,$A11,Data!$F:$F,Activity),COUNTIFS(Data!$E:$E,D$5,Data!$G:$G,$A11))</f>
        <v>6</v>
      </c>
      <c r="E11">
        <f>IF(Activity&lt;&gt;"All Programs",COUNTIFS(Data!$E:$E,E$5,Data!$G:$G,$A11,Data!$F:$F,Activity),COUNTIFS(Data!$E:$E,E$5,Data!$G:$G,$A11))</f>
        <v>1</v>
      </c>
      <c r="F11">
        <f>IF(Activity&lt;&gt;"All Programs",COUNTIFS(Data!$E:$E,F$5,Data!$G:$G,$A11,Data!$F:$F,Activity),COUNTIFS(Data!$E:$E,F$5,Data!$G:$G,$A11))</f>
        <v>1</v>
      </c>
      <c r="G11">
        <f>IF(Activity&lt;&gt;"All Programs",COUNTIFS(Data!$E:$E,G$5,Data!$G:$G,$A11,Data!$F:$F,Activity),COUNTIFS(Data!$E:$E,G$5,Data!$G:$G,$A11))</f>
        <v>3</v>
      </c>
      <c r="H11">
        <f>IF(Activity&lt;&gt;"All Programs",COUNTIFS(Data!$E:$E,H$5,Data!$G:$G,$A11,Data!$F:$F,Activity),COUNTIFS(Data!$E:$E,H$5,Data!$G:$G,$A11))</f>
        <v>1</v>
      </c>
      <c r="I11">
        <f>IF(Activity&lt;&gt;"All Programs",COUNTIFS(Data!$E:$E,I$5,Data!$G:$G,$A11,Data!$F:$F,Activity),COUNTIFS(Data!$E:$E,I$5,Data!$G:$G,$A11))</f>
        <v>0</v>
      </c>
      <c r="J11">
        <f>IF(Activity&lt;&gt;"All Programs",COUNTIFS(Data!$E:$E,J$5,Data!$G:$G,$A11,Data!$F:$F,Activity),COUNTIFS(Data!$E:$E,J$5,Data!$G:$G,$A11))</f>
        <v>0</v>
      </c>
      <c r="K11">
        <f>IF(Activity&lt;&gt;"All Programs",COUNTIFS(Data!$E:$E,K$5,Data!$G:$G,$A11,Data!$F:$F,Activity),COUNTIFS(Data!$E:$E,K$5,Data!$G:$G,$A11))</f>
        <v>0</v>
      </c>
      <c r="L11">
        <f>IF(Activity&lt;&gt;"All Programs",COUNTIFS(Data!$E:$E,L$5,Data!$G:$G,$A11,Data!$F:$F,Activity),COUNTIFS(Data!$E:$E,L$5,Data!$G:$G,$A11))</f>
        <v>0</v>
      </c>
      <c r="M11">
        <f>IF(Activity&lt;&gt;"All Programs",COUNTIFS(Data!$E:$E,M$5,Data!$G:$G,$A11,Data!$F:$F,Activity),COUNTIFS(Data!$E:$E,M$5,Data!$G:$G,$A11))</f>
        <v>2</v>
      </c>
      <c r="N11">
        <f>IF(Activity&lt;&gt;"All Programs",COUNTIFS(Data!$E:$E,N$5,Data!$G:$G,$A11,Data!$F:$F,Activity),COUNTIFS(Data!$E:$E,N$5,Data!$G:$G,$A11))</f>
        <v>0</v>
      </c>
      <c r="P11">
        <f t="array" ref="P11">SUM(IF(FREQUENCY(IF((LEN(Data_Acro)&gt;0)*(Data_Act="Planned")*(Data_Pcd=B11),MATCH(Data_Acro,Data_Acro,0),""),IF((LEN(Data_Acro)&gt;0)*(Data_Act="Planned")*(Data_Pcd=B11),MATCH(Data_Acro,Data_Acro,0),""))&gt;0,1))</f>
        <v>0</v>
      </c>
      <c r="Q11">
        <f t="array" ref="Q11">SUM(IF(FREQUENCY(IF((LEN(Data_Acro)&gt;0)*(Data_Act="Ongoing")*(Data_Pcd=B11),MATCH(Data_Acro,Data_Acro,0),""),IF((LEN(Data_Acro)&gt;0)*(Data_Act="Ongoing")*(Data_Pcd=B11),MATCH(Data_Acro,Data_Acro,0),""))&gt;0,1))</f>
        <v>10</v>
      </c>
      <c r="R11">
        <f t="array" ref="R11">SUM(IF(FREQUENCY(IF((LEN(Data_Acro)&gt;0)*(Data_Pcd=B11),MATCH(Data_Acro,Data_Acro,0),""),IF((LEN(Data_Acro)&gt;0)*(Data_Pcd=B11),MATCH(Data_Acro,Data_Acro,0),""))&gt;0,1))</f>
        <v>10</v>
      </c>
      <c r="T11">
        <f t="shared" si="0"/>
        <v>2</v>
      </c>
      <c r="V11">
        <f>IF(INDEX(SectorCount0,6)=0,1,MATCH(INDEX(SectorCount0,6),SectorCountBins0,1)+1)</f>
        <v>3</v>
      </c>
      <c r="X11">
        <f>IF(INDEX(SectorCount1,6)=0,1,MATCH(INDEX(SectorCount1,6),SectorCountBins1,1)+1)</f>
        <v>4</v>
      </c>
      <c r="Z11">
        <f>IF(INDEX(SectorCount2,6)=0,1,MATCH(INDEX(SectorCount2,6),SectorCountBins2,1)+1)</f>
        <v>2</v>
      </c>
      <c r="AB11">
        <f>IF(INDEX(SectorCount3,6)=0,1,MATCH(INDEX(SectorCount3,6),SectorCountBins3,1)+1)</f>
        <v>2</v>
      </c>
      <c r="AD11">
        <f>IF(INDEX(SectorCount4,6)=0,1,MATCH(INDEX(SectorCount4,6),SectorCountBins4,1)+1)</f>
        <v>3</v>
      </c>
      <c r="AF11">
        <f>IF(INDEX(SectorCount5,6)=0,1,MATCH(INDEX(SectorCount5,6),SectorCountBins5,1)+1)</f>
        <v>2</v>
      </c>
      <c r="AH11">
        <f>IF(INDEX(SectorCount6,6)=0,1,MATCH(INDEX(SectorCount6,6),SectorCountBins6,1)+1)</f>
        <v>1</v>
      </c>
      <c r="AJ11">
        <f>IF(INDEX(SectorCount7,6)=0,1,MATCH(INDEX(SectorCount7,6),SectorCountBins7,1)+1)</f>
        <v>1</v>
      </c>
      <c r="AL11">
        <f>IF(INDEX(SectorCount8,6)=0,1,MATCH(INDEX(SectorCount8,6),SectorCountBins8,1)+1)</f>
        <v>1</v>
      </c>
      <c r="AN11">
        <f>IF(INDEX(SectorCount9,6)=0,1,MATCH(INDEX(SectorCount9,6),SectorCountBins9,1)+1)</f>
        <v>1</v>
      </c>
      <c r="AP11">
        <f>IF(INDEX(SectorCount10,6)=0,1,MATCH(INDEX(SectorCount10,6),SectorCountBins10,1)+1)</f>
        <v>2</v>
      </c>
      <c r="AR11">
        <f>IF(INDEX(SectorCount11,6)=0,1,MATCH(INDEX(SectorCount11,6),SectorCountBins11,1)+1)</f>
        <v>1</v>
      </c>
    </row>
    <row r="12" spans="1:45" x14ac:dyDescent="0.2">
      <c r="A12" t="s">
        <v>380</v>
      </c>
      <c r="B12" t="s">
        <v>381</v>
      </c>
      <c r="C12">
        <f>IF(Activity&lt;&gt;"All Programs",COUNTIFS(Data!$E:$E,C$5,Data!$G:$G,$A12,Data!$F:$F,Activity),COUNTIFS(Data!$E:$E,C$5,Data!$G:$G,$A12))</f>
        <v>4</v>
      </c>
      <c r="D12">
        <f>IF(Activity&lt;&gt;"All Programs",COUNTIFS(Data!$E:$E,D$5,Data!$G:$G,$A12,Data!$F:$F,Activity),COUNTIFS(Data!$E:$E,D$5,Data!$G:$G,$A12))</f>
        <v>6</v>
      </c>
      <c r="E12">
        <f>IF(Activity&lt;&gt;"All Programs",COUNTIFS(Data!$E:$E,E$5,Data!$G:$G,$A12,Data!$F:$F,Activity),COUNTIFS(Data!$E:$E,E$5,Data!$G:$G,$A12))</f>
        <v>1</v>
      </c>
      <c r="F12">
        <f>IF(Activity&lt;&gt;"All Programs",COUNTIFS(Data!$E:$E,F$5,Data!$G:$G,$A12,Data!$F:$F,Activity),COUNTIFS(Data!$E:$E,F$5,Data!$G:$G,$A12))</f>
        <v>1</v>
      </c>
      <c r="G12">
        <f>IF(Activity&lt;&gt;"All Programs",COUNTIFS(Data!$E:$E,G$5,Data!$G:$G,$A12,Data!$F:$F,Activity),COUNTIFS(Data!$E:$E,G$5,Data!$G:$G,$A12))</f>
        <v>3</v>
      </c>
      <c r="H12">
        <f>IF(Activity&lt;&gt;"All Programs",COUNTIFS(Data!$E:$E,H$5,Data!$G:$G,$A12,Data!$F:$F,Activity),COUNTIFS(Data!$E:$E,H$5,Data!$G:$G,$A12))</f>
        <v>0</v>
      </c>
      <c r="I12">
        <f>IF(Activity&lt;&gt;"All Programs",COUNTIFS(Data!$E:$E,I$5,Data!$G:$G,$A12,Data!$F:$F,Activity),COUNTIFS(Data!$E:$E,I$5,Data!$G:$G,$A12))</f>
        <v>0</v>
      </c>
      <c r="J12">
        <f>IF(Activity&lt;&gt;"All Programs",COUNTIFS(Data!$E:$E,J$5,Data!$G:$G,$A12,Data!$F:$F,Activity),COUNTIFS(Data!$E:$E,J$5,Data!$G:$G,$A12))</f>
        <v>0</v>
      </c>
      <c r="K12">
        <f>IF(Activity&lt;&gt;"All Programs",COUNTIFS(Data!$E:$E,K$5,Data!$G:$G,$A12,Data!$F:$F,Activity),COUNTIFS(Data!$E:$E,K$5,Data!$G:$G,$A12))</f>
        <v>0</v>
      </c>
      <c r="L12">
        <f>IF(Activity&lt;&gt;"All Programs",COUNTIFS(Data!$E:$E,L$5,Data!$G:$G,$A12,Data!$F:$F,Activity),COUNTIFS(Data!$E:$E,L$5,Data!$G:$G,$A12))</f>
        <v>0</v>
      </c>
      <c r="M12">
        <f>IF(Activity&lt;&gt;"All Programs",COUNTIFS(Data!$E:$E,M$5,Data!$G:$G,$A12,Data!$F:$F,Activity),COUNTIFS(Data!$E:$E,M$5,Data!$G:$G,$A12))</f>
        <v>2</v>
      </c>
      <c r="N12">
        <f>IF(Activity&lt;&gt;"All Programs",COUNTIFS(Data!$E:$E,N$5,Data!$G:$G,$A12,Data!$F:$F,Activity),COUNTIFS(Data!$E:$E,N$5,Data!$G:$G,$A12))</f>
        <v>0</v>
      </c>
      <c r="P12">
        <f t="array" ref="P12">SUM(IF(FREQUENCY(IF((LEN(Data_Acro)&gt;0)*(Data_Act="Planned")*(Data_Pcd=B12),MATCH(Data_Acro,Data_Acro,0),""),IF((LEN(Data_Acro)&gt;0)*(Data_Act="Planned")*(Data_Pcd=B12),MATCH(Data_Acro,Data_Acro,0),""))&gt;0,1))</f>
        <v>0</v>
      </c>
      <c r="Q12">
        <f t="array" ref="Q12">SUM(IF(FREQUENCY(IF((LEN(Data_Acro)&gt;0)*(Data_Act="Ongoing")*(Data_Pcd=B12),MATCH(Data_Acro,Data_Acro,0),""),IF((LEN(Data_Acro)&gt;0)*(Data_Act="Ongoing")*(Data_Pcd=B12),MATCH(Data_Acro,Data_Acro,0),""))&gt;0,1))</f>
        <v>10</v>
      </c>
      <c r="R12">
        <f t="array" ref="R12">SUM(IF(FREQUENCY(IF((LEN(Data_Acro)&gt;0)*(Data_Pcd=B12),MATCH(Data_Acro,Data_Acro,0),""),IF((LEN(Data_Acro)&gt;0)*(Data_Pcd=B12),MATCH(Data_Acro,Data_Acro,0),""))&gt;0,1))</f>
        <v>10</v>
      </c>
      <c r="T12">
        <f t="shared" si="0"/>
        <v>2</v>
      </c>
      <c r="V12">
        <f>IF(INDEX(SectorCount0,7)=0,1,MATCH(INDEX(SectorCount0,7),SectorCountBins0,1)+1)</f>
        <v>3</v>
      </c>
      <c r="X12">
        <f>IF(INDEX(SectorCount1,7)=0,1,MATCH(INDEX(SectorCount1,7),SectorCountBins1,1)+1)</f>
        <v>4</v>
      </c>
      <c r="Z12">
        <f>IF(INDEX(SectorCount2,7)=0,1,MATCH(INDEX(SectorCount2,7),SectorCountBins2,1)+1)</f>
        <v>2</v>
      </c>
      <c r="AB12">
        <f>IF(INDEX(SectorCount3,7)=0,1,MATCH(INDEX(SectorCount3,7),SectorCountBins3,1)+1)</f>
        <v>2</v>
      </c>
      <c r="AD12">
        <f>IF(INDEX(SectorCount4,7)=0,1,MATCH(INDEX(SectorCount4,7),SectorCountBins4,1)+1)</f>
        <v>3</v>
      </c>
      <c r="AF12">
        <f>IF(INDEX(SectorCount5,7)=0,1,MATCH(INDEX(SectorCount5,7),SectorCountBins5,1)+1)</f>
        <v>1</v>
      </c>
      <c r="AH12">
        <f>IF(INDEX(SectorCount6,7)=0,1,MATCH(INDEX(SectorCount6,7),SectorCountBins6,1)+1)</f>
        <v>1</v>
      </c>
      <c r="AJ12">
        <f>IF(INDEX(SectorCount7,7)=0,1,MATCH(INDEX(SectorCount7,7),SectorCountBins7,1)+1)</f>
        <v>1</v>
      </c>
      <c r="AL12">
        <f>IF(INDEX(SectorCount8,7)=0,1,MATCH(INDEX(SectorCount8,7),SectorCountBins8,1)+1)</f>
        <v>1</v>
      </c>
      <c r="AN12">
        <f>IF(INDEX(SectorCount9,7)=0,1,MATCH(INDEX(SectorCount9,7),SectorCountBins9,1)+1)</f>
        <v>1</v>
      </c>
      <c r="AP12">
        <f>IF(INDEX(SectorCount10,7)=0,1,MATCH(INDEX(SectorCount10,7),SectorCountBins10,1)+1)</f>
        <v>2</v>
      </c>
      <c r="AR12">
        <f>IF(INDEX(SectorCount11,7)=0,1,MATCH(INDEX(SectorCount11,7),SectorCountBins11,1)+1)</f>
        <v>1</v>
      </c>
    </row>
    <row r="13" spans="1:45" x14ac:dyDescent="0.2">
      <c r="A13" t="s">
        <v>382</v>
      </c>
      <c r="B13" t="s">
        <v>383</v>
      </c>
      <c r="C13">
        <f>IF(Activity&lt;&gt;"All Programs",COUNTIFS(Data!$E:$E,C$5,Data!$G:$G,$A13,Data!$F:$F,Activity),COUNTIFS(Data!$E:$E,C$5,Data!$G:$G,$A13))</f>
        <v>5</v>
      </c>
      <c r="D13">
        <f>IF(Activity&lt;&gt;"All Programs",COUNTIFS(Data!$E:$E,D$5,Data!$G:$G,$A13,Data!$F:$F,Activity),COUNTIFS(Data!$E:$E,D$5,Data!$G:$G,$A13))</f>
        <v>6</v>
      </c>
      <c r="E13">
        <f>IF(Activity&lt;&gt;"All Programs",COUNTIFS(Data!$E:$E,E$5,Data!$G:$G,$A13,Data!$F:$F,Activity),COUNTIFS(Data!$E:$E,E$5,Data!$G:$G,$A13))</f>
        <v>1</v>
      </c>
      <c r="F13">
        <f>IF(Activity&lt;&gt;"All Programs",COUNTIFS(Data!$E:$E,F$5,Data!$G:$G,$A13,Data!$F:$F,Activity),COUNTIFS(Data!$E:$E,F$5,Data!$G:$G,$A13))</f>
        <v>1</v>
      </c>
      <c r="G13">
        <f>IF(Activity&lt;&gt;"All Programs",COUNTIFS(Data!$E:$E,G$5,Data!$G:$G,$A13,Data!$F:$F,Activity),COUNTIFS(Data!$E:$E,G$5,Data!$G:$G,$A13))</f>
        <v>3</v>
      </c>
      <c r="H13">
        <f>IF(Activity&lt;&gt;"All Programs",COUNTIFS(Data!$E:$E,H$5,Data!$G:$G,$A13,Data!$F:$F,Activity),COUNTIFS(Data!$E:$E,H$5,Data!$G:$G,$A13))</f>
        <v>1</v>
      </c>
      <c r="I13">
        <f>IF(Activity&lt;&gt;"All Programs",COUNTIFS(Data!$E:$E,I$5,Data!$G:$G,$A13,Data!$F:$F,Activity),COUNTIFS(Data!$E:$E,I$5,Data!$G:$G,$A13))</f>
        <v>0</v>
      </c>
      <c r="J13">
        <f>IF(Activity&lt;&gt;"All Programs",COUNTIFS(Data!$E:$E,J$5,Data!$G:$G,$A13,Data!$F:$F,Activity),COUNTIFS(Data!$E:$E,J$5,Data!$G:$G,$A13))</f>
        <v>0</v>
      </c>
      <c r="K13">
        <f>IF(Activity&lt;&gt;"All Programs",COUNTIFS(Data!$E:$E,K$5,Data!$G:$G,$A13,Data!$F:$F,Activity),COUNTIFS(Data!$E:$E,K$5,Data!$G:$G,$A13))</f>
        <v>0</v>
      </c>
      <c r="L13">
        <f>IF(Activity&lt;&gt;"All Programs",COUNTIFS(Data!$E:$E,L$5,Data!$G:$G,$A13,Data!$F:$F,Activity),COUNTIFS(Data!$E:$E,L$5,Data!$G:$G,$A13))</f>
        <v>1</v>
      </c>
      <c r="M13">
        <f>IF(Activity&lt;&gt;"All Programs",COUNTIFS(Data!$E:$E,M$5,Data!$G:$G,$A13,Data!$F:$F,Activity),COUNTIFS(Data!$E:$E,M$5,Data!$G:$G,$A13))</f>
        <v>4</v>
      </c>
      <c r="N13">
        <f>IF(Activity&lt;&gt;"All Programs",COUNTIFS(Data!$E:$E,N$5,Data!$G:$G,$A13,Data!$F:$F,Activity),COUNTIFS(Data!$E:$E,N$5,Data!$G:$G,$A13))</f>
        <v>0</v>
      </c>
      <c r="P13">
        <f t="array" ref="P13">SUM(IF(FREQUENCY(IF((LEN(Data_Acro)&gt;0)*(Data_Act="Planned")*(Data_Pcd=B13),MATCH(Data_Acro,Data_Acro,0),""),IF((LEN(Data_Acro)&gt;0)*(Data_Act="Planned")*(Data_Pcd=B13),MATCH(Data_Acro,Data_Acro,0),""))&gt;0,1))</f>
        <v>0</v>
      </c>
      <c r="Q13">
        <f t="array" ref="Q13">SUM(IF(FREQUENCY(IF((LEN(Data_Acro)&gt;0)*(Data_Act="Ongoing")*(Data_Pcd=B13),MATCH(Data_Acro,Data_Acro,0),""),IF((LEN(Data_Acro)&gt;0)*(Data_Act="Ongoing")*(Data_Pcd=B13),MATCH(Data_Acro,Data_Acro,0),""))&gt;0,1))</f>
        <v>13</v>
      </c>
      <c r="R13">
        <f t="array" ref="R13">SUM(IF(FREQUENCY(IF((LEN(Data_Acro)&gt;0)*(Data_Pcd=B13),MATCH(Data_Acro,Data_Acro,0),""),IF((LEN(Data_Acro)&gt;0)*(Data_Pcd=B13),MATCH(Data_Acro,Data_Acro,0),""))&gt;0,1))</f>
        <v>13</v>
      </c>
      <c r="T13">
        <f t="shared" si="0"/>
        <v>3</v>
      </c>
      <c r="V13">
        <f>IF(INDEX(SectorCount0,8)=0,1,MATCH(INDEX(SectorCount0,8),SectorCountBins0,1)+1)</f>
        <v>4</v>
      </c>
      <c r="X13">
        <f>IF(INDEX(SectorCount1,8)=0,1,MATCH(INDEX(SectorCount1,8),SectorCountBins1,1)+1)</f>
        <v>4</v>
      </c>
      <c r="Z13">
        <f>IF(INDEX(SectorCount2,8)=0,1,MATCH(INDEX(SectorCount2,8),SectorCountBins2,1)+1)</f>
        <v>2</v>
      </c>
      <c r="AB13">
        <f>IF(INDEX(SectorCount3,8)=0,1,MATCH(INDEX(SectorCount3,8),SectorCountBins3,1)+1)</f>
        <v>2</v>
      </c>
      <c r="AD13">
        <f>IF(INDEX(SectorCount4,8)=0,1,MATCH(INDEX(SectorCount4,8),SectorCountBins4,1)+1)</f>
        <v>3</v>
      </c>
      <c r="AF13">
        <f>IF(INDEX(SectorCount5,8)=0,1,MATCH(INDEX(SectorCount5,8),SectorCountBins5,1)+1)</f>
        <v>2</v>
      </c>
      <c r="AH13">
        <f>IF(INDEX(SectorCount6,8)=0,1,MATCH(INDEX(SectorCount6,8),SectorCountBins6,1)+1)</f>
        <v>1</v>
      </c>
      <c r="AJ13">
        <f>IF(INDEX(SectorCount7,8)=0,1,MATCH(INDEX(SectorCount7,8),SectorCountBins7,1)+1)</f>
        <v>1</v>
      </c>
      <c r="AL13">
        <f>IF(INDEX(SectorCount8,8)=0,1,MATCH(INDEX(SectorCount8,8),SectorCountBins8,1)+1)</f>
        <v>1</v>
      </c>
      <c r="AN13">
        <f>IF(INDEX(SectorCount9,8)=0,1,MATCH(INDEX(SectorCount9,8),SectorCountBins9,1)+1)</f>
        <v>2</v>
      </c>
      <c r="AP13">
        <f>IF(INDEX(SectorCount10,8)=0,1,MATCH(INDEX(SectorCount10,8),SectorCountBins10,1)+1)</f>
        <v>3</v>
      </c>
      <c r="AR13">
        <f>IF(INDEX(SectorCount11,8)=0,1,MATCH(INDEX(SectorCount11,8),SectorCountBins11,1)+1)</f>
        <v>1</v>
      </c>
    </row>
    <row r="14" spans="1:45" x14ac:dyDescent="0.2">
      <c r="A14" t="s">
        <v>384</v>
      </c>
      <c r="B14" t="s">
        <v>385</v>
      </c>
      <c r="C14">
        <f>IF(Activity&lt;&gt;"All Programs",COUNTIFS(Data!$E:$E,C$5,Data!$G:$G,$A14,Data!$F:$F,Activity),COUNTIFS(Data!$E:$E,C$5,Data!$G:$G,$A14))</f>
        <v>5</v>
      </c>
      <c r="D14">
        <f>IF(Activity&lt;&gt;"All Programs",COUNTIFS(Data!$E:$E,D$5,Data!$G:$G,$A14,Data!$F:$F,Activity),COUNTIFS(Data!$E:$E,D$5,Data!$G:$G,$A14))</f>
        <v>6</v>
      </c>
      <c r="E14">
        <f>IF(Activity&lt;&gt;"All Programs",COUNTIFS(Data!$E:$E,E$5,Data!$G:$G,$A14,Data!$F:$F,Activity),COUNTIFS(Data!$E:$E,E$5,Data!$G:$G,$A14))</f>
        <v>1</v>
      </c>
      <c r="F14">
        <f>IF(Activity&lt;&gt;"All Programs",COUNTIFS(Data!$E:$E,F$5,Data!$G:$G,$A14,Data!$F:$F,Activity),COUNTIFS(Data!$E:$E,F$5,Data!$G:$G,$A14))</f>
        <v>1</v>
      </c>
      <c r="G14">
        <f>IF(Activity&lt;&gt;"All Programs",COUNTIFS(Data!$E:$E,G$5,Data!$G:$G,$A14,Data!$F:$F,Activity),COUNTIFS(Data!$E:$E,G$5,Data!$G:$G,$A14))</f>
        <v>3</v>
      </c>
      <c r="H14">
        <f>IF(Activity&lt;&gt;"All Programs",COUNTIFS(Data!$E:$E,H$5,Data!$G:$G,$A14,Data!$F:$F,Activity),COUNTIFS(Data!$E:$E,H$5,Data!$G:$G,$A14))</f>
        <v>2</v>
      </c>
      <c r="I14">
        <f>IF(Activity&lt;&gt;"All Programs",COUNTIFS(Data!$E:$E,I$5,Data!$G:$G,$A14,Data!$F:$F,Activity),COUNTIFS(Data!$E:$E,I$5,Data!$G:$G,$A14))</f>
        <v>0</v>
      </c>
      <c r="J14">
        <f>IF(Activity&lt;&gt;"All Programs",COUNTIFS(Data!$E:$E,J$5,Data!$G:$G,$A14,Data!$F:$F,Activity),COUNTIFS(Data!$E:$E,J$5,Data!$G:$G,$A14))</f>
        <v>0</v>
      </c>
      <c r="K14">
        <f>IF(Activity&lt;&gt;"All Programs",COUNTIFS(Data!$E:$E,K$5,Data!$G:$G,$A14,Data!$F:$F,Activity),COUNTIFS(Data!$E:$E,K$5,Data!$G:$G,$A14))</f>
        <v>0</v>
      </c>
      <c r="L14">
        <f>IF(Activity&lt;&gt;"All Programs",COUNTIFS(Data!$E:$E,L$5,Data!$G:$G,$A14,Data!$F:$F,Activity),COUNTIFS(Data!$E:$E,L$5,Data!$G:$G,$A14))</f>
        <v>2</v>
      </c>
      <c r="M14">
        <f>IF(Activity&lt;&gt;"All Programs",COUNTIFS(Data!$E:$E,M$5,Data!$G:$G,$A14,Data!$F:$F,Activity),COUNTIFS(Data!$E:$E,M$5,Data!$G:$G,$A14))</f>
        <v>2</v>
      </c>
      <c r="N14">
        <f>IF(Activity&lt;&gt;"All Programs",COUNTIFS(Data!$E:$E,N$5,Data!$G:$G,$A14,Data!$F:$F,Activity),COUNTIFS(Data!$E:$E,N$5,Data!$G:$G,$A14))</f>
        <v>0</v>
      </c>
      <c r="P14">
        <f t="array" ref="P14">SUM(IF(FREQUENCY(IF((LEN(Data_Acro)&gt;0)*(Data_Act="Planned")*(Data_Pcd=B14),MATCH(Data_Acro,Data_Acro,0),""),IF((LEN(Data_Acro)&gt;0)*(Data_Act="Planned")*(Data_Pcd=B14),MATCH(Data_Acro,Data_Acro,0),""))&gt;0,1))</f>
        <v>0</v>
      </c>
      <c r="Q14">
        <f t="array" ref="Q14">SUM(IF(FREQUENCY(IF((LEN(Data_Acro)&gt;0)*(Data_Act="Ongoing")*(Data_Pcd=B14),MATCH(Data_Acro,Data_Acro,0),""),IF((LEN(Data_Acro)&gt;0)*(Data_Act="Ongoing")*(Data_Pcd=B14),MATCH(Data_Acro,Data_Acro,0),""))&gt;0,1))</f>
        <v>13</v>
      </c>
      <c r="R14">
        <f t="array" ref="R14">SUM(IF(FREQUENCY(IF((LEN(Data_Acro)&gt;0)*(Data_Pcd=B14),MATCH(Data_Acro,Data_Acro,0),""),IF((LEN(Data_Acro)&gt;0)*(Data_Pcd=B14),MATCH(Data_Acro,Data_Acro,0),""))&gt;0,1))</f>
        <v>13</v>
      </c>
      <c r="T14">
        <f t="shared" si="0"/>
        <v>3</v>
      </c>
      <c r="V14">
        <f>IF(INDEX(SectorCount0,9)=0,1,MATCH(INDEX(SectorCount0,9),SectorCountBins0,1)+1)</f>
        <v>4</v>
      </c>
      <c r="X14">
        <f>IF(INDEX(SectorCount1,9)=0,1,MATCH(INDEX(SectorCount1,9),SectorCountBins1,1)+1)</f>
        <v>4</v>
      </c>
      <c r="Z14">
        <f>IF(INDEX(SectorCount2,9)=0,1,MATCH(INDEX(SectorCount2,9),SectorCountBins2,1)+1)</f>
        <v>2</v>
      </c>
      <c r="AB14">
        <f>IF(INDEX(SectorCount3,9)=0,1,MATCH(INDEX(SectorCount3,9),SectorCountBins3,1)+1)</f>
        <v>2</v>
      </c>
      <c r="AD14">
        <f>IF(INDEX(SectorCount4,9)=0,1,MATCH(INDEX(SectorCount4,9),SectorCountBins4,1)+1)</f>
        <v>3</v>
      </c>
      <c r="AF14">
        <f>IF(INDEX(SectorCount5,9)=0,1,MATCH(INDEX(SectorCount5,9),SectorCountBins5,1)+1)</f>
        <v>2</v>
      </c>
      <c r="AH14">
        <f>IF(INDEX(SectorCount6,9)=0,1,MATCH(INDEX(SectorCount6,9),SectorCountBins6,1)+1)</f>
        <v>1</v>
      </c>
      <c r="AJ14">
        <f>IF(INDEX(SectorCount7,9)=0,1,MATCH(INDEX(SectorCount7,9),SectorCountBins7,1)+1)</f>
        <v>1</v>
      </c>
      <c r="AL14">
        <f>IF(INDEX(SectorCount8,9)=0,1,MATCH(INDEX(SectorCount8,9),SectorCountBins8,1)+1)</f>
        <v>1</v>
      </c>
      <c r="AN14">
        <f>IF(INDEX(SectorCount9,9)=0,1,MATCH(INDEX(SectorCount9,9),SectorCountBins9,1)+1)</f>
        <v>2</v>
      </c>
      <c r="AP14">
        <f>IF(INDEX(SectorCount10,9)=0,1,MATCH(INDEX(SectorCount10,9),SectorCountBins10,1)+1)</f>
        <v>2</v>
      </c>
      <c r="AR14">
        <f>IF(INDEX(SectorCount11,9)=0,1,MATCH(INDEX(SectorCount11,9),SectorCountBins11,1)+1)</f>
        <v>1</v>
      </c>
    </row>
    <row r="15" spans="1:45" x14ac:dyDescent="0.2">
      <c r="A15" t="s">
        <v>386</v>
      </c>
      <c r="B15" t="s">
        <v>387</v>
      </c>
      <c r="C15">
        <f>IF(Activity&lt;&gt;"All Programs",COUNTIFS(Data!$E:$E,C$5,Data!$G:$G,$A15,Data!$F:$F,Activity),COUNTIFS(Data!$E:$E,C$5,Data!$G:$G,$A15))</f>
        <v>8</v>
      </c>
      <c r="D15">
        <f>IF(Activity&lt;&gt;"All Programs",COUNTIFS(Data!$E:$E,D$5,Data!$G:$G,$A15,Data!$F:$F,Activity),COUNTIFS(Data!$E:$E,D$5,Data!$G:$G,$A15))</f>
        <v>8</v>
      </c>
      <c r="E15">
        <f>IF(Activity&lt;&gt;"All Programs",COUNTIFS(Data!$E:$E,E$5,Data!$G:$G,$A15,Data!$F:$F,Activity),COUNTIFS(Data!$E:$E,E$5,Data!$G:$G,$A15))</f>
        <v>1</v>
      </c>
      <c r="F15">
        <f>IF(Activity&lt;&gt;"All Programs",COUNTIFS(Data!$E:$E,F$5,Data!$G:$G,$A15,Data!$F:$F,Activity),COUNTIFS(Data!$E:$E,F$5,Data!$G:$G,$A15))</f>
        <v>1</v>
      </c>
      <c r="G15">
        <f>IF(Activity&lt;&gt;"All Programs",COUNTIFS(Data!$E:$E,G$5,Data!$G:$G,$A15,Data!$F:$F,Activity),COUNTIFS(Data!$E:$E,G$5,Data!$G:$G,$A15))</f>
        <v>3</v>
      </c>
      <c r="H15">
        <f>IF(Activity&lt;&gt;"All Programs",COUNTIFS(Data!$E:$E,H$5,Data!$G:$G,$A15,Data!$F:$F,Activity),COUNTIFS(Data!$E:$E,H$5,Data!$G:$G,$A15))</f>
        <v>2</v>
      </c>
      <c r="I15">
        <f>IF(Activity&lt;&gt;"All Programs",COUNTIFS(Data!$E:$E,I$5,Data!$G:$G,$A15,Data!$F:$F,Activity),COUNTIFS(Data!$E:$E,I$5,Data!$G:$G,$A15))</f>
        <v>2</v>
      </c>
      <c r="J15">
        <f>IF(Activity&lt;&gt;"All Programs",COUNTIFS(Data!$E:$E,J$5,Data!$G:$G,$A15,Data!$F:$F,Activity),COUNTIFS(Data!$E:$E,J$5,Data!$G:$G,$A15))</f>
        <v>0</v>
      </c>
      <c r="K15">
        <f>IF(Activity&lt;&gt;"All Programs",COUNTIFS(Data!$E:$E,K$5,Data!$G:$G,$A15,Data!$F:$F,Activity),COUNTIFS(Data!$E:$E,K$5,Data!$G:$G,$A15))</f>
        <v>0</v>
      </c>
      <c r="L15">
        <f>IF(Activity&lt;&gt;"All Programs",COUNTIFS(Data!$E:$E,L$5,Data!$G:$G,$A15,Data!$F:$F,Activity),COUNTIFS(Data!$E:$E,L$5,Data!$G:$G,$A15))</f>
        <v>2</v>
      </c>
      <c r="M15">
        <f>IF(Activity&lt;&gt;"All Programs",COUNTIFS(Data!$E:$E,M$5,Data!$G:$G,$A15,Data!$F:$F,Activity),COUNTIFS(Data!$E:$E,M$5,Data!$G:$G,$A15))</f>
        <v>6</v>
      </c>
      <c r="N15">
        <f>IF(Activity&lt;&gt;"All Programs",COUNTIFS(Data!$E:$E,N$5,Data!$G:$G,$A15,Data!$F:$F,Activity),COUNTIFS(Data!$E:$E,N$5,Data!$G:$G,$A15))</f>
        <v>2</v>
      </c>
      <c r="P15">
        <f t="array" ref="P15">SUM(IF(FREQUENCY(IF((LEN(Data_Acro)&gt;0)*(Data_Act="Planned")*(Data_Pcd=B15),MATCH(Data_Acro,Data_Acro,0),""),IF((LEN(Data_Acro)&gt;0)*(Data_Act="Planned")*(Data_Pcd=B15),MATCH(Data_Acro,Data_Acro,0),""))&gt;0,1))</f>
        <v>0</v>
      </c>
      <c r="Q15">
        <f t="array" ref="Q15">SUM(IF(FREQUENCY(IF((LEN(Data_Acro)&gt;0)*(Data_Act="Ongoing")*(Data_Pcd=B15),MATCH(Data_Acro,Data_Acro,0),""),IF((LEN(Data_Acro)&gt;0)*(Data_Act="Ongoing")*(Data_Pcd=B15),MATCH(Data_Acro,Data_Acro,0),""))&gt;0,1))</f>
        <v>18</v>
      </c>
      <c r="R15">
        <f t="array" ref="R15">SUM(IF(FREQUENCY(IF((LEN(Data_Acro)&gt;0)*(Data_Pcd=B15),MATCH(Data_Acro,Data_Acro,0),""),IF((LEN(Data_Acro)&gt;0)*(Data_Pcd=B15),MATCH(Data_Acro,Data_Acro,0),""))&gt;0,1))</f>
        <v>18</v>
      </c>
      <c r="T15">
        <f t="shared" si="0"/>
        <v>4</v>
      </c>
      <c r="V15">
        <f>IF(INDEX(SectorCount0,10)=0,1,MATCH(INDEX(SectorCount0,10),SectorCountBins0,1)+1)</f>
        <v>5</v>
      </c>
      <c r="X15">
        <f>IF(INDEX(SectorCount1,10)=0,1,MATCH(INDEX(SectorCount1,10),SectorCountBins1,1)+1)</f>
        <v>5</v>
      </c>
      <c r="Z15">
        <f>IF(INDEX(SectorCount2,10)=0,1,MATCH(INDEX(SectorCount2,10),SectorCountBins2,1)+1)</f>
        <v>2</v>
      </c>
      <c r="AB15">
        <f>IF(INDEX(SectorCount3,10)=0,1,MATCH(INDEX(SectorCount3,10),SectorCountBins3,1)+1)</f>
        <v>2</v>
      </c>
      <c r="AD15">
        <f>IF(INDEX(SectorCount4,10)=0,1,MATCH(INDEX(SectorCount4,10),SectorCountBins4,1)+1)</f>
        <v>3</v>
      </c>
      <c r="AF15">
        <f>IF(INDEX(SectorCount5,10)=0,1,MATCH(INDEX(SectorCount5,10),SectorCountBins5,1)+1)</f>
        <v>2</v>
      </c>
      <c r="AH15">
        <f>IF(INDEX(SectorCount6,10)=0,1,MATCH(INDEX(SectorCount6,10),SectorCountBins6,1)+1)</f>
        <v>2</v>
      </c>
      <c r="AJ15">
        <f>IF(INDEX(SectorCount7,10)=0,1,MATCH(INDEX(SectorCount7,10),SectorCountBins7,1)+1)</f>
        <v>1</v>
      </c>
      <c r="AL15">
        <f>IF(INDEX(SectorCount8,10)=0,1,MATCH(INDEX(SectorCount8,10),SectorCountBins8,1)+1)</f>
        <v>1</v>
      </c>
      <c r="AN15">
        <f>IF(INDEX(SectorCount9,10)=0,1,MATCH(INDEX(SectorCount9,10),SectorCountBins9,1)+1)</f>
        <v>2</v>
      </c>
      <c r="AP15">
        <f>IF(INDEX(SectorCount10,10)=0,1,MATCH(INDEX(SectorCount10,10),SectorCountBins10,1)+1)</f>
        <v>4</v>
      </c>
      <c r="AR15">
        <f>IF(INDEX(SectorCount11,10)=0,1,MATCH(INDEX(SectorCount11,10),SectorCountBins11,1)+1)</f>
        <v>2</v>
      </c>
    </row>
    <row r="16" spans="1:45" x14ac:dyDescent="0.2">
      <c r="A16" t="s">
        <v>388</v>
      </c>
      <c r="B16" t="s">
        <v>389</v>
      </c>
      <c r="C16">
        <f>IF(Activity&lt;&gt;"All Programs",COUNTIFS(Data!$E:$E,C$5,Data!$G:$G,$A16,Data!$F:$F,Activity),COUNTIFS(Data!$E:$E,C$5,Data!$G:$G,$A16))</f>
        <v>6</v>
      </c>
      <c r="D16">
        <f>IF(Activity&lt;&gt;"All Programs",COUNTIFS(Data!$E:$E,D$5,Data!$G:$G,$A16,Data!$F:$F,Activity),COUNTIFS(Data!$E:$E,D$5,Data!$G:$G,$A16))</f>
        <v>6</v>
      </c>
      <c r="E16">
        <f>IF(Activity&lt;&gt;"All Programs",COUNTIFS(Data!$E:$E,E$5,Data!$G:$G,$A16,Data!$F:$F,Activity),COUNTIFS(Data!$E:$E,E$5,Data!$G:$G,$A16))</f>
        <v>1</v>
      </c>
      <c r="F16">
        <f>IF(Activity&lt;&gt;"All Programs",COUNTIFS(Data!$E:$E,F$5,Data!$G:$G,$A16,Data!$F:$F,Activity),COUNTIFS(Data!$E:$E,F$5,Data!$G:$G,$A16))</f>
        <v>1</v>
      </c>
      <c r="G16">
        <f>IF(Activity&lt;&gt;"All Programs",COUNTIFS(Data!$E:$E,G$5,Data!$G:$G,$A16,Data!$F:$F,Activity),COUNTIFS(Data!$E:$E,G$5,Data!$G:$G,$A16))</f>
        <v>2</v>
      </c>
      <c r="H16">
        <f>IF(Activity&lt;&gt;"All Programs",COUNTIFS(Data!$E:$E,H$5,Data!$G:$G,$A16,Data!$F:$F,Activity),COUNTIFS(Data!$E:$E,H$5,Data!$G:$G,$A16))</f>
        <v>2</v>
      </c>
      <c r="I16">
        <f>IF(Activity&lt;&gt;"All Programs",COUNTIFS(Data!$E:$E,I$5,Data!$G:$G,$A16,Data!$F:$F,Activity),COUNTIFS(Data!$E:$E,I$5,Data!$G:$G,$A16))</f>
        <v>5</v>
      </c>
      <c r="J16">
        <f>IF(Activity&lt;&gt;"All Programs",COUNTIFS(Data!$E:$E,J$5,Data!$G:$G,$A16,Data!$F:$F,Activity),COUNTIFS(Data!$E:$E,J$5,Data!$G:$G,$A16))</f>
        <v>0</v>
      </c>
      <c r="K16">
        <f>IF(Activity&lt;&gt;"All Programs",COUNTIFS(Data!$E:$E,K$5,Data!$G:$G,$A16,Data!$F:$F,Activity),COUNTIFS(Data!$E:$E,K$5,Data!$G:$G,$A16))</f>
        <v>0</v>
      </c>
      <c r="L16">
        <f>IF(Activity&lt;&gt;"All Programs",COUNTIFS(Data!$E:$E,L$5,Data!$G:$G,$A16,Data!$F:$F,Activity),COUNTIFS(Data!$E:$E,L$5,Data!$G:$G,$A16))</f>
        <v>2</v>
      </c>
      <c r="M16">
        <f>IF(Activity&lt;&gt;"All Programs",COUNTIFS(Data!$E:$E,M$5,Data!$G:$G,$A16,Data!$F:$F,Activity),COUNTIFS(Data!$E:$E,M$5,Data!$G:$G,$A16))</f>
        <v>5</v>
      </c>
      <c r="N16">
        <f>IF(Activity&lt;&gt;"All Programs",COUNTIFS(Data!$E:$E,N$5,Data!$G:$G,$A16,Data!$F:$F,Activity),COUNTIFS(Data!$E:$E,N$5,Data!$G:$G,$A16))</f>
        <v>1</v>
      </c>
      <c r="P16">
        <f t="array" ref="P16">SUM(IF(FREQUENCY(IF((LEN(Data_Acro)&gt;0)*(Data_Act="Planned")*(Data_Pcd=B16),MATCH(Data_Acro,Data_Acro,0),""),IF((LEN(Data_Acro)&gt;0)*(Data_Act="Planned")*(Data_Pcd=B16),MATCH(Data_Acro,Data_Acro,0),""))&gt;0,1))</f>
        <v>0</v>
      </c>
      <c r="Q16">
        <f t="array" ref="Q16">SUM(IF(FREQUENCY(IF((LEN(Data_Acro)&gt;0)*(Data_Act="Ongoing")*(Data_Pcd=B16),MATCH(Data_Acro,Data_Acro,0),""),IF((LEN(Data_Acro)&gt;0)*(Data_Act="Ongoing")*(Data_Pcd=B16),MATCH(Data_Acro,Data_Acro,0),""))&gt;0,1))</f>
        <v>17</v>
      </c>
      <c r="R16">
        <f t="array" ref="R16">SUM(IF(FREQUENCY(IF((LEN(Data_Acro)&gt;0)*(Data_Pcd=B16),MATCH(Data_Acro,Data_Acro,0),""),IF((LEN(Data_Acro)&gt;0)*(Data_Pcd=B16),MATCH(Data_Acro,Data_Acro,0),""))&gt;0,1))</f>
        <v>17</v>
      </c>
      <c r="T16">
        <f t="shared" si="0"/>
        <v>4</v>
      </c>
      <c r="V16">
        <f>IF(INDEX(SectorCount0,11)=0,1,MATCH(INDEX(SectorCount0,11),SectorCountBins0,1)+1)</f>
        <v>4</v>
      </c>
      <c r="X16">
        <f>IF(INDEX(SectorCount1,11)=0,1,MATCH(INDEX(SectorCount1,11),SectorCountBins1,1)+1)</f>
        <v>4</v>
      </c>
      <c r="Z16">
        <f>IF(INDEX(SectorCount2,11)=0,1,MATCH(INDEX(SectorCount2,11),SectorCountBins2,1)+1)</f>
        <v>2</v>
      </c>
      <c r="AB16">
        <f>IF(INDEX(SectorCount3,11)=0,1,MATCH(INDEX(SectorCount3,11),SectorCountBins3,1)+1)</f>
        <v>2</v>
      </c>
      <c r="AD16">
        <f>IF(INDEX(SectorCount4,11)=0,1,MATCH(INDEX(SectorCount4,11),SectorCountBins4,1)+1)</f>
        <v>2</v>
      </c>
      <c r="AF16">
        <f>IF(INDEX(SectorCount5,11)=0,1,MATCH(INDEX(SectorCount5,11),SectorCountBins5,1)+1)</f>
        <v>2</v>
      </c>
      <c r="AH16">
        <f>IF(INDEX(SectorCount6,11)=0,1,MATCH(INDEX(SectorCount6,11),SectorCountBins6,1)+1)</f>
        <v>4</v>
      </c>
      <c r="AJ16">
        <f>IF(INDEX(SectorCount7,11)=0,1,MATCH(INDEX(SectorCount7,11),SectorCountBins7,1)+1)</f>
        <v>1</v>
      </c>
      <c r="AL16">
        <f>IF(INDEX(SectorCount8,11)=0,1,MATCH(INDEX(SectorCount8,11),SectorCountBins8,1)+1)</f>
        <v>1</v>
      </c>
      <c r="AN16">
        <f>IF(INDEX(SectorCount9,11)=0,1,MATCH(INDEX(SectorCount9,11),SectorCountBins9,1)+1)</f>
        <v>2</v>
      </c>
      <c r="AP16">
        <f>IF(INDEX(SectorCount10,11)=0,1,MATCH(INDEX(SectorCount10,11),SectorCountBins10,1)+1)</f>
        <v>4</v>
      </c>
      <c r="AR16">
        <f>IF(INDEX(SectorCount11,11)=0,1,MATCH(INDEX(SectorCount11,11),SectorCountBins11,1)+1)</f>
        <v>2</v>
      </c>
    </row>
    <row r="17" spans="1:44" x14ac:dyDescent="0.2">
      <c r="A17" t="s">
        <v>390</v>
      </c>
      <c r="B17" t="s">
        <v>391</v>
      </c>
      <c r="C17">
        <f>IF(Activity&lt;&gt;"All Programs",COUNTIFS(Data!$E:$E,C$5,Data!$G:$G,$A17,Data!$F:$F,Activity),COUNTIFS(Data!$E:$E,C$5,Data!$G:$G,$A17))</f>
        <v>5</v>
      </c>
      <c r="D17">
        <f>IF(Activity&lt;&gt;"All Programs",COUNTIFS(Data!$E:$E,D$5,Data!$G:$G,$A17,Data!$F:$F,Activity),COUNTIFS(Data!$E:$E,D$5,Data!$G:$G,$A17))</f>
        <v>8</v>
      </c>
      <c r="E17">
        <f>IF(Activity&lt;&gt;"All Programs",COUNTIFS(Data!$E:$E,E$5,Data!$G:$G,$A17,Data!$F:$F,Activity),COUNTIFS(Data!$E:$E,E$5,Data!$G:$G,$A17))</f>
        <v>1</v>
      </c>
      <c r="F17">
        <f>IF(Activity&lt;&gt;"All Programs",COUNTIFS(Data!$E:$E,F$5,Data!$G:$G,$A17,Data!$F:$F,Activity),COUNTIFS(Data!$E:$E,F$5,Data!$G:$G,$A17))</f>
        <v>1</v>
      </c>
      <c r="G17">
        <f>IF(Activity&lt;&gt;"All Programs",COUNTIFS(Data!$E:$E,G$5,Data!$G:$G,$A17,Data!$F:$F,Activity),COUNTIFS(Data!$E:$E,G$5,Data!$G:$G,$A17))</f>
        <v>2</v>
      </c>
      <c r="H17">
        <f>IF(Activity&lt;&gt;"All Programs",COUNTIFS(Data!$E:$E,H$5,Data!$G:$G,$A17,Data!$F:$F,Activity),COUNTIFS(Data!$E:$E,H$5,Data!$G:$G,$A17))</f>
        <v>1</v>
      </c>
      <c r="I17">
        <f>IF(Activity&lt;&gt;"All Programs",COUNTIFS(Data!$E:$E,I$5,Data!$G:$G,$A17,Data!$F:$F,Activity),COUNTIFS(Data!$E:$E,I$5,Data!$G:$G,$A17))</f>
        <v>0</v>
      </c>
      <c r="J17">
        <f>IF(Activity&lt;&gt;"All Programs",COUNTIFS(Data!$E:$E,J$5,Data!$G:$G,$A17,Data!$F:$F,Activity),COUNTIFS(Data!$E:$E,J$5,Data!$G:$G,$A17))</f>
        <v>0</v>
      </c>
      <c r="K17">
        <f>IF(Activity&lt;&gt;"All Programs",COUNTIFS(Data!$E:$E,K$5,Data!$G:$G,$A17,Data!$F:$F,Activity),COUNTIFS(Data!$E:$E,K$5,Data!$G:$G,$A17))</f>
        <v>0</v>
      </c>
      <c r="L17">
        <f>IF(Activity&lt;&gt;"All Programs",COUNTIFS(Data!$E:$E,L$5,Data!$G:$G,$A17,Data!$F:$F,Activity),COUNTIFS(Data!$E:$E,L$5,Data!$G:$G,$A17))</f>
        <v>1</v>
      </c>
      <c r="M17">
        <f>IF(Activity&lt;&gt;"All Programs",COUNTIFS(Data!$E:$E,M$5,Data!$G:$G,$A17,Data!$F:$F,Activity),COUNTIFS(Data!$E:$E,M$5,Data!$G:$G,$A17))</f>
        <v>6</v>
      </c>
      <c r="N17">
        <f>IF(Activity&lt;&gt;"All Programs",COUNTIFS(Data!$E:$E,N$5,Data!$G:$G,$A17,Data!$F:$F,Activity),COUNTIFS(Data!$E:$E,N$5,Data!$G:$G,$A17))</f>
        <v>0</v>
      </c>
      <c r="P17">
        <f t="array" ref="P17">SUM(IF(FREQUENCY(IF((LEN(Data_Acro)&gt;0)*(Data_Act="Planned")*(Data_Pcd=B17),MATCH(Data_Acro,Data_Acro,0),""),IF((LEN(Data_Acro)&gt;0)*(Data_Act="Planned")*(Data_Pcd=B17),MATCH(Data_Acro,Data_Acro,0),""))&gt;0,1))</f>
        <v>0</v>
      </c>
      <c r="Q17">
        <f t="array" ref="Q17">SUM(IF(FREQUENCY(IF((LEN(Data_Acro)&gt;0)*(Data_Act="Ongoing")*(Data_Pcd=B17),MATCH(Data_Acro,Data_Acro,0),""),IF((LEN(Data_Acro)&gt;0)*(Data_Act="Ongoing")*(Data_Pcd=B17),MATCH(Data_Acro,Data_Acro,0),""))&gt;0,1))</f>
        <v>15</v>
      </c>
      <c r="R17">
        <f t="array" ref="R17">SUM(IF(FREQUENCY(IF((LEN(Data_Acro)&gt;0)*(Data_Pcd=B17),MATCH(Data_Acro,Data_Acro,0),""),IF((LEN(Data_Acro)&gt;0)*(Data_Pcd=B17),MATCH(Data_Acro,Data_Acro,0),""))&gt;0,1))</f>
        <v>15</v>
      </c>
      <c r="T17">
        <f t="shared" si="0"/>
        <v>3</v>
      </c>
      <c r="V17">
        <f>IF(INDEX(SectorCount0,12)=0,1,MATCH(INDEX(SectorCount0,12),SectorCountBins0,1)+1)</f>
        <v>4</v>
      </c>
      <c r="X17">
        <f>IF(INDEX(SectorCount1,12)=0,1,MATCH(INDEX(SectorCount1,12),SectorCountBins1,1)+1)</f>
        <v>5</v>
      </c>
      <c r="Z17">
        <f>IF(INDEX(SectorCount2,12)=0,1,MATCH(INDEX(SectorCount2,12),SectorCountBins2,1)+1)</f>
        <v>2</v>
      </c>
      <c r="AB17">
        <f>IF(INDEX(SectorCount3,12)=0,1,MATCH(INDEX(SectorCount3,12),SectorCountBins3,1)+1)</f>
        <v>2</v>
      </c>
      <c r="AD17">
        <f>IF(INDEX(SectorCount4,12)=0,1,MATCH(INDEX(SectorCount4,12),SectorCountBins4,1)+1)</f>
        <v>2</v>
      </c>
      <c r="AF17">
        <f>IF(INDEX(SectorCount5,12)=0,1,MATCH(INDEX(SectorCount5,12),SectorCountBins5,1)+1)</f>
        <v>2</v>
      </c>
      <c r="AH17">
        <f>IF(INDEX(SectorCount6,12)=0,1,MATCH(INDEX(SectorCount6,12),SectorCountBins6,1)+1)</f>
        <v>1</v>
      </c>
      <c r="AJ17">
        <f>IF(INDEX(SectorCount7,12)=0,1,MATCH(INDEX(SectorCount7,12),SectorCountBins7,1)+1)</f>
        <v>1</v>
      </c>
      <c r="AL17">
        <f>IF(INDEX(SectorCount8,12)=0,1,MATCH(INDEX(SectorCount8,12),SectorCountBins8,1)+1)</f>
        <v>1</v>
      </c>
      <c r="AN17">
        <f>IF(INDEX(SectorCount9,12)=0,1,MATCH(INDEX(SectorCount9,12),SectorCountBins9,1)+1)</f>
        <v>2</v>
      </c>
      <c r="AP17">
        <f>IF(INDEX(SectorCount10,12)=0,1,MATCH(INDEX(SectorCount10,12),SectorCountBins10,1)+1)</f>
        <v>4</v>
      </c>
      <c r="AR17">
        <f>IF(INDEX(SectorCount11,12)=0,1,MATCH(INDEX(SectorCount11,12),SectorCountBins11,1)+1)</f>
        <v>1</v>
      </c>
    </row>
    <row r="18" spans="1:44" x14ac:dyDescent="0.2">
      <c r="A18" t="s">
        <v>392</v>
      </c>
      <c r="B18" t="s">
        <v>393</v>
      </c>
      <c r="C18">
        <f>IF(Activity&lt;&gt;"All Programs",COUNTIFS(Data!$E:$E,C$5,Data!$G:$G,$A18,Data!$F:$F,Activity),COUNTIFS(Data!$E:$E,C$5,Data!$G:$G,$A18))</f>
        <v>5</v>
      </c>
      <c r="D18">
        <f>IF(Activity&lt;&gt;"All Programs",COUNTIFS(Data!$E:$E,D$5,Data!$G:$G,$A18,Data!$F:$F,Activity),COUNTIFS(Data!$E:$E,D$5,Data!$G:$G,$A18))</f>
        <v>6</v>
      </c>
      <c r="E18">
        <f>IF(Activity&lt;&gt;"All Programs",COUNTIFS(Data!$E:$E,E$5,Data!$G:$G,$A18,Data!$F:$F,Activity),COUNTIFS(Data!$E:$E,E$5,Data!$G:$G,$A18))</f>
        <v>1</v>
      </c>
      <c r="F18">
        <f>IF(Activity&lt;&gt;"All Programs",COUNTIFS(Data!$E:$E,F$5,Data!$G:$G,$A18,Data!$F:$F,Activity),COUNTIFS(Data!$E:$E,F$5,Data!$G:$G,$A18))</f>
        <v>1</v>
      </c>
      <c r="G18">
        <f>IF(Activity&lt;&gt;"All Programs",COUNTIFS(Data!$E:$E,G$5,Data!$G:$G,$A18,Data!$F:$F,Activity),COUNTIFS(Data!$E:$E,G$5,Data!$G:$G,$A18))</f>
        <v>3</v>
      </c>
      <c r="H18">
        <f>IF(Activity&lt;&gt;"All Programs",COUNTIFS(Data!$E:$E,H$5,Data!$G:$G,$A18,Data!$F:$F,Activity),COUNTIFS(Data!$E:$E,H$5,Data!$G:$G,$A18))</f>
        <v>2</v>
      </c>
      <c r="I18">
        <f>IF(Activity&lt;&gt;"All Programs",COUNTIFS(Data!$E:$E,I$5,Data!$G:$G,$A18,Data!$F:$F,Activity),COUNTIFS(Data!$E:$E,I$5,Data!$G:$G,$A18))</f>
        <v>1</v>
      </c>
      <c r="J18">
        <f>IF(Activity&lt;&gt;"All Programs",COUNTIFS(Data!$E:$E,J$5,Data!$G:$G,$A18,Data!$F:$F,Activity),COUNTIFS(Data!$E:$E,J$5,Data!$G:$G,$A18))</f>
        <v>4</v>
      </c>
      <c r="K18">
        <f>IF(Activity&lt;&gt;"All Programs",COUNTIFS(Data!$E:$E,K$5,Data!$G:$G,$A18,Data!$F:$F,Activity),COUNTIFS(Data!$E:$E,K$5,Data!$G:$G,$A18))</f>
        <v>0</v>
      </c>
      <c r="L18">
        <f>IF(Activity&lt;&gt;"All Programs",COUNTIFS(Data!$E:$E,L$5,Data!$G:$G,$A18,Data!$F:$F,Activity),COUNTIFS(Data!$E:$E,L$5,Data!$G:$G,$A18))</f>
        <v>0</v>
      </c>
      <c r="M18">
        <f>IF(Activity&lt;&gt;"All Programs",COUNTIFS(Data!$E:$E,M$5,Data!$G:$G,$A18,Data!$F:$F,Activity),COUNTIFS(Data!$E:$E,M$5,Data!$G:$G,$A18))</f>
        <v>2</v>
      </c>
      <c r="N18">
        <f>IF(Activity&lt;&gt;"All Programs",COUNTIFS(Data!$E:$E,N$5,Data!$G:$G,$A18,Data!$F:$F,Activity),COUNTIFS(Data!$E:$E,N$5,Data!$G:$G,$A18))</f>
        <v>1</v>
      </c>
      <c r="P18">
        <f t="array" ref="P18">SUM(IF(FREQUENCY(IF((LEN(Data_Acro)&gt;0)*(Data_Act="Planned")*(Data_Pcd=B18),MATCH(Data_Acro,Data_Acro,0),""),IF((LEN(Data_Acro)&gt;0)*(Data_Act="Planned")*(Data_Pcd=B18),MATCH(Data_Acro,Data_Acro,0),""))&gt;0,1))</f>
        <v>0</v>
      </c>
      <c r="Q18">
        <f t="array" ref="Q18">SUM(IF(FREQUENCY(IF((LEN(Data_Acro)&gt;0)*(Data_Act="Ongoing")*(Data_Pcd=B18),MATCH(Data_Acro,Data_Acro,0),""),IF((LEN(Data_Acro)&gt;0)*(Data_Act="Ongoing")*(Data_Pcd=B18),MATCH(Data_Acro,Data_Acro,0),""))&gt;0,1))</f>
        <v>14</v>
      </c>
      <c r="R18">
        <f t="array" ref="R18">SUM(IF(FREQUENCY(IF((LEN(Data_Acro)&gt;0)*(Data_Pcd=B18),MATCH(Data_Acro,Data_Acro,0),""),IF((LEN(Data_Acro)&gt;0)*(Data_Pcd=B18),MATCH(Data_Acro,Data_Acro,0),""))&gt;0,1))</f>
        <v>14</v>
      </c>
      <c r="T18">
        <f t="shared" si="0"/>
        <v>3</v>
      </c>
      <c r="V18">
        <f>IF(INDEX(SectorCount0,13)=0,1,MATCH(INDEX(SectorCount0,13),SectorCountBins0,1)+1)</f>
        <v>4</v>
      </c>
      <c r="X18">
        <f>IF(INDEX(SectorCount1,13)=0,1,MATCH(INDEX(SectorCount1,13),SectorCountBins1,1)+1)</f>
        <v>4</v>
      </c>
      <c r="Z18">
        <f>IF(INDEX(SectorCount2,13)=0,1,MATCH(INDEX(SectorCount2,13),SectorCountBins2,1)+1)</f>
        <v>2</v>
      </c>
      <c r="AB18">
        <f>IF(INDEX(SectorCount3,13)=0,1,MATCH(INDEX(SectorCount3,13),SectorCountBins3,1)+1)</f>
        <v>2</v>
      </c>
      <c r="AD18">
        <f>IF(INDEX(SectorCount4,13)=0,1,MATCH(INDEX(SectorCount4,13),SectorCountBins4,1)+1)</f>
        <v>3</v>
      </c>
      <c r="AF18">
        <f>IF(INDEX(SectorCount5,13)=0,1,MATCH(INDEX(SectorCount5,13),SectorCountBins5,1)+1)</f>
        <v>2</v>
      </c>
      <c r="AH18">
        <f>IF(INDEX(SectorCount6,13)=0,1,MATCH(INDEX(SectorCount6,13),SectorCountBins6,1)+1)</f>
        <v>2</v>
      </c>
      <c r="AJ18">
        <f>IF(INDEX(SectorCount7,13)=0,1,MATCH(INDEX(SectorCount7,13),SectorCountBins7,1)+1)</f>
        <v>3</v>
      </c>
      <c r="AL18">
        <f>IF(INDEX(SectorCount8,13)=0,1,MATCH(INDEX(SectorCount8,13),SectorCountBins8,1)+1)</f>
        <v>1</v>
      </c>
      <c r="AN18">
        <f>IF(INDEX(SectorCount9,13)=0,1,MATCH(INDEX(SectorCount9,13),SectorCountBins9,1)+1)</f>
        <v>1</v>
      </c>
      <c r="AP18">
        <f>IF(INDEX(SectorCount10,13)=0,1,MATCH(INDEX(SectorCount10,13),SectorCountBins10,1)+1)</f>
        <v>2</v>
      </c>
      <c r="AR18">
        <f>IF(INDEX(SectorCount11,13)=0,1,MATCH(INDEX(SectorCount11,13),SectorCountBins11,1)+1)</f>
        <v>2</v>
      </c>
    </row>
    <row r="19" spans="1:44" x14ac:dyDescent="0.2">
      <c r="A19" t="s">
        <v>394</v>
      </c>
      <c r="B19" t="s">
        <v>395</v>
      </c>
      <c r="C19">
        <f>IF(Activity&lt;&gt;"All Programs",COUNTIFS(Data!$E:$E,C$5,Data!$G:$G,$A19,Data!$F:$F,Activity),COUNTIFS(Data!$E:$E,C$5,Data!$G:$G,$A19))</f>
        <v>6</v>
      </c>
      <c r="D19">
        <f>IF(Activity&lt;&gt;"All Programs",COUNTIFS(Data!$E:$E,D$5,Data!$G:$G,$A19,Data!$F:$F,Activity),COUNTIFS(Data!$E:$E,D$5,Data!$G:$G,$A19))</f>
        <v>6</v>
      </c>
      <c r="E19">
        <f>IF(Activity&lt;&gt;"All Programs",COUNTIFS(Data!$E:$E,E$5,Data!$G:$G,$A19,Data!$F:$F,Activity),COUNTIFS(Data!$E:$E,E$5,Data!$G:$G,$A19))</f>
        <v>1</v>
      </c>
      <c r="F19">
        <f>IF(Activity&lt;&gt;"All Programs",COUNTIFS(Data!$E:$E,F$5,Data!$G:$G,$A19,Data!$F:$F,Activity),COUNTIFS(Data!$E:$E,F$5,Data!$G:$G,$A19))</f>
        <v>1</v>
      </c>
      <c r="G19">
        <f>IF(Activity&lt;&gt;"All Programs",COUNTIFS(Data!$E:$E,G$5,Data!$G:$G,$A19,Data!$F:$F,Activity),COUNTIFS(Data!$E:$E,G$5,Data!$G:$G,$A19))</f>
        <v>2</v>
      </c>
      <c r="H19">
        <f>IF(Activity&lt;&gt;"All Programs",COUNTIFS(Data!$E:$E,H$5,Data!$G:$G,$A19,Data!$F:$F,Activity),COUNTIFS(Data!$E:$E,H$5,Data!$G:$G,$A19))</f>
        <v>2</v>
      </c>
      <c r="I19">
        <f>IF(Activity&lt;&gt;"All Programs",COUNTIFS(Data!$E:$E,I$5,Data!$G:$G,$A19,Data!$F:$F,Activity),COUNTIFS(Data!$E:$E,I$5,Data!$G:$G,$A19))</f>
        <v>1</v>
      </c>
      <c r="J19">
        <f>IF(Activity&lt;&gt;"All Programs",COUNTIFS(Data!$E:$E,J$5,Data!$G:$G,$A19,Data!$F:$F,Activity),COUNTIFS(Data!$E:$E,J$5,Data!$G:$G,$A19))</f>
        <v>0</v>
      </c>
      <c r="K19">
        <f>IF(Activity&lt;&gt;"All Programs",COUNTIFS(Data!$E:$E,K$5,Data!$G:$G,$A19,Data!$F:$F,Activity),COUNTIFS(Data!$E:$E,K$5,Data!$G:$G,$A19))</f>
        <v>1</v>
      </c>
      <c r="L19">
        <f>IF(Activity&lt;&gt;"All Programs",COUNTIFS(Data!$E:$E,L$5,Data!$G:$G,$A19,Data!$F:$F,Activity),COUNTIFS(Data!$E:$E,L$5,Data!$G:$G,$A19))</f>
        <v>1</v>
      </c>
      <c r="M19">
        <f>IF(Activity&lt;&gt;"All Programs",COUNTIFS(Data!$E:$E,M$5,Data!$G:$G,$A19,Data!$F:$F,Activity),COUNTIFS(Data!$E:$E,M$5,Data!$G:$G,$A19))</f>
        <v>5</v>
      </c>
      <c r="N19">
        <f>IF(Activity&lt;&gt;"All Programs",COUNTIFS(Data!$E:$E,N$5,Data!$G:$G,$A19,Data!$F:$F,Activity),COUNTIFS(Data!$E:$E,N$5,Data!$G:$G,$A19))</f>
        <v>0</v>
      </c>
      <c r="P19">
        <f t="array" ref="P19">SUM(IF(FREQUENCY(IF((LEN(Data_Acro)&gt;0)*(Data_Act="Planned")*(Data_Pcd=B19),MATCH(Data_Acro,Data_Acro,0),""),IF((LEN(Data_Acro)&gt;0)*(Data_Act="Planned")*(Data_Pcd=B19),MATCH(Data_Acro,Data_Acro,0),""))&gt;0,1))</f>
        <v>0</v>
      </c>
      <c r="Q19">
        <f t="array" ref="Q19">SUM(IF(FREQUENCY(IF((LEN(Data_Acro)&gt;0)*(Data_Act="Ongoing")*(Data_Pcd=B19),MATCH(Data_Acro,Data_Acro,0),""),IF((LEN(Data_Acro)&gt;0)*(Data_Act="Ongoing")*(Data_Pcd=B19),MATCH(Data_Acro,Data_Acro,0),""))&gt;0,1))</f>
        <v>14</v>
      </c>
      <c r="R19">
        <f t="array" ref="R19">SUM(IF(FREQUENCY(IF((LEN(Data_Acro)&gt;0)*(Data_Pcd=B19),MATCH(Data_Acro,Data_Acro,0),""),IF((LEN(Data_Acro)&gt;0)*(Data_Pcd=B19),MATCH(Data_Acro,Data_Acro,0),""))&gt;0,1))</f>
        <v>14</v>
      </c>
      <c r="T19">
        <f t="shared" si="0"/>
        <v>3</v>
      </c>
      <c r="V19">
        <f>IF(INDEX(SectorCount0,14)=0,1,MATCH(INDEX(SectorCount0,14),SectorCountBins0,1)+1)</f>
        <v>4</v>
      </c>
      <c r="X19">
        <f>IF(INDEX(SectorCount1,14)=0,1,MATCH(INDEX(SectorCount1,14),SectorCountBins1,1)+1)</f>
        <v>4</v>
      </c>
      <c r="Z19">
        <f>IF(INDEX(SectorCount2,14)=0,1,MATCH(INDEX(SectorCount2,14),SectorCountBins2,1)+1)</f>
        <v>2</v>
      </c>
      <c r="AB19">
        <f>IF(INDEX(SectorCount3,14)=0,1,MATCH(INDEX(SectorCount3,14),SectorCountBins3,1)+1)</f>
        <v>2</v>
      </c>
      <c r="AD19">
        <f>IF(INDEX(SectorCount4,14)=0,1,MATCH(INDEX(SectorCount4,14),SectorCountBins4,1)+1)</f>
        <v>2</v>
      </c>
      <c r="AF19">
        <f>IF(INDEX(SectorCount5,14)=0,1,MATCH(INDEX(SectorCount5,14),SectorCountBins5,1)+1)</f>
        <v>2</v>
      </c>
      <c r="AH19">
        <f>IF(INDEX(SectorCount6,14)=0,1,MATCH(INDEX(SectorCount6,14),SectorCountBins6,1)+1)</f>
        <v>2</v>
      </c>
      <c r="AJ19">
        <f>IF(INDEX(SectorCount7,14)=0,1,MATCH(INDEX(SectorCount7,14),SectorCountBins7,1)+1)</f>
        <v>1</v>
      </c>
      <c r="AL19">
        <f>IF(INDEX(SectorCount8,14)=0,1,MATCH(INDEX(SectorCount8,14),SectorCountBins8,1)+1)</f>
        <v>2</v>
      </c>
      <c r="AN19">
        <f>IF(INDEX(SectorCount9,14)=0,1,MATCH(INDEX(SectorCount9,14),SectorCountBins9,1)+1)</f>
        <v>2</v>
      </c>
      <c r="AP19">
        <f>IF(INDEX(SectorCount10,14)=0,1,MATCH(INDEX(SectorCount10,14),SectorCountBins10,1)+1)</f>
        <v>4</v>
      </c>
      <c r="AR19">
        <f>IF(INDEX(SectorCount11,14)=0,1,MATCH(INDEX(SectorCount11,14),SectorCountBins11,1)+1)</f>
        <v>1</v>
      </c>
    </row>
    <row r="20" spans="1:44" x14ac:dyDescent="0.2">
      <c r="A20" t="s">
        <v>396</v>
      </c>
      <c r="B20" t="s">
        <v>397</v>
      </c>
      <c r="C20">
        <f>IF(Activity&lt;&gt;"All Programs",COUNTIFS(Data!$E:$E,C$5,Data!$G:$G,$A20,Data!$F:$F,Activity),COUNTIFS(Data!$E:$E,C$5,Data!$G:$G,$A20))</f>
        <v>8</v>
      </c>
      <c r="D20">
        <f>IF(Activity&lt;&gt;"All Programs",COUNTIFS(Data!$E:$E,D$5,Data!$G:$G,$A20,Data!$F:$F,Activity),COUNTIFS(Data!$E:$E,D$5,Data!$G:$G,$A20))</f>
        <v>6</v>
      </c>
      <c r="E20">
        <f>IF(Activity&lt;&gt;"All Programs",COUNTIFS(Data!$E:$E,E$5,Data!$G:$G,$A20,Data!$F:$F,Activity),COUNTIFS(Data!$E:$E,E$5,Data!$G:$G,$A20))</f>
        <v>1</v>
      </c>
      <c r="F20">
        <f>IF(Activity&lt;&gt;"All Programs",COUNTIFS(Data!$E:$E,F$5,Data!$G:$G,$A20,Data!$F:$F,Activity),COUNTIFS(Data!$E:$E,F$5,Data!$G:$G,$A20))</f>
        <v>1</v>
      </c>
      <c r="G20">
        <f>IF(Activity&lt;&gt;"All Programs",COUNTIFS(Data!$E:$E,G$5,Data!$G:$G,$A20,Data!$F:$F,Activity),COUNTIFS(Data!$E:$E,G$5,Data!$G:$G,$A20))</f>
        <v>3</v>
      </c>
      <c r="H20">
        <f>IF(Activity&lt;&gt;"All Programs",COUNTIFS(Data!$E:$E,H$5,Data!$G:$G,$A20,Data!$F:$F,Activity),COUNTIFS(Data!$E:$E,H$5,Data!$G:$G,$A20))</f>
        <v>1</v>
      </c>
      <c r="I20">
        <f>IF(Activity&lt;&gt;"All Programs",COUNTIFS(Data!$E:$E,I$5,Data!$G:$G,$A20,Data!$F:$F,Activity),COUNTIFS(Data!$E:$E,I$5,Data!$G:$G,$A20))</f>
        <v>4</v>
      </c>
      <c r="J20">
        <f>IF(Activity&lt;&gt;"All Programs",COUNTIFS(Data!$E:$E,J$5,Data!$G:$G,$A20,Data!$F:$F,Activity),COUNTIFS(Data!$E:$E,J$5,Data!$G:$G,$A20))</f>
        <v>0</v>
      </c>
      <c r="K20">
        <f>IF(Activity&lt;&gt;"All Programs",COUNTIFS(Data!$E:$E,K$5,Data!$G:$G,$A20,Data!$F:$F,Activity),COUNTIFS(Data!$E:$E,K$5,Data!$G:$G,$A20))</f>
        <v>0</v>
      </c>
      <c r="L20">
        <f>IF(Activity&lt;&gt;"All Programs",COUNTIFS(Data!$E:$E,L$5,Data!$G:$G,$A20,Data!$F:$F,Activity),COUNTIFS(Data!$E:$E,L$5,Data!$G:$G,$A20))</f>
        <v>2</v>
      </c>
      <c r="M20">
        <f>IF(Activity&lt;&gt;"All Programs",COUNTIFS(Data!$E:$E,M$5,Data!$G:$G,$A20,Data!$F:$F,Activity),COUNTIFS(Data!$E:$E,M$5,Data!$G:$G,$A20))</f>
        <v>6</v>
      </c>
      <c r="N20">
        <f>IF(Activity&lt;&gt;"All Programs",COUNTIFS(Data!$E:$E,N$5,Data!$G:$G,$A20,Data!$F:$F,Activity),COUNTIFS(Data!$E:$E,N$5,Data!$G:$G,$A20))</f>
        <v>1</v>
      </c>
      <c r="P20">
        <f t="array" ref="P20">SUM(IF(FREQUENCY(IF((LEN(Data_Acro)&gt;0)*(Data_Act="Planned")*(Data_Pcd=B20),MATCH(Data_Acro,Data_Acro,0),""),IF((LEN(Data_Acro)&gt;0)*(Data_Act="Planned")*(Data_Pcd=B20),MATCH(Data_Acro,Data_Acro,0),""))&gt;0,1))</f>
        <v>0</v>
      </c>
      <c r="Q20">
        <f t="array" ref="Q20">SUM(IF(FREQUENCY(IF((LEN(Data_Acro)&gt;0)*(Data_Act="Ongoing")*(Data_Pcd=B20),MATCH(Data_Acro,Data_Acro,0),""),IF((LEN(Data_Acro)&gt;0)*(Data_Act="Ongoing")*(Data_Pcd=B20),MATCH(Data_Acro,Data_Acro,0),""))&gt;0,1))</f>
        <v>19</v>
      </c>
      <c r="R20">
        <f t="array" ref="R20">SUM(IF(FREQUENCY(IF((LEN(Data_Acro)&gt;0)*(Data_Pcd=B20),MATCH(Data_Acro,Data_Acro,0),""),IF((LEN(Data_Acro)&gt;0)*(Data_Pcd=B20),MATCH(Data_Acro,Data_Acro,0),""))&gt;0,1))</f>
        <v>19</v>
      </c>
      <c r="T20">
        <f t="shared" si="0"/>
        <v>5</v>
      </c>
      <c r="V20">
        <f>IF(INDEX(SectorCount0,15)=0,1,MATCH(INDEX(SectorCount0,15),SectorCountBins0,1)+1)</f>
        <v>5</v>
      </c>
      <c r="X20">
        <f>IF(INDEX(SectorCount1,15)=0,1,MATCH(INDEX(SectorCount1,15),SectorCountBins1,1)+1)</f>
        <v>4</v>
      </c>
      <c r="Z20">
        <f>IF(INDEX(SectorCount2,15)=0,1,MATCH(INDEX(SectorCount2,15),SectorCountBins2,1)+1)</f>
        <v>2</v>
      </c>
      <c r="AB20">
        <f>IF(INDEX(SectorCount3,15)=0,1,MATCH(INDEX(SectorCount3,15),SectorCountBins3,1)+1)</f>
        <v>2</v>
      </c>
      <c r="AD20">
        <f>IF(INDEX(SectorCount4,15)=0,1,MATCH(INDEX(SectorCount4,15),SectorCountBins4,1)+1)</f>
        <v>3</v>
      </c>
      <c r="AF20">
        <f>IF(INDEX(SectorCount5,15)=0,1,MATCH(INDEX(SectorCount5,15),SectorCountBins5,1)+1)</f>
        <v>2</v>
      </c>
      <c r="AH20">
        <f>IF(INDEX(SectorCount6,15)=0,1,MATCH(INDEX(SectorCount6,15),SectorCountBins6,1)+1)</f>
        <v>3</v>
      </c>
      <c r="AJ20">
        <f>IF(INDEX(SectorCount7,15)=0,1,MATCH(INDEX(SectorCount7,15),SectorCountBins7,1)+1)</f>
        <v>1</v>
      </c>
      <c r="AL20">
        <f>IF(INDEX(SectorCount8,15)=0,1,MATCH(INDEX(SectorCount8,15),SectorCountBins8,1)+1)</f>
        <v>1</v>
      </c>
      <c r="AN20">
        <f>IF(INDEX(SectorCount9,15)=0,1,MATCH(INDEX(SectorCount9,15),SectorCountBins9,1)+1)</f>
        <v>2</v>
      </c>
      <c r="AP20">
        <f>IF(INDEX(SectorCount10,15)=0,1,MATCH(INDEX(SectorCount10,15),SectorCountBins10,1)+1)</f>
        <v>4</v>
      </c>
      <c r="AR20">
        <f>IF(INDEX(SectorCount11,15)=0,1,MATCH(INDEX(SectorCount11,15),SectorCountBins11,1)+1)</f>
        <v>2</v>
      </c>
    </row>
    <row r="21" spans="1:44" x14ac:dyDescent="0.2">
      <c r="A21" t="s">
        <v>398</v>
      </c>
      <c r="B21" t="s">
        <v>399</v>
      </c>
      <c r="C21">
        <f>IF(Activity&lt;&gt;"All Programs",COUNTIFS(Data!$E:$E,C$5,Data!$G:$G,$A21,Data!$F:$F,Activity),COUNTIFS(Data!$E:$E,C$5,Data!$G:$G,$A21))</f>
        <v>6</v>
      </c>
      <c r="D21">
        <f>IF(Activity&lt;&gt;"All Programs",COUNTIFS(Data!$E:$E,D$5,Data!$G:$G,$A21,Data!$F:$F,Activity),COUNTIFS(Data!$E:$E,D$5,Data!$G:$G,$A21))</f>
        <v>6</v>
      </c>
      <c r="E21">
        <f>IF(Activity&lt;&gt;"All Programs",COUNTIFS(Data!$E:$E,E$5,Data!$G:$G,$A21,Data!$F:$F,Activity),COUNTIFS(Data!$E:$E,E$5,Data!$G:$G,$A21))</f>
        <v>1</v>
      </c>
      <c r="F21">
        <f>IF(Activity&lt;&gt;"All Programs",COUNTIFS(Data!$E:$E,F$5,Data!$G:$G,$A21,Data!$F:$F,Activity),COUNTIFS(Data!$E:$E,F$5,Data!$G:$G,$A21))</f>
        <v>1</v>
      </c>
      <c r="G21">
        <f>IF(Activity&lt;&gt;"All Programs",COUNTIFS(Data!$E:$E,G$5,Data!$G:$G,$A21,Data!$F:$F,Activity),COUNTIFS(Data!$E:$E,G$5,Data!$G:$G,$A21))</f>
        <v>3</v>
      </c>
      <c r="H21">
        <f>IF(Activity&lt;&gt;"All Programs",COUNTIFS(Data!$E:$E,H$5,Data!$G:$G,$A21,Data!$F:$F,Activity),COUNTIFS(Data!$E:$E,H$5,Data!$G:$G,$A21))</f>
        <v>1</v>
      </c>
      <c r="I21">
        <f>IF(Activity&lt;&gt;"All Programs",COUNTIFS(Data!$E:$E,I$5,Data!$G:$G,$A21,Data!$F:$F,Activity),COUNTIFS(Data!$E:$E,I$5,Data!$G:$G,$A21))</f>
        <v>0</v>
      </c>
      <c r="J21">
        <f>IF(Activity&lt;&gt;"All Programs",COUNTIFS(Data!$E:$E,J$5,Data!$G:$G,$A21,Data!$F:$F,Activity),COUNTIFS(Data!$E:$E,J$5,Data!$G:$G,$A21))</f>
        <v>0</v>
      </c>
      <c r="K21">
        <f>IF(Activity&lt;&gt;"All Programs",COUNTIFS(Data!$E:$E,K$5,Data!$G:$G,$A21,Data!$F:$F,Activity),COUNTIFS(Data!$E:$E,K$5,Data!$G:$G,$A21))</f>
        <v>0</v>
      </c>
      <c r="L21">
        <f>IF(Activity&lt;&gt;"All Programs",COUNTIFS(Data!$E:$E,L$5,Data!$G:$G,$A21,Data!$F:$F,Activity),COUNTIFS(Data!$E:$E,L$5,Data!$G:$G,$A21))</f>
        <v>2</v>
      </c>
      <c r="M21">
        <f>IF(Activity&lt;&gt;"All Programs",COUNTIFS(Data!$E:$E,M$5,Data!$G:$G,$A21,Data!$F:$F,Activity),COUNTIFS(Data!$E:$E,M$5,Data!$G:$G,$A21))</f>
        <v>4</v>
      </c>
      <c r="N21">
        <f>IF(Activity&lt;&gt;"All Programs",COUNTIFS(Data!$E:$E,N$5,Data!$G:$G,$A21,Data!$F:$F,Activity),COUNTIFS(Data!$E:$E,N$5,Data!$G:$G,$A21))</f>
        <v>0</v>
      </c>
      <c r="P21">
        <f t="array" ref="P21">SUM(IF(FREQUENCY(IF((LEN(Data_Acro)&gt;0)*(Data_Act="Planned")*(Data_Pcd=B21),MATCH(Data_Acro,Data_Acro,0),""),IF((LEN(Data_Acro)&gt;0)*(Data_Act="Planned")*(Data_Pcd=B21),MATCH(Data_Acro,Data_Acro,0),""))&gt;0,1))</f>
        <v>0</v>
      </c>
      <c r="Q21">
        <f t="array" ref="Q21">SUM(IF(FREQUENCY(IF((LEN(Data_Acro)&gt;0)*(Data_Act="Ongoing")*(Data_Pcd=B21),MATCH(Data_Acro,Data_Acro,0),""),IF((LEN(Data_Acro)&gt;0)*(Data_Act="Ongoing")*(Data_Pcd=B21),MATCH(Data_Acro,Data_Acro,0),""))&gt;0,1))</f>
        <v>14</v>
      </c>
      <c r="R21">
        <f t="array" ref="R21">SUM(IF(FREQUENCY(IF((LEN(Data_Acro)&gt;0)*(Data_Pcd=B21),MATCH(Data_Acro,Data_Acro,0),""),IF((LEN(Data_Acro)&gt;0)*(Data_Pcd=B21),MATCH(Data_Acro,Data_Acro,0),""))&gt;0,1))</f>
        <v>14</v>
      </c>
      <c r="T21">
        <f t="shared" si="0"/>
        <v>3</v>
      </c>
      <c r="V21">
        <f>IF(INDEX(SectorCount0,16)=0,1,MATCH(INDEX(SectorCount0,16),SectorCountBins0,1)+1)</f>
        <v>4</v>
      </c>
      <c r="X21">
        <f>IF(INDEX(SectorCount1,16)=0,1,MATCH(INDEX(SectorCount1,16),SectorCountBins1,1)+1)</f>
        <v>4</v>
      </c>
      <c r="Z21">
        <f>IF(INDEX(SectorCount2,16)=0,1,MATCH(INDEX(SectorCount2,16),SectorCountBins2,1)+1)</f>
        <v>2</v>
      </c>
      <c r="AB21">
        <f>IF(INDEX(SectorCount3,16)=0,1,MATCH(INDEX(SectorCount3,16),SectorCountBins3,1)+1)</f>
        <v>2</v>
      </c>
      <c r="AD21">
        <f>IF(INDEX(SectorCount4,16)=0,1,MATCH(INDEX(SectorCount4,16),SectorCountBins4,1)+1)</f>
        <v>3</v>
      </c>
      <c r="AF21">
        <f>IF(INDEX(SectorCount5,16)=0,1,MATCH(INDEX(SectorCount5,16),SectorCountBins5,1)+1)</f>
        <v>2</v>
      </c>
      <c r="AH21">
        <f>IF(INDEX(SectorCount6,16)=0,1,MATCH(INDEX(SectorCount6,16),SectorCountBins6,1)+1)</f>
        <v>1</v>
      </c>
      <c r="AJ21">
        <f>IF(INDEX(SectorCount7,16)=0,1,MATCH(INDEX(SectorCount7,16),SectorCountBins7,1)+1)</f>
        <v>1</v>
      </c>
      <c r="AL21">
        <f>IF(INDEX(SectorCount8,16)=0,1,MATCH(INDEX(SectorCount8,16),SectorCountBins8,1)+1)</f>
        <v>1</v>
      </c>
      <c r="AN21">
        <f>IF(INDEX(SectorCount9,16)=0,1,MATCH(INDEX(SectorCount9,16),SectorCountBins9,1)+1)</f>
        <v>2</v>
      </c>
      <c r="AP21">
        <f>IF(INDEX(SectorCount10,16)=0,1,MATCH(INDEX(SectorCount10,16),SectorCountBins10,1)+1)</f>
        <v>3</v>
      </c>
      <c r="AR21">
        <f>IF(INDEX(SectorCount11,16)=0,1,MATCH(INDEX(SectorCount11,16),SectorCountBins11,1)+1)</f>
        <v>1</v>
      </c>
    </row>
    <row r="22" spans="1:44" x14ac:dyDescent="0.2">
      <c r="A22" t="s">
        <v>400</v>
      </c>
      <c r="B22" t="s">
        <v>401</v>
      </c>
      <c r="C22">
        <f>IF(Activity&lt;&gt;"All Programs",COUNTIFS(Data!$E:$E,C$5,Data!$G:$G,$A22,Data!$F:$F,Activity),COUNTIFS(Data!$E:$E,C$5,Data!$G:$G,$A22))</f>
        <v>6</v>
      </c>
      <c r="D22">
        <f>IF(Activity&lt;&gt;"All Programs",COUNTIFS(Data!$E:$E,D$5,Data!$G:$G,$A22,Data!$F:$F,Activity),COUNTIFS(Data!$E:$E,D$5,Data!$G:$G,$A22))</f>
        <v>6</v>
      </c>
      <c r="E22">
        <f>IF(Activity&lt;&gt;"All Programs",COUNTIFS(Data!$E:$E,E$5,Data!$G:$G,$A22,Data!$F:$F,Activity),COUNTIFS(Data!$E:$E,E$5,Data!$G:$G,$A22))</f>
        <v>1</v>
      </c>
      <c r="F22">
        <f>IF(Activity&lt;&gt;"All Programs",COUNTIFS(Data!$E:$E,F$5,Data!$G:$G,$A22,Data!$F:$F,Activity),COUNTIFS(Data!$E:$E,F$5,Data!$G:$G,$A22))</f>
        <v>1</v>
      </c>
      <c r="G22">
        <f>IF(Activity&lt;&gt;"All Programs",COUNTIFS(Data!$E:$E,G$5,Data!$G:$G,$A22,Data!$F:$F,Activity),COUNTIFS(Data!$E:$E,G$5,Data!$G:$G,$A22))</f>
        <v>4</v>
      </c>
      <c r="H22">
        <f>IF(Activity&lt;&gt;"All Programs",COUNTIFS(Data!$E:$E,H$5,Data!$G:$G,$A22,Data!$F:$F,Activity),COUNTIFS(Data!$E:$E,H$5,Data!$G:$G,$A22))</f>
        <v>1</v>
      </c>
      <c r="I22">
        <f>IF(Activity&lt;&gt;"All Programs",COUNTIFS(Data!$E:$E,I$5,Data!$G:$G,$A22,Data!$F:$F,Activity),COUNTIFS(Data!$E:$E,I$5,Data!$G:$G,$A22))</f>
        <v>6</v>
      </c>
      <c r="J22">
        <f>IF(Activity&lt;&gt;"All Programs",COUNTIFS(Data!$E:$E,J$5,Data!$G:$G,$A22,Data!$F:$F,Activity),COUNTIFS(Data!$E:$E,J$5,Data!$G:$G,$A22))</f>
        <v>0</v>
      </c>
      <c r="K22">
        <f>IF(Activity&lt;&gt;"All Programs",COUNTIFS(Data!$E:$E,K$5,Data!$G:$G,$A22,Data!$F:$F,Activity),COUNTIFS(Data!$E:$E,K$5,Data!$G:$G,$A22))</f>
        <v>0</v>
      </c>
      <c r="L22">
        <f>IF(Activity&lt;&gt;"All Programs",COUNTIFS(Data!$E:$E,L$5,Data!$G:$G,$A22,Data!$F:$F,Activity),COUNTIFS(Data!$E:$E,L$5,Data!$G:$G,$A22))</f>
        <v>2</v>
      </c>
      <c r="M22">
        <f>IF(Activity&lt;&gt;"All Programs",COUNTIFS(Data!$E:$E,M$5,Data!$G:$G,$A22,Data!$F:$F,Activity),COUNTIFS(Data!$E:$E,M$5,Data!$G:$G,$A22))</f>
        <v>7</v>
      </c>
      <c r="N22">
        <f>IF(Activity&lt;&gt;"All Programs",COUNTIFS(Data!$E:$E,N$5,Data!$G:$G,$A22,Data!$F:$F,Activity),COUNTIFS(Data!$E:$E,N$5,Data!$G:$G,$A22))</f>
        <v>0</v>
      </c>
      <c r="P22">
        <f t="array" ref="P22">SUM(IF(FREQUENCY(IF((LEN(Data_Acro)&gt;0)*(Data_Act="Planned")*(Data_Pcd=B22),MATCH(Data_Acro,Data_Acro,0),""),IF((LEN(Data_Acro)&gt;0)*(Data_Act="Planned")*(Data_Pcd=B22),MATCH(Data_Acro,Data_Acro,0),""))&gt;0,1))</f>
        <v>0</v>
      </c>
      <c r="Q22">
        <f t="array" ref="Q22">SUM(IF(FREQUENCY(IF((LEN(Data_Acro)&gt;0)*(Data_Act="Ongoing")*(Data_Pcd=B22),MATCH(Data_Acro,Data_Acro,0),""),IF((LEN(Data_Acro)&gt;0)*(Data_Act="Ongoing")*(Data_Pcd=B22),MATCH(Data_Acro,Data_Acro,0),""))&gt;0,1))</f>
        <v>17</v>
      </c>
      <c r="R22">
        <f t="array" ref="R22">SUM(IF(FREQUENCY(IF((LEN(Data_Acro)&gt;0)*(Data_Pcd=B22),MATCH(Data_Acro,Data_Acro,0),""),IF((LEN(Data_Acro)&gt;0)*(Data_Pcd=B22),MATCH(Data_Acro,Data_Acro,0),""))&gt;0,1))</f>
        <v>17</v>
      </c>
      <c r="T22">
        <f t="shared" si="0"/>
        <v>4</v>
      </c>
      <c r="V22">
        <f>IF(INDEX(SectorCount0,17)=0,1,MATCH(INDEX(SectorCount0,17),SectorCountBins0,1)+1)</f>
        <v>4</v>
      </c>
      <c r="X22">
        <f>IF(INDEX(SectorCount1,17)=0,1,MATCH(INDEX(SectorCount1,17),SectorCountBins1,1)+1)</f>
        <v>4</v>
      </c>
      <c r="Z22">
        <f>IF(INDEX(SectorCount2,17)=0,1,MATCH(INDEX(SectorCount2,17),SectorCountBins2,1)+1)</f>
        <v>2</v>
      </c>
      <c r="AB22">
        <f>IF(INDEX(SectorCount3,17)=0,1,MATCH(INDEX(SectorCount3,17),SectorCountBins3,1)+1)</f>
        <v>2</v>
      </c>
      <c r="AD22">
        <f>IF(INDEX(SectorCount4,17)=0,1,MATCH(INDEX(SectorCount4,17),SectorCountBins4,1)+1)</f>
        <v>3</v>
      </c>
      <c r="AF22">
        <f>IF(INDEX(SectorCount5,17)=0,1,MATCH(INDEX(SectorCount5,17),SectorCountBins5,1)+1)</f>
        <v>2</v>
      </c>
      <c r="AH22">
        <f>IF(INDEX(SectorCount6,17)=0,1,MATCH(INDEX(SectorCount6,17),SectorCountBins6,1)+1)</f>
        <v>4</v>
      </c>
      <c r="AJ22">
        <f>IF(INDEX(SectorCount7,17)=0,1,MATCH(INDEX(SectorCount7,17),SectorCountBins7,1)+1)</f>
        <v>1</v>
      </c>
      <c r="AL22">
        <f>IF(INDEX(SectorCount8,17)=0,1,MATCH(INDEX(SectorCount8,17),SectorCountBins8,1)+1)</f>
        <v>1</v>
      </c>
      <c r="AN22">
        <f>IF(INDEX(SectorCount9,17)=0,1,MATCH(INDEX(SectorCount9,17),SectorCountBins9,1)+1)</f>
        <v>2</v>
      </c>
      <c r="AP22">
        <f>IF(INDEX(SectorCount10,17)=0,1,MATCH(INDEX(SectorCount10,17),SectorCountBins10,1)+1)</f>
        <v>5</v>
      </c>
      <c r="AR22">
        <f>IF(INDEX(SectorCount11,17)=0,1,MATCH(INDEX(SectorCount11,17),SectorCountBins11,1)+1)</f>
        <v>1</v>
      </c>
    </row>
    <row r="23" spans="1:44" x14ac:dyDescent="0.2">
      <c r="A23" t="s">
        <v>402</v>
      </c>
      <c r="B23" t="s">
        <v>403</v>
      </c>
      <c r="C23">
        <f>IF(Activity&lt;&gt;"All Programs",COUNTIFS(Data!$E:$E,C$5,Data!$G:$G,$A23,Data!$F:$F,Activity),COUNTIFS(Data!$E:$E,C$5,Data!$G:$G,$A23))</f>
        <v>2</v>
      </c>
      <c r="D23">
        <f>IF(Activity&lt;&gt;"All Programs",COUNTIFS(Data!$E:$E,D$5,Data!$G:$G,$A23,Data!$F:$F,Activity),COUNTIFS(Data!$E:$E,D$5,Data!$G:$G,$A23))</f>
        <v>6</v>
      </c>
      <c r="E23">
        <f>IF(Activity&lt;&gt;"All Programs",COUNTIFS(Data!$E:$E,E$5,Data!$G:$G,$A23,Data!$F:$F,Activity),COUNTIFS(Data!$E:$E,E$5,Data!$G:$G,$A23))</f>
        <v>1</v>
      </c>
      <c r="F23">
        <f>IF(Activity&lt;&gt;"All Programs",COUNTIFS(Data!$E:$E,F$5,Data!$G:$G,$A23,Data!$F:$F,Activity),COUNTIFS(Data!$E:$E,F$5,Data!$G:$G,$A23))</f>
        <v>1</v>
      </c>
      <c r="G23">
        <f>IF(Activity&lt;&gt;"All Programs",COUNTIFS(Data!$E:$E,G$5,Data!$G:$G,$A23,Data!$F:$F,Activity),COUNTIFS(Data!$E:$E,G$5,Data!$G:$G,$A23))</f>
        <v>2</v>
      </c>
      <c r="H23">
        <f>IF(Activity&lt;&gt;"All Programs",COUNTIFS(Data!$E:$E,H$5,Data!$G:$G,$A23,Data!$F:$F,Activity),COUNTIFS(Data!$E:$E,H$5,Data!$G:$G,$A23))</f>
        <v>0</v>
      </c>
      <c r="I23">
        <f>IF(Activity&lt;&gt;"All Programs",COUNTIFS(Data!$E:$E,I$5,Data!$G:$G,$A23,Data!$F:$F,Activity),COUNTIFS(Data!$E:$E,I$5,Data!$G:$G,$A23))</f>
        <v>0</v>
      </c>
      <c r="J23">
        <f>IF(Activity&lt;&gt;"All Programs",COUNTIFS(Data!$E:$E,J$5,Data!$G:$G,$A23,Data!$F:$F,Activity),COUNTIFS(Data!$E:$E,J$5,Data!$G:$G,$A23))</f>
        <v>0</v>
      </c>
      <c r="K23">
        <f>IF(Activity&lt;&gt;"All Programs",COUNTIFS(Data!$E:$E,K$5,Data!$G:$G,$A23,Data!$F:$F,Activity),COUNTIFS(Data!$E:$E,K$5,Data!$G:$G,$A23))</f>
        <v>0</v>
      </c>
      <c r="L23">
        <f>IF(Activity&lt;&gt;"All Programs",COUNTIFS(Data!$E:$E,L$5,Data!$G:$G,$A23,Data!$F:$F,Activity),COUNTIFS(Data!$E:$E,L$5,Data!$G:$G,$A23))</f>
        <v>0</v>
      </c>
      <c r="M23">
        <f>IF(Activity&lt;&gt;"All Programs",COUNTIFS(Data!$E:$E,M$5,Data!$G:$G,$A23,Data!$F:$F,Activity),COUNTIFS(Data!$E:$E,M$5,Data!$G:$G,$A23))</f>
        <v>1</v>
      </c>
      <c r="N23">
        <f>IF(Activity&lt;&gt;"All Programs",COUNTIFS(Data!$E:$E,N$5,Data!$G:$G,$A23,Data!$F:$F,Activity),COUNTIFS(Data!$E:$E,N$5,Data!$G:$G,$A23))</f>
        <v>0</v>
      </c>
      <c r="P23">
        <f t="array" ref="P23">SUM(IF(FREQUENCY(IF((LEN(Data_Acro)&gt;0)*(Data_Act="Planned")*(Data_Pcd=B23),MATCH(Data_Acro,Data_Acro,0),""),IF((LEN(Data_Acro)&gt;0)*(Data_Act="Planned")*(Data_Pcd=B23),MATCH(Data_Acro,Data_Acro,0),""))&gt;0,1))</f>
        <v>0</v>
      </c>
      <c r="Q23">
        <f t="array" ref="Q23">SUM(IF(FREQUENCY(IF((LEN(Data_Acro)&gt;0)*(Data_Act="Ongoing")*(Data_Pcd=B23),MATCH(Data_Acro,Data_Acro,0),""),IF((LEN(Data_Acro)&gt;0)*(Data_Act="Ongoing")*(Data_Pcd=B23),MATCH(Data_Acro,Data_Acro,0),""))&gt;0,1))</f>
        <v>10</v>
      </c>
      <c r="R23">
        <f t="array" ref="R23">SUM(IF(FREQUENCY(IF((LEN(Data_Acro)&gt;0)*(Data_Pcd=B23),MATCH(Data_Acro,Data_Acro,0),""),IF((LEN(Data_Acro)&gt;0)*(Data_Pcd=B23),MATCH(Data_Acro,Data_Acro,0),""))&gt;0,1))</f>
        <v>10</v>
      </c>
      <c r="T23">
        <f t="shared" si="0"/>
        <v>2</v>
      </c>
      <c r="V23">
        <f>IF(INDEX(SectorCount0,18)=0,1,MATCH(INDEX(SectorCount0,18),SectorCountBins0,1)+1)</f>
        <v>2</v>
      </c>
      <c r="X23">
        <f>IF(INDEX(SectorCount1,18)=0,1,MATCH(INDEX(SectorCount1,18),SectorCountBins1,1)+1)</f>
        <v>4</v>
      </c>
      <c r="Z23">
        <f>IF(INDEX(SectorCount2,18)=0,1,MATCH(INDEX(SectorCount2,18),SectorCountBins2,1)+1)</f>
        <v>2</v>
      </c>
      <c r="AB23">
        <f>IF(INDEX(SectorCount3,18)=0,1,MATCH(INDEX(SectorCount3,18),SectorCountBins3,1)+1)</f>
        <v>2</v>
      </c>
      <c r="AD23">
        <f>IF(INDEX(SectorCount4,18)=0,1,MATCH(INDEX(SectorCount4,18),SectorCountBins4,1)+1)</f>
        <v>2</v>
      </c>
      <c r="AF23">
        <f>IF(INDEX(SectorCount5,18)=0,1,MATCH(INDEX(SectorCount5,18),SectorCountBins5,1)+1)</f>
        <v>1</v>
      </c>
      <c r="AH23">
        <f>IF(INDEX(SectorCount6,18)=0,1,MATCH(INDEX(SectorCount6,18),SectorCountBins6,1)+1)</f>
        <v>1</v>
      </c>
      <c r="AJ23">
        <f>IF(INDEX(SectorCount7,18)=0,1,MATCH(INDEX(SectorCount7,18),SectorCountBins7,1)+1)</f>
        <v>1</v>
      </c>
      <c r="AL23">
        <f>IF(INDEX(SectorCount8,18)=0,1,MATCH(INDEX(SectorCount8,18),SectorCountBins8,1)+1)</f>
        <v>1</v>
      </c>
      <c r="AN23">
        <f>IF(INDEX(SectorCount9,18)=0,1,MATCH(INDEX(SectorCount9,18),SectorCountBins9,1)+1)</f>
        <v>1</v>
      </c>
      <c r="AP23">
        <f>IF(INDEX(SectorCount10,18)=0,1,MATCH(INDEX(SectorCount10,18),SectorCountBins10,1)+1)</f>
        <v>2</v>
      </c>
      <c r="AR23">
        <f>IF(INDEX(SectorCount11,18)=0,1,MATCH(INDEX(SectorCount11,18),SectorCountBins11,1)+1)</f>
        <v>1</v>
      </c>
    </row>
    <row r="24" spans="1:44" x14ac:dyDescent="0.2">
      <c r="A24" t="s">
        <v>404</v>
      </c>
      <c r="B24" t="s">
        <v>405</v>
      </c>
      <c r="C24">
        <f>IF(Activity&lt;&gt;"All Programs",COUNTIFS(Data!$E:$E,C$5,Data!$G:$G,$A24,Data!$F:$F,Activity),COUNTIFS(Data!$E:$E,C$5,Data!$G:$G,$A24))</f>
        <v>6</v>
      </c>
      <c r="D24">
        <f>IF(Activity&lt;&gt;"All Programs",COUNTIFS(Data!$E:$E,D$5,Data!$G:$G,$A24,Data!$F:$F,Activity),COUNTIFS(Data!$E:$E,D$5,Data!$G:$G,$A24))</f>
        <v>6</v>
      </c>
      <c r="E24">
        <f>IF(Activity&lt;&gt;"All Programs",COUNTIFS(Data!$E:$E,E$5,Data!$G:$G,$A24,Data!$F:$F,Activity),COUNTIFS(Data!$E:$E,E$5,Data!$G:$G,$A24))</f>
        <v>1</v>
      </c>
      <c r="F24">
        <f>IF(Activity&lt;&gt;"All Programs",COUNTIFS(Data!$E:$E,F$5,Data!$G:$G,$A24,Data!$F:$F,Activity),COUNTIFS(Data!$E:$E,F$5,Data!$G:$G,$A24))</f>
        <v>1</v>
      </c>
      <c r="G24">
        <f>IF(Activity&lt;&gt;"All Programs",COUNTIFS(Data!$E:$E,G$5,Data!$G:$G,$A24,Data!$F:$F,Activity),COUNTIFS(Data!$E:$E,G$5,Data!$G:$G,$A24))</f>
        <v>2</v>
      </c>
      <c r="H24">
        <f>IF(Activity&lt;&gt;"All Programs",COUNTIFS(Data!$E:$E,H$5,Data!$G:$G,$A24,Data!$F:$F,Activity),COUNTIFS(Data!$E:$E,H$5,Data!$G:$G,$A24))</f>
        <v>1</v>
      </c>
      <c r="I24">
        <f>IF(Activity&lt;&gt;"All Programs",COUNTIFS(Data!$E:$E,I$5,Data!$G:$G,$A24,Data!$F:$F,Activity),COUNTIFS(Data!$E:$E,I$5,Data!$G:$G,$A24))</f>
        <v>0</v>
      </c>
      <c r="J24">
        <f>IF(Activity&lt;&gt;"All Programs",COUNTIFS(Data!$E:$E,J$5,Data!$G:$G,$A24,Data!$F:$F,Activity),COUNTIFS(Data!$E:$E,J$5,Data!$G:$G,$A24))</f>
        <v>0</v>
      </c>
      <c r="K24">
        <f>IF(Activity&lt;&gt;"All Programs",COUNTIFS(Data!$E:$E,K$5,Data!$G:$G,$A24,Data!$F:$F,Activity),COUNTIFS(Data!$E:$E,K$5,Data!$G:$G,$A24))</f>
        <v>0</v>
      </c>
      <c r="L24">
        <f>IF(Activity&lt;&gt;"All Programs",COUNTIFS(Data!$E:$E,L$5,Data!$G:$G,$A24,Data!$F:$F,Activity),COUNTIFS(Data!$E:$E,L$5,Data!$G:$G,$A24))</f>
        <v>2</v>
      </c>
      <c r="M24">
        <f>IF(Activity&lt;&gt;"All Programs",COUNTIFS(Data!$E:$E,M$5,Data!$G:$G,$A24,Data!$F:$F,Activity),COUNTIFS(Data!$E:$E,M$5,Data!$G:$G,$A24))</f>
        <v>4</v>
      </c>
      <c r="N24">
        <f>IF(Activity&lt;&gt;"All Programs",COUNTIFS(Data!$E:$E,N$5,Data!$G:$G,$A24,Data!$F:$F,Activity),COUNTIFS(Data!$E:$E,N$5,Data!$G:$G,$A24))</f>
        <v>0</v>
      </c>
      <c r="P24">
        <f t="array" ref="P24">SUM(IF(FREQUENCY(IF((LEN(Data_Acro)&gt;0)*(Data_Act="Planned")*(Data_Pcd=B24),MATCH(Data_Acro,Data_Acro,0),""),IF((LEN(Data_Acro)&gt;0)*(Data_Act="Planned")*(Data_Pcd=B24),MATCH(Data_Acro,Data_Acro,0),""))&gt;0,1))</f>
        <v>0</v>
      </c>
      <c r="Q24">
        <f t="array" ref="Q24">SUM(IF(FREQUENCY(IF((LEN(Data_Acro)&gt;0)*(Data_Act="Ongoing")*(Data_Pcd=B24),MATCH(Data_Acro,Data_Acro,0),""),IF((LEN(Data_Acro)&gt;0)*(Data_Act="Ongoing")*(Data_Pcd=B24),MATCH(Data_Acro,Data_Acro,0),""))&gt;0,1))</f>
        <v>14</v>
      </c>
      <c r="R24">
        <f t="array" ref="R24">SUM(IF(FREQUENCY(IF((LEN(Data_Acro)&gt;0)*(Data_Pcd=B24),MATCH(Data_Acro,Data_Acro,0),""),IF((LEN(Data_Acro)&gt;0)*(Data_Pcd=B24),MATCH(Data_Acro,Data_Acro,0),""))&gt;0,1))</f>
        <v>14</v>
      </c>
      <c r="T24">
        <f t="shared" si="0"/>
        <v>3</v>
      </c>
      <c r="V24">
        <f>IF(INDEX(SectorCount0,19)=0,1,MATCH(INDEX(SectorCount0,19),SectorCountBins0,1)+1)</f>
        <v>4</v>
      </c>
      <c r="X24">
        <f>IF(INDEX(SectorCount1,19)=0,1,MATCH(INDEX(SectorCount1,19),SectorCountBins1,1)+1)</f>
        <v>4</v>
      </c>
      <c r="Z24">
        <f>IF(INDEX(SectorCount2,19)=0,1,MATCH(INDEX(SectorCount2,19),SectorCountBins2,1)+1)</f>
        <v>2</v>
      </c>
      <c r="AB24">
        <f>IF(INDEX(SectorCount3,19)=0,1,MATCH(INDEX(SectorCount3,19),SectorCountBins3,1)+1)</f>
        <v>2</v>
      </c>
      <c r="AD24">
        <f>IF(INDEX(SectorCount4,19)=0,1,MATCH(INDEX(SectorCount4,19),SectorCountBins4,1)+1)</f>
        <v>2</v>
      </c>
      <c r="AF24">
        <f>IF(INDEX(SectorCount5,19)=0,1,MATCH(INDEX(SectorCount5,19),SectorCountBins5,1)+1)</f>
        <v>2</v>
      </c>
      <c r="AH24">
        <f>IF(INDEX(SectorCount6,19)=0,1,MATCH(INDEX(SectorCount6,19),SectorCountBins6,1)+1)</f>
        <v>1</v>
      </c>
      <c r="AJ24">
        <f>IF(INDEX(SectorCount7,19)=0,1,MATCH(INDEX(SectorCount7,19),SectorCountBins7,1)+1)</f>
        <v>1</v>
      </c>
      <c r="AL24">
        <f>IF(INDEX(SectorCount8,19)=0,1,MATCH(INDEX(SectorCount8,19),SectorCountBins8,1)+1)</f>
        <v>1</v>
      </c>
      <c r="AN24">
        <f>IF(INDEX(SectorCount9,19)=0,1,MATCH(INDEX(SectorCount9,19),SectorCountBins9,1)+1)</f>
        <v>2</v>
      </c>
      <c r="AP24">
        <f>IF(INDEX(SectorCount10,19)=0,1,MATCH(INDEX(SectorCount10,19),SectorCountBins10,1)+1)</f>
        <v>3</v>
      </c>
      <c r="AR24">
        <f>IF(INDEX(SectorCount11,19)=0,1,MATCH(INDEX(SectorCount11,19),SectorCountBins11,1)+1)</f>
        <v>1</v>
      </c>
    </row>
    <row r="25" spans="1:44" x14ac:dyDescent="0.2">
      <c r="A25" t="s">
        <v>406</v>
      </c>
      <c r="B25" t="s">
        <v>407</v>
      </c>
      <c r="C25">
        <f>IF(Activity&lt;&gt;"All Programs",COUNTIFS(Data!$E:$E,C$5,Data!$G:$G,$A25,Data!$F:$F,Activity),COUNTIFS(Data!$E:$E,C$5,Data!$G:$G,$A25))</f>
        <v>7</v>
      </c>
      <c r="D25">
        <f>IF(Activity&lt;&gt;"All Programs",COUNTIFS(Data!$E:$E,D$5,Data!$G:$G,$A25,Data!$F:$F,Activity),COUNTIFS(Data!$E:$E,D$5,Data!$G:$G,$A25))</f>
        <v>6</v>
      </c>
      <c r="E25">
        <f>IF(Activity&lt;&gt;"All Programs",COUNTIFS(Data!$E:$E,E$5,Data!$G:$G,$A25,Data!$F:$F,Activity),COUNTIFS(Data!$E:$E,E$5,Data!$G:$G,$A25))</f>
        <v>1</v>
      </c>
      <c r="F25">
        <f>IF(Activity&lt;&gt;"All Programs",COUNTIFS(Data!$E:$E,F$5,Data!$G:$G,$A25,Data!$F:$F,Activity),COUNTIFS(Data!$E:$E,F$5,Data!$G:$G,$A25))</f>
        <v>1</v>
      </c>
      <c r="G25">
        <f>IF(Activity&lt;&gt;"All Programs",COUNTIFS(Data!$E:$E,G$5,Data!$G:$G,$A25,Data!$F:$F,Activity),COUNTIFS(Data!$E:$E,G$5,Data!$G:$G,$A25))</f>
        <v>3</v>
      </c>
      <c r="H25">
        <f>IF(Activity&lt;&gt;"All Programs",COUNTIFS(Data!$E:$E,H$5,Data!$G:$G,$A25,Data!$F:$F,Activity),COUNTIFS(Data!$E:$E,H$5,Data!$G:$G,$A25))</f>
        <v>0</v>
      </c>
      <c r="I25">
        <f>IF(Activity&lt;&gt;"All Programs",COUNTIFS(Data!$E:$E,I$5,Data!$G:$G,$A25,Data!$F:$F,Activity),COUNTIFS(Data!$E:$E,I$5,Data!$G:$G,$A25))</f>
        <v>0</v>
      </c>
      <c r="J25">
        <f>IF(Activity&lt;&gt;"All Programs",COUNTIFS(Data!$E:$E,J$5,Data!$G:$G,$A25,Data!$F:$F,Activity),COUNTIFS(Data!$E:$E,J$5,Data!$G:$G,$A25))</f>
        <v>0</v>
      </c>
      <c r="K25">
        <f>IF(Activity&lt;&gt;"All Programs",COUNTIFS(Data!$E:$E,K$5,Data!$G:$G,$A25,Data!$F:$F,Activity),COUNTIFS(Data!$E:$E,K$5,Data!$G:$G,$A25))</f>
        <v>0</v>
      </c>
      <c r="L25">
        <f>IF(Activity&lt;&gt;"All Programs",COUNTIFS(Data!$E:$E,L$5,Data!$G:$G,$A25,Data!$F:$F,Activity),COUNTIFS(Data!$E:$E,L$5,Data!$G:$G,$A25))</f>
        <v>0</v>
      </c>
      <c r="M25">
        <f>IF(Activity&lt;&gt;"All Programs",COUNTIFS(Data!$E:$E,M$5,Data!$G:$G,$A25,Data!$F:$F,Activity),COUNTIFS(Data!$E:$E,M$5,Data!$G:$G,$A25))</f>
        <v>2</v>
      </c>
      <c r="N25">
        <f>IF(Activity&lt;&gt;"All Programs",COUNTIFS(Data!$E:$E,N$5,Data!$G:$G,$A25,Data!$F:$F,Activity),COUNTIFS(Data!$E:$E,N$5,Data!$G:$G,$A25))</f>
        <v>0</v>
      </c>
      <c r="P25">
        <f t="array" ref="P25">SUM(IF(FREQUENCY(IF((LEN(Data_Acro)&gt;0)*(Data_Act="Planned")*(Data_Pcd=B25),MATCH(Data_Acro,Data_Acro,0),""),IF((LEN(Data_Acro)&gt;0)*(Data_Act="Planned")*(Data_Pcd=B25),MATCH(Data_Acro,Data_Acro,0),""))&gt;0,1))</f>
        <v>0</v>
      </c>
      <c r="Q25">
        <f t="array" ref="Q25">SUM(IF(FREQUENCY(IF((LEN(Data_Acro)&gt;0)*(Data_Act="Ongoing")*(Data_Pcd=B25),MATCH(Data_Acro,Data_Acro,0),""),IF((LEN(Data_Acro)&gt;0)*(Data_Act="Ongoing")*(Data_Pcd=B25),MATCH(Data_Acro,Data_Acro,0),""))&gt;0,1))</f>
        <v>12</v>
      </c>
      <c r="R25">
        <f t="array" ref="R25">SUM(IF(FREQUENCY(IF((LEN(Data_Acro)&gt;0)*(Data_Pcd=B25),MATCH(Data_Acro,Data_Acro,0),""),IF((LEN(Data_Acro)&gt;0)*(Data_Pcd=B25),MATCH(Data_Acro,Data_Acro,0),""))&gt;0,1))</f>
        <v>12</v>
      </c>
      <c r="T25">
        <f t="shared" si="0"/>
        <v>2</v>
      </c>
      <c r="V25">
        <f>IF(INDEX(SectorCount0,20)=0,1,MATCH(INDEX(SectorCount0,20),SectorCountBins0,1)+1)</f>
        <v>5</v>
      </c>
      <c r="X25">
        <f>IF(INDEX(SectorCount1,20)=0,1,MATCH(INDEX(SectorCount1,20),SectorCountBins1,1)+1)</f>
        <v>4</v>
      </c>
      <c r="Z25">
        <f>IF(INDEX(SectorCount2,20)=0,1,MATCH(INDEX(SectorCount2,20),SectorCountBins2,1)+1)</f>
        <v>2</v>
      </c>
      <c r="AB25">
        <f>IF(INDEX(SectorCount3,20)=0,1,MATCH(INDEX(SectorCount3,20),SectorCountBins3,1)+1)</f>
        <v>2</v>
      </c>
      <c r="AD25">
        <f>IF(INDEX(SectorCount4,20)=0,1,MATCH(INDEX(SectorCount4,20),SectorCountBins4,1)+1)</f>
        <v>3</v>
      </c>
      <c r="AF25">
        <f>IF(INDEX(SectorCount5,20)=0,1,MATCH(INDEX(SectorCount5,20),SectorCountBins5,1)+1)</f>
        <v>1</v>
      </c>
      <c r="AH25">
        <f>IF(INDEX(SectorCount6,20)=0,1,MATCH(INDEX(SectorCount6,20),SectorCountBins6,1)+1)</f>
        <v>1</v>
      </c>
      <c r="AJ25">
        <f>IF(INDEX(SectorCount7,20)=0,1,MATCH(INDEX(SectorCount7,20),SectorCountBins7,1)+1)</f>
        <v>1</v>
      </c>
      <c r="AL25">
        <f>IF(INDEX(SectorCount8,20)=0,1,MATCH(INDEX(SectorCount8,20),SectorCountBins8,1)+1)</f>
        <v>1</v>
      </c>
      <c r="AN25">
        <f>IF(INDEX(SectorCount9,20)=0,1,MATCH(INDEX(SectorCount9,20),SectorCountBins9,1)+1)</f>
        <v>1</v>
      </c>
      <c r="AP25">
        <f>IF(INDEX(SectorCount10,20)=0,1,MATCH(INDEX(SectorCount10,20),SectorCountBins10,1)+1)</f>
        <v>2</v>
      </c>
      <c r="AR25">
        <f>IF(INDEX(SectorCount11,20)=0,1,MATCH(INDEX(SectorCount11,20),SectorCountBins11,1)+1)</f>
        <v>1</v>
      </c>
    </row>
    <row r="26" spans="1:44" x14ac:dyDescent="0.2">
      <c r="A26" t="s">
        <v>408</v>
      </c>
      <c r="B26" t="s">
        <v>409</v>
      </c>
      <c r="C26">
        <f>IF(Activity&lt;&gt;"All Programs",COUNTIFS(Data!$E:$E,C$5,Data!$G:$G,$A26,Data!$F:$F,Activity),COUNTIFS(Data!$E:$E,C$5,Data!$G:$G,$A26))</f>
        <v>5</v>
      </c>
      <c r="D26">
        <f>IF(Activity&lt;&gt;"All Programs",COUNTIFS(Data!$E:$E,D$5,Data!$G:$G,$A26,Data!$F:$F,Activity),COUNTIFS(Data!$E:$E,D$5,Data!$G:$G,$A26))</f>
        <v>6</v>
      </c>
      <c r="E26">
        <f>IF(Activity&lt;&gt;"All Programs",COUNTIFS(Data!$E:$E,E$5,Data!$G:$G,$A26,Data!$F:$F,Activity),COUNTIFS(Data!$E:$E,E$5,Data!$G:$G,$A26))</f>
        <v>1</v>
      </c>
      <c r="F26">
        <f>IF(Activity&lt;&gt;"All Programs",COUNTIFS(Data!$E:$E,F$5,Data!$G:$G,$A26,Data!$F:$F,Activity),COUNTIFS(Data!$E:$E,F$5,Data!$G:$G,$A26))</f>
        <v>1</v>
      </c>
      <c r="G26">
        <f>IF(Activity&lt;&gt;"All Programs",COUNTIFS(Data!$E:$E,G$5,Data!$G:$G,$A26,Data!$F:$F,Activity),COUNTIFS(Data!$E:$E,G$5,Data!$G:$G,$A26))</f>
        <v>2</v>
      </c>
      <c r="H26">
        <f>IF(Activity&lt;&gt;"All Programs",COUNTIFS(Data!$E:$E,H$5,Data!$G:$G,$A26,Data!$F:$F,Activity),COUNTIFS(Data!$E:$E,H$5,Data!$G:$G,$A26))</f>
        <v>0</v>
      </c>
      <c r="I26">
        <f>IF(Activity&lt;&gt;"All Programs",COUNTIFS(Data!$E:$E,I$5,Data!$G:$G,$A26,Data!$F:$F,Activity),COUNTIFS(Data!$E:$E,I$5,Data!$G:$G,$A26))</f>
        <v>0</v>
      </c>
      <c r="J26">
        <f>IF(Activity&lt;&gt;"All Programs",COUNTIFS(Data!$E:$E,J$5,Data!$G:$G,$A26,Data!$F:$F,Activity),COUNTIFS(Data!$E:$E,J$5,Data!$G:$G,$A26))</f>
        <v>0</v>
      </c>
      <c r="K26">
        <f>IF(Activity&lt;&gt;"All Programs",COUNTIFS(Data!$E:$E,K$5,Data!$G:$G,$A26,Data!$F:$F,Activity),COUNTIFS(Data!$E:$E,K$5,Data!$G:$G,$A26))</f>
        <v>0</v>
      </c>
      <c r="L26">
        <f>IF(Activity&lt;&gt;"All Programs",COUNTIFS(Data!$E:$E,L$5,Data!$G:$G,$A26,Data!$F:$F,Activity),COUNTIFS(Data!$E:$E,L$5,Data!$G:$G,$A26))</f>
        <v>0</v>
      </c>
      <c r="M26">
        <f>IF(Activity&lt;&gt;"All Programs",COUNTIFS(Data!$E:$E,M$5,Data!$G:$G,$A26,Data!$F:$F,Activity),COUNTIFS(Data!$E:$E,M$5,Data!$G:$G,$A26))</f>
        <v>2</v>
      </c>
      <c r="N26">
        <f>IF(Activity&lt;&gt;"All Programs",COUNTIFS(Data!$E:$E,N$5,Data!$G:$G,$A26,Data!$F:$F,Activity),COUNTIFS(Data!$E:$E,N$5,Data!$G:$G,$A26))</f>
        <v>0</v>
      </c>
      <c r="P26">
        <f t="array" ref="P26">SUM(IF(FREQUENCY(IF((LEN(Data_Acro)&gt;0)*(Data_Act="Planned")*(Data_Pcd=B26),MATCH(Data_Acro,Data_Acro,0),""),IF((LEN(Data_Acro)&gt;0)*(Data_Act="Planned")*(Data_Pcd=B26),MATCH(Data_Acro,Data_Acro,0),""))&gt;0,1))</f>
        <v>0</v>
      </c>
      <c r="Q26">
        <f t="array" ref="Q26">SUM(IF(FREQUENCY(IF((LEN(Data_Acro)&gt;0)*(Data_Act="Ongoing")*(Data_Pcd=B26),MATCH(Data_Acro,Data_Acro,0),""),IF((LEN(Data_Acro)&gt;0)*(Data_Act="Ongoing")*(Data_Pcd=B26),MATCH(Data_Acro,Data_Acro,0),""))&gt;0,1))</f>
        <v>10</v>
      </c>
      <c r="R26">
        <f t="array" ref="R26">SUM(IF(FREQUENCY(IF((LEN(Data_Acro)&gt;0)*(Data_Pcd=B26),MATCH(Data_Acro,Data_Acro,0),""),IF((LEN(Data_Acro)&gt;0)*(Data_Pcd=B26),MATCH(Data_Acro,Data_Acro,0),""))&gt;0,1))</f>
        <v>10</v>
      </c>
      <c r="T26">
        <f t="shared" si="0"/>
        <v>2</v>
      </c>
      <c r="V26">
        <f>IF(INDEX(SectorCount0,21)=0,1,MATCH(INDEX(SectorCount0,21),SectorCountBins0,1)+1)</f>
        <v>4</v>
      </c>
      <c r="X26">
        <f>IF(INDEX(SectorCount1,21)=0,1,MATCH(INDEX(SectorCount1,21),SectorCountBins1,1)+1)</f>
        <v>4</v>
      </c>
      <c r="Z26">
        <f>IF(INDEX(SectorCount2,21)=0,1,MATCH(INDEX(SectorCount2,21),SectorCountBins2,1)+1)</f>
        <v>2</v>
      </c>
      <c r="AB26">
        <f>IF(INDEX(SectorCount3,21)=0,1,MATCH(INDEX(SectorCount3,21),SectorCountBins3,1)+1)</f>
        <v>2</v>
      </c>
      <c r="AD26">
        <f>IF(INDEX(SectorCount4,21)=0,1,MATCH(INDEX(SectorCount4,21),SectorCountBins4,1)+1)</f>
        <v>2</v>
      </c>
      <c r="AF26">
        <f>IF(INDEX(SectorCount5,21)=0,1,MATCH(INDEX(SectorCount5,21),SectorCountBins5,1)+1)</f>
        <v>1</v>
      </c>
      <c r="AH26">
        <f>IF(INDEX(SectorCount6,21)=0,1,MATCH(INDEX(SectorCount6,21),SectorCountBins6,1)+1)</f>
        <v>1</v>
      </c>
      <c r="AJ26">
        <f>IF(INDEX(SectorCount7,21)=0,1,MATCH(INDEX(SectorCount7,21),SectorCountBins7,1)+1)</f>
        <v>1</v>
      </c>
      <c r="AL26">
        <f>IF(INDEX(SectorCount8,21)=0,1,MATCH(INDEX(SectorCount8,21),SectorCountBins8,1)+1)</f>
        <v>1</v>
      </c>
      <c r="AN26">
        <f>IF(INDEX(SectorCount9,21)=0,1,MATCH(INDEX(SectorCount9,21),SectorCountBins9,1)+1)</f>
        <v>1</v>
      </c>
      <c r="AP26">
        <f>IF(INDEX(SectorCount10,21)=0,1,MATCH(INDEX(SectorCount10,21),SectorCountBins10,1)+1)</f>
        <v>2</v>
      </c>
      <c r="AR26">
        <f>IF(INDEX(SectorCount11,21)=0,1,MATCH(INDEX(SectorCount11,21),SectorCountBins11,1)+1)</f>
        <v>1</v>
      </c>
    </row>
    <row r="27" spans="1:44" x14ac:dyDescent="0.2">
      <c r="A27" t="s">
        <v>410</v>
      </c>
      <c r="B27" t="s">
        <v>411</v>
      </c>
      <c r="C27">
        <f>IF(Activity&lt;&gt;"All Programs",COUNTIFS(Data!$E:$E,C$5,Data!$G:$G,$A27,Data!$F:$F,Activity),COUNTIFS(Data!$E:$E,C$5,Data!$G:$G,$A27))</f>
        <v>6</v>
      </c>
      <c r="D27">
        <f>IF(Activity&lt;&gt;"All Programs",COUNTIFS(Data!$E:$E,D$5,Data!$G:$G,$A27,Data!$F:$F,Activity),COUNTIFS(Data!$E:$E,D$5,Data!$G:$G,$A27))</f>
        <v>6</v>
      </c>
      <c r="E27">
        <f>IF(Activity&lt;&gt;"All Programs",COUNTIFS(Data!$E:$E,E$5,Data!$G:$G,$A27,Data!$F:$F,Activity),COUNTIFS(Data!$E:$E,E$5,Data!$G:$G,$A27))</f>
        <v>1</v>
      </c>
      <c r="F27">
        <f>IF(Activity&lt;&gt;"All Programs",COUNTIFS(Data!$E:$E,F$5,Data!$G:$G,$A27,Data!$F:$F,Activity),COUNTIFS(Data!$E:$E,F$5,Data!$G:$G,$A27))</f>
        <v>1</v>
      </c>
      <c r="G27">
        <f>IF(Activity&lt;&gt;"All Programs",COUNTIFS(Data!$E:$E,G$5,Data!$G:$G,$A27,Data!$F:$F,Activity),COUNTIFS(Data!$E:$E,G$5,Data!$G:$G,$A27))</f>
        <v>2</v>
      </c>
      <c r="H27">
        <f>IF(Activity&lt;&gt;"All Programs",COUNTIFS(Data!$E:$E,H$5,Data!$G:$G,$A27,Data!$F:$F,Activity),COUNTIFS(Data!$E:$E,H$5,Data!$G:$G,$A27))</f>
        <v>0</v>
      </c>
      <c r="I27">
        <f>IF(Activity&lt;&gt;"All Programs",COUNTIFS(Data!$E:$E,I$5,Data!$G:$G,$A27,Data!$F:$F,Activity),COUNTIFS(Data!$E:$E,I$5,Data!$G:$G,$A27))</f>
        <v>0</v>
      </c>
      <c r="J27">
        <f>IF(Activity&lt;&gt;"All Programs",COUNTIFS(Data!$E:$E,J$5,Data!$G:$G,$A27,Data!$F:$F,Activity),COUNTIFS(Data!$E:$E,J$5,Data!$G:$G,$A27))</f>
        <v>0</v>
      </c>
      <c r="K27">
        <f>IF(Activity&lt;&gt;"All Programs",COUNTIFS(Data!$E:$E,K$5,Data!$G:$G,$A27,Data!$F:$F,Activity),COUNTIFS(Data!$E:$E,K$5,Data!$G:$G,$A27))</f>
        <v>0</v>
      </c>
      <c r="L27">
        <f>IF(Activity&lt;&gt;"All Programs",COUNTIFS(Data!$E:$E,L$5,Data!$G:$G,$A27,Data!$F:$F,Activity),COUNTIFS(Data!$E:$E,L$5,Data!$G:$G,$A27))</f>
        <v>0</v>
      </c>
      <c r="M27">
        <f>IF(Activity&lt;&gt;"All Programs",COUNTIFS(Data!$E:$E,M$5,Data!$G:$G,$A27,Data!$F:$F,Activity),COUNTIFS(Data!$E:$E,M$5,Data!$G:$G,$A27))</f>
        <v>5</v>
      </c>
      <c r="N27">
        <f>IF(Activity&lt;&gt;"All Programs",COUNTIFS(Data!$E:$E,N$5,Data!$G:$G,$A27,Data!$F:$F,Activity),COUNTIFS(Data!$E:$E,N$5,Data!$G:$G,$A27))</f>
        <v>0</v>
      </c>
      <c r="P27">
        <f t="array" ref="P27">SUM(IF(FREQUENCY(IF((LEN(Data_Acro)&gt;0)*(Data_Act="Planned")*(Data_Pcd=B27),MATCH(Data_Acro,Data_Acro,0),""),IF((LEN(Data_Acro)&gt;0)*(Data_Act="Planned")*(Data_Pcd=B27),MATCH(Data_Acro,Data_Acro,0),""))&gt;0,1))</f>
        <v>0</v>
      </c>
      <c r="Q27">
        <f t="array" ref="Q27">SUM(IF(FREQUENCY(IF((LEN(Data_Acro)&gt;0)*(Data_Act="Ongoing")*(Data_Pcd=B27),MATCH(Data_Acro,Data_Acro,0),""),IF((LEN(Data_Acro)&gt;0)*(Data_Act="Ongoing")*(Data_Pcd=B27),MATCH(Data_Acro,Data_Acro,0),""))&gt;0,1))</f>
        <v>13</v>
      </c>
      <c r="R27">
        <f t="array" ref="R27">SUM(IF(FREQUENCY(IF((LEN(Data_Acro)&gt;0)*(Data_Pcd=B27),MATCH(Data_Acro,Data_Acro,0),""),IF((LEN(Data_Acro)&gt;0)*(Data_Pcd=B27),MATCH(Data_Acro,Data_Acro,0),""))&gt;0,1))</f>
        <v>13</v>
      </c>
      <c r="T27">
        <f t="shared" si="0"/>
        <v>3</v>
      </c>
      <c r="V27">
        <f>IF(INDEX(SectorCount0,22)=0,1,MATCH(INDEX(SectorCount0,22),SectorCountBins0,1)+1)</f>
        <v>4</v>
      </c>
      <c r="X27">
        <f>IF(INDEX(SectorCount1,22)=0,1,MATCH(INDEX(SectorCount1,22),SectorCountBins1,1)+1)</f>
        <v>4</v>
      </c>
      <c r="Z27">
        <f>IF(INDEX(SectorCount2,22)=0,1,MATCH(INDEX(SectorCount2,22),SectorCountBins2,1)+1)</f>
        <v>2</v>
      </c>
      <c r="AB27">
        <f>IF(INDEX(SectorCount3,22)=0,1,MATCH(INDEX(SectorCount3,22),SectorCountBins3,1)+1)</f>
        <v>2</v>
      </c>
      <c r="AD27">
        <f>IF(INDEX(SectorCount4,22)=0,1,MATCH(INDEX(SectorCount4,22),SectorCountBins4,1)+1)</f>
        <v>2</v>
      </c>
      <c r="AF27">
        <f>IF(INDEX(SectorCount5,22)=0,1,MATCH(INDEX(SectorCount5,22),SectorCountBins5,1)+1)</f>
        <v>1</v>
      </c>
      <c r="AH27">
        <f>IF(INDEX(SectorCount6,22)=0,1,MATCH(INDEX(SectorCount6,22),SectorCountBins6,1)+1)</f>
        <v>1</v>
      </c>
      <c r="AJ27">
        <f>IF(INDEX(SectorCount7,22)=0,1,MATCH(INDEX(SectorCount7,22),SectorCountBins7,1)+1)</f>
        <v>1</v>
      </c>
      <c r="AL27">
        <f>IF(INDEX(SectorCount8,22)=0,1,MATCH(INDEX(SectorCount8,22),SectorCountBins8,1)+1)</f>
        <v>1</v>
      </c>
      <c r="AN27">
        <f>IF(INDEX(SectorCount9,22)=0,1,MATCH(INDEX(SectorCount9,22),SectorCountBins9,1)+1)</f>
        <v>1</v>
      </c>
      <c r="AP27">
        <f>IF(INDEX(SectorCount10,22)=0,1,MATCH(INDEX(SectorCount10,22),SectorCountBins10,1)+1)</f>
        <v>4</v>
      </c>
      <c r="AR27">
        <f>IF(INDEX(SectorCount11,22)=0,1,MATCH(INDEX(SectorCount11,22),SectorCountBins11,1)+1)</f>
        <v>1</v>
      </c>
    </row>
    <row r="28" spans="1:44" x14ac:dyDescent="0.2">
      <c r="A28" t="s">
        <v>412</v>
      </c>
      <c r="B28" t="s">
        <v>413</v>
      </c>
      <c r="C28">
        <f>IF(Activity&lt;&gt;"All Programs",COUNTIFS(Data!$E:$E,C$5,Data!$G:$G,$A28,Data!$F:$F,Activity),COUNTIFS(Data!$E:$E,C$5,Data!$G:$G,$A28))</f>
        <v>2</v>
      </c>
      <c r="D28">
        <f>IF(Activity&lt;&gt;"All Programs",COUNTIFS(Data!$E:$E,D$5,Data!$G:$G,$A28,Data!$F:$F,Activity),COUNTIFS(Data!$E:$E,D$5,Data!$G:$G,$A28))</f>
        <v>6</v>
      </c>
      <c r="E28">
        <f>IF(Activity&lt;&gt;"All Programs",COUNTIFS(Data!$E:$E,E$5,Data!$G:$G,$A28,Data!$F:$F,Activity),COUNTIFS(Data!$E:$E,E$5,Data!$G:$G,$A28))</f>
        <v>1</v>
      </c>
      <c r="F28">
        <f>IF(Activity&lt;&gt;"All Programs",COUNTIFS(Data!$E:$E,F$5,Data!$G:$G,$A28,Data!$F:$F,Activity),COUNTIFS(Data!$E:$E,F$5,Data!$G:$G,$A28))</f>
        <v>1</v>
      </c>
      <c r="G28">
        <f>IF(Activity&lt;&gt;"All Programs",COUNTIFS(Data!$E:$E,G$5,Data!$G:$G,$A28,Data!$F:$F,Activity),COUNTIFS(Data!$E:$E,G$5,Data!$G:$G,$A28))</f>
        <v>2</v>
      </c>
      <c r="H28">
        <f>IF(Activity&lt;&gt;"All Programs",COUNTIFS(Data!$E:$E,H$5,Data!$G:$G,$A28,Data!$F:$F,Activity),COUNTIFS(Data!$E:$E,H$5,Data!$G:$G,$A28))</f>
        <v>0</v>
      </c>
      <c r="I28">
        <f>IF(Activity&lt;&gt;"All Programs",COUNTIFS(Data!$E:$E,I$5,Data!$G:$G,$A28,Data!$F:$F,Activity),COUNTIFS(Data!$E:$E,I$5,Data!$G:$G,$A28))</f>
        <v>0</v>
      </c>
      <c r="J28">
        <f>IF(Activity&lt;&gt;"All Programs",COUNTIFS(Data!$E:$E,J$5,Data!$G:$G,$A28,Data!$F:$F,Activity),COUNTIFS(Data!$E:$E,J$5,Data!$G:$G,$A28))</f>
        <v>0</v>
      </c>
      <c r="K28">
        <f>IF(Activity&lt;&gt;"All Programs",COUNTIFS(Data!$E:$E,K$5,Data!$G:$G,$A28,Data!$F:$F,Activity),COUNTIFS(Data!$E:$E,K$5,Data!$G:$G,$A28))</f>
        <v>0</v>
      </c>
      <c r="L28">
        <f>IF(Activity&lt;&gt;"All Programs",COUNTIFS(Data!$E:$E,L$5,Data!$G:$G,$A28,Data!$F:$F,Activity),COUNTIFS(Data!$E:$E,L$5,Data!$G:$G,$A28))</f>
        <v>0</v>
      </c>
      <c r="M28">
        <f>IF(Activity&lt;&gt;"All Programs",COUNTIFS(Data!$E:$E,M$5,Data!$G:$G,$A28,Data!$F:$F,Activity),COUNTIFS(Data!$E:$E,M$5,Data!$G:$G,$A28))</f>
        <v>2</v>
      </c>
      <c r="N28">
        <f>IF(Activity&lt;&gt;"All Programs",COUNTIFS(Data!$E:$E,N$5,Data!$G:$G,$A28,Data!$F:$F,Activity),COUNTIFS(Data!$E:$E,N$5,Data!$G:$G,$A28))</f>
        <v>0</v>
      </c>
      <c r="P28">
        <f t="array" ref="P28">SUM(IF(FREQUENCY(IF((LEN(Data_Acro)&gt;0)*(Data_Act="Planned")*(Data_Pcd=B28),MATCH(Data_Acro,Data_Acro,0),""),IF((LEN(Data_Acro)&gt;0)*(Data_Act="Planned")*(Data_Pcd=B28),MATCH(Data_Acro,Data_Acro,0),""))&gt;0,1))</f>
        <v>0</v>
      </c>
      <c r="Q28">
        <f t="array" ref="Q28">SUM(IF(FREQUENCY(IF((LEN(Data_Acro)&gt;0)*(Data_Act="Ongoing")*(Data_Pcd=B28),MATCH(Data_Acro,Data_Acro,0),""),IF((LEN(Data_Acro)&gt;0)*(Data_Act="Ongoing")*(Data_Pcd=B28),MATCH(Data_Acro,Data_Acro,0),""))&gt;0,1))</f>
        <v>11</v>
      </c>
      <c r="R28">
        <f t="array" ref="R28">SUM(IF(FREQUENCY(IF((LEN(Data_Acro)&gt;0)*(Data_Pcd=B28),MATCH(Data_Acro,Data_Acro,0),""),IF((LEN(Data_Acro)&gt;0)*(Data_Pcd=B28),MATCH(Data_Acro,Data_Acro,0),""))&gt;0,1))</f>
        <v>11</v>
      </c>
      <c r="T28">
        <f t="shared" si="0"/>
        <v>2</v>
      </c>
      <c r="V28">
        <f>IF(INDEX(SectorCount0,23)=0,1,MATCH(INDEX(SectorCount0,23),SectorCountBins0,1)+1)</f>
        <v>2</v>
      </c>
      <c r="X28">
        <f>IF(INDEX(SectorCount1,23)=0,1,MATCH(INDEX(SectorCount1,23),SectorCountBins1,1)+1)</f>
        <v>4</v>
      </c>
      <c r="Z28">
        <f>IF(INDEX(SectorCount2,23)=0,1,MATCH(INDEX(SectorCount2,23),SectorCountBins2,1)+1)</f>
        <v>2</v>
      </c>
      <c r="AB28">
        <f>IF(INDEX(SectorCount3,23)=0,1,MATCH(INDEX(SectorCount3,23),SectorCountBins3,1)+1)</f>
        <v>2</v>
      </c>
      <c r="AD28">
        <f>IF(INDEX(SectorCount4,23)=0,1,MATCH(INDEX(SectorCount4,23),SectorCountBins4,1)+1)</f>
        <v>2</v>
      </c>
      <c r="AF28">
        <f>IF(INDEX(SectorCount5,23)=0,1,MATCH(INDEX(SectorCount5,23),SectorCountBins5,1)+1)</f>
        <v>1</v>
      </c>
      <c r="AH28">
        <f>IF(INDEX(SectorCount6,23)=0,1,MATCH(INDEX(SectorCount6,23),SectorCountBins6,1)+1)</f>
        <v>1</v>
      </c>
      <c r="AJ28">
        <f>IF(INDEX(SectorCount7,23)=0,1,MATCH(INDEX(SectorCount7,23),SectorCountBins7,1)+1)</f>
        <v>1</v>
      </c>
      <c r="AL28">
        <f>IF(INDEX(SectorCount8,23)=0,1,MATCH(INDEX(SectorCount8,23),SectorCountBins8,1)+1)</f>
        <v>1</v>
      </c>
      <c r="AN28">
        <f>IF(INDEX(SectorCount9,23)=0,1,MATCH(INDEX(SectorCount9,23),SectorCountBins9,1)+1)</f>
        <v>1</v>
      </c>
      <c r="AP28">
        <f>IF(INDEX(SectorCount10,23)=0,1,MATCH(INDEX(SectorCount10,23),SectorCountBins10,1)+1)</f>
        <v>2</v>
      </c>
      <c r="AR28">
        <f>IF(INDEX(SectorCount11,23)=0,1,MATCH(INDEX(SectorCount11,23),SectorCountBins11,1)+1)</f>
        <v>1</v>
      </c>
    </row>
    <row r="29" spans="1:44" x14ac:dyDescent="0.2">
      <c r="A29" t="s">
        <v>414</v>
      </c>
      <c r="B29" t="s">
        <v>415</v>
      </c>
      <c r="C29">
        <f>IF(Activity&lt;&gt;"All Programs",COUNTIFS(Data!$E:$E,C$5,Data!$G:$G,$A29,Data!$F:$F,Activity),COUNTIFS(Data!$E:$E,C$5,Data!$G:$G,$A29))</f>
        <v>5</v>
      </c>
      <c r="D29">
        <f>IF(Activity&lt;&gt;"All Programs",COUNTIFS(Data!$E:$E,D$5,Data!$G:$G,$A29,Data!$F:$F,Activity),COUNTIFS(Data!$E:$E,D$5,Data!$G:$G,$A29))</f>
        <v>6</v>
      </c>
      <c r="E29">
        <f>IF(Activity&lt;&gt;"All Programs",COUNTIFS(Data!$E:$E,E$5,Data!$G:$G,$A29,Data!$F:$F,Activity),COUNTIFS(Data!$E:$E,E$5,Data!$G:$G,$A29))</f>
        <v>1</v>
      </c>
      <c r="F29">
        <f>IF(Activity&lt;&gt;"All Programs",COUNTIFS(Data!$E:$E,F$5,Data!$G:$G,$A29,Data!$F:$F,Activity),COUNTIFS(Data!$E:$E,F$5,Data!$G:$G,$A29))</f>
        <v>1</v>
      </c>
      <c r="G29">
        <f>IF(Activity&lt;&gt;"All Programs",COUNTIFS(Data!$E:$E,G$5,Data!$G:$G,$A29,Data!$F:$F,Activity),COUNTIFS(Data!$E:$E,G$5,Data!$G:$G,$A29))</f>
        <v>2</v>
      </c>
      <c r="H29">
        <f>IF(Activity&lt;&gt;"All Programs",COUNTIFS(Data!$E:$E,H$5,Data!$G:$G,$A29,Data!$F:$F,Activity),COUNTIFS(Data!$E:$E,H$5,Data!$G:$G,$A29))</f>
        <v>0</v>
      </c>
      <c r="I29">
        <f>IF(Activity&lt;&gt;"All Programs",COUNTIFS(Data!$E:$E,I$5,Data!$G:$G,$A29,Data!$F:$F,Activity),COUNTIFS(Data!$E:$E,I$5,Data!$G:$G,$A29))</f>
        <v>0</v>
      </c>
      <c r="J29">
        <f>IF(Activity&lt;&gt;"All Programs",COUNTIFS(Data!$E:$E,J$5,Data!$G:$G,$A29,Data!$F:$F,Activity),COUNTIFS(Data!$E:$E,J$5,Data!$G:$G,$A29))</f>
        <v>0</v>
      </c>
      <c r="K29">
        <f>IF(Activity&lt;&gt;"All Programs",COUNTIFS(Data!$E:$E,K$5,Data!$G:$G,$A29,Data!$F:$F,Activity),COUNTIFS(Data!$E:$E,K$5,Data!$G:$G,$A29))</f>
        <v>0</v>
      </c>
      <c r="L29">
        <f>IF(Activity&lt;&gt;"All Programs",COUNTIFS(Data!$E:$E,L$5,Data!$G:$G,$A29,Data!$F:$F,Activity),COUNTIFS(Data!$E:$E,L$5,Data!$G:$G,$A29))</f>
        <v>0</v>
      </c>
      <c r="M29">
        <f>IF(Activity&lt;&gt;"All Programs",COUNTIFS(Data!$E:$E,M$5,Data!$G:$G,$A29,Data!$F:$F,Activity),COUNTIFS(Data!$E:$E,M$5,Data!$G:$G,$A29))</f>
        <v>2</v>
      </c>
      <c r="N29">
        <f>IF(Activity&lt;&gt;"All Programs",COUNTIFS(Data!$E:$E,N$5,Data!$G:$G,$A29,Data!$F:$F,Activity),COUNTIFS(Data!$E:$E,N$5,Data!$G:$G,$A29))</f>
        <v>0</v>
      </c>
      <c r="P29">
        <f t="array" ref="P29">SUM(IF(FREQUENCY(IF((LEN(Data_Acro)&gt;0)*(Data_Act="Planned")*(Data_Pcd=B29),MATCH(Data_Acro,Data_Acro,0),""),IF((LEN(Data_Acro)&gt;0)*(Data_Act="Planned")*(Data_Pcd=B29),MATCH(Data_Acro,Data_Acro,0),""))&gt;0,1))</f>
        <v>0</v>
      </c>
      <c r="Q29">
        <f t="array" ref="Q29">SUM(IF(FREQUENCY(IF((LEN(Data_Acro)&gt;0)*(Data_Act="Ongoing")*(Data_Pcd=B29),MATCH(Data_Acro,Data_Acro,0),""),IF((LEN(Data_Acro)&gt;0)*(Data_Act="Ongoing")*(Data_Pcd=B29),MATCH(Data_Acro,Data_Acro,0),""))&gt;0,1))</f>
        <v>10</v>
      </c>
      <c r="R29">
        <f t="array" ref="R29">SUM(IF(FREQUENCY(IF((LEN(Data_Acro)&gt;0)*(Data_Pcd=B29),MATCH(Data_Acro,Data_Acro,0),""),IF((LEN(Data_Acro)&gt;0)*(Data_Pcd=B29),MATCH(Data_Acro,Data_Acro,0),""))&gt;0,1))</f>
        <v>10</v>
      </c>
      <c r="T29">
        <f t="shared" si="0"/>
        <v>2</v>
      </c>
      <c r="V29">
        <f>IF(INDEX(SectorCount0,24)=0,1,MATCH(INDEX(SectorCount0,24),SectorCountBins0,1)+1)</f>
        <v>4</v>
      </c>
      <c r="X29">
        <f>IF(INDEX(SectorCount1,24)=0,1,MATCH(INDEX(SectorCount1,24),SectorCountBins1,1)+1)</f>
        <v>4</v>
      </c>
      <c r="Z29">
        <f>IF(INDEX(SectorCount2,24)=0,1,MATCH(INDEX(SectorCount2,24),SectorCountBins2,1)+1)</f>
        <v>2</v>
      </c>
      <c r="AB29">
        <f>IF(INDEX(SectorCount3,24)=0,1,MATCH(INDEX(SectorCount3,24),SectorCountBins3,1)+1)</f>
        <v>2</v>
      </c>
      <c r="AD29">
        <f>IF(INDEX(SectorCount4,24)=0,1,MATCH(INDEX(SectorCount4,24),SectorCountBins4,1)+1)</f>
        <v>2</v>
      </c>
      <c r="AF29">
        <f>IF(INDEX(SectorCount5,24)=0,1,MATCH(INDEX(SectorCount5,24),SectorCountBins5,1)+1)</f>
        <v>1</v>
      </c>
      <c r="AH29">
        <f>IF(INDEX(SectorCount6,24)=0,1,MATCH(INDEX(SectorCount6,24),SectorCountBins6,1)+1)</f>
        <v>1</v>
      </c>
      <c r="AJ29">
        <f>IF(INDEX(SectorCount7,24)=0,1,MATCH(INDEX(SectorCount7,24),SectorCountBins7,1)+1)</f>
        <v>1</v>
      </c>
      <c r="AL29">
        <f>IF(INDEX(SectorCount8,24)=0,1,MATCH(INDEX(SectorCount8,24),SectorCountBins8,1)+1)</f>
        <v>1</v>
      </c>
      <c r="AN29">
        <f>IF(INDEX(SectorCount9,24)=0,1,MATCH(INDEX(SectorCount9,24),SectorCountBins9,1)+1)</f>
        <v>1</v>
      </c>
      <c r="AP29">
        <f>IF(INDEX(SectorCount10,24)=0,1,MATCH(INDEX(SectorCount10,24),SectorCountBins10,1)+1)</f>
        <v>2</v>
      </c>
      <c r="AR29">
        <f>IF(INDEX(SectorCount11,24)=0,1,MATCH(INDEX(SectorCount11,24),SectorCountBins11,1)+1)</f>
        <v>1</v>
      </c>
    </row>
    <row r="30" spans="1:44" x14ac:dyDescent="0.2">
      <c r="A30" t="s">
        <v>416</v>
      </c>
      <c r="B30" t="s">
        <v>417</v>
      </c>
      <c r="C30">
        <f>IF(Activity&lt;&gt;"All Programs",COUNTIFS(Data!$E:$E,C$5,Data!$G:$G,$A30,Data!$F:$F,Activity),COUNTIFS(Data!$E:$E,C$5,Data!$G:$G,$A30))</f>
        <v>4</v>
      </c>
      <c r="D30">
        <f>IF(Activity&lt;&gt;"All Programs",COUNTIFS(Data!$E:$E,D$5,Data!$G:$G,$A30,Data!$F:$F,Activity),COUNTIFS(Data!$E:$E,D$5,Data!$G:$G,$A30))</f>
        <v>6</v>
      </c>
      <c r="E30">
        <f>IF(Activity&lt;&gt;"All Programs",COUNTIFS(Data!$E:$E,E$5,Data!$G:$G,$A30,Data!$F:$F,Activity),COUNTIFS(Data!$E:$E,E$5,Data!$G:$G,$A30))</f>
        <v>1</v>
      </c>
      <c r="F30">
        <f>IF(Activity&lt;&gt;"All Programs",COUNTIFS(Data!$E:$E,F$5,Data!$G:$G,$A30,Data!$F:$F,Activity),COUNTIFS(Data!$E:$E,F$5,Data!$G:$G,$A30))</f>
        <v>1</v>
      </c>
      <c r="G30">
        <f>IF(Activity&lt;&gt;"All Programs",COUNTIFS(Data!$E:$E,G$5,Data!$G:$G,$A30,Data!$F:$F,Activity),COUNTIFS(Data!$E:$E,G$5,Data!$G:$G,$A30))</f>
        <v>2</v>
      </c>
      <c r="H30">
        <f>IF(Activity&lt;&gt;"All Programs",COUNTIFS(Data!$E:$E,H$5,Data!$G:$G,$A30,Data!$F:$F,Activity),COUNTIFS(Data!$E:$E,H$5,Data!$G:$G,$A30))</f>
        <v>0</v>
      </c>
      <c r="I30">
        <f>IF(Activity&lt;&gt;"All Programs",COUNTIFS(Data!$E:$E,I$5,Data!$G:$G,$A30,Data!$F:$F,Activity),COUNTIFS(Data!$E:$E,I$5,Data!$G:$G,$A30))</f>
        <v>0</v>
      </c>
      <c r="J30">
        <f>IF(Activity&lt;&gt;"All Programs",COUNTIFS(Data!$E:$E,J$5,Data!$G:$G,$A30,Data!$F:$F,Activity),COUNTIFS(Data!$E:$E,J$5,Data!$G:$G,$A30))</f>
        <v>0</v>
      </c>
      <c r="K30">
        <f>IF(Activity&lt;&gt;"All Programs",COUNTIFS(Data!$E:$E,K$5,Data!$G:$G,$A30,Data!$F:$F,Activity),COUNTIFS(Data!$E:$E,K$5,Data!$G:$G,$A30))</f>
        <v>0</v>
      </c>
      <c r="L30">
        <f>IF(Activity&lt;&gt;"All Programs",COUNTIFS(Data!$E:$E,L$5,Data!$G:$G,$A30,Data!$F:$F,Activity),COUNTIFS(Data!$E:$E,L$5,Data!$G:$G,$A30))</f>
        <v>0</v>
      </c>
      <c r="M30">
        <f>IF(Activity&lt;&gt;"All Programs",COUNTIFS(Data!$E:$E,M$5,Data!$G:$G,$A30,Data!$F:$F,Activity),COUNTIFS(Data!$E:$E,M$5,Data!$G:$G,$A30))</f>
        <v>1</v>
      </c>
      <c r="N30">
        <f>IF(Activity&lt;&gt;"All Programs",COUNTIFS(Data!$E:$E,N$5,Data!$G:$G,$A30,Data!$F:$F,Activity),COUNTIFS(Data!$E:$E,N$5,Data!$G:$G,$A30))</f>
        <v>0</v>
      </c>
      <c r="P30">
        <f t="array" ref="P30">SUM(IF(FREQUENCY(IF((LEN(Data_Acro)&gt;0)*(Data_Act="Planned")*(Data_Pcd=B30),MATCH(Data_Acro,Data_Acro,0),""),IF((LEN(Data_Acro)&gt;0)*(Data_Act="Planned")*(Data_Pcd=B30),MATCH(Data_Acro,Data_Acro,0),""))&gt;0,1))</f>
        <v>0</v>
      </c>
      <c r="Q30">
        <f t="array" ref="Q30">SUM(IF(FREQUENCY(IF((LEN(Data_Acro)&gt;0)*(Data_Act="Ongoing")*(Data_Pcd=B30),MATCH(Data_Acro,Data_Acro,0),""),IF((LEN(Data_Acro)&gt;0)*(Data_Act="Ongoing")*(Data_Pcd=B30),MATCH(Data_Acro,Data_Acro,0),""))&gt;0,1))</f>
        <v>10</v>
      </c>
      <c r="R30">
        <f t="array" ref="R30">SUM(IF(FREQUENCY(IF((LEN(Data_Acro)&gt;0)*(Data_Pcd=B30),MATCH(Data_Acro,Data_Acro,0),""),IF((LEN(Data_Acro)&gt;0)*(Data_Pcd=B30),MATCH(Data_Acro,Data_Acro,0),""))&gt;0,1))</f>
        <v>10</v>
      </c>
      <c r="T30">
        <f t="shared" si="0"/>
        <v>2</v>
      </c>
      <c r="V30">
        <f>IF(INDEX(SectorCount0,25)=0,1,MATCH(INDEX(SectorCount0,25),SectorCountBins0,1)+1)</f>
        <v>3</v>
      </c>
      <c r="X30">
        <f>IF(INDEX(SectorCount1,25)=0,1,MATCH(INDEX(SectorCount1,25),SectorCountBins1,1)+1)</f>
        <v>4</v>
      </c>
      <c r="Z30">
        <f>IF(INDEX(SectorCount2,25)=0,1,MATCH(INDEX(SectorCount2,25),SectorCountBins2,1)+1)</f>
        <v>2</v>
      </c>
      <c r="AB30">
        <f>IF(INDEX(SectorCount3,25)=0,1,MATCH(INDEX(SectorCount3,25),SectorCountBins3,1)+1)</f>
        <v>2</v>
      </c>
      <c r="AD30">
        <f>IF(INDEX(SectorCount4,25)=0,1,MATCH(INDEX(SectorCount4,25),SectorCountBins4,1)+1)</f>
        <v>2</v>
      </c>
      <c r="AF30">
        <f>IF(INDEX(SectorCount5,25)=0,1,MATCH(INDEX(SectorCount5,25),SectorCountBins5,1)+1)</f>
        <v>1</v>
      </c>
      <c r="AH30">
        <f>IF(INDEX(SectorCount6,25)=0,1,MATCH(INDEX(SectorCount6,25),SectorCountBins6,1)+1)</f>
        <v>1</v>
      </c>
      <c r="AJ30">
        <f>IF(INDEX(SectorCount7,25)=0,1,MATCH(INDEX(SectorCount7,25),SectorCountBins7,1)+1)</f>
        <v>1</v>
      </c>
      <c r="AL30">
        <f>IF(INDEX(SectorCount8,25)=0,1,MATCH(INDEX(SectorCount8,25),SectorCountBins8,1)+1)</f>
        <v>1</v>
      </c>
      <c r="AN30">
        <f>IF(INDEX(SectorCount9,25)=0,1,MATCH(INDEX(SectorCount9,25),SectorCountBins9,1)+1)</f>
        <v>1</v>
      </c>
      <c r="AP30">
        <f>IF(INDEX(SectorCount10,25)=0,1,MATCH(INDEX(SectorCount10,25),SectorCountBins10,1)+1)</f>
        <v>2</v>
      </c>
      <c r="AR30">
        <f>IF(INDEX(SectorCount11,25)=0,1,MATCH(INDEX(SectorCount11,25),SectorCountBins11,1)+1)</f>
        <v>1</v>
      </c>
    </row>
    <row r="31" spans="1:44" x14ac:dyDescent="0.2">
      <c r="A31" t="s">
        <v>418</v>
      </c>
      <c r="B31" t="s">
        <v>419</v>
      </c>
      <c r="C31">
        <f>IF(Activity&lt;&gt;"All Programs",COUNTIFS(Data!$E:$E,C$5,Data!$G:$G,$A31,Data!$F:$F,Activity),COUNTIFS(Data!$E:$E,C$5,Data!$G:$G,$A31))</f>
        <v>5</v>
      </c>
      <c r="D31">
        <f>IF(Activity&lt;&gt;"All Programs",COUNTIFS(Data!$E:$E,D$5,Data!$G:$G,$A31,Data!$F:$F,Activity),COUNTIFS(Data!$E:$E,D$5,Data!$G:$G,$A31))</f>
        <v>6</v>
      </c>
      <c r="E31">
        <f>IF(Activity&lt;&gt;"All Programs",COUNTIFS(Data!$E:$E,E$5,Data!$G:$G,$A31,Data!$F:$F,Activity),COUNTIFS(Data!$E:$E,E$5,Data!$G:$G,$A31))</f>
        <v>1</v>
      </c>
      <c r="F31">
        <f>IF(Activity&lt;&gt;"All Programs",COUNTIFS(Data!$E:$E,F$5,Data!$G:$G,$A31,Data!$F:$F,Activity),COUNTIFS(Data!$E:$E,F$5,Data!$G:$G,$A31))</f>
        <v>1</v>
      </c>
      <c r="G31">
        <f>IF(Activity&lt;&gt;"All Programs",COUNTIFS(Data!$E:$E,G$5,Data!$G:$G,$A31,Data!$F:$F,Activity),COUNTIFS(Data!$E:$E,G$5,Data!$G:$G,$A31))</f>
        <v>2</v>
      </c>
      <c r="H31">
        <f>IF(Activity&lt;&gt;"All Programs",COUNTIFS(Data!$E:$E,H$5,Data!$G:$G,$A31,Data!$F:$F,Activity),COUNTIFS(Data!$E:$E,H$5,Data!$G:$G,$A31))</f>
        <v>0</v>
      </c>
      <c r="I31">
        <f>IF(Activity&lt;&gt;"All Programs",COUNTIFS(Data!$E:$E,I$5,Data!$G:$G,$A31,Data!$F:$F,Activity),COUNTIFS(Data!$E:$E,I$5,Data!$G:$G,$A31))</f>
        <v>0</v>
      </c>
      <c r="J31">
        <f>IF(Activity&lt;&gt;"All Programs",COUNTIFS(Data!$E:$E,J$5,Data!$G:$G,$A31,Data!$F:$F,Activity),COUNTIFS(Data!$E:$E,J$5,Data!$G:$G,$A31))</f>
        <v>0</v>
      </c>
      <c r="K31">
        <f>IF(Activity&lt;&gt;"All Programs",COUNTIFS(Data!$E:$E,K$5,Data!$G:$G,$A31,Data!$F:$F,Activity),COUNTIFS(Data!$E:$E,K$5,Data!$G:$G,$A31))</f>
        <v>0</v>
      </c>
      <c r="L31">
        <f>IF(Activity&lt;&gt;"All Programs",COUNTIFS(Data!$E:$E,L$5,Data!$G:$G,$A31,Data!$F:$F,Activity),COUNTIFS(Data!$E:$E,L$5,Data!$G:$G,$A31))</f>
        <v>0</v>
      </c>
      <c r="M31">
        <f>IF(Activity&lt;&gt;"All Programs",COUNTIFS(Data!$E:$E,M$5,Data!$G:$G,$A31,Data!$F:$F,Activity),COUNTIFS(Data!$E:$E,M$5,Data!$G:$G,$A31))</f>
        <v>5</v>
      </c>
      <c r="N31">
        <f>IF(Activity&lt;&gt;"All Programs",COUNTIFS(Data!$E:$E,N$5,Data!$G:$G,$A31,Data!$F:$F,Activity),COUNTIFS(Data!$E:$E,N$5,Data!$G:$G,$A31))</f>
        <v>0</v>
      </c>
      <c r="P31">
        <f t="array" ref="P31">SUM(IF(FREQUENCY(IF((LEN(Data_Acro)&gt;0)*(Data_Act="Planned")*(Data_Pcd=B31),MATCH(Data_Acro,Data_Acro,0),""),IF((LEN(Data_Acro)&gt;0)*(Data_Act="Planned")*(Data_Pcd=B31),MATCH(Data_Acro,Data_Acro,0),""))&gt;0,1))</f>
        <v>0</v>
      </c>
      <c r="Q31">
        <f t="array" ref="Q31">SUM(IF(FREQUENCY(IF((LEN(Data_Acro)&gt;0)*(Data_Act="Ongoing")*(Data_Pcd=B31),MATCH(Data_Acro,Data_Acro,0),""),IF((LEN(Data_Acro)&gt;0)*(Data_Act="Ongoing")*(Data_Pcd=B31),MATCH(Data_Acro,Data_Acro,0),""))&gt;0,1))</f>
        <v>12</v>
      </c>
      <c r="R31">
        <f t="array" ref="R31">SUM(IF(FREQUENCY(IF((LEN(Data_Acro)&gt;0)*(Data_Pcd=B31),MATCH(Data_Acro,Data_Acro,0),""),IF((LEN(Data_Acro)&gt;0)*(Data_Pcd=B31),MATCH(Data_Acro,Data_Acro,0),""))&gt;0,1))</f>
        <v>12</v>
      </c>
      <c r="T31">
        <f t="shared" si="0"/>
        <v>2</v>
      </c>
      <c r="V31">
        <f>IF(INDEX(SectorCount0,26)=0,1,MATCH(INDEX(SectorCount0,26),SectorCountBins0,1)+1)</f>
        <v>4</v>
      </c>
      <c r="X31">
        <f>IF(INDEX(SectorCount1,26)=0,1,MATCH(INDEX(SectorCount1,26),SectorCountBins1,1)+1)</f>
        <v>4</v>
      </c>
      <c r="Z31">
        <f>IF(INDEX(SectorCount2,26)=0,1,MATCH(INDEX(SectorCount2,26),SectorCountBins2,1)+1)</f>
        <v>2</v>
      </c>
      <c r="AB31">
        <f>IF(INDEX(SectorCount3,26)=0,1,MATCH(INDEX(SectorCount3,26),SectorCountBins3,1)+1)</f>
        <v>2</v>
      </c>
      <c r="AD31">
        <f>IF(INDEX(SectorCount4,26)=0,1,MATCH(INDEX(SectorCount4,26),SectorCountBins4,1)+1)</f>
        <v>2</v>
      </c>
      <c r="AF31">
        <f>IF(INDEX(SectorCount5,26)=0,1,MATCH(INDEX(SectorCount5,26),SectorCountBins5,1)+1)</f>
        <v>1</v>
      </c>
      <c r="AH31">
        <f>IF(INDEX(SectorCount6,26)=0,1,MATCH(INDEX(SectorCount6,26),SectorCountBins6,1)+1)</f>
        <v>1</v>
      </c>
      <c r="AJ31">
        <f>IF(INDEX(SectorCount7,26)=0,1,MATCH(INDEX(SectorCount7,26),SectorCountBins7,1)+1)</f>
        <v>1</v>
      </c>
      <c r="AL31">
        <f>IF(INDEX(SectorCount8,26)=0,1,MATCH(INDEX(SectorCount8,26),SectorCountBins8,1)+1)</f>
        <v>1</v>
      </c>
      <c r="AN31">
        <f>IF(INDEX(SectorCount9,26)=0,1,MATCH(INDEX(SectorCount9,26),SectorCountBins9,1)+1)</f>
        <v>1</v>
      </c>
      <c r="AP31">
        <f>IF(INDEX(SectorCount10,26)=0,1,MATCH(INDEX(SectorCount10,26),SectorCountBins10,1)+1)</f>
        <v>4</v>
      </c>
      <c r="AR31">
        <f>IF(INDEX(SectorCount11,26)=0,1,MATCH(INDEX(SectorCount11,26),SectorCountBins11,1)+1)</f>
        <v>1</v>
      </c>
    </row>
    <row r="32" spans="1:44" x14ac:dyDescent="0.2">
      <c r="A32" t="s">
        <v>420</v>
      </c>
      <c r="B32" t="s">
        <v>421</v>
      </c>
      <c r="C32">
        <f>IF(Activity&lt;&gt;"All Programs",COUNTIFS(Data!$E:$E,C$5,Data!$G:$G,$A32,Data!$F:$F,Activity),COUNTIFS(Data!$E:$E,C$5,Data!$G:$G,$A32))</f>
        <v>5</v>
      </c>
      <c r="D32">
        <f>IF(Activity&lt;&gt;"All Programs",COUNTIFS(Data!$E:$E,D$5,Data!$G:$G,$A32,Data!$F:$F,Activity),COUNTIFS(Data!$E:$E,D$5,Data!$G:$G,$A32))</f>
        <v>6</v>
      </c>
      <c r="E32">
        <f>IF(Activity&lt;&gt;"All Programs",COUNTIFS(Data!$E:$E,E$5,Data!$G:$G,$A32,Data!$F:$F,Activity),COUNTIFS(Data!$E:$E,E$5,Data!$G:$G,$A32))</f>
        <v>1</v>
      </c>
      <c r="F32">
        <f>IF(Activity&lt;&gt;"All Programs",COUNTIFS(Data!$E:$E,F$5,Data!$G:$G,$A32,Data!$F:$F,Activity),COUNTIFS(Data!$E:$E,F$5,Data!$G:$G,$A32))</f>
        <v>1</v>
      </c>
      <c r="G32">
        <f>IF(Activity&lt;&gt;"All Programs",COUNTIFS(Data!$E:$E,G$5,Data!$G:$G,$A32,Data!$F:$F,Activity),COUNTIFS(Data!$E:$E,G$5,Data!$G:$G,$A32))</f>
        <v>2</v>
      </c>
      <c r="H32">
        <f>IF(Activity&lt;&gt;"All Programs",COUNTIFS(Data!$E:$E,H$5,Data!$G:$G,$A32,Data!$F:$F,Activity),COUNTIFS(Data!$E:$E,H$5,Data!$G:$G,$A32))</f>
        <v>0</v>
      </c>
      <c r="I32">
        <f>IF(Activity&lt;&gt;"All Programs",COUNTIFS(Data!$E:$E,I$5,Data!$G:$G,$A32,Data!$F:$F,Activity),COUNTIFS(Data!$E:$E,I$5,Data!$G:$G,$A32))</f>
        <v>0</v>
      </c>
      <c r="J32">
        <f>IF(Activity&lt;&gt;"All Programs",COUNTIFS(Data!$E:$E,J$5,Data!$G:$G,$A32,Data!$F:$F,Activity),COUNTIFS(Data!$E:$E,J$5,Data!$G:$G,$A32))</f>
        <v>0</v>
      </c>
      <c r="K32">
        <f>IF(Activity&lt;&gt;"All Programs",COUNTIFS(Data!$E:$E,K$5,Data!$G:$G,$A32,Data!$F:$F,Activity),COUNTIFS(Data!$E:$E,K$5,Data!$G:$G,$A32))</f>
        <v>0</v>
      </c>
      <c r="L32">
        <f>IF(Activity&lt;&gt;"All Programs",COUNTIFS(Data!$E:$E,L$5,Data!$G:$G,$A32,Data!$F:$F,Activity),COUNTIFS(Data!$E:$E,L$5,Data!$G:$G,$A32))</f>
        <v>0</v>
      </c>
      <c r="M32">
        <f>IF(Activity&lt;&gt;"All Programs",COUNTIFS(Data!$E:$E,M$5,Data!$G:$G,$A32,Data!$F:$F,Activity),COUNTIFS(Data!$E:$E,M$5,Data!$G:$G,$A32))</f>
        <v>2</v>
      </c>
      <c r="N32">
        <f>IF(Activity&lt;&gt;"All Programs",COUNTIFS(Data!$E:$E,N$5,Data!$G:$G,$A32,Data!$F:$F,Activity),COUNTIFS(Data!$E:$E,N$5,Data!$G:$G,$A32))</f>
        <v>0</v>
      </c>
      <c r="P32">
        <f t="array" ref="P32">SUM(IF(FREQUENCY(IF((LEN(Data_Acro)&gt;0)*(Data_Act="Planned")*(Data_Pcd=B32),MATCH(Data_Acro,Data_Acro,0),""),IF((LEN(Data_Acro)&gt;0)*(Data_Act="Planned")*(Data_Pcd=B32),MATCH(Data_Acro,Data_Acro,0),""))&gt;0,1))</f>
        <v>0</v>
      </c>
      <c r="Q32">
        <f t="array" ref="Q32">SUM(IF(FREQUENCY(IF((LEN(Data_Acro)&gt;0)*(Data_Act="Ongoing")*(Data_Pcd=B32),MATCH(Data_Acro,Data_Acro,0),""),IF((LEN(Data_Acro)&gt;0)*(Data_Act="Ongoing")*(Data_Pcd=B32),MATCH(Data_Acro,Data_Acro,0),""))&gt;0,1))</f>
        <v>10</v>
      </c>
      <c r="R32">
        <f t="array" ref="R32">SUM(IF(FREQUENCY(IF((LEN(Data_Acro)&gt;0)*(Data_Pcd=B32),MATCH(Data_Acro,Data_Acro,0),""),IF((LEN(Data_Acro)&gt;0)*(Data_Pcd=B32),MATCH(Data_Acro,Data_Acro,0),""))&gt;0,1))</f>
        <v>10</v>
      </c>
      <c r="T32">
        <f t="shared" si="0"/>
        <v>2</v>
      </c>
      <c r="V32">
        <f>IF(INDEX(SectorCount0,27)=0,1,MATCH(INDEX(SectorCount0,27),SectorCountBins0,1)+1)</f>
        <v>4</v>
      </c>
      <c r="X32">
        <f>IF(INDEX(SectorCount1,27)=0,1,MATCH(INDEX(SectorCount1,27),SectorCountBins1,1)+1)</f>
        <v>4</v>
      </c>
      <c r="Z32">
        <f>IF(INDEX(SectorCount2,27)=0,1,MATCH(INDEX(SectorCount2,27),SectorCountBins2,1)+1)</f>
        <v>2</v>
      </c>
      <c r="AB32">
        <f>IF(INDEX(SectorCount3,27)=0,1,MATCH(INDEX(SectorCount3,27),SectorCountBins3,1)+1)</f>
        <v>2</v>
      </c>
      <c r="AD32">
        <f>IF(INDEX(SectorCount4,27)=0,1,MATCH(INDEX(SectorCount4,27),SectorCountBins4,1)+1)</f>
        <v>2</v>
      </c>
      <c r="AF32">
        <f>IF(INDEX(SectorCount5,27)=0,1,MATCH(INDEX(SectorCount5,27),SectorCountBins5,1)+1)</f>
        <v>1</v>
      </c>
      <c r="AH32">
        <f>IF(INDEX(SectorCount6,27)=0,1,MATCH(INDEX(SectorCount6,27),SectorCountBins6,1)+1)</f>
        <v>1</v>
      </c>
      <c r="AJ32">
        <f>IF(INDEX(SectorCount7,27)=0,1,MATCH(INDEX(SectorCount7,27),SectorCountBins7,1)+1)</f>
        <v>1</v>
      </c>
      <c r="AL32">
        <f>IF(INDEX(SectorCount8,27)=0,1,MATCH(INDEX(SectorCount8,27),SectorCountBins8,1)+1)</f>
        <v>1</v>
      </c>
      <c r="AN32">
        <f>IF(INDEX(SectorCount9,27)=0,1,MATCH(INDEX(SectorCount9,27),SectorCountBins9,1)+1)</f>
        <v>1</v>
      </c>
      <c r="AP32">
        <f>IF(INDEX(SectorCount10,27)=0,1,MATCH(INDEX(SectorCount10,27),SectorCountBins10,1)+1)</f>
        <v>2</v>
      </c>
      <c r="AR32">
        <f>IF(INDEX(SectorCount11,27)=0,1,MATCH(INDEX(SectorCount11,27),SectorCountBins11,1)+1)</f>
        <v>1</v>
      </c>
    </row>
    <row r="33" spans="1:44" x14ac:dyDescent="0.2">
      <c r="A33" t="s">
        <v>422</v>
      </c>
      <c r="B33" t="s">
        <v>423</v>
      </c>
      <c r="C33">
        <f>IF(Activity&lt;&gt;"All Programs",COUNTIFS(Data!$E:$E,C$5,Data!$G:$G,$A33,Data!$F:$F,Activity),COUNTIFS(Data!$E:$E,C$5,Data!$G:$G,$A33))</f>
        <v>6</v>
      </c>
      <c r="D33">
        <f>IF(Activity&lt;&gt;"All Programs",COUNTIFS(Data!$E:$E,D$5,Data!$G:$G,$A33,Data!$F:$F,Activity),COUNTIFS(Data!$E:$E,D$5,Data!$G:$G,$A33))</f>
        <v>6</v>
      </c>
      <c r="E33">
        <f>IF(Activity&lt;&gt;"All Programs",COUNTIFS(Data!$E:$E,E$5,Data!$G:$G,$A33,Data!$F:$F,Activity),COUNTIFS(Data!$E:$E,E$5,Data!$G:$G,$A33))</f>
        <v>1</v>
      </c>
      <c r="F33">
        <f>IF(Activity&lt;&gt;"All Programs",COUNTIFS(Data!$E:$E,F$5,Data!$G:$G,$A33,Data!$F:$F,Activity),COUNTIFS(Data!$E:$E,F$5,Data!$G:$G,$A33))</f>
        <v>1</v>
      </c>
      <c r="G33">
        <f>IF(Activity&lt;&gt;"All Programs",COUNTIFS(Data!$E:$E,G$5,Data!$G:$G,$A33,Data!$F:$F,Activity),COUNTIFS(Data!$E:$E,G$5,Data!$G:$G,$A33))</f>
        <v>2</v>
      </c>
      <c r="H33">
        <f>IF(Activity&lt;&gt;"All Programs",COUNTIFS(Data!$E:$E,H$5,Data!$G:$G,$A33,Data!$F:$F,Activity),COUNTIFS(Data!$E:$E,H$5,Data!$G:$G,$A33))</f>
        <v>0</v>
      </c>
      <c r="I33">
        <f>IF(Activity&lt;&gt;"All Programs",COUNTIFS(Data!$E:$E,I$5,Data!$G:$G,$A33,Data!$F:$F,Activity),COUNTIFS(Data!$E:$E,I$5,Data!$G:$G,$A33))</f>
        <v>0</v>
      </c>
      <c r="J33">
        <f>IF(Activity&lt;&gt;"All Programs",COUNTIFS(Data!$E:$E,J$5,Data!$G:$G,$A33,Data!$F:$F,Activity),COUNTIFS(Data!$E:$E,J$5,Data!$G:$G,$A33))</f>
        <v>0</v>
      </c>
      <c r="K33">
        <f>IF(Activity&lt;&gt;"All Programs",COUNTIFS(Data!$E:$E,K$5,Data!$G:$G,$A33,Data!$F:$F,Activity),COUNTIFS(Data!$E:$E,K$5,Data!$G:$G,$A33))</f>
        <v>0</v>
      </c>
      <c r="L33">
        <f>IF(Activity&lt;&gt;"All Programs",COUNTIFS(Data!$E:$E,L$5,Data!$G:$G,$A33,Data!$F:$F,Activity),COUNTIFS(Data!$E:$E,L$5,Data!$G:$G,$A33))</f>
        <v>0</v>
      </c>
      <c r="M33">
        <f>IF(Activity&lt;&gt;"All Programs",COUNTIFS(Data!$E:$E,M$5,Data!$G:$G,$A33,Data!$F:$F,Activity),COUNTIFS(Data!$E:$E,M$5,Data!$G:$G,$A33))</f>
        <v>5</v>
      </c>
      <c r="N33">
        <f>IF(Activity&lt;&gt;"All Programs",COUNTIFS(Data!$E:$E,N$5,Data!$G:$G,$A33,Data!$F:$F,Activity),COUNTIFS(Data!$E:$E,N$5,Data!$G:$G,$A33))</f>
        <v>0</v>
      </c>
      <c r="P33">
        <f t="array" ref="P33">SUM(IF(FREQUENCY(IF((LEN(Data_Acro)&gt;0)*(Data_Act="Planned")*(Data_Pcd=B33),MATCH(Data_Acro,Data_Acro,0),""),IF((LEN(Data_Acro)&gt;0)*(Data_Act="Planned")*(Data_Pcd=B33),MATCH(Data_Acro,Data_Acro,0),""))&gt;0,1))</f>
        <v>0</v>
      </c>
      <c r="Q33">
        <f t="array" ref="Q33">SUM(IF(FREQUENCY(IF((LEN(Data_Acro)&gt;0)*(Data_Act="Ongoing")*(Data_Pcd=B33),MATCH(Data_Acro,Data_Acro,0),""),IF((LEN(Data_Acro)&gt;0)*(Data_Act="Ongoing")*(Data_Pcd=B33),MATCH(Data_Acro,Data_Acro,0),""))&gt;0,1))</f>
        <v>13</v>
      </c>
      <c r="R33">
        <f t="array" ref="R33">SUM(IF(FREQUENCY(IF((LEN(Data_Acro)&gt;0)*(Data_Pcd=B33),MATCH(Data_Acro,Data_Acro,0),""),IF((LEN(Data_Acro)&gt;0)*(Data_Pcd=B33),MATCH(Data_Acro,Data_Acro,0),""))&gt;0,1))</f>
        <v>13</v>
      </c>
      <c r="T33">
        <f t="shared" si="0"/>
        <v>3</v>
      </c>
      <c r="V33">
        <f>IF(INDEX(SectorCount0,28)=0,1,MATCH(INDEX(SectorCount0,28),SectorCountBins0,1)+1)</f>
        <v>4</v>
      </c>
      <c r="X33">
        <f>IF(INDEX(SectorCount1,28)=0,1,MATCH(INDEX(SectorCount1,28),SectorCountBins1,1)+1)</f>
        <v>4</v>
      </c>
      <c r="Z33">
        <f>IF(INDEX(SectorCount2,28)=0,1,MATCH(INDEX(SectorCount2,28),SectorCountBins2,1)+1)</f>
        <v>2</v>
      </c>
      <c r="AB33">
        <f>IF(INDEX(SectorCount3,28)=0,1,MATCH(INDEX(SectorCount3,28),SectorCountBins3,1)+1)</f>
        <v>2</v>
      </c>
      <c r="AD33">
        <f>IF(INDEX(SectorCount4,28)=0,1,MATCH(INDEX(SectorCount4,28),SectorCountBins4,1)+1)</f>
        <v>2</v>
      </c>
      <c r="AF33">
        <f>IF(INDEX(SectorCount5,28)=0,1,MATCH(INDEX(SectorCount5,28),SectorCountBins5,1)+1)</f>
        <v>1</v>
      </c>
      <c r="AH33">
        <f>IF(INDEX(SectorCount6,28)=0,1,MATCH(INDEX(SectorCount6,28),SectorCountBins6,1)+1)</f>
        <v>1</v>
      </c>
      <c r="AJ33">
        <f>IF(INDEX(SectorCount7,28)=0,1,MATCH(INDEX(SectorCount7,28),SectorCountBins7,1)+1)</f>
        <v>1</v>
      </c>
      <c r="AL33">
        <f>IF(INDEX(SectorCount8,28)=0,1,MATCH(INDEX(SectorCount8,28),SectorCountBins8,1)+1)</f>
        <v>1</v>
      </c>
      <c r="AN33">
        <f>IF(INDEX(SectorCount9,28)=0,1,MATCH(INDEX(SectorCount9,28),SectorCountBins9,1)+1)</f>
        <v>1</v>
      </c>
      <c r="AP33">
        <f>IF(INDEX(SectorCount10,28)=0,1,MATCH(INDEX(SectorCount10,28),SectorCountBins10,1)+1)</f>
        <v>4</v>
      </c>
      <c r="AR33">
        <f>IF(INDEX(SectorCount11,28)=0,1,MATCH(INDEX(SectorCount11,28),SectorCountBins11,1)+1)</f>
        <v>1</v>
      </c>
    </row>
    <row r="34" spans="1:44" x14ac:dyDescent="0.2">
      <c r="A34" t="s">
        <v>424</v>
      </c>
      <c r="B34" t="s">
        <v>425</v>
      </c>
      <c r="C34">
        <f>IF(Activity&lt;&gt;"All Programs",COUNTIFS(Data!$E:$E,C$5,Data!$G:$G,$A34,Data!$F:$F,Activity),COUNTIFS(Data!$E:$E,C$5,Data!$G:$G,$A34))</f>
        <v>9</v>
      </c>
      <c r="D34">
        <f>IF(Activity&lt;&gt;"All Programs",COUNTIFS(Data!$E:$E,D$5,Data!$G:$G,$A34,Data!$F:$F,Activity),COUNTIFS(Data!$E:$E,D$5,Data!$G:$G,$A34))</f>
        <v>8</v>
      </c>
      <c r="E34">
        <f>IF(Activity&lt;&gt;"All Programs",COUNTIFS(Data!$E:$E,E$5,Data!$G:$G,$A34,Data!$F:$F,Activity),COUNTIFS(Data!$E:$E,E$5,Data!$G:$G,$A34))</f>
        <v>1</v>
      </c>
      <c r="F34">
        <f>IF(Activity&lt;&gt;"All Programs",COUNTIFS(Data!$E:$E,F$5,Data!$G:$G,$A34,Data!$F:$F,Activity),COUNTIFS(Data!$E:$E,F$5,Data!$G:$G,$A34))</f>
        <v>1</v>
      </c>
      <c r="G34">
        <f>IF(Activity&lt;&gt;"All Programs",COUNTIFS(Data!$E:$E,G$5,Data!$G:$G,$A34,Data!$F:$F,Activity),COUNTIFS(Data!$E:$E,G$5,Data!$G:$G,$A34))</f>
        <v>2</v>
      </c>
      <c r="H34">
        <f>IF(Activity&lt;&gt;"All Programs",COUNTIFS(Data!$E:$E,H$5,Data!$G:$G,$A34,Data!$F:$F,Activity),COUNTIFS(Data!$E:$E,H$5,Data!$G:$G,$A34))</f>
        <v>1</v>
      </c>
      <c r="I34">
        <f>IF(Activity&lt;&gt;"All Programs",COUNTIFS(Data!$E:$E,I$5,Data!$G:$G,$A34,Data!$F:$F,Activity),COUNTIFS(Data!$E:$E,I$5,Data!$G:$G,$A34))</f>
        <v>5</v>
      </c>
      <c r="J34">
        <f>IF(Activity&lt;&gt;"All Programs",COUNTIFS(Data!$E:$E,J$5,Data!$G:$G,$A34,Data!$F:$F,Activity),COUNTIFS(Data!$E:$E,J$5,Data!$G:$G,$A34))</f>
        <v>0</v>
      </c>
      <c r="K34">
        <f>IF(Activity&lt;&gt;"All Programs",COUNTIFS(Data!$E:$E,K$5,Data!$G:$G,$A34,Data!$F:$F,Activity),COUNTIFS(Data!$E:$E,K$5,Data!$G:$G,$A34))</f>
        <v>0</v>
      </c>
      <c r="L34">
        <f>IF(Activity&lt;&gt;"All Programs",COUNTIFS(Data!$E:$E,L$5,Data!$G:$G,$A34,Data!$F:$F,Activity),COUNTIFS(Data!$E:$E,L$5,Data!$G:$G,$A34))</f>
        <v>2</v>
      </c>
      <c r="M34">
        <f>IF(Activity&lt;&gt;"All Programs",COUNTIFS(Data!$E:$E,M$5,Data!$G:$G,$A34,Data!$F:$F,Activity),COUNTIFS(Data!$E:$E,M$5,Data!$G:$G,$A34))</f>
        <v>7</v>
      </c>
      <c r="N34">
        <f>IF(Activity&lt;&gt;"All Programs",COUNTIFS(Data!$E:$E,N$5,Data!$G:$G,$A34,Data!$F:$F,Activity),COUNTIFS(Data!$E:$E,N$5,Data!$G:$G,$A34))</f>
        <v>0</v>
      </c>
      <c r="P34">
        <f t="array" ref="P34">SUM(IF(FREQUENCY(IF((LEN(Data_Acro)&gt;0)*(Data_Act="Planned")*(Data_Pcd=B34),MATCH(Data_Acro,Data_Acro,0),""),IF((LEN(Data_Acro)&gt;0)*(Data_Act="Planned")*(Data_Pcd=B34),MATCH(Data_Acro,Data_Acro,0),""))&gt;0,1))</f>
        <v>0</v>
      </c>
      <c r="Q34">
        <f t="array" ref="Q34">SUM(IF(FREQUENCY(IF((LEN(Data_Acro)&gt;0)*(Data_Act="Ongoing")*(Data_Pcd=B34),MATCH(Data_Acro,Data_Acro,0),""),IF((LEN(Data_Acro)&gt;0)*(Data_Act="Ongoing")*(Data_Pcd=B34),MATCH(Data_Acro,Data_Acro,0),""))&gt;0,1))</f>
        <v>20</v>
      </c>
      <c r="R34">
        <f t="array" ref="R34">SUM(IF(FREQUENCY(IF((LEN(Data_Acro)&gt;0)*(Data_Pcd=B34),MATCH(Data_Acro,Data_Acro,0),""),IF((LEN(Data_Acro)&gt;0)*(Data_Pcd=B34),MATCH(Data_Acro,Data_Acro,0),""))&gt;0,1))</f>
        <v>20</v>
      </c>
      <c r="T34">
        <f t="shared" si="0"/>
        <v>5</v>
      </c>
      <c r="V34">
        <f>IF(INDEX(SectorCount0,29)=0,1,MATCH(INDEX(SectorCount0,29),SectorCountBins0,1)+1)</f>
        <v>6</v>
      </c>
      <c r="X34">
        <f>IF(INDEX(SectorCount1,29)=0,1,MATCH(INDEX(SectorCount1,29),SectorCountBins1,1)+1)</f>
        <v>5</v>
      </c>
      <c r="Z34">
        <f>IF(INDEX(SectorCount2,29)=0,1,MATCH(INDEX(SectorCount2,29),SectorCountBins2,1)+1)</f>
        <v>2</v>
      </c>
      <c r="AB34">
        <f>IF(INDEX(SectorCount3,29)=0,1,MATCH(INDEX(SectorCount3,29),SectorCountBins3,1)+1)</f>
        <v>2</v>
      </c>
      <c r="AD34">
        <f>IF(INDEX(SectorCount4,29)=0,1,MATCH(INDEX(SectorCount4,29),SectorCountBins4,1)+1)</f>
        <v>2</v>
      </c>
      <c r="AF34">
        <f>IF(INDEX(SectorCount5,29)=0,1,MATCH(INDEX(SectorCount5,29),SectorCountBins5,1)+1)</f>
        <v>2</v>
      </c>
      <c r="AH34">
        <f>IF(INDEX(SectorCount6,29)=0,1,MATCH(INDEX(SectorCount6,29),SectorCountBins6,1)+1)</f>
        <v>4</v>
      </c>
      <c r="AJ34">
        <f>IF(INDEX(SectorCount7,29)=0,1,MATCH(INDEX(SectorCount7,29),SectorCountBins7,1)+1)</f>
        <v>1</v>
      </c>
      <c r="AL34">
        <f>IF(INDEX(SectorCount8,29)=0,1,MATCH(INDEX(SectorCount8,29),SectorCountBins8,1)+1)</f>
        <v>1</v>
      </c>
      <c r="AN34">
        <f>IF(INDEX(SectorCount9,29)=0,1,MATCH(INDEX(SectorCount9,29),SectorCountBins9,1)+1)</f>
        <v>2</v>
      </c>
      <c r="AP34">
        <f>IF(INDEX(SectorCount10,29)=0,1,MATCH(INDEX(SectorCount10,29),SectorCountBins10,1)+1)</f>
        <v>5</v>
      </c>
      <c r="AR34">
        <f>IF(INDEX(SectorCount11,29)=0,1,MATCH(INDEX(SectorCount11,29),SectorCountBins11,1)+1)</f>
        <v>1</v>
      </c>
    </row>
    <row r="35" spans="1:44" x14ac:dyDescent="0.2">
      <c r="A35" t="s">
        <v>426</v>
      </c>
      <c r="B35" t="s">
        <v>427</v>
      </c>
      <c r="C35">
        <f>IF(Activity&lt;&gt;"All Programs",COUNTIFS(Data!$E:$E,C$5,Data!$G:$G,$A35,Data!$F:$F,Activity),COUNTIFS(Data!$E:$E,C$5,Data!$G:$G,$A35))</f>
        <v>6</v>
      </c>
      <c r="D35">
        <f>IF(Activity&lt;&gt;"All Programs",COUNTIFS(Data!$E:$E,D$5,Data!$G:$G,$A35,Data!$F:$F,Activity),COUNTIFS(Data!$E:$E,D$5,Data!$G:$G,$A35))</f>
        <v>6</v>
      </c>
      <c r="E35">
        <f>IF(Activity&lt;&gt;"All Programs",COUNTIFS(Data!$E:$E,E$5,Data!$G:$G,$A35,Data!$F:$F,Activity),COUNTIFS(Data!$E:$E,E$5,Data!$G:$G,$A35))</f>
        <v>1</v>
      </c>
      <c r="F35">
        <f>IF(Activity&lt;&gt;"All Programs",COUNTIFS(Data!$E:$E,F$5,Data!$G:$G,$A35,Data!$F:$F,Activity),COUNTIFS(Data!$E:$E,F$5,Data!$G:$G,$A35))</f>
        <v>1</v>
      </c>
      <c r="G35">
        <f>IF(Activity&lt;&gt;"All Programs",COUNTIFS(Data!$E:$E,G$5,Data!$G:$G,$A35,Data!$F:$F,Activity),COUNTIFS(Data!$E:$E,G$5,Data!$G:$G,$A35))</f>
        <v>4</v>
      </c>
      <c r="H35">
        <f>IF(Activity&lt;&gt;"All Programs",COUNTIFS(Data!$E:$E,H$5,Data!$G:$G,$A35,Data!$F:$F,Activity),COUNTIFS(Data!$E:$E,H$5,Data!$G:$G,$A35))</f>
        <v>2</v>
      </c>
      <c r="I35">
        <f>IF(Activity&lt;&gt;"All Programs",COUNTIFS(Data!$E:$E,I$5,Data!$G:$G,$A35,Data!$F:$F,Activity),COUNTIFS(Data!$E:$E,I$5,Data!$G:$G,$A35))</f>
        <v>3</v>
      </c>
      <c r="J35">
        <f>IF(Activity&lt;&gt;"All Programs",COUNTIFS(Data!$E:$E,J$5,Data!$G:$G,$A35,Data!$F:$F,Activity),COUNTIFS(Data!$E:$E,J$5,Data!$G:$G,$A35))</f>
        <v>0</v>
      </c>
      <c r="K35">
        <f>IF(Activity&lt;&gt;"All Programs",COUNTIFS(Data!$E:$E,K$5,Data!$G:$G,$A35,Data!$F:$F,Activity),COUNTIFS(Data!$E:$E,K$5,Data!$G:$G,$A35))</f>
        <v>0</v>
      </c>
      <c r="L35">
        <f>IF(Activity&lt;&gt;"All Programs",COUNTIFS(Data!$E:$E,L$5,Data!$G:$G,$A35,Data!$F:$F,Activity),COUNTIFS(Data!$E:$E,L$5,Data!$G:$G,$A35))</f>
        <v>2</v>
      </c>
      <c r="M35">
        <f>IF(Activity&lt;&gt;"All Programs",COUNTIFS(Data!$E:$E,M$5,Data!$G:$G,$A35,Data!$F:$F,Activity),COUNTIFS(Data!$E:$E,M$5,Data!$G:$G,$A35))</f>
        <v>6</v>
      </c>
      <c r="N35">
        <f>IF(Activity&lt;&gt;"All Programs",COUNTIFS(Data!$E:$E,N$5,Data!$G:$G,$A35,Data!$F:$F,Activity),COUNTIFS(Data!$E:$E,N$5,Data!$G:$G,$A35))</f>
        <v>2</v>
      </c>
      <c r="P35">
        <f t="array" ref="P35">SUM(IF(FREQUENCY(IF((LEN(Data_Acro)&gt;0)*(Data_Act="Planned")*(Data_Pcd=B35),MATCH(Data_Acro,Data_Acro,0),""),IF((LEN(Data_Acro)&gt;0)*(Data_Act="Planned")*(Data_Pcd=B35),MATCH(Data_Acro,Data_Acro,0),""))&gt;0,1))</f>
        <v>0</v>
      </c>
      <c r="Q35">
        <f t="array" ref="Q35">SUM(IF(FREQUENCY(IF((LEN(Data_Acro)&gt;0)*(Data_Act="Ongoing")*(Data_Pcd=B35),MATCH(Data_Acro,Data_Acro,0),""),IF((LEN(Data_Acro)&gt;0)*(Data_Act="Ongoing")*(Data_Pcd=B35),MATCH(Data_Acro,Data_Acro,0),""))&gt;0,1))</f>
        <v>16</v>
      </c>
      <c r="R35">
        <f t="array" ref="R35">SUM(IF(FREQUENCY(IF((LEN(Data_Acro)&gt;0)*(Data_Pcd=B35),MATCH(Data_Acro,Data_Acro,0),""),IF((LEN(Data_Acro)&gt;0)*(Data_Pcd=B35),MATCH(Data_Acro,Data_Acro,0),""))&gt;0,1))</f>
        <v>16</v>
      </c>
      <c r="T35">
        <f t="shared" si="0"/>
        <v>4</v>
      </c>
      <c r="V35">
        <f>IF(INDEX(SectorCount0,30)=0,1,MATCH(INDEX(SectorCount0,30),SectorCountBins0,1)+1)</f>
        <v>4</v>
      </c>
      <c r="X35">
        <f>IF(INDEX(SectorCount1,30)=0,1,MATCH(INDEX(SectorCount1,30),SectorCountBins1,1)+1)</f>
        <v>4</v>
      </c>
      <c r="Z35">
        <f>IF(INDEX(SectorCount2,30)=0,1,MATCH(INDEX(SectorCount2,30),SectorCountBins2,1)+1)</f>
        <v>2</v>
      </c>
      <c r="AB35">
        <f>IF(INDEX(SectorCount3,30)=0,1,MATCH(INDEX(SectorCount3,30),SectorCountBins3,1)+1)</f>
        <v>2</v>
      </c>
      <c r="AD35">
        <f>IF(INDEX(SectorCount4,30)=0,1,MATCH(INDEX(SectorCount4,30),SectorCountBins4,1)+1)</f>
        <v>3</v>
      </c>
      <c r="AF35">
        <f>IF(INDEX(SectorCount5,30)=0,1,MATCH(INDEX(SectorCount5,30),SectorCountBins5,1)+1)</f>
        <v>2</v>
      </c>
      <c r="AH35">
        <f>IF(INDEX(SectorCount6,30)=0,1,MATCH(INDEX(SectorCount6,30),SectorCountBins6,1)+1)</f>
        <v>3</v>
      </c>
      <c r="AJ35">
        <f>IF(INDEX(SectorCount7,30)=0,1,MATCH(INDEX(SectorCount7,30),SectorCountBins7,1)+1)</f>
        <v>1</v>
      </c>
      <c r="AL35">
        <f>IF(INDEX(SectorCount8,30)=0,1,MATCH(INDEX(SectorCount8,30),SectorCountBins8,1)+1)</f>
        <v>1</v>
      </c>
      <c r="AN35">
        <f>IF(INDEX(SectorCount9,30)=0,1,MATCH(INDEX(SectorCount9,30),SectorCountBins9,1)+1)</f>
        <v>2</v>
      </c>
      <c r="AP35">
        <f>IF(INDEX(SectorCount10,30)=0,1,MATCH(INDEX(SectorCount10,30),SectorCountBins10,1)+1)</f>
        <v>4</v>
      </c>
      <c r="AR35">
        <f>IF(INDEX(SectorCount11,30)=0,1,MATCH(INDEX(SectorCount11,30),SectorCountBins11,1)+1)</f>
        <v>2</v>
      </c>
    </row>
    <row r="36" spans="1:44" x14ac:dyDescent="0.2">
      <c r="A36" t="s">
        <v>428</v>
      </c>
      <c r="B36" t="s">
        <v>429</v>
      </c>
      <c r="C36">
        <f>IF(Activity&lt;&gt;"All Programs",COUNTIFS(Data!$E:$E,C$5,Data!$G:$G,$A36,Data!$F:$F,Activity),COUNTIFS(Data!$E:$E,C$5,Data!$G:$G,$A36))</f>
        <v>7</v>
      </c>
      <c r="D36">
        <f>IF(Activity&lt;&gt;"All Programs",COUNTIFS(Data!$E:$E,D$5,Data!$G:$G,$A36,Data!$F:$F,Activity),COUNTIFS(Data!$E:$E,D$5,Data!$G:$G,$A36))</f>
        <v>6</v>
      </c>
      <c r="E36">
        <f>IF(Activity&lt;&gt;"All Programs",COUNTIFS(Data!$E:$E,E$5,Data!$G:$G,$A36,Data!$F:$F,Activity),COUNTIFS(Data!$E:$E,E$5,Data!$G:$G,$A36))</f>
        <v>1</v>
      </c>
      <c r="F36">
        <f>IF(Activity&lt;&gt;"All Programs",COUNTIFS(Data!$E:$E,F$5,Data!$G:$G,$A36,Data!$F:$F,Activity),COUNTIFS(Data!$E:$E,F$5,Data!$G:$G,$A36))</f>
        <v>1</v>
      </c>
      <c r="G36">
        <f>IF(Activity&lt;&gt;"All Programs",COUNTIFS(Data!$E:$E,G$5,Data!$G:$G,$A36,Data!$F:$F,Activity),COUNTIFS(Data!$E:$E,G$5,Data!$G:$G,$A36))</f>
        <v>2</v>
      </c>
      <c r="H36">
        <f>IF(Activity&lt;&gt;"All Programs",COUNTIFS(Data!$E:$E,H$5,Data!$G:$G,$A36,Data!$F:$F,Activity),COUNTIFS(Data!$E:$E,H$5,Data!$G:$G,$A36))</f>
        <v>0</v>
      </c>
      <c r="I36">
        <f>IF(Activity&lt;&gt;"All Programs",COUNTIFS(Data!$E:$E,I$5,Data!$G:$G,$A36,Data!$F:$F,Activity),COUNTIFS(Data!$E:$E,I$5,Data!$G:$G,$A36))</f>
        <v>1</v>
      </c>
      <c r="J36">
        <f>IF(Activity&lt;&gt;"All Programs",COUNTIFS(Data!$E:$E,J$5,Data!$G:$G,$A36,Data!$F:$F,Activity),COUNTIFS(Data!$E:$E,J$5,Data!$G:$G,$A36))</f>
        <v>0</v>
      </c>
      <c r="K36">
        <f>IF(Activity&lt;&gt;"All Programs",COUNTIFS(Data!$E:$E,K$5,Data!$G:$G,$A36,Data!$F:$F,Activity),COUNTIFS(Data!$E:$E,K$5,Data!$G:$G,$A36))</f>
        <v>0</v>
      </c>
      <c r="L36">
        <f>IF(Activity&lt;&gt;"All Programs",COUNTIFS(Data!$E:$E,L$5,Data!$G:$G,$A36,Data!$F:$F,Activity),COUNTIFS(Data!$E:$E,L$5,Data!$G:$G,$A36))</f>
        <v>3</v>
      </c>
      <c r="M36">
        <f>IF(Activity&lt;&gt;"All Programs",COUNTIFS(Data!$E:$E,M$5,Data!$G:$G,$A36,Data!$F:$F,Activity),COUNTIFS(Data!$E:$E,M$5,Data!$G:$G,$A36))</f>
        <v>4</v>
      </c>
      <c r="N36">
        <f>IF(Activity&lt;&gt;"All Programs",COUNTIFS(Data!$E:$E,N$5,Data!$G:$G,$A36,Data!$F:$F,Activity),COUNTIFS(Data!$E:$E,N$5,Data!$G:$G,$A36))</f>
        <v>0</v>
      </c>
      <c r="P36">
        <f t="array" ref="P36">SUM(IF(FREQUENCY(IF((LEN(Data_Acro)&gt;0)*(Data_Act="Planned")*(Data_Pcd=B36),MATCH(Data_Acro,Data_Acro,0),""),IF((LEN(Data_Acro)&gt;0)*(Data_Act="Planned")*(Data_Pcd=B36),MATCH(Data_Acro,Data_Acro,0),""))&gt;0,1))</f>
        <v>0</v>
      </c>
      <c r="Q36">
        <f t="array" ref="Q36">SUM(IF(FREQUENCY(IF((LEN(Data_Acro)&gt;0)*(Data_Act="Ongoing")*(Data_Pcd=B36),MATCH(Data_Acro,Data_Acro,0),""),IF((LEN(Data_Acro)&gt;0)*(Data_Act="Ongoing")*(Data_Pcd=B36),MATCH(Data_Acro,Data_Acro,0),""))&gt;0,1))</f>
        <v>17</v>
      </c>
      <c r="R36">
        <f t="array" ref="R36">SUM(IF(FREQUENCY(IF((LEN(Data_Acro)&gt;0)*(Data_Pcd=B36),MATCH(Data_Acro,Data_Acro,0),""),IF((LEN(Data_Acro)&gt;0)*(Data_Pcd=B36),MATCH(Data_Acro,Data_Acro,0),""))&gt;0,1))</f>
        <v>17</v>
      </c>
      <c r="T36">
        <f t="shared" si="0"/>
        <v>4</v>
      </c>
      <c r="V36">
        <f>IF(INDEX(SectorCount0,31)=0,1,MATCH(INDEX(SectorCount0,31),SectorCountBins0,1)+1)</f>
        <v>5</v>
      </c>
      <c r="X36">
        <f>IF(INDEX(SectorCount1,31)=0,1,MATCH(INDEX(SectorCount1,31),SectorCountBins1,1)+1)</f>
        <v>4</v>
      </c>
      <c r="Z36">
        <f>IF(INDEX(SectorCount2,31)=0,1,MATCH(INDEX(SectorCount2,31),SectorCountBins2,1)+1)</f>
        <v>2</v>
      </c>
      <c r="AB36">
        <f>IF(INDEX(SectorCount3,31)=0,1,MATCH(INDEX(SectorCount3,31),SectorCountBins3,1)+1)</f>
        <v>2</v>
      </c>
      <c r="AD36">
        <f>IF(INDEX(SectorCount4,31)=0,1,MATCH(INDEX(SectorCount4,31),SectorCountBins4,1)+1)</f>
        <v>2</v>
      </c>
      <c r="AF36">
        <f>IF(INDEX(SectorCount5,31)=0,1,MATCH(INDEX(SectorCount5,31),SectorCountBins5,1)+1)</f>
        <v>1</v>
      </c>
      <c r="AH36">
        <f>IF(INDEX(SectorCount6,31)=0,1,MATCH(INDEX(SectorCount6,31),SectorCountBins6,1)+1)</f>
        <v>2</v>
      </c>
      <c r="AJ36">
        <f>IF(INDEX(SectorCount7,31)=0,1,MATCH(INDEX(SectorCount7,31),SectorCountBins7,1)+1)</f>
        <v>1</v>
      </c>
      <c r="AL36">
        <f>IF(INDEX(SectorCount8,31)=0,1,MATCH(INDEX(SectorCount8,31),SectorCountBins8,1)+1)</f>
        <v>1</v>
      </c>
      <c r="AN36">
        <f>IF(INDEX(SectorCount9,31)=0,1,MATCH(INDEX(SectorCount9,31),SectorCountBins9,1)+1)</f>
        <v>3</v>
      </c>
      <c r="AP36">
        <f>IF(INDEX(SectorCount10,31)=0,1,MATCH(INDEX(SectorCount10,31),SectorCountBins10,1)+1)</f>
        <v>3</v>
      </c>
      <c r="AR36">
        <f>IF(INDEX(SectorCount11,31)=0,1,MATCH(INDEX(SectorCount11,31),SectorCountBins11,1)+1)</f>
        <v>1</v>
      </c>
    </row>
    <row r="37" spans="1:44" x14ac:dyDescent="0.2">
      <c r="A37" t="s">
        <v>430</v>
      </c>
      <c r="B37" t="s">
        <v>431</v>
      </c>
      <c r="C37">
        <f>IF(Activity&lt;&gt;"All Programs",COUNTIFS(Data!$E:$E,C$5,Data!$G:$G,$A37,Data!$F:$F,Activity),COUNTIFS(Data!$E:$E,C$5,Data!$G:$G,$A37))</f>
        <v>6</v>
      </c>
      <c r="D37">
        <f>IF(Activity&lt;&gt;"All Programs",COUNTIFS(Data!$E:$E,D$5,Data!$G:$G,$A37,Data!$F:$F,Activity),COUNTIFS(Data!$E:$E,D$5,Data!$G:$G,$A37))</f>
        <v>6</v>
      </c>
      <c r="E37">
        <f>IF(Activity&lt;&gt;"All Programs",COUNTIFS(Data!$E:$E,E$5,Data!$G:$G,$A37,Data!$F:$F,Activity),COUNTIFS(Data!$E:$E,E$5,Data!$G:$G,$A37))</f>
        <v>1</v>
      </c>
      <c r="F37">
        <f>IF(Activity&lt;&gt;"All Programs",COUNTIFS(Data!$E:$E,F$5,Data!$G:$G,$A37,Data!$F:$F,Activity),COUNTIFS(Data!$E:$E,F$5,Data!$G:$G,$A37))</f>
        <v>1</v>
      </c>
      <c r="G37">
        <f>IF(Activity&lt;&gt;"All Programs",COUNTIFS(Data!$E:$E,G$5,Data!$G:$G,$A37,Data!$F:$F,Activity),COUNTIFS(Data!$E:$E,G$5,Data!$G:$G,$A37))</f>
        <v>4</v>
      </c>
      <c r="H37">
        <f>IF(Activity&lt;&gt;"All Programs",COUNTIFS(Data!$E:$E,H$5,Data!$G:$G,$A37,Data!$F:$F,Activity),COUNTIFS(Data!$E:$E,H$5,Data!$G:$G,$A37))</f>
        <v>2</v>
      </c>
      <c r="I37">
        <f>IF(Activity&lt;&gt;"All Programs",COUNTIFS(Data!$E:$E,I$5,Data!$G:$G,$A37,Data!$F:$F,Activity),COUNTIFS(Data!$E:$E,I$5,Data!$G:$G,$A37))</f>
        <v>6</v>
      </c>
      <c r="J37">
        <f>IF(Activity&lt;&gt;"All Programs",COUNTIFS(Data!$E:$E,J$5,Data!$G:$G,$A37,Data!$F:$F,Activity),COUNTIFS(Data!$E:$E,J$5,Data!$G:$G,$A37))</f>
        <v>0</v>
      </c>
      <c r="K37">
        <f>IF(Activity&lt;&gt;"All Programs",COUNTIFS(Data!$E:$E,K$5,Data!$G:$G,$A37,Data!$F:$F,Activity),COUNTIFS(Data!$E:$E,K$5,Data!$G:$G,$A37))</f>
        <v>1</v>
      </c>
      <c r="L37">
        <f>IF(Activity&lt;&gt;"All Programs",COUNTIFS(Data!$E:$E,L$5,Data!$G:$G,$A37,Data!$F:$F,Activity),COUNTIFS(Data!$E:$E,L$5,Data!$G:$G,$A37))</f>
        <v>3</v>
      </c>
      <c r="M37">
        <f>IF(Activity&lt;&gt;"All Programs",COUNTIFS(Data!$E:$E,M$5,Data!$G:$G,$A37,Data!$F:$F,Activity),COUNTIFS(Data!$E:$E,M$5,Data!$G:$G,$A37))</f>
        <v>5</v>
      </c>
      <c r="N37">
        <f>IF(Activity&lt;&gt;"All Programs",COUNTIFS(Data!$E:$E,N$5,Data!$G:$G,$A37,Data!$F:$F,Activity),COUNTIFS(Data!$E:$E,N$5,Data!$G:$G,$A37))</f>
        <v>2</v>
      </c>
      <c r="P37">
        <f t="array" ref="P37">SUM(IF(FREQUENCY(IF((LEN(Data_Acro)&gt;0)*(Data_Act="Planned")*(Data_Pcd=B37),MATCH(Data_Acro,Data_Acro,0),""),IF((LEN(Data_Acro)&gt;0)*(Data_Act="Planned")*(Data_Pcd=B37),MATCH(Data_Acro,Data_Acro,0),""))&gt;0,1))</f>
        <v>0</v>
      </c>
      <c r="Q37">
        <f t="array" ref="Q37">SUM(IF(FREQUENCY(IF((LEN(Data_Acro)&gt;0)*(Data_Act="Ongoing")*(Data_Pcd=B37),MATCH(Data_Acro,Data_Acro,0),""),IF((LEN(Data_Acro)&gt;0)*(Data_Act="Ongoing")*(Data_Pcd=B37),MATCH(Data_Acro,Data_Acro,0),""))&gt;0,1))</f>
        <v>19</v>
      </c>
      <c r="R37">
        <f t="array" ref="R37">SUM(IF(FREQUENCY(IF((LEN(Data_Acro)&gt;0)*(Data_Pcd=B37),MATCH(Data_Acro,Data_Acro,0),""),IF((LEN(Data_Acro)&gt;0)*(Data_Pcd=B37),MATCH(Data_Acro,Data_Acro,0),""))&gt;0,1))</f>
        <v>19</v>
      </c>
      <c r="T37">
        <f t="shared" si="0"/>
        <v>5</v>
      </c>
      <c r="V37">
        <f>IF(INDEX(SectorCount0,32)=0,1,MATCH(INDEX(SectorCount0,32),SectorCountBins0,1)+1)</f>
        <v>4</v>
      </c>
      <c r="X37">
        <f>IF(INDEX(SectorCount1,32)=0,1,MATCH(INDEX(SectorCount1,32),SectorCountBins1,1)+1)</f>
        <v>4</v>
      </c>
      <c r="Z37">
        <f>IF(INDEX(SectorCount2,32)=0,1,MATCH(INDEX(SectorCount2,32),SectorCountBins2,1)+1)</f>
        <v>2</v>
      </c>
      <c r="AB37">
        <f>IF(INDEX(SectorCount3,32)=0,1,MATCH(INDEX(SectorCount3,32),SectorCountBins3,1)+1)</f>
        <v>2</v>
      </c>
      <c r="AD37">
        <f>IF(INDEX(SectorCount4,32)=0,1,MATCH(INDEX(SectorCount4,32),SectorCountBins4,1)+1)</f>
        <v>3</v>
      </c>
      <c r="AF37">
        <f>IF(INDEX(SectorCount5,32)=0,1,MATCH(INDEX(SectorCount5,32),SectorCountBins5,1)+1)</f>
        <v>2</v>
      </c>
      <c r="AH37">
        <f>IF(INDEX(SectorCount6,32)=0,1,MATCH(INDEX(SectorCount6,32),SectorCountBins6,1)+1)</f>
        <v>4</v>
      </c>
      <c r="AJ37">
        <f>IF(INDEX(SectorCount7,32)=0,1,MATCH(INDEX(SectorCount7,32),SectorCountBins7,1)+1)</f>
        <v>1</v>
      </c>
      <c r="AL37">
        <f>IF(INDEX(SectorCount8,32)=0,1,MATCH(INDEX(SectorCount8,32),SectorCountBins8,1)+1)</f>
        <v>2</v>
      </c>
      <c r="AN37">
        <f>IF(INDEX(SectorCount9,32)=0,1,MATCH(INDEX(SectorCount9,32),SectorCountBins9,1)+1)</f>
        <v>3</v>
      </c>
      <c r="AP37">
        <f>IF(INDEX(SectorCount10,32)=0,1,MATCH(INDEX(SectorCount10,32),SectorCountBins10,1)+1)</f>
        <v>4</v>
      </c>
      <c r="AR37">
        <f>IF(INDEX(SectorCount11,32)=0,1,MATCH(INDEX(SectorCount11,32),SectorCountBins11,1)+1)</f>
        <v>2</v>
      </c>
    </row>
    <row r="38" spans="1:44" x14ac:dyDescent="0.2">
      <c r="A38" t="s">
        <v>432</v>
      </c>
      <c r="B38" t="s">
        <v>433</v>
      </c>
      <c r="C38">
        <f>IF(Activity&lt;&gt;"All Programs",COUNTIFS(Data!$E:$E,C$5,Data!$G:$G,$A38,Data!$F:$F,Activity),COUNTIFS(Data!$E:$E,C$5,Data!$G:$G,$A38))</f>
        <v>7</v>
      </c>
      <c r="D38">
        <f>IF(Activity&lt;&gt;"All Programs",COUNTIFS(Data!$E:$E,D$5,Data!$G:$G,$A38,Data!$F:$F,Activity),COUNTIFS(Data!$E:$E,D$5,Data!$G:$G,$A38))</f>
        <v>6</v>
      </c>
      <c r="E38">
        <f>IF(Activity&lt;&gt;"All Programs",COUNTIFS(Data!$E:$E,E$5,Data!$G:$G,$A38,Data!$F:$F,Activity),COUNTIFS(Data!$E:$E,E$5,Data!$G:$G,$A38))</f>
        <v>1</v>
      </c>
      <c r="F38">
        <f>IF(Activity&lt;&gt;"All Programs",COUNTIFS(Data!$E:$E,F$5,Data!$G:$G,$A38,Data!$F:$F,Activity),COUNTIFS(Data!$E:$E,F$5,Data!$G:$G,$A38))</f>
        <v>1</v>
      </c>
      <c r="G38">
        <f>IF(Activity&lt;&gt;"All Programs",COUNTIFS(Data!$E:$E,G$5,Data!$G:$G,$A38,Data!$F:$F,Activity),COUNTIFS(Data!$E:$E,G$5,Data!$G:$G,$A38))</f>
        <v>4</v>
      </c>
      <c r="H38">
        <f>IF(Activity&lt;&gt;"All Programs",COUNTIFS(Data!$E:$E,H$5,Data!$G:$G,$A38,Data!$F:$F,Activity),COUNTIFS(Data!$E:$E,H$5,Data!$G:$G,$A38))</f>
        <v>2</v>
      </c>
      <c r="I38">
        <f>IF(Activity&lt;&gt;"All Programs",COUNTIFS(Data!$E:$E,I$5,Data!$G:$G,$A38,Data!$F:$F,Activity),COUNTIFS(Data!$E:$E,I$5,Data!$G:$G,$A38))</f>
        <v>6</v>
      </c>
      <c r="J38">
        <f>IF(Activity&lt;&gt;"All Programs",COUNTIFS(Data!$E:$E,J$5,Data!$G:$G,$A38,Data!$F:$F,Activity),COUNTIFS(Data!$E:$E,J$5,Data!$G:$G,$A38))</f>
        <v>0</v>
      </c>
      <c r="K38">
        <f>IF(Activity&lt;&gt;"All Programs",COUNTIFS(Data!$E:$E,K$5,Data!$G:$G,$A38,Data!$F:$F,Activity),COUNTIFS(Data!$E:$E,K$5,Data!$G:$G,$A38))</f>
        <v>1</v>
      </c>
      <c r="L38">
        <f>IF(Activity&lt;&gt;"All Programs",COUNTIFS(Data!$E:$E,L$5,Data!$G:$G,$A38,Data!$F:$F,Activity),COUNTIFS(Data!$E:$E,L$5,Data!$G:$G,$A38))</f>
        <v>2</v>
      </c>
      <c r="M38">
        <f>IF(Activity&lt;&gt;"All Programs",COUNTIFS(Data!$E:$E,M$5,Data!$G:$G,$A38,Data!$F:$F,Activity),COUNTIFS(Data!$E:$E,M$5,Data!$G:$G,$A38))</f>
        <v>6</v>
      </c>
      <c r="N38">
        <f>IF(Activity&lt;&gt;"All Programs",COUNTIFS(Data!$E:$E,N$5,Data!$G:$G,$A38,Data!$F:$F,Activity),COUNTIFS(Data!$E:$E,N$5,Data!$G:$G,$A38))</f>
        <v>2</v>
      </c>
      <c r="P38">
        <f t="array" ref="P38">SUM(IF(FREQUENCY(IF((LEN(Data_Acro)&gt;0)*(Data_Act="Planned")*(Data_Pcd=B38),MATCH(Data_Acro,Data_Acro,0),""),IF((LEN(Data_Acro)&gt;0)*(Data_Act="Planned")*(Data_Pcd=B38),MATCH(Data_Acro,Data_Acro,0),""))&gt;0,1))</f>
        <v>0</v>
      </c>
      <c r="Q38">
        <f t="array" ref="Q38">SUM(IF(FREQUENCY(IF((LEN(Data_Acro)&gt;0)*(Data_Act="Ongoing")*(Data_Pcd=B38),MATCH(Data_Acro,Data_Acro,0),""),IF((LEN(Data_Acro)&gt;0)*(Data_Act="Ongoing")*(Data_Pcd=B38),MATCH(Data_Acro,Data_Acro,0),""))&gt;0,1))</f>
        <v>19</v>
      </c>
      <c r="R38">
        <f t="array" ref="R38">SUM(IF(FREQUENCY(IF((LEN(Data_Acro)&gt;0)*(Data_Pcd=B38),MATCH(Data_Acro,Data_Acro,0),""),IF((LEN(Data_Acro)&gt;0)*(Data_Pcd=B38),MATCH(Data_Acro,Data_Acro,0),""))&gt;0,1))</f>
        <v>19</v>
      </c>
      <c r="T38">
        <f t="shared" si="0"/>
        <v>5</v>
      </c>
      <c r="V38">
        <f>IF(INDEX(SectorCount0,33)=0,1,MATCH(INDEX(SectorCount0,33),SectorCountBins0,1)+1)</f>
        <v>5</v>
      </c>
      <c r="X38">
        <f>IF(INDEX(SectorCount1,33)=0,1,MATCH(INDEX(SectorCount1,33),SectorCountBins1,1)+1)</f>
        <v>4</v>
      </c>
      <c r="Z38">
        <f>IF(INDEX(SectorCount2,33)=0,1,MATCH(INDEX(SectorCount2,33),SectorCountBins2,1)+1)</f>
        <v>2</v>
      </c>
      <c r="AB38">
        <f>IF(INDEX(SectorCount3,33)=0,1,MATCH(INDEX(SectorCount3,33),SectorCountBins3,1)+1)</f>
        <v>2</v>
      </c>
      <c r="AD38">
        <f>IF(INDEX(SectorCount4,33)=0,1,MATCH(INDEX(SectorCount4,33),SectorCountBins4,1)+1)</f>
        <v>3</v>
      </c>
      <c r="AF38">
        <f>IF(INDEX(SectorCount5,33)=0,1,MATCH(INDEX(SectorCount5,33),SectorCountBins5,1)+1)</f>
        <v>2</v>
      </c>
      <c r="AH38">
        <f>IF(INDEX(SectorCount6,33)=0,1,MATCH(INDEX(SectorCount6,33),SectorCountBins6,1)+1)</f>
        <v>4</v>
      </c>
      <c r="AJ38">
        <f>IF(INDEX(SectorCount7,33)=0,1,MATCH(INDEX(SectorCount7,33),SectorCountBins7,1)+1)</f>
        <v>1</v>
      </c>
      <c r="AL38">
        <f>IF(INDEX(SectorCount8,33)=0,1,MATCH(INDEX(SectorCount8,33),SectorCountBins8,1)+1)</f>
        <v>2</v>
      </c>
      <c r="AN38">
        <f>IF(INDEX(SectorCount9,33)=0,1,MATCH(INDEX(SectorCount9,33),SectorCountBins9,1)+1)</f>
        <v>2</v>
      </c>
      <c r="AP38">
        <f>IF(INDEX(SectorCount10,33)=0,1,MATCH(INDEX(SectorCount10,33),SectorCountBins10,1)+1)</f>
        <v>4</v>
      </c>
      <c r="AR38">
        <f>IF(INDEX(SectorCount11,33)=0,1,MATCH(INDEX(SectorCount11,33),SectorCountBins11,1)+1)</f>
        <v>2</v>
      </c>
    </row>
    <row r="39" spans="1:44" x14ac:dyDescent="0.2">
      <c r="A39" t="s">
        <v>434</v>
      </c>
      <c r="B39" t="s">
        <v>435</v>
      </c>
      <c r="C39">
        <f>IF(Activity&lt;&gt;"All Programs",COUNTIFS(Data!$E:$E,C$5,Data!$G:$G,$A39,Data!$F:$F,Activity),COUNTIFS(Data!$E:$E,C$5,Data!$G:$G,$A39))</f>
        <v>5</v>
      </c>
      <c r="D39">
        <f>IF(Activity&lt;&gt;"All Programs",COUNTIFS(Data!$E:$E,D$5,Data!$G:$G,$A39,Data!$F:$F,Activity),COUNTIFS(Data!$E:$E,D$5,Data!$G:$G,$A39))</f>
        <v>6</v>
      </c>
      <c r="E39">
        <f>IF(Activity&lt;&gt;"All Programs",COUNTIFS(Data!$E:$E,E$5,Data!$G:$G,$A39,Data!$F:$F,Activity),COUNTIFS(Data!$E:$E,E$5,Data!$G:$G,$A39))</f>
        <v>1</v>
      </c>
      <c r="F39">
        <f>IF(Activity&lt;&gt;"All Programs",COUNTIFS(Data!$E:$E,F$5,Data!$G:$G,$A39,Data!$F:$F,Activity),COUNTIFS(Data!$E:$E,F$5,Data!$G:$G,$A39))</f>
        <v>1</v>
      </c>
      <c r="G39">
        <f>IF(Activity&lt;&gt;"All Programs",COUNTIFS(Data!$E:$E,G$5,Data!$G:$G,$A39,Data!$F:$F,Activity),COUNTIFS(Data!$E:$E,G$5,Data!$G:$G,$A39))</f>
        <v>3</v>
      </c>
      <c r="H39">
        <f>IF(Activity&lt;&gt;"All Programs",COUNTIFS(Data!$E:$E,H$5,Data!$G:$G,$A39,Data!$F:$F,Activity),COUNTIFS(Data!$E:$E,H$5,Data!$G:$G,$A39))</f>
        <v>0</v>
      </c>
      <c r="I39">
        <f>IF(Activity&lt;&gt;"All Programs",COUNTIFS(Data!$E:$E,I$5,Data!$G:$G,$A39,Data!$F:$F,Activity),COUNTIFS(Data!$E:$E,I$5,Data!$G:$G,$A39))</f>
        <v>2</v>
      </c>
      <c r="J39">
        <f>IF(Activity&lt;&gt;"All Programs",COUNTIFS(Data!$E:$E,J$5,Data!$G:$G,$A39,Data!$F:$F,Activity),COUNTIFS(Data!$E:$E,J$5,Data!$G:$G,$A39))</f>
        <v>0</v>
      </c>
      <c r="K39">
        <f>IF(Activity&lt;&gt;"All Programs",COUNTIFS(Data!$E:$E,K$5,Data!$G:$G,$A39,Data!$F:$F,Activity),COUNTIFS(Data!$E:$E,K$5,Data!$G:$G,$A39))</f>
        <v>0</v>
      </c>
      <c r="L39">
        <f>IF(Activity&lt;&gt;"All Programs",COUNTIFS(Data!$E:$E,L$5,Data!$G:$G,$A39,Data!$F:$F,Activity),COUNTIFS(Data!$E:$E,L$5,Data!$G:$G,$A39))</f>
        <v>2</v>
      </c>
      <c r="M39">
        <f>IF(Activity&lt;&gt;"All Programs",COUNTIFS(Data!$E:$E,M$5,Data!$G:$G,$A39,Data!$F:$F,Activity),COUNTIFS(Data!$E:$E,M$5,Data!$G:$G,$A39))</f>
        <v>3</v>
      </c>
      <c r="N39">
        <f>IF(Activity&lt;&gt;"All Programs",COUNTIFS(Data!$E:$E,N$5,Data!$G:$G,$A39,Data!$F:$F,Activity),COUNTIFS(Data!$E:$E,N$5,Data!$G:$G,$A39))</f>
        <v>0</v>
      </c>
      <c r="P39">
        <f t="array" ref="P39">SUM(IF(FREQUENCY(IF((LEN(Data_Acro)&gt;0)*(Data_Act="Planned")*(Data_Pcd=B39),MATCH(Data_Acro,Data_Acro,0),""),IF((LEN(Data_Acro)&gt;0)*(Data_Act="Planned")*(Data_Pcd=B39),MATCH(Data_Acro,Data_Acro,0),""))&gt;0,1))</f>
        <v>0</v>
      </c>
      <c r="Q39">
        <f t="array" ref="Q39">SUM(IF(FREQUENCY(IF((LEN(Data_Acro)&gt;0)*(Data_Act="Ongoing")*(Data_Pcd=B39),MATCH(Data_Acro,Data_Acro,0),""),IF((LEN(Data_Acro)&gt;0)*(Data_Act="Ongoing")*(Data_Pcd=B39),MATCH(Data_Acro,Data_Acro,0),""))&gt;0,1))</f>
        <v>12</v>
      </c>
      <c r="R39">
        <f t="array" ref="R39">SUM(IF(FREQUENCY(IF((LEN(Data_Acro)&gt;0)*(Data_Pcd=B39),MATCH(Data_Acro,Data_Acro,0),""),IF((LEN(Data_Acro)&gt;0)*(Data_Pcd=B39),MATCH(Data_Acro,Data_Acro,0),""))&gt;0,1))</f>
        <v>12</v>
      </c>
      <c r="T39">
        <f t="shared" si="0"/>
        <v>2</v>
      </c>
      <c r="V39">
        <f>IF(INDEX(SectorCount0,34)=0,1,MATCH(INDEX(SectorCount0,34),SectorCountBins0,1)+1)</f>
        <v>4</v>
      </c>
      <c r="X39">
        <f>IF(INDEX(SectorCount1,34)=0,1,MATCH(INDEX(SectorCount1,34),SectorCountBins1,1)+1)</f>
        <v>4</v>
      </c>
      <c r="Z39">
        <f>IF(INDEX(SectorCount2,34)=0,1,MATCH(INDEX(SectorCount2,34),SectorCountBins2,1)+1)</f>
        <v>2</v>
      </c>
      <c r="AB39">
        <f>IF(INDEX(SectorCount3,34)=0,1,MATCH(INDEX(SectorCount3,34),SectorCountBins3,1)+1)</f>
        <v>2</v>
      </c>
      <c r="AD39">
        <f>IF(INDEX(SectorCount4,34)=0,1,MATCH(INDEX(SectorCount4,34),SectorCountBins4,1)+1)</f>
        <v>3</v>
      </c>
      <c r="AF39">
        <f>IF(INDEX(SectorCount5,34)=0,1,MATCH(INDEX(SectorCount5,34),SectorCountBins5,1)+1)</f>
        <v>1</v>
      </c>
      <c r="AH39">
        <f>IF(INDEX(SectorCount6,34)=0,1,MATCH(INDEX(SectorCount6,34),SectorCountBins6,1)+1)</f>
        <v>2</v>
      </c>
      <c r="AJ39">
        <f>IF(INDEX(SectorCount7,34)=0,1,MATCH(INDEX(SectorCount7,34),SectorCountBins7,1)+1)</f>
        <v>1</v>
      </c>
      <c r="AL39">
        <f>IF(INDEX(SectorCount8,34)=0,1,MATCH(INDEX(SectorCount8,34),SectorCountBins8,1)+1)</f>
        <v>1</v>
      </c>
      <c r="AN39">
        <f>IF(INDEX(SectorCount9,34)=0,1,MATCH(INDEX(SectorCount9,34),SectorCountBins9,1)+1)</f>
        <v>2</v>
      </c>
      <c r="AP39">
        <f>IF(INDEX(SectorCount10,34)=0,1,MATCH(INDEX(SectorCount10,34),SectorCountBins10,1)+1)</f>
        <v>3</v>
      </c>
      <c r="AR39">
        <f>IF(INDEX(SectorCount11,34)=0,1,MATCH(INDEX(SectorCount11,34),SectorCountBins11,1)+1)</f>
        <v>1</v>
      </c>
    </row>
    <row r="42" spans="1:44" x14ac:dyDescent="0.2">
      <c r="A42" t="s">
        <v>28</v>
      </c>
    </row>
    <row r="43" spans="1:44" x14ac:dyDescent="0.2">
      <c r="A43" t="s">
        <v>12</v>
      </c>
      <c r="B43" t="s">
        <v>83</v>
      </c>
      <c r="C43" t="s">
        <v>82</v>
      </c>
      <c r="D43" t="s">
        <v>10</v>
      </c>
    </row>
    <row r="44" spans="1:44" x14ac:dyDescent="0.2">
      <c r="A44" t="s">
        <v>39</v>
      </c>
      <c r="B44">
        <f t="array" ref="B44">SUM(IF(FREQUENCY(IF((LEN(Data_Acro)&gt;0)*(Data_Act="Planned")*(Data_OrgTyp=A44),MATCH(Data_Acro,Data_Acro,0),""), IF((LEN(Data_Acro)&gt;0)*(Data_Act="Planned")*(Data_OrgTyp=A44),MATCH(Data_Acro,Data_Acro,0),""))&gt;0,1))</f>
        <v>0</v>
      </c>
      <c r="C44">
        <f t="array" ref="C44">SUM(IF(FREQUENCY(IF((LEN(Data_Acro)&gt;0)*(Data_Act="Ongoing")*(Data_OrgTyp=A44),MATCH(Data_Acro,Data_Acro,0),""), IF((LEN(Data_Acro)&gt;0)*(Data_Act="Ongoing")*(Data_OrgTyp=A44),MATCH(Data_Acro,Data_Acro,0),""))&gt;0,1))</f>
        <v>10</v>
      </c>
      <c r="D44">
        <f t="array" ref="D44">SUM(IF(FREQUENCY(IF((LEN(Data_Acro)&gt;0)*(Data_OrgTyp=A44),MATCH(Data_Acro,Data_Acro,0),""),IF((LEN(Data_Acro)&gt;0)*(Data_OrgTyp=A44),MATCH(Data_Acro,Data_Acro,0),""))&gt;0,1))</f>
        <v>10</v>
      </c>
    </row>
    <row r="45" spans="1:44" x14ac:dyDescent="0.2">
      <c r="A45" t="s">
        <v>57</v>
      </c>
      <c r="B45">
        <f t="array" ref="B45">SUM(IF(FREQUENCY(IF((LEN(Data_Acro)&gt;0)*(Data_Act="Planned")*(Data_OrgTyp=A45),MATCH(Data_Acro,Data_Acro,0),""), IF((LEN(Data_Acro)&gt;0)*(Data_Act="Planned")*(Data_OrgTyp=A45),MATCH(Data_Acro,Data_Acro,0),""))&gt;0,1))</f>
        <v>0</v>
      </c>
      <c r="C45">
        <f t="array" ref="C45">SUM(IF(FREQUENCY(IF((LEN(Data_Acro)&gt;0)*(Data_Act="Ongoing")*(Data_OrgTyp=A45),MATCH(Data_Acro,Data_Acro,0),""), IF((LEN(Data_Acro)&gt;0)*(Data_Act="Ongoing")*(Data_OrgTyp=A45),MATCH(Data_Acro,Data_Acro,0),""))&gt;0,1))</f>
        <v>6</v>
      </c>
      <c r="D45">
        <f t="array" ref="D45">SUM(IF(FREQUENCY(IF((LEN(Data_Acro)&gt;0)*(Data_OrgTyp=A45),MATCH(Data_Acro,Data_Acro,0),""),IF((LEN(Data_Acro)&gt;0)*(Data_OrgTyp=A45),MATCH(Data_Acro,Data_Acro,0),""))&gt;0,1))</f>
        <v>6</v>
      </c>
    </row>
    <row r="46" spans="1:44" x14ac:dyDescent="0.2">
      <c r="A46" t="s">
        <v>61</v>
      </c>
      <c r="B46">
        <f t="array" ref="B46">SUM(IF(FREQUENCY(IF((LEN(Data_Acro)&gt;0)*(Data_Act="Planned")*(Data_OrgTyp=A46),MATCH(Data_Acro,Data_Acro,0),""), IF((LEN(Data_Acro)&gt;0)*(Data_Act="Planned")*(Data_OrgTyp=A46),MATCH(Data_Acro,Data_Acro,0),""))&gt;0,1))</f>
        <v>0</v>
      </c>
      <c r="C46">
        <f t="array" ref="C46">SUM(IF(FREQUENCY(IF((LEN(Data_Acro)&gt;0)*(Data_Act="Ongoing")*(Data_OrgTyp=A46),MATCH(Data_Acro,Data_Acro,0),""), IF((LEN(Data_Acro)&gt;0)*(Data_Act="Ongoing")*(Data_OrgTyp=A46),MATCH(Data_Acro,Data_Acro,0),""))&gt;0,1))</f>
        <v>6</v>
      </c>
      <c r="D46">
        <f t="array" ref="D46">SUM(IF(FREQUENCY(IF((LEN(Data_Acro)&gt;0)*(Data_OrgTyp=A46),MATCH(Data_Acro,Data_Acro,0),""),IF((LEN(Data_Acro)&gt;0)*(Data_OrgTyp=A46),MATCH(Data_Acro,Data_Acro,0),""))&gt;0,1))</f>
        <v>6</v>
      </c>
    </row>
    <row r="47" spans="1:44" x14ac:dyDescent="0.2">
      <c r="A47" t="s">
        <v>55</v>
      </c>
      <c r="B47">
        <f t="array" ref="B47">SUM(IF(FREQUENCY(IF((LEN(Data_Acro)&gt;0)*(Data_Act="Planned")*(Data_OrgTyp=A47),MATCH(Data_Acro,Data_Acro,0),""), IF((LEN(Data_Acro)&gt;0)*(Data_Act="Planned")*(Data_OrgTyp=A47),MATCH(Data_Acro,Data_Acro,0),""))&gt;0,1))</f>
        <v>0</v>
      </c>
      <c r="C47">
        <f t="array" ref="C47">SUM(IF(FREQUENCY(IF((LEN(Data_Acro)&gt;0)*(Data_Act="Ongoing")*(Data_OrgTyp=A47),MATCH(Data_Acro,Data_Acro,0),""), IF((LEN(Data_Acro)&gt;0)*(Data_Act="Ongoing")*(Data_OrgTyp=A47),MATCH(Data_Acro,Data_Acro,0),""))&gt;0,1))</f>
        <v>5</v>
      </c>
      <c r="D47">
        <f t="array" ref="D47">SUM(IF(FREQUENCY(IF((LEN(Data_Acro)&gt;0)*(Data_OrgTyp=A47),MATCH(Data_Acro,Data_Acro,0),""),IF((LEN(Data_Acro)&gt;0)*(Data_OrgTyp=A47),MATCH(Data_Acro,Data_Acro,0),""))&gt;0,1))</f>
        <v>5</v>
      </c>
    </row>
    <row r="48" spans="1:44" x14ac:dyDescent="0.2">
      <c r="A48" t="s">
        <v>60</v>
      </c>
      <c r="B48">
        <f t="array" ref="B48">SUM(IF(FREQUENCY(IF((LEN(Data_Acro)&gt;0)*(Data_Act="Planned")*(Data_OrgTyp=A48),MATCH(Data_Acro,Data_Acro,0),""), IF((LEN(Data_Acro)&gt;0)*(Data_Act="Planned")*(Data_OrgTyp=A48),MATCH(Data_Acro,Data_Acro,0),""))&gt;0,1))</f>
        <v>0</v>
      </c>
      <c r="C48">
        <f t="array" ref="C48">SUM(IF(FREQUENCY(IF((LEN(Data_Acro)&gt;0)*(Data_Act="Ongoing")*(Data_OrgTyp=A48),MATCH(Data_Acro,Data_Acro,0),""), IF((LEN(Data_Acro)&gt;0)*(Data_Act="Ongoing")*(Data_OrgTyp=A48),MATCH(Data_Acro,Data_Acro,0),""))&gt;0,1))</f>
        <v>2</v>
      </c>
      <c r="D48">
        <f t="array" ref="D48">SUM(IF(FREQUENCY(IF((LEN(Data_Acro)&gt;0)*(Data_OrgTyp=A48),MATCH(Data_Acro,Data_Acro,0),""),IF((LEN(Data_Acro)&gt;0)*(Data_OrgTyp=A48),MATCH(Data_Acro,Data_Acro,0),""))&gt;0,1))</f>
        <v>2</v>
      </c>
    </row>
    <row r="49" spans="1:4" x14ac:dyDescent="0.2">
      <c r="A49" t="s">
        <v>56</v>
      </c>
      <c r="B49">
        <f t="array" ref="B49">SUM(IF(FREQUENCY(IF((LEN(Data_Acro)&gt;0)*(Data_Act="Planned")*(Data_OrgTyp=A49),MATCH(Data_Acro,Data_Acro,0),""), IF((LEN(Data_Acro)&gt;0)*(Data_Act="Planned")*(Data_OrgTyp=A49),MATCH(Data_Acro,Data_Acro,0),""))&gt;0,1))</f>
        <v>0</v>
      </c>
      <c r="C49">
        <f t="array" ref="C49">SUM(IF(FREQUENCY(IF((LEN(Data_Acro)&gt;0)*(Data_Act="Ongoing")*(Data_OrgTyp=A49),MATCH(Data_Acro,Data_Acro,0),""), IF((LEN(Data_Acro)&gt;0)*(Data_Act="Ongoing")*(Data_OrgTyp=A49),MATCH(Data_Acro,Data_Acro,0),""))&gt;0,1))</f>
        <v>1</v>
      </c>
      <c r="D49">
        <f t="array" ref="D49">SUM(IF(FREQUENCY(IF((LEN(Data_Acro)&gt;0)*(Data_OrgTyp=A49),MATCH(Data_Acro,Data_Acro,0),""),IF((LEN(Data_Acro)&gt;0)*(Data_OrgTyp=A49),MATCH(Data_Acro,Data_Acro,0),""))&gt;0,1))</f>
        <v>1</v>
      </c>
    </row>
    <row r="50" spans="1:4" x14ac:dyDescent="0.2">
      <c r="A50" t="s">
        <v>58</v>
      </c>
      <c r="B50">
        <f t="array" ref="B50">SUM(IF(FREQUENCY(IF((LEN(Data_Acro)&gt;0)*(Data_Act="Planned")*(Data_OrgTyp=A50),MATCH(Data_Acro,Data_Acro,0),""), IF((LEN(Data_Acro)&gt;0)*(Data_Act="Planned")*(Data_OrgTyp=A50),MATCH(Data_Acro,Data_Acro,0),""))&gt;0,1))</f>
        <v>0</v>
      </c>
      <c r="C50">
        <f t="array" ref="C50">SUM(IF(FREQUENCY(IF((LEN(Data_Acro)&gt;0)*(Data_Act="Ongoing")*(Data_OrgTyp=A50),MATCH(Data_Acro,Data_Acro,0),""), IF((LEN(Data_Acro)&gt;0)*(Data_Act="Ongoing")*(Data_OrgTyp=A50),MATCH(Data_Acro,Data_Acro,0),""))&gt;0,1))</f>
        <v>1</v>
      </c>
      <c r="D50">
        <f t="array" ref="D50">SUM(IF(FREQUENCY(IF((LEN(Data_Acro)&gt;0)*(Data_OrgTyp=A50),MATCH(Data_Acro,Data_Acro,0),""),IF((LEN(Data_Acro)&gt;0)*(Data_OrgTyp=A50),MATCH(Data_Acro,Data_Acro,0),""))&gt;0,1))</f>
        <v>1</v>
      </c>
    </row>
    <row r="51" spans="1:4" x14ac:dyDescent="0.2">
      <c r="A51" t="s">
        <v>40</v>
      </c>
      <c r="B51">
        <f t="array" ref="B51">SUM(IF(FREQUENCY(IF((LEN(Data_Acro)&gt;0)*(Data_Act="Planned")*(Data_OrgTyp=A51),MATCH(Data_Acro,Data_Acro,0),""), IF((LEN(Data_Acro)&gt;0)*(Data_Act="Planned")*(Data_OrgTyp=A51),MATCH(Data_Acro,Data_Acro,0),""))&gt;0,1))</f>
        <v>0</v>
      </c>
      <c r="C51">
        <f t="array" ref="C51">SUM(IF(FREQUENCY(IF((LEN(Data_Acro)&gt;0)*(Data_Act="Ongoing")*(Data_OrgTyp=A51),MATCH(Data_Acro,Data_Acro,0),""), IF((LEN(Data_Acro)&gt;0)*(Data_Act="Ongoing")*(Data_OrgTyp=A51),MATCH(Data_Acro,Data_Acro,0),""))&gt;0,1))</f>
        <v>0</v>
      </c>
      <c r="D51">
        <f t="array" ref="D51">SUM(IF(FREQUENCY(IF((LEN(Data_Acro)&gt;0)*(Data_OrgTyp=A51),MATCH(Data_Acro,Data_Acro,0),""),IF((LEN(Data_Acro)&gt;0)*(Data_OrgTyp=A51),MATCH(Data_Acro,Data_Acro,0),""))&gt;0,1))</f>
        <v>0</v>
      </c>
    </row>
    <row r="52" spans="1:4" x14ac:dyDescent="0.2">
      <c r="A52" t="s">
        <v>59</v>
      </c>
      <c r="B52">
        <f t="array" ref="B52">SUM(IF(FREQUENCY(IF((LEN(Data_Acro)&gt;0)*(Data_Act="Planned")*(Data_OrgTyp=A52),MATCH(Data_Acro,Data_Acro,0),""), IF((LEN(Data_Acro)&gt;0)*(Data_Act="Planned")*(Data_OrgTyp=A52),MATCH(Data_Acro,Data_Acro,0),""))&gt;0,1))</f>
        <v>0</v>
      </c>
      <c r="C52">
        <f t="array" ref="C52">SUM(IF(FREQUENCY(IF((LEN(Data_Acro)&gt;0)*(Data_Act="Ongoing")*(Data_OrgTyp=A52),MATCH(Data_Acro,Data_Acro,0),""), IF((LEN(Data_Acro)&gt;0)*(Data_Act="Ongoing")*(Data_OrgTyp=A52),MATCH(Data_Acro,Data_Acro,0),""))&gt;0,1))</f>
        <v>0</v>
      </c>
      <c r="D52">
        <f t="array" ref="D52">SUM(IF(FREQUENCY(IF((LEN(Data_Acro)&gt;0)*(Data_OrgTyp=A52),MATCH(Data_Acro,Data_Acro,0),""),IF((LEN(Data_Acro)&gt;0)*(Data_OrgTyp=A52),MATCH(Data_Acro,Data_Acro,0),""))&gt;0,1))</f>
        <v>0</v>
      </c>
    </row>
    <row r="55" spans="1:4" x14ac:dyDescent="0.2">
      <c r="A55" t="s">
        <v>29</v>
      </c>
    </row>
    <row r="56" spans="1:4" x14ac:dyDescent="0.2">
      <c r="A56" t="s">
        <v>5</v>
      </c>
      <c r="B56" t="s">
        <v>83</v>
      </c>
      <c r="C56" t="s">
        <v>82</v>
      </c>
      <c r="D56" t="s">
        <v>10</v>
      </c>
    </row>
    <row r="57" spans="1:4" x14ac:dyDescent="0.2">
      <c r="A57" t="s">
        <v>353</v>
      </c>
      <c r="B57">
        <f t="array" ref="B57">SUM(IF(FREQUENCY(IF((LEN(Data_Acro)&gt;0)*(Data_Act="Planned")*(Data_Sect=A57),MATCH(Data_Acro,Data_Acro,0),""), IF((LEN(Data_Acro)&gt;0)*(Data_Act="Planned")*(Data_Sect=A57),MATCH(Data_Acro,Data_Acro,0),""))&gt;0,1))</f>
        <v>0</v>
      </c>
      <c r="C57">
        <f t="array" ref="C57">SUM(IF(FREQUENCY(IF((LEN(Data_Acro)&gt;0)*(Data_Act="Ongoing")*(Data_Sect=A57),MATCH(Data_Acro,Data_Acro,0),""), IF((LEN(Data_Acro)&gt;0)*(Data_Act="Ongoing")*(Data_Sect=A57),MATCH(Data_Acro,Data_Acro,0),""))&gt;0,1))</f>
        <v>14</v>
      </c>
      <c r="D57">
        <f t="array" ref="D57">SUM(IF(FREQUENCY(IF((LEN(Data_Acro)&gt;0)*(Data_Sect=A57),MATCH(Data_Acro,Data_Acro,0),""),IF((LEN(Data_Acro)&gt;0)*(Data_Sect=A57),MATCH(Data_Acro,Data_Acro,0),""))&gt;0,1))</f>
        <v>14</v>
      </c>
    </row>
    <row r="58" spans="1:4" x14ac:dyDescent="0.2">
      <c r="A58" t="s">
        <v>350</v>
      </c>
      <c r="B58">
        <f t="array" ref="B58">SUM(IF(FREQUENCY(IF((LEN(Data_Acro)&gt;0)*(Data_Act="Planned")*(Data_Sect=A58),MATCH(Data_Acro,Data_Acro,0),""), IF((LEN(Data_Acro)&gt;0)*(Data_Act="Planned")*(Data_Sect=A58),MATCH(Data_Acro,Data_Acro,0),""))&gt;0,1))</f>
        <v>0</v>
      </c>
      <c r="C58">
        <f t="array" ref="C58">SUM(IF(FREQUENCY(IF((LEN(Data_Acro)&gt;0)*(Data_Act="Ongoing")*(Data_Sect=A58),MATCH(Data_Acro,Data_Acro,0),""), IF((LEN(Data_Acro)&gt;0)*(Data_Act="Ongoing")*(Data_Sect=A58),MATCH(Data_Acro,Data_Acro,0),""))&gt;0,1))</f>
        <v>10</v>
      </c>
      <c r="D58">
        <f t="array" ref="D58">SUM(IF(FREQUENCY(IF((LEN(Data_Acro)&gt;0)*(Data_Sect=A58),MATCH(Data_Acro,Data_Acro,0),""),IF((LEN(Data_Acro)&gt;0)*(Data_Sect=A58),MATCH(Data_Acro,Data_Acro,0),""))&gt;0,1))</f>
        <v>10</v>
      </c>
    </row>
    <row r="59" spans="1:4" x14ac:dyDescent="0.2">
      <c r="A59" t="s">
        <v>351</v>
      </c>
      <c r="B59">
        <f t="array" ref="B59">SUM(IF(FREQUENCY(IF((LEN(Data_Acro)&gt;0)*(Data_Act="Planned")*(Data_Sect=A59),MATCH(Data_Acro,Data_Acro,0),""), IF((LEN(Data_Acro)&gt;0)*(Data_Act="Planned")*(Data_Sect=A59),MATCH(Data_Acro,Data_Acro,0),""))&gt;0,1))</f>
        <v>0</v>
      </c>
      <c r="C59">
        <f t="array" ref="C59">SUM(IF(FREQUENCY(IF((LEN(Data_Acro)&gt;0)*(Data_Act="Ongoing")*(Data_Sect=A59),MATCH(Data_Acro,Data_Acro,0),""), IF((LEN(Data_Acro)&gt;0)*(Data_Act="Ongoing")*(Data_Sect=A59),MATCH(Data_Acro,Data_Acro,0),""))&gt;0,1))</f>
        <v>10</v>
      </c>
      <c r="D59">
        <f t="array" ref="D59">SUM(IF(FREQUENCY(IF((LEN(Data_Acro)&gt;0)*(Data_Sect=A59),MATCH(Data_Acro,Data_Acro,0),""),IF((LEN(Data_Acro)&gt;0)*(Data_Sect=A59),MATCH(Data_Acro,Data_Acro,0),""))&gt;0,1))</f>
        <v>10</v>
      </c>
    </row>
    <row r="60" spans="1:4" x14ac:dyDescent="0.2">
      <c r="A60" t="s">
        <v>352</v>
      </c>
      <c r="B60">
        <f t="array" ref="B60">SUM(IF(FREQUENCY(IF((LEN(Data_Acro)&gt;0)*(Data_Act="Planned")*(Data_Sect=A60),MATCH(Data_Acro,Data_Acro,0),""), IF((LEN(Data_Acro)&gt;0)*(Data_Act="Planned")*(Data_Sect=A60),MATCH(Data_Acro,Data_Acro,0),""))&gt;0,1))</f>
        <v>0</v>
      </c>
      <c r="C60">
        <f t="array" ref="C60">SUM(IF(FREQUENCY(IF((LEN(Data_Acro)&gt;0)*(Data_Act="Ongoing")*(Data_Sect=A60),MATCH(Data_Acro,Data_Acro,0),""), IF((LEN(Data_Acro)&gt;0)*(Data_Act="Ongoing")*(Data_Sect=A60),MATCH(Data_Acro,Data_Acro,0),""))&gt;0,1))</f>
        <v>10</v>
      </c>
      <c r="D60">
        <f t="array" ref="D60">SUM(IF(FREQUENCY(IF((LEN(Data_Acro)&gt;0)*(Data_Sect=A60),MATCH(Data_Acro,Data_Acro,0),""),IF((LEN(Data_Acro)&gt;0)*(Data_Sect=A60),MATCH(Data_Acro,Data_Acro,0),""))&gt;0,1))</f>
        <v>10</v>
      </c>
    </row>
    <row r="61" spans="1:4" x14ac:dyDescent="0.2">
      <c r="A61" t="s">
        <v>360</v>
      </c>
      <c r="B61">
        <f t="array" ref="B61">SUM(IF(FREQUENCY(IF((LEN(Data_Acro)&gt;0)*(Data_Act="Planned")*(Data_Sect=A61),MATCH(Data_Acro,Data_Acro,0),""), IF((LEN(Data_Acro)&gt;0)*(Data_Act="Planned")*(Data_Sect=A61),MATCH(Data_Acro,Data_Acro,0),""))&gt;0,1))</f>
        <v>0</v>
      </c>
      <c r="C61">
        <f t="array" ref="C61">SUM(IF(FREQUENCY(IF((LEN(Data_Acro)&gt;0)*(Data_Act="Ongoing")*(Data_Sect=A61),MATCH(Data_Acro,Data_Acro,0),""), IF((LEN(Data_Acro)&gt;0)*(Data_Act="Ongoing")*(Data_Sect=A61),MATCH(Data_Acro,Data_Acro,0),""))&gt;0,1))</f>
        <v>8</v>
      </c>
      <c r="D61">
        <f t="array" ref="D61">SUM(IF(FREQUENCY(IF((LEN(Data_Acro)&gt;0)*(Data_Sect=A61),MATCH(Data_Acro,Data_Acro,0),""),IF((LEN(Data_Acro)&gt;0)*(Data_Sect=A61),MATCH(Data_Acro,Data_Acro,0),""))&gt;0,1))</f>
        <v>8</v>
      </c>
    </row>
    <row r="62" spans="1:4" x14ac:dyDescent="0.2">
      <c r="A62" t="s">
        <v>355</v>
      </c>
      <c r="B62">
        <f t="array" ref="B62">SUM(IF(FREQUENCY(IF((LEN(Data_Acro)&gt;0)*(Data_Act="Planned")*(Data_Sect=A62),MATCH(Data_Acro,Data_Acro,0),""), IF((LEN(Data_Acro)&gt;0)*(Data_Act="Planned")*(Data_Sect=A62),MATCH(Data_Acro,Data_Acro,0),""))&gt;0,1))</f>
        <v>0</v>
      </c>
      <c r="C62">
        <f t="array" ref="C62">SUM(IF(FREQUENCY(IF((LEN(Data_Acro)&gt;0)*(Data_Act="Ongoing")*(Data_Sect=A62),MATCH(Data_Acro,Data_Acro,0),""), IF((LEN(Data_Acro)&gt;0)*(Data_Act="Ongoing")*(Data_Sect=A62),MATCH(Data_Acro,Data_Acro,0),""))&gt;0,1))</f>
        <v>6</v>
      </c>
      <c r="D62">
        <f t="array" ref="D62">SUM(IF(FREQUENCY(IF((LEN(Data_Acro)&gt;0)*(Data_Sect=A62),MATCH(Data_Acro,Data_Acro,0),""),IF((LEN(Data_Acro)&gt;0)*(Data_Sect=A62),MATCH(Data_Acro,Data_Acro,0),""))&gt;0,1))</f>
        <v>6</v>
      </c>
    </row>
    <row r="63" spans="1:4" x14ac:dyDescent="0.2">
      <c r="A63" t="s">
        <v>356</v>
      </c>
      <c r="B63">
        <f t="array" ref="B63">SUM(IF(FREQUENCY(IF((LEN(Data_Acro)&gt;0)*(Data_Act="Planned")*(Data_Sect=A63),MATCH(Data_Acro,Data_Acro,0),""), IF((LEN(Data_Acro)&gt;0)*(Data_Act="Planned")*(Data_Sect=A63),MATCH(Data_Acro,Data_Acro,0),""))&gt;0,1))</f>
        <v>0</v>
      </c>
      <c r="C63">
        <f t="array" ref="C63">SUM(IF(FREQUENCY(IF((LEN(Data_Acro)&gt;0)*(Data_Act="Ongoing")*(Data_Sect=A63),MATCH(Data_Acro,Data_Acro,0),""), IF((LEN(Data_Acro)&gt;0)*(Data_Act="Ongoing")*(Data_Sect=A63),MATCH(Data_Acro,Data_Acro,0),""))&gt;0,1))</f>
        <v>4</v>
      </c>
      <c r="D63">
        <f t="array" ref="D63">SUM(IF(FREQUENCY(IF((LEN(Data_Acro)&gt;0)*(Data_Sect=A63),MATCH(Data_Acro,Data_Acro,0),""),IF((LEN(Data_Acro)&gt;0)*(Data_Sect=A63),MATCH(Data_Acro,Data_Acro,0),""))&gt;0,1))</f>
        <v>4</v>
      </c>
    </row>
    <row r="64" spans="1:4" x14ac:dyDescent="0.2">
      <c r="A64" t="s">
        <v>361</v>
      </c>
      <c r="B64">
        <f t="array" ref="B64">SUM(IF(FREQUENCY(IF((LEN(Data_Acro)&gt;0)*(Data_Act="Planned")*(Data_Sect=A64),MATCH(Data_Acro,Data_Acro,0),""), IF((LEN(Data_Acro)&gt;0)*(Data_Act="Planned")*(Data_Sect=A64),MATCH(Data_Acro,Data_Acro,0),""))&gt;0,1))</f>
        <v>0</v>
      </c>
      <c r="C64">
        <f t="array" ref="C64">SUM(IF(FREQUENCY(IF((LEN(Data_Acro)&gt;0)*(Data_Act="Ongoing")*(Data_Sect=A64),MATCH(Data_Acro,Data_Acro,0),""), IF((LEN(Data_Acro)&gt;0)*(Data_Act="Ongoing")*(Data_Sect=A64),MATCH(Data_Acro,Data_Acro,0),""))&gt;0,1))</f>
        <v>4</v>
      </c>
      <c r="D64">
        <f t="array" ref="D64">SUM(IF(FREQUENCY(IF((LEN(Data_Acro)&gt;0)*(Data_Sect=A64),MATCH(Data_Acro,Data_Acro,0),""),IF((LEN(Data_Acro)&gt;0)*(Data_Sect=A64),MATCH(Data_Acro,Data_Acro,0),""))&gt;0,1))</f>
        <v>4</v>
      </c>
    </row>
    <row r="65" spans="1:4" x14ac:dyDescent="0.2">
      <c r="A65" t="s">
        <v>358</v>
      </c>
      <c r="B65">
        <f t="array" ref="B65">SUM(IF(FREQUENCY(IF((LEN(Data_Acro)&gt;0)*(Data_Act="Planned")*(Data_Sect=A65),MATCH(Data_Acro,Data_Acro,0),""), IF((LEN(Data_Acro)&gt;0)*(Data_Act="Planned")*(Data_Sect=A65),MATCH(Data_Acro,Data_Acro,0),""))&gt;0,1))</f>
        <v>0</v>
      </c>
      <c r="C65">
        <f t="array" ref="C65">SUM(IF(FREQUENCY(IF((LEN(Data_Acro)&gt;0)*(Data_Act="Ongoing")*(Data_Sect=A65),MATCH(Data_Acro,Data_Acro,0),""), IF((LEN(Data_Acro)&gt;0)*(Data_Act="Ongoing")*(Data_Sect=A65),MATCH(Data_Acro,Data_Acro,0),""))&gt;0,1))</f>
        <v>3</v>
      </c>
      <c r="D65">
        <f t="array" ref="D65">SUM(IF(FREQUENCY(IF((LEN(Data_Acro)&gt;0)*(Data_Sect=A65),MATCH(Data_Acro,Data_Acro,0),""),IF((LEN(Data_Acro)&gt;0)*(Data_Sect=A65),MATCH(Data_Acro,Data_Acro,0),""))&gt;0,1))</f>
        <v>3</v>
      </c>
    </row>
    <row r="66" spans="1:4" x14ac:dyDescent="0.2">
      <c r="A66" t="s">
        <v>359</v>
      </c>
      <c r="B66">
        <f t="array" ref="B66">SUM(IF(FREQUENCY(IF((LEN(Data_Acro)&gt;0)*(Data_Act="Planned")*(Data_Sect=A66),MATCH(Data_Acro,Data_Acro,0),""), IF((LEN(Data_Acro)&gt;0)*(Data_Act="Planned")*(Data_Sect=A66),MATCH(Data_Acro,Data_Acro,0),""))&gt;0,1))</f>
        <v>0</v>
      </c>
      <c r="C66">
        <f t="array" ref="C66">SUM(IF(FREQUENCY(IF((LEN(Data_Acro)&gt;0)*(Data_Act="Ongoing")*(Data_Sect=A66),MATCH(Data_Acro,Data_Acro,0),""), IF((LEN(Data_Acro)&gt;0)*(Data_Act="Ongoing")*(Data_Sect=A66),MATCH(Data_Acro,Data_Acro,0),""))&gt;0,1))</f>
        <v>1</v>
      </c>
      <c r="D66">
        <f t="array" ref="D66">SUM(IF(FREQUENCY(IF((LEN(Data_Acro)&gt;0)*(Data_Sect=A66),MATCH(Data_Acro,Data_Acro,0),""),IF((LEN(Data_Acro)&gt;0)*(Data_Sect=A66),MATCH(Data_Acro,Data_Acro,0),""))&gt;0,1))</f>
        <v>1</v>
      </c>
    </row>
    <row r="67" spans="1:4" x14ac:dyDescent="0.2">
      <c r="A67" t="s">
        <v>354</v>
      </c>
      <c r="B67">
        <f t="array" ref="B67">SUM(IF(FREQUENCY(IF((LEN(Data_Acro)&gt;0)*(Data_Act="Planned")*(Data_Sect=A67),MATCH(Data_Acro,Data_Acro,0),""), IF((LEN(Data_Acro)&gt;0)*(Data_Act="Planned")*(Data_Sect=A67),MATCH(Data_Acro,Data_Acro,0),""))&gt;0,1))</f>
        <v>0</v>
      </c>
      <c r="C67">
        <f t="array" ref="C67">SUM(IF(FREQUENCY(IF((LEN(Data_Acro)&gt;0)*(Data_Act="Ongoing")*(Data_Sect=A67),MATCH(Data_Acro,Data_Acro,0),""), IF((LEN(Data_Acro)&gt;0)*(Data_Act="Ongoing")*(Data_Sect=A67),MATCH(Data_Acro,Data_Acro,0),""))&gt;0,1))</f>
        <v>1</v>
      </c>
      <c r="D67">
        <f t="array" ref="D67">SUM(IF(FREQUENCY(IF((LEN(Data_Acro)&gt;0)*(Data_Sect=A67),MATCH(Data_Acro,Data_Acro,0),""),IF((LEN(Data_Acro)&gt;0)*(Data_Sect=A67),MATCH(Data_Acro,Data_Acro,0),""))&gt;0,1))</f>
        <v>1</v>
      </c>
    </row>
    <row r="68" spans="1:4" x14ac:dyDescent="0.2">
      <c r="A68" t="s">
        <v>357</v>
      </c>
      <c r="B68">
        <f t="array" ref="B68">SUM(IF(FREQUENCY(IF((LEN(Data_Acro)&gt;0)*(Data_Act="Planned")*(Data_Sect=A68),MATCH(Data_Acro,Data_Acro,0),""), IF((LEN(Data_Acro)&gt;0)*(Data_Act="Planned")*(Data_Sect=A68),MATCH(Data_Acro,Data_Acro,0),""))&gt;0,1))</f>
        <v>0</v>
      </c>
      <c r="C68">
        <f t="array" ref="C68">SUM(IF(FREQUENCY(IF((LEN(Data_Acro)&gt;0)*(Data_Act="Ongoing")*(Data_Sect=A68),MATCH(Data_Acro,Data_Acro,0),""), IF((LEN(Data_Acro)&gt;0)*(Data_Act="Ongoing")*(Data_Sect=A68),MATCH(Data_Acro,Data_Acro,0),""))&gt;0,1))</f>
        <v>1</v>
      </c>
      <c r="D68">
        <f t="array" ref="D68">SUM(IF(FREQUENCY(IF((LEN(Data_Acro)&gt;0)*(Data_Sect=A68),MATCH(Data_Acro,Data_Acro,0),""),IF((LEN(Data_Acro)&gt;0)*(Data_Sect=A68),MATCH(Data_Acro,Data_Acro,0),""))&gt;0,1))</f>
        <v>1</v>
      </c>
    </row>
  </sheetData>
  <sortState ref="A57:D68">
    <sortCondition descending="1" ref="C57"/>
  </sortState>
  <dataConsolidate/>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Ws020">
    <tabColor theme="1"/>
  </sheetPr>
  <dimension ref="A2:T117"/>
  <sheetViews>
    <sheetView topLeftCell="A4" workbookViewId="0">
      <selection activeCell="D14" sqref="D14"/>
    </sheetView>
  </sheetViews>
  <sheetFormatPr baseColWidth="10" defaultColWidth="9.140625" defaultRowHeight="12.75" x14ac:dyDescent="0.2"/>
  <cols>
    <col min="1" max="1" width="21" customWidth="1"/>
    <col min="2" max="54" width="9.140625" customWidth="1"/>
  </cols>
  <sheetData>
    <row r="2" spans="1:12" ht="25.5" customHeight="1" x14ac:dyDescent="0.2">
      <c r="A2" s="45" t="s">
        <v>35</v>
      </c>
    </row>
    <row r="11" spans="1:12" ht="25.5" x14ac:dyDescent="0.2">
      <c r="A11" s="36" t="s">
        <v>24</v>
      </c>
      <c r="L11">
        <v>5.24</v>
      </c>
    </row>
    <row r="13" spans="1:12" x14ac:dyDescent="0.2">
      <c r="A13" s="4"/>
      <c r="L13">
        <v>3.7949999999999999</v>
      </c>
    </row>
    <row r="14" spans="1:12" x14ac:dyDescent="0.2">
      <c r="A14" s="4"/>
    </row>
    <row r="15" spans="1:12" x14ac:dyDescent="0.2">
      <c r="A15" s="4"/>
    </row>
    <row r="17" spans="1:1" x14ac:dyDescent="0.2">
      <c r="A17" s="4"/>
    </row>
    <row r="18" spans="1:1" x14ac:dyDescent="0.2">
      <c r="A18" s="4"/>
    </row>
    <row r="43" spans="19:20" x14ac:dyDescent="0.2">
      <c r="S43" s="46"/>
      <c r="T43" s="46"/>
    </row>
    <row r="44" spans="19:20" x14ac:dyDescent="0.2">
      <c r="S44" s="46"/>
      <c r="T44" s="46"/>
    </row>
    <row r="45" spans="19:20" x14ac:dyDescent="0.2">
      <c r="S45" s="46"/>
      <c r="T45" s="46"/>
    </row>
    <row r="46" spans="19:20" x14ac:dyDescent="0.2">
      <c r="S46" s="46"/>
      <c r="T46" s="46"/>
    </row>
    <row r="47" spans="19:20" x14ac:dyDescent="0.2">
      <c r="S47" s="46"/>
      <c r="T47" s="46"/>
    </row>
    <row r="50" spans="2:2" x14ac:dyDescent="0.2">
      <c r="B50" s="20"/>
    </row>
    <row r="51" spans="2:2" ht="15.75" x14ac:dyDescent="0.25">
      <c r="B51" s="19"/>
    </row>
    <row r="67" spans="2:12" ht="15.75" x14ac:dyDescent="0.25">
      <c r="B67" s="19"/>
      <c r="L67" s="19"/>
    </row>
    <row r="84" spans="2:12" ht="15.75" x14ac:dyDescent="0.25">
      <c r="B84" s="19"/>
      <c r="L84" s="19"/>
    </row>
    <row r="96" spans="2:12" ht="15.75" x14ac:dyDescent="0.25">
      <c r="C96" s="19"/>
    </row>
    <row r="101" spans="2:12" ht="15.75" x14ac:dyDescent="0.25">
      <c r="B101" s="19"/>
      <c r="L101" s="19"/>
    </row>
    <row r="117" spans="2:12" ht="15.75" x14ac:dyDescent="0.25">
      <c r="B117" s="19"/>
      <c r="L117" s="19"/>
    </row>
  </sheetData>
  <dataConsolidate/>
  <hyperlinks>
    <hyperlink ref="A2" location="'Setup Instructions'!A1" display="Go to intructions"/>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name_Polys" altText="Rename Polys">
                <anchor>
                  <from>
                    <xdr:col>4</xdr:col>
                    <xdr:colOff>0</xdr:colOff>
                    <xdr:row>1</xdr:row>
                    <xdr:rowOff>314325</xdr:rowOff>
                  </from>
                  <to>
                    <xdr:col>5</xdr:col>
                    <xdr:colOff>476250</xdr:colOff>
                    <xdr:row>3</xdr:row>
                    <xdr:rowOff>133350</xdr:rowOff>
                  </to>
                </anchor>
              </controlPr>
            </control>
          </mc:Choice>
        </mc:AlternateContent>
        <mc:AlternateContent xmlns:mc="http://schemas.openxmlformats.org/markup-compatibility/2006">
          <mc:Choice Requires="x14">
            <control shapeId="3145" r:id="rId5" name="Button 73">
              <controlPr defaultSize="0" print="0" autoFill="0" autoPict="0" macro="[0]!GenerateSmallMaps">
                <anchor moveWithCells="1" sizeWithCells="1">
                  <from>
                    <xdr:col>6</xdr:col>
                    <xdr:colOff>85725</xdr:colOff>
                    <xdr:row>3</xdr:row>
                    <xdr:rowOff>95250</xdr:rowOff>
                  </from>
                  <to>
                    <xdr:col>7</xdr:col>
                    <xdr:colOff>552450</xdr:colOff>
                    <xdr:row>5</xdr:row>
                    <xdr:rowOff>66675</xdr:rowOff>
                  </to>
                </anchor>
              </controlPr>
            </control>
          </mc:Choice>
        </mc:AlternateContent>
        <mc:AlternateContent xmlns:mc="http://schemas.openxmlformats.org/markup-compatibility/2006">
          <mc:Choice Requires="x14">
            <control shapeId="3267" r:id="rId6" name="Button 195">
              <controlPr defaultSize="0" print="0" autoFill="0" autoPict="0" macro="[0]!SetActiverows">
                <anchor moveWithCells="1" sizeWithCells="1">
                  <from>
                    <xdr:col>1</xdr:col>
                    <xdr:colOff>190500</xdr:colOff>
                    <xdr:row>1</xdr:row>
                    <xdr:rowOff>314325</xdr:rowOff>
                  </from>
                  <to>
                    <xdr:col>3</xdr:col>
                    <xdr:colOff>390525</xdr:colOff>
                    <xdr:row>3</xdr:row>
                    <xdr:rowOff>123825</xdr:rowOff>
                  </to>
                </anchor>
              </controlPr>
            </control>
          </mc:Choice>
        </mc:AlternateContent>
        <mc:AlternateContent xmlns:mc="http://schemas.openxmlformats.org/markup-compatibility/2006">
          <mc:Choice Requires="x14">
            <control shapeId="3268" r:id="rId7" name="Button 196">
              <controlPr defaultSize="0" print="0" autoFill="0" autoPict="0" macro="[0]!BuildGears">
                <anchor moveWithCells="1">
                  <from>
                    <xdr:col>8</xdr:col>
                    <xdr:colOff>171450</xdr:colOff>
                    <xdr:row>3</xdr:row>
                    <xdr:rowOff>104775</xdr:rowOff>
                  </from>
                  <to>
                    <xdr:col>9</xdr:col>
                    <xdr:colOff>485775</xdr:colOff>
                    <xdr:row>5</xdr:row>
                    <xdr:rowOff>38100</xdr:rowOff>
                  </to>
                </anchor>
              </controlPr>
            </control>
          </mc:Choice>
        </mc:AlternateContent>
        <mc:AlternateContent xmlns:mc="http://schemas.openxmlformats.org/markup-compatibility/2006">
          <mc:Choice Requires="x14">
            <control shapeId="3269" r:id="rId8" name="Button 197">
              <controlPr defaultSize="0" print="0" autoFill="0" autoPict="0" macro="[0]!RenamePolysOneByOne">
                <anchor moveWithCells="1" sizeWithCells="1">
                  <from>
                    <xdr:col>2</xdr:col>
                    <xdr:colOff>219075</xdr:colOff>
                    <xdr:row>6</xdr:row>
                    <xdr:rowOff>114300</xdr:rowOff>
                  </from>
                  <to>
                    <xdr:col>4</xdr:col>
                    <xdr:colOff>514350</xdr:colOff>
                    <xdr:row>8</xdr:row>
                    <xdr:rowOff>104775</xdr:rowOff>
                  </to>
                </anchor>
              </controlPr>
            </control>
          </mc:Choice>
        </mc:AlternateContent>
        <mc:AlternateContent xmlns:mc="http://schemas.openxmlformats.org/markup-compatibility/2006">
          <mc:Choice Requires="x14">
            <control shapeId="3270" r:id="rId9" name="Button 198">
              <controlPr defaultSize="0" print="0" autoFill="0" autoPict="0" macro="[0]!FinalizeSetUp">
                <anchor moveWithCells="1" sizeWithCells="1">
                  <from>
                    <xdr:col>10</xdr:col>
                    <xdr:colOff>104775</xdr:colOff>
                    <xdr:row>3</xdr:row>
                    <xdr:rowOff>104775</xdr:rowOff>
                  </from>
                  <to>
                    <xdr:col>13</xdr:col>
                    <xdr:colOff>133350</xdr:colOff>
                    <xdr:row>5</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021">
    <tabColor theme="1"/>
  </sheetPr>
  <dimension ref="A1"/>
  <sheetViews>
    <sheetView workbookViewId="0">
      <selection activeCell="K20" sqref="K20"/>
    </sheetView>
  </sheetViews>
  <sheetFormatPr baseColWidth="10" defaultColWidth="9.140625" defaultRowHeight="12.75" x14ac:dyDescent="0.2"/>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900">
    <tabColor theme="1"/>
    <pageSetUpPr fitToPage="1"/>
  </sheetPr>
  <dimension ref="A1"/>
  <sheetViews>
    <sheetView workbookViewId="0"/>
  </sheetViews>
  <sheetFormatPr baseColWidth="10" defaultColWidth="9.140625" defaultRowHeight="12.75" x14ac:dyDescent="0.2"/>
  <sheetData/>
  <pageMargins left="0.7" right="0.7" top="0.75" bottom="0.75" header="0.3" footer="0.3"/>
  <pageSetup scale="91"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002">
    <tabColor theme="1"/>
  </sheetPr>
  <dimension ref="A1:B105"/>
  <sheetViews>
    <sheetView workbookViewId="0">
      <selection activeCell="D24" sqref="D24"/>
    </sheetView>
  </sheetViews>
  <sheetFormatPr baseColWidth="10" defaultColWidth="9.140625" defaultRowHeight="12.75" x14ac:dyDescent="0.2"/>
  <cols>
    <col min="1" max="1" width="25.140625" bestFit="1" customWidth="1"/>
    <col min="2" max="2" width="39.85546875" bestFit="1" customWidth="1"/>
    <col min="3" max="4" width="9.28515625" customWidth="1"/>
    <col min="5" max="5" width="25.140625" bestFit="1" customWidth="1"/>
    <col min="6" max="6" width="9.5703125" customWidth="1"/>
  </cols>
  <sheetData>
    <row r="1" spans="1:2" x14ac:dyDescent="0.2">
      <c r="A1" t="s">
        <v>84</v>
      </c>
      <c r="B1" t="s">
        <v>85</v>
      </c>
    </row>
    <row r="2" spans="1:2" x14ac:dyDescent="0.2">
      <c r="A2" t="s">
        <v>86</v>
      </c>
      <c r="B2" t="s">
        <v>87</v>
      </c>
    </row>
    <row r="3" spans="1:2" x14ac:dyDescent="0.2">
      <c r="A3" t="s">
        <v>88</v>
      </c>
      <c r="B3" t="s">
        <v>89</v>
      </c>
    </row>
    <row r="4" spans="1:2" x14ac:dyDescent="0.2">
      <c r="A4" t="s">
        <v>90</v>
      </c>
      <c r="B4" t="s">
        <v>91</v>
      </c>
    </row>
    <row r="5" spans="1:2" x14ac:dyDescent="0.2">
      <c r="A5" t="s">
        <v>92</v>
      </c>
      <c r="B5" t="s">
        <v>93</v>
      </c>
    </row>
    <row r="6" spans="1:2" x14ac:dyDescent="0.2">
      <c r="A6" t="s">
        <v>94</v>
      </c>
      <c r="B6" t="s">
        <v>95</v>
      </c>
    </row>
    <row r="7" spans="1:2" x14ac:dyDescent="0.2">
      <c r="A7" t="s">
        <v>96</v>
      </c>
      <c r="B7" t="s">
        <v>97</v>
      </c>
    </row>
    <row r="8" spans="1:2" x14ac:dyDescent="0.2">
      <c r="A8" t="s">
        <v>98</v>
      </c>
      <c r="B8" t="s">
        <v>99</v>
      </c>
    </row>
    <row r="9" spans="1:2" x14ac:dyDescent="0.2">
      <c r="A9" t="s">
        <v>100</v>
      </c>
      <c r="B9" t="s">
        <v>101</v>
      </c>
    </row>
    <row r="10" spans="1:2" x14ac:dyDescent="0.2">
      <c r="A10" t="s">
        <v>102</v>
      </c>
      <c r="B10" t="s">
        <v>103</v>
      </c>
    </row>
    <row r="11" spans="1:2" x14ac:dyDescent="0.2">
      <c r="A11" t="s">
        <v>104</v>
      </c>
      <c r="B11" t="s">
        <v>105</v>
      </c>
    </row>
    <row r="12" spans="1:2" x14ac:dyDescent="0.2">
      <c r="A12" t="s">
        <v>106</v>
      </c>
      <c r="B12" t="s">
        <v>107</v>
      </c>
    </row>
    <row r="13" spans="1:2" x14ac:dyDescent="0.2">
      <c r="A13" t="s">
        <v>108</v>
      </c>
      <c r="B13" t="s">
        <v>109</v>
      </c>
    </row>
    <row r="14" spans="1:2" x14ac:dyDescent="0.2">
      <c r="A14" t="s">
        <v>110</v>
      </c>
      <c r="B14" t="s">
        <v>111</v>
      </c>
    </row>
    <row r="15" spans="1:2" x14ac:dyDescent="0.2">
      <c r="A15" t="s">
        <v>112</v>
      </c>
      <c r="B15" t="s">
        <v>113</v>
      </c>
    </row>
    <row r="16" spans="1:2" x14ac:dyDescent="0.2">
      <c r="A16" t="s">
        <v>114</v>
      </c>
      <c r="B16" t="s">
        <v>115</v>
      </c>
    </row>
    <row r="17" spans="1:2" x14ac:dyDescent="0.2">
      <c r="A17" t="s">
        <v>116</v>
      </c>
      <c r="B17" t="s">
        <v>117</v>
      </c>
    </row>
    <row r="18" spans="1:2" x14ac:dyDescent="0.2">
      <c r="A18" t="s">
        <v>118</v>
      </c>
      <c r="B18" t="s">
        <v>119</v>
      </c>
    </row>
    <row r="19" spans="1:2" x14ac:dyDescent="0.2">
      <c r="A19" t="s">
        <v>120</v>
      </c>
      <c r="B19" t="s">
        <v>121</v>
      </c>
    </row>
    <row r="20" spans="1:2" x14ac:dyDescent="0.2">
      <c r="A20" t="s">
        <v>122</v>
      </c>
      <c r="B20" t="s">
        <v>123</v>
      </c>
    </row>
    <row r="21" spans="1:2" x14ac:dyDescent="0.2">
      <c r="A21" t="s">
        <v>124</v>
      </c>
      <c r="B21" t="s">
        <v>125</v>
      </c>
    </row>
    <row r="22" spans="1:2" x14ac:dyDescent="0.2">
      <c r="A22" t="s">
        <v>126</v>
      </c>
      <c r="B22" t="s">
        <v>127</v>
      </c>
    </row>
    <row r="23" spans="1:2" x14ac:dyDescent="0.2">
      <c r="A23" t="s">
        <v>128</v>
      </c>
      <c r="B23" t="s">
        <v>129</v>
      </c>
    </row>
    <row r="24" spans="1:2" x14ac:dyDescent="0.2">
      <c r="A24" t="s">
        <v>130</v>
      </c>
      <c r="B24" t="s">
        <v>131</v>
      </c>
    </row>
    <row r="25" spans="1:2" x14ac:dyDescent="0.2">
      <c r="A25" t="s">
        <v>132</v>
      </c>
      <c r="B25" t="s">
        <v>133</v>
      </c>
    </row>
    <row r="26" spans="1:2" x14ac:dyDescent="0.2">
      <c r="A26" t="s">
        <v>134</v>
      </c>
      <c r="B26" t="s">
        <v>135</v>
      </c>
    </row>
    <row r="27" spans="1:2" x14ac:dyDescent="0.2">
      <c r="A27" t="s">
        <v>136</v>
      </c>
      <c r="B27" t="s">
        <v>137</v>
      </c>
    </row>
    <row r="28" spans="1:2" x14ac:dyDescent="0.2">
      <c r="A28" t="s">
        <v>138</v>
      </c>
      <c r="B28" t="s">
        <v>139</v>
      </c>
    </row>
    <row r="29" spans="1:2" x14ac:dyDescent="0.2">
      <c r="A29" t="s">
        <v>140</v>
      </c>
      <c r="B29" t="s">
        <v>141</v>
      </c>
    </row>
    <row r="30" spans="1:2" x14ac:dyDescent="0.2">
      <c r="A30" t="s">
        <v>142</v>
      </c>
      <c r="B30" t="s">
        <v>143</v>
      </c>
    </row>
    <row r="31" spans="1:2" x14ac:dyDescent="0.2">
      <c r="A31" t="s">
        <v>144</v>
      </c>
      <c r="B31" t="s">
        <v>145</v>
      </c>
    </row>
    <row r="32" spans="1:2" x14ac:dyDescent="0.2">
      <c r="A32" t="s">
        <v>146</v>
      </c>
      <c r="B32" t="s">
        <v>147</v>
      </c>
    </row>
    <row r="33" spans="1:2" x14ac:dyDescent="0.2">
      <c r="A33" t="s">
        <v>148</v>
      </c>
      <c r="B33" t="s">
        <v>149</v>
      </c>
    </row>
    <row r="34" spans="1:2" x14ac:dyDescent="0.2">
      <c r="A34" t="s">
        <v>150</v>
      </c>
      <c r="B34" t="s">
        <v>151</v>
      </c>
    </row>
    <row r="35" spans="1:2" x14ac:dyDescent="0.2">
      <c r="A35" t="s">
        <v>152</v>
      </c>
      <c r="B35" t="s">
        <v>153</v>
      </c>
    </row>
    <row r="36" spans="1:2" x14ac:dyDescent="0.2">
      <c r="A36" t="s">
        <v>154</v>
      </c>
      <c r="B36" t="s">
        <v>155</v>
      </c>
    </row>
    <row r="37" spans="1:2" x14ac:dyDescent="0.2">
      <c r="A37" t="s">
        <v>156</v>
      </c>
      <c r="B37" t="s">
        <v>157</v>
      </c>
    </row>
    <row r="38" spans="1:2" x14ac:dyDescent="0.2">
      <c r="A38" t="s">
        <v>158</v>
      </c>
      <c r="B38" t="s">
        <v>159</v>
      </c>
    </row>
    <row r="39" spans="1:2" x14ac:dyDescent="0.2">
      <c r="A39" t="s">
        <v>160</v>
      </c>
      <c r="B39" t="s">
        <v>161</v>
      </c>
    </row>
    <row r="40" spans="1:2" x14ac:dyDescent="0.2">
      <c r="A40" t="s">
        <v>162</v>
      </c>
      <c r="B40" t="s">
        <v>163</v>
      </c>
    </row>
    <row r="41" spans="1:2" x14ac:dyDescent="0.2">
      <c r="A41" t="s">
        <v>164</v>
      </c>
      <c r="B41" t="s">
        <v>165</v>
      </c>
    </row>
    <row r="42" spans="1:2" x14ac:dyDescent="0.2">
      <c r="A42" t="s">
        <v>166</v>
      </c>
      <c r="B42" t="s">
        <v>167</v>
      </c>
    </row>
    <row r="43" spans="1:2" x14ac:dyDescent="0.2">
      <c r="A43" t="s">
        <v>168</v>
      </c>
      <c r="B43" t="s">
        <v>169</v>
      </c>
    </row>
    <row r="44" spans="1:2" x14ac:dyDescent="0.2">
      <c r="A44" t="s">
        <v>170</v>
      </c>
      <c r="B44" t="s">
        <v>171</v>
      </c>
    </row>
    <row r="45" spans="1:2" x14ac:dyDescent="0.2">
      <c r="A45" t="s">
        <v>172</v>
      </c>
      <c r="B45" t="s">
        <v>173</v>
      </c>
    </row>
    <row r="46" spans="1:2" x14ac:dyDescent="0.2">
      <c r="A46" t="s">
        <v>174</v>
      </c>
      <c r="B46" t="s">
        <v>175</v>
      </c>
    </row>
    <row r="47" spans="1:2" x14ac:dyDescent="0.2">
      <c r="A47" t="s">
        <v>176</v>
      </c>
      <c r="B47" t="s">
        <v>177</v>
      </c>
    </row>
    <row r="48" spans="1:2" x14ac:dyDescent="0.2">
      <c r="A48" t="s">
        <v>178</v>
      </c>
      <c r="B48" t="s">
        <v>179</v>
      </c>
    </row>
    <row r="49" spans="1:2" x14ac:dyDescent="0.2">
      <c r="A49" t="s">
        <v>180</v>
      </c>
      <c r="B49" t="s">
        <v>181</v>
      </c>
    </row>
    <row r="50" spans="1:2" x14ac:dyDescent="0.2">
      <c r="A50" t="s">
        <v>182</v>
      </c>
      <c r="B50" t="s">
        <v>183</v>
      </c>
    </row>
    <row r="51" spans="1:2" x14ac:dyDescent="0.2">
      <c r="A51" t="s">
        <v>184</v>
      </c>
      <c r="B51" t="s">
        <v>185</v>
      </c>
    </row>
    <row r="52" spans="1:2" x14ac:dyDescent="0.2">
      <c r="A52" t="s">
        <v>186</v>
      </c>
      <c r="B52" t="s">
        <v>187</v>
      </c>
    </row>
    <row r="53" spans="1:2" x14ac:dyDescent="0.2">
      <c r="A53" t="s">
        <v>188</v>
      </c>
      <c r="B53" t="s">
        <v>189</v>
      </c>
    </row>
    <row r="54" spans="1:2" x14ac:dyDescent="0.2">
      <c r="A54" t="s">
        <v>190</v>
      </c>
      <c r="B54" t="s">
        <v>191</v>
      </c>
    </row>
    <row r="55" spans="1:2" x14ac:dyDescent="0.2">
      <c r="A55" t="s">
        <v>192</v>
      </c>
      <c r="B55" t="s">
        <v>193</v>
      </c>
    </row>
    <row r="56" spans="1:2" x14ac:dyDescent="0.2">
      <c r="A56" t="s">
        <v>194</v>
      </c>
      <c r="B56" t="s">
        <v>195</v>
      </c>
    </row>
    <row r="57" spans="1:2" x14ac:dyDescent="0.2">
      <c r="A57" t="s">
        <v>196</v>
      </c>
      <c r="B57" t="s">
        <v>197</v>
      </c>
    </row>
    <row r="58" spans="1:2" x14ac:dyDescent="0.2">
      <c r="A58" t="s">
        <v>198</v>
      </c>
      <c r="B58" t="s">
        <v>199</v>
      </c>
    </row>
    <row r="59" spans="1:2" x14ac:dyDescent="0.2">
      <c r="A59" t="s">
        <v>200</v>
      </c>
      <c r="B59" t="s">
        <v>201</v>
      </c>
    </row>
    <row r="60" spans="1:2" x14ac:dyDescent="0.2">
      <c r="A60" t="s">
        <v>202</v>
      </c>
      <c r="B60" t="s">
        <v>203</v>
      </c>
    </row>
    <row r="61" spans="1:2" x14ac:dyDescent="0.2">
      <c r="A61" t="s">
        <v>204</v>
      </c>
      <c r="B61" t="s">
        <v>205</v>
      </c>
    </row>
    <row r="62" spans="1:2" x14ac:dyDescent="0.2">
      <c r="A62" t="s">
        <v>206</v>
      </c>
      <c r="B62" t="s">
        <v>207</v>
      </c>
    </row>
    <row r="63" spans="1:2" x14ac:dyDescent="0.2">
      <c r="A63" t="s">
        <v>208</v>
      </c>
      <c r="B63" t="s">
        <v>209</v>
      </c>
    </row>
    <row r="64" spans="1:2" x14ac:dyDescent="0.2">
      <c r="A64" t="s">
        <v>210</v>
      </c>
      <c r="B64" t="s">
        <v>211</v>
      </c>
    </row>
    <row r="65" spans="1:2" x14ac:dyDescent="0.2">
      <c r="A65" t="s">
        <v>212</v>
      </c>
      <c r="B65" t="s">
        <v>213</v>
      </c>
    </row>
    <row r="66" spans="1:2" x14ac:dyDescent="0.2">
      <c r="A66" t="s">
        <v>214</v>
      </c>
      <c r="B66" t="s">
        <v>215</v>
      </c>
    </row>
    <row r="67" spans="1:2" x14ac:dyDescent="0.2">
      <c r="A67" t="s">
        <v>216</v>
      </c>
      <c r="B67" t="s">
        <v>217</v>
      </c>
    </row>
    <row r="68" spans="1:2" x14ac:dyDescent="0.2">
      <c r="A68" t="s">
        <v>218</v>
      </c>
      <c r="B68" t="s">
        <v>219</v>
      </c>
    </row>
    <row r="69" spans="1:2" x14ac:dyDescent="0.2">
      <c r="A69" t="s">
        <v>220</v>
      </c>
      <c r="B69" t="s">
        <v>221</v>
      </c>
    </row>
    <row r="70" spans="1:2" x14ac:dyDescent="0.2">
      <c r="A70" t="s">
        <v>222</v>
      </c>
      <c r="B70" t="s">
        <v>223</v>
      </c>
    </row>
    <row r="71" spans="1:2" x14ac:dyDescent="0.2">
      <c r="A71" t="s">
        <v>224</v>
      </c>
      <c r="B71" t="s">
        <v>225</v>
      </c>
    </row>
    <row r="72" spans="1:2" x14ac:dyDescent="0.2">
      <c r="A72" t="s">
        <v>226</v>
      </c>
      <c r="B72" t="s">
        <v>227</v>
      </c>
    </row>
    <row r="73" spans="1:2" x14ac:dyDescent="0.2">
      <c r="A73" t="s">
        <v>228</v>
      </c>
      <c r="B73" t="s">
        <v>229</v>
      </c>
    </row>
    <row r="74" spans="1:2" x14ac:dyDescent="0.2">
      <c r="A74" t="s">
        <v>230</v>
      </c>
      <c r="B74" t="s">
        <v>231</v>
      </c>
    </row>
    <row r="75" spans="1:2" x14ac:dyDescent="0.2">
      <c r="A75" t="s">
        <v>232</v>
      </c>
      <c r="B75" t="s">
        <v>233</v>
      </c>
    </row>
    <row r="76" spans="1:2" x14ac:dyDescent="0.2">
      <c r="A76" t="s">
        <v>234</v>
      </c>
      <c r="B76" t="s">
        <v>235</v>
      </c>
    </row>
    <row r="77" spans="1:2" x14ac:dyDescent="0.2">
      <c r="A77" t="s">
        <v>236</v>
      </c>
      <c r="B77" t="s">
        <v>237</v>
      </c>
    </row>
    <row r="78" spans="1:2" x14ac:dyDescent="0.2">
      <c r="A78" t="s">
        <v>238</v>
      </c>
      <c r="B78" t="s">
        <v>239</v>
      </c>
    </row>
    <row r="79" spans="1:2" x14ac:dyDescent="0.2">
      <c r="A79" t="s">
        <v>240</v>
      </c>
      <c r="B79" t="s">
        <v>241</v>
      </c>
    </row>
    <row r="80" spans="1:2" x14ac:dyDescent="0.2">
      <c r="A80" t="s">
        <v>242</v>
      </c>
      <c r="B80" t="s">
        <v>243</v>
      </c>
    </row>
    <row r="81" spans="1:2" x14ac:dyDescent="0.2">
      <c r="A81" t="s">
        <v>244</v>
      </c>
      <c r="B81" t="s">
        <v>245</v>
      </c>
    </row>
    <row r="82" spans="1:2" x14ac:dyDescent="0.2">
      <c r="A82" t="s">
        <v>246</v>
      </c>
      <c r="B82" t="s">
        <v>247</v>
      </c>
    </row>
    <row r="83" spans="1:2" x14ac:dyDescent="0.2">
      <c r="A83" t="s">
        <v>248</v>
      </c>
      <c r="B83" t="s">
        <v>249</v>
      </c>
    </row>
    <row r="84" spans="1:2" x14ac:dyDescent="0.2">
      <c r="A84" t="s">
        <v>250</v>
      </c>
      <c r="B84" t="s">
        <v>251</v>
      </c>
    </row>
    <row r="85" spans="1:2" x14ac:dyDescent="0.2">
      <c r="A85" t="s">
        <v>252</v>
      </c>
      <c r="B85" t="s">
        <v>253</v>
      </c>
    </row>
    <row r="86" spans="1:2" x14ac:dyDescent="0.2">
      <c r="A86" t="s">
        <v>254</v>
      </c>
      <c r="B86" t="s">
        <v>255</v>
      </c>
    </row>
    <row r="87" spans="1:2" x14ac:dyDescent="0.2">
      <c r="A87" t="s">
        <v>256</v>
      </c>
      <c r="B87" t="s">
        <v>257</v>
      </c>
    </row>
    <row r="88" spans="1:2" x14ac:dyDescent="0.2">
      <c r="A88" t="s">
        <v>258</v>
      </c>
      <c r="B88" t="s">
        <v>259</v>
      </c>
    </row>
    <row r="89" spans="1:2" x14ac:dyDescent="0.2">
      <c r="A89" t="s">
        <v>260</v>
      </c>
      <c r="B89" t="s">
        <v>261</v>
      </c>
    </row>
    <row r="90" spans="1:2" x14ac:dyDescent="0.2">
      <c r="A90" t="s">
        <v>262</v>
      </c>
      <c r="B90" t="s">
        <v>263</v>
      </c>
    </row>
    <row r="91" spans="1:2" x14ac:dyDescent="0.2">
      <c r="A91" t="s">
        <v>264</v>
      </c>
      <c r="B91" t="s">
        <v>265</v>
      </c>
    </row>
    <row r="92" spans="1:2" x14ac:dyDescent="0.2">
      <c r="A92" t="s">
        <v>266</v>
      </c>
      <c r="B92" t="s">
        <v>267</v>
      </c>
    </row>
    <row r="93" spans="1:2" x14ac:dyDescent="0.2">
      <c r="A93" t="s">
        <v>268</v>
      </c>
      <c r="B93" t="s">
        <v>269</v>
      </c>
    </row>
    <row r="94" spans="1:2" x14ac:dyDescent="0.2">
      <c r="A94" t="s">
        <v>270</v>
      </c>
      <c r="B94" t="s">
        <v>271</v>
      </c>
    </row>
    <row r="95" spans="1:2" x14ac:dyDescent="0.2">
      <c r="A95" t="s">
        <v>272</v>
      </c>
      <c r="B95" t="s">
        <v>273</v>
      </c>
    </row>
    <row r="96" spans="1:2" x14ac:dyDescent="0.2">
      <c r="A96" t="s">
        <v>274</v>
      </c>
      <c r="B96" t="s">
        <v>275</v>
      </c>
    </row>
    <row r="97" spans="1:2" x14ac:dyDescent="0.2">
      <c r="A97" t="s">
        <v>276</v>
      </c>
      <c r="B97" t="s">
        <v>277</v>
      </c>
    </row>
    <row r="98" spans="1:2" x14ac:dyDescent="0.2">
      <c r="A98" t="s">
        <v>278</v>
      </c>
      <c r="B98" t="s">
        <v>279</v>
      </c>
    </row>
    <row r="99" spans="1:2" x14ac:dyDescent="0.2">
      <c r="A99" t="s">
        <v>280</v>
      </c>
      <c r="B99" t="s">
        <v>281</v>
      </c>
    </row>
    <row r="100" spans="1:2" x14ac:dyDescent="0.2">
      <c r="A100" t="s">
        <v>282</v>
      </c>
      <c r="B100" t="s">
        <v>283</v>
      </c>
    </row>
    <row r="101" spans="1:2" x14ac:dyDescent="0.2">
      <c r="A101" t="s">
        <v>284</v>
      </c>
      <c r="B101" t="s">
        <v>285</v>
      </c>
    </row>
    <row r="102" spans="1:2" x14ac:dyDescent="0.2">
      <c r="A102" t="s">
        <v>286</v>
      </c>
      <c r="B102" t="s">
        <v>287</v>
      </c>
    </row>
    <row r="103" spans="1:2" x14ac:dyDescent="0.2">
      <c r="A103" t="s">
        <v>288</v>
      </c>
      <c r="B103" t="s">
        <v>289</v>
      </c>
    </row>
    <row r="104" spans="1:2" x14ac:dyDescent="0.2">
      <c r="A104" t="s">
        <v>290</v>
      </c>
      <c r="B104" t="s">
        <v>291</v>
      </c>
    </row>
    <row r="105" spans="1:2" x14ac:dyDescent="0.2">
      <c r="A105" t="s">
        <v>292</v>
      </c>
      <c r="B105" t="s">
        <v>293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001">
    <tabColor theme="1"/>
  </sheetPr>
  <dimension ref="A1:E40"/>
  <sheetViews>
    <sheetView workbookViewId="0">
      <selection activeCell="D24" sqref="D24"/>
    </sheetView>
  </sheetViews>
  <sheetFormatPr baseColWidth="10" defaultColWidth="9.140625" defaultRowHeight="12.75" x14ac:dyDescent="0.2"/>
  <cols>
    <col min="1" max="1" width="16.140625" bestFit="1" customWidth="1"/>
    <col min="2" max="2" width="15.28515625" customWidth="1"/>
    <col min="4" max="4" width="25.140625" bestFit="1" customWidth="1"/>
  </cols>
  <sheetData>
    <row r="1" spans="1:5" x14ac:dyDescent="0.2">
      <c r="A1" s="4" t="s">
        <v>300</v>
      </c>
      <c r="D1" s="4" t="s">
        <v>301</v>
      </c>
    </row>
    <row r="3" spans="1:5" x14ac:dyDescent="0.2">
      <c r="A3" s="4" t="s">
        <v>21</v>
      </c>
      <c r="B3" s="4" t="s">
        <v>314</v>
      </c>
      <c r="D3" s="4" t="s">
        <v>21</v>
      </c>
      <c r="E3" s="4" t="s">
        <v>299</v>
      </c>
    </row>
    <row r="4" spans="1:5" x14ac:dyDescent="0.2">
      <c r="A4" s="4" t="s">
        <v>302</v>
      </c>
      <c r="B4">
        <f ca="1">IF(ISERROR(INDIRECT("'"&amp;CONFIG_WS_LIST[[#This Row],[Name]]&amp;"'!A1")),0,1)</f>
        <v>1</v>
      </c>
      <c r="D4" s="4" t="s">
        <v>294</v>
      </c>
      <c r="E4">
        <v>1</v>
      </c>
    </row>
    <row r="5" spans="1:5" x14ac:dyDescent="0.2">
      <c r="A5" s="4" t="s">
        <v>303</v>
      </c>
      <c r="B5">
        <f ca="1">IF(ISERROR(INDIRECT("'"&amp;CONFIG_WS_LIST[[#This Row],[Name]]&amp;"'!A1")),0,1)</f>
        <v>1</v>
      </c>
      <c r="D5" t="s">
        <v>118</v>
      </c>
      <c r="E5">
        <v>0</v>
      </c>
    </row>
    <row r="6" spans="1:5" x14ac:dyDescent="0.2">
      <c r="A6" s="4" t="s">
        <v>304</v>
      </c>
      <c r="B6">
        <f ca="1">IF(ISERROR(INDIRECT("'"&amp;CONFIG_WS_LIST[[#This Row],[Name]]&amp;"'!A1")),0,1)</f>
        <v>1</v>
      </c>
      <c r="D6" t="s">
        <v>120</v>
      </c>
      <c r="E6">
        <v>0</v>
      </c>
    </row>
    <row r="7" spans="1:5" x14ac:dyDescent="0.2">
      <c r="A7" s="4" t="s">
        <v>305</v>
      </c>
      <c r="B7">
        <f ca="1">IF(ISERROR(INDIRECT("'"&amp;CONFIG_WS_LIST[[#This Row],[Name]]&amp;"'!A1")),0,1)</f>
        <v>1</v>
      </c>
      <c r="D7" t="s">
        <v>122</v>
      </c>
      <c r="E7">
        <v>0</v>
      </c>
    </row>
    <row r="8" spans="1:5" x14ac:dyDescent="0.2">
      <c r="A8" s="4" t="s">
        <v>306</v>
      </c>
      <c r="B8">
        <f ca="1">IF(ISERROR(INDIRECT("'"&amp;CONFIG_WS_LIST[[#This Row],[Name]]&amp;"'!A1")),0,1)</f>
        <v>1</v>
      </c>
      <c r="D8" t="s">
        <v>124</v>
      </c>
      <c r="E8">
        <v>0</v>
      </c>
    </row>
    <row r="9" spans="1:5" x14ac:dyDescent="0.2">
      <c r="A9" s="4" t="s">
        <v>307</v>
      </c>
      <c r="B9">
        <f ca="1">IF(ISERROR(INDIRECT("'"&amp;CONFIG_WS_LIST[[#This Row],[Name]]&amp;"'!A1")),0,1)</f>
        <v>1</v>
      </c>
      <c r="D9" t="s">
        <v>126</v>
      </c>
      <c r="E9">
        <v>0</v>
      </c>
    </row>
    <row r="10" spans="1:5" x14ac:dyDescent="0.2">
      <c r="A10" s="4" t="s">
        <v>308</v>
      </c>
      <c r="B10">
        <f ca="1">IF(ISERROR(INDIRECT("'"&amp;CONFIG_WS_LIST[[#This Row],[Name]]&amp;"'!A1")),0,1)</f>
        <v>1</v>
      </c>
      <c r="D10" t="s">
        <v>128</v>
      </c>
      <c r="E10">
        <v>0</v>
      </c>
    </row>
    <row r="11" spans="1:5" x14ac:dyDescent="0.2">
      <c r="A11" s="4" t="s">
        <v>309</v>
      </c>
      <c r="B11">
        <f ca="1">IF(ISERROR(INDIRECT("'"&amp;CONFIG_WS_LIST[[#This Row],[Name]]&amp;"'!A1")),0,1)</f>
        <v>1</v>
      </c>
      <c r="D11" t="s">
        <v>130</v>
      </c>
      <c r="E11">
        <v>0</v>
      </c>
    </row>
    <row r="12" spans="1:5" x14ac:dyDescent="0.2">
      <c r="A12" s="4" t="s">
        <v>310</v>
      </c>
      <c r="B12">
        <f ca="1">IF(ISERROR(INDIRECT("'"&amp;CONFIG_WS_LIST[[#This Row],[Name]]&amp;"'!A1")),0,1)</f>
        <v>1</v>
      </c>
      <c r="D12" t="s">
        <v>132</v>
      </c>
      <c r="E12">
        <v>0</v>
      </c>
    </row>
    <row r="13" spans="1:5" x14ac:dyDescent="0.2">
      <c r="A13" s="4" t="s">
        <v>311</v>
      </c>
      <c r="B13">
        <f ca="1">IF(ISERROR(INDIRECT("'"&amp;CONFIG_WS_LIST[[#This Row],[Name]]&amp;"'!A1")),0,1)</f>
        <v>1</v>
      </c>
      <c r="D13" t="s">
        <v>134</v>
      </c>
      <c r="E13">
        <v>0</v>
      </c>
    </row>
    <row r="14" spans="1:5" x14ac:dyDescent="0.2">
      <c r="A14" s="4" t="s">
        <v>312</v>
      </c>
      <c r="B14">
        <f ca="1">IF(ISERROR(INDIRECT("'"&amp;CONFIG_WS_LIST[[#This Row],[Name]]&amp;"'!A1")),0,1)</f>
        <v>1</v>
      </c>
      <c r="D14" t="s">
        <v>136</v>
      </c>
      <c r="E14">
        <v>0</v>
      </c>
    </row>
    <row r="15" spans="1:5" x14ac:dyDescent="0.2">
      <c r="A15" s="4" t="s">
        <v>313</v>
      </c>
      <c r="B15">
        <f ca="1">IF(ISERROR(INDIRECT("'"&amp;CONFIG_WS_LIST[[#This Row],[Name]]&amp;"'!A1")),0,1)</f>
        <v>1</v>
      </c>
      <c r="D15" t="s">
        <v>138</v>
      </c>
      <c r="E15">
        <v>0</v>
      </c>
    </row>
    <row r="16" spans="1:5" x14ac:dyDescent="0.2">
      <c r="D16" t="s">
        <v>140</v>
      </c>
      <c r="E16">
        <v>0</v>
      </c>
    </row>
    <row r="17" spans="4:5" x14ac:dyDescent="0.2">
      <c r="D17" t="s">
        <v>142</v>
      </c>
      <c r="E17">
        <v>0</v>
      </c>
    </row>
    <row r="18" spans="4:5" x14ac:dyDescent="0.2">
      <c r="D18" t="s">
        <v>144</v>
      </c>
      <c r="E18">
        <v>0</v>
      </c>
    </row>
    <row r="19" spans="4:5" x14ac:dyDescent="0.2">
      <c r="D19" t="s">
        <v>146</v>
      </c>
      <c r="E19">
        <v>0</v>
      </c>
    </row>
    <row r="20" spans="4:5" x14ac:dyDescent="0.2">
      <c r="D20" s="4" t="s">
        <v>295</v>
      </c>
      <c r="E20">
        <v>1</v>
      </c>
    </row>
    <row r="21" spans="4:5" x14ac:dyDescent="0.2">
      <c r="D21" s="4" t="s">
        <v>296</v>
      </c>
      <c r="E21">
        <v>1</v>
      </c>
    </row>
    <row r="22" spans="4:5" x14ac:dyDescent="0.2">
      <c r="D22" t="s">
        <v>196</v>
      </c>
      <c r="E22">
        <v>0</v>
      </c>
    </row>
    <row r="23" spans="4:5" x14ac:dyDescent="0.2">
      <c r="D23" t="s">
        <v>198</v>
      </c>
      <c r="E23">
        <v>0</v>
      </c>
    </row>
    <row r="24" spans="4:5" x14ac:dyDescent="0.2">
      <c r="D24" t="s">
        <v>200</v>
      </c>
      <c r="E24">
        <v>0</v>
      </c>
    </row>
    <row r="25" spans="4:5" x14ac:dyDescent="0.2">
      <c r="D25" t="s">
        <v>202</v>
      </c>
      <c r="E25">
        <v>0</v>
      </c>
    </row>
    <row r="26" spans="4:5" x14ac:dyDescent="0.2">
      <c r="D26" t="s">
        <v>204</v>
      </c>
      <c r="E26">
        <v>0</v>
      </c>
    </row>
    <row r="27" spans="4:5" x14ac:dyDescent="0.2">
      <c r="D27" t="s">
        <v>206</v>
      </c>
      <c r="E27">
        <v>0</v>
      </c>
    </row>
    <row r="28" spans="4:5" x14ac:dyDescent="0.2">
      <c r="D28" t="s">
        <v>208</v>
      </c>
      <c r="E28">
        <v>0</v>
      </c>
    </row>
    <row r="29" spans="4:5" x14ac:dyDescent="0.2">
      <c r="D29" t="s">
        <v>210</v>
      </c>
      <c r="E29">
        <v>0</v>
      </c>
    </row>
    <row r="30" spans="4:5" x14ac:dyDescent="0.2">
      <c r="D30" t="s">
        <v>212</v>
      </c>
      <c r="E30">
        <v>0</v>
      </c>
    </row>
    <row r="31" spans="4:5" x14ac:dyDescent="0.2">
      <c r="D31" s="4" t="s">
        <v>298</v>
      </c>
      <c r="E31">
        <v>1</v>
      </c>
    </row>
    <row r="32" spans="4:5" x14ac:dyDescent="0.2">
      <c r="D32" s="4" t="s">
        <v>297</v>
      </c>
      <c r="E32">
        <v>1</v>
      </c>
    </row>
    <row r="33" spans="4:5" x14ac:dyDescent="0.2">
      <c r="D33" t="s">
        <v>278</v>
      </c>
      <c r="E33">
        <v>0</v>
      </c>
    </row>
    <row r="34" spans="4:5" x14ac:dyDescent="0.2">
      <c r="D34" t="s">
        <v>280</v>
      </c>
      <c r="E34">
        <v>0</v>
      </c>
    </row>
    <row r="35" spans="4:5" x14ac:dyDescent="0.2">
      <c r="D35" t="s">
        <v>282</v>
      </c>
      <c r="E35">
        <v>0</v>
      </c>
    </row>
    <row r="36" spans="4:5" x14ac:dyDescent="0.2">
      <c r="D36" t="s">
        <v>284</v>
      </c>
      <c r="E36">
        <v>0</v>
      </c>
    </row>
    <row r="37" spans="4:5" x14ac:dyDescent="0.2">
      <c r="D37" t="s">
        <v>286</v>
      </c>
      <c r="E37">
        <v>0</v>
      </c>
    </row>
    <row r="38" spans="4:5" x14ac:dyDescent="0.2">
      <c r="D38" t="s">
        <v>288</v>
      </c>
      <c r="E38">
        <v>0</v>
      </c>
    </row>
    <row r="39" spans="4:5" x14ac:dyDescent="0.2">
      <c r="D39" t="s">
        <v>290</v>
      </c>
      <c r="E39">
        <v>0</v>
      </c>
    </row>
    <row r="40" spans="4:5" x14ac:dyDescent="0.2">
      <c r="D40" t="s">
        <v>292</v>
      </c>
      <c r="E40">
        <v>0</v>
      </c>
    </row>
  </sheetData>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Ws000">
    <tabColor theme="1"/>
  </sheetPr>
  <dimension ref="A1:G32"/>
  <sheetViews>
    <sheetView workbookViewId="0">
      <selection activeCell="A2" sqref="A2"/>
    </sheetView>
  </sheetViews>
  <sheetFormatPr baseColWidth="10" defaultColWidth="0" defaultRowHeight="12.75" x14ac:dyDescent="0.2"/>
  <cols>
    <col min="1" max="1" width="20.28515625" customWidth="1"/>
    <col min="2" max="2" width="12.5703125" customWidth="1"/>
    <col min="3" max="3" width="16.140625" customWidth="1"/>
    <col min="4" max="4" width="19.140625" customWidth="1"/>
    <col min="5" max="5" width="21.42578125" customWidth="1"/>
    <col min="6" max="6" width="10.42578125" bestFit="1" customWidth="1"/>
    <col min="7" max="7" width="19.5703125" customWidth="1"/>
    <col min="8" max="16384" width="9.140625" hidden="1"/>
  </cols>
  <sheetData>
    <row r="1" spans="1:7" x14ac:dyDescent="0.2">
      <c r="A1" s="4" t="s">
        <v>315</v>
      </c>
      <c r="B1" s="4" t="s">
        <v>316</v>
      </c>
      <c r="C1" s="4" t="s">
        <v>317</v>
      </c>
      <c r="D1" s="4" t="s">
        <v>318</v>
      </c>
      <c r="E1" s="4" t="s">
        <v>319</v>
      </c>
      <c r="F1" s="4" t="s">
        <v>320</v>
      </c>
      <c r="G1" s="4" t="s">
        <v>321</v>
      </c>
    </row>
    <row r="2" spans="1:7" x14ac:dyDescent="0.2">
      <c r="A2" s="109">
        <v>41651.750983796293</v>
      </c>
      <c r="B2">
        <v>-2147024809</v>
      </c>
      <c r="C2" t="s">
        <v>345</v>
      </c>
      <c r="D2" t="s">
        <v>346</v>
      </c>
      <c r="E2" t="s">
        <v>347</v>
      </c>
      <c r="F2">
        <v>0</v>
      </c>
      <c r="G2" t="s">
        <v>348</v>
      </c>
    </row>
    <row r="3" spans="1:7" x14ac:dyDescent="0.2">
      <c r="A3" s="109">
        <v>41651.751018518517</v>
      </c>
      <c r="B3">
        <v>-2147024809</v>
      </c>
      <c r="C3" t="s">
        <v>345</v>
      </c>
      <c r="D3" t="s">
        <v>346</v>
      </c>
      <c r="E3" t="s">
        <v>347</v>
      </c>
      <c r="F3">
        <v>0</v>
      </c>
      <c r="G3" t="s">
        <v>348</v>
      </c>
    </row>
    <row r="4" spans="1:7" x14ac:dyDescent="0.2">
      <c r="A4" s="109">
        <v>41651.751030092593</v>
      </c>
      <c r="B4">
        <v>-2147024809</v>
      </c>
      <c r="C4" t="s">
        <v>345</v>
      </c>
      <c r="D4" t="s">
        <v>346</v>
      </c>
      <c r="E4" t="s">
        <v>347</v>
      </c>
      <c r="F4">
        <v>0</v>
      </c>
      <c r="G4" t="s">
        <v>348</v>
      </c>
    </row>
    <row r="5" spans="1:7" x14ac:dyDescent="0.2">
      <c r="A5" s="109">
        <v>41651.751030092593</v>
      </c>
      <c r="B5">
        <v>-2147024809</v>
      </c>
      <c r="C5" t="s">
        <v>345</v>
      </c>
      <c r="D5" t="s">
        <v>346</v>
      </c>
      <c r="E5" t="s">
        <v>347</v>
      </c>
      <c r="F5">
        <v>0</v>
      </c>
      <c r="G5" t="s">
        <v>348</v>
      </c>
    </row>
    <row r="6" spans="1:7" x14ac:dyDescent="0.2">
      <c r="A6" s="109">
        <v>41651.751030092593</v>
      </c>
      <c r="B6">
        <v>-2147024809</v>
      </c>
      <c r="C6" t="s">
        <v>345</v>
      </c>
      <c r="D6" t="s">
        <v>346</v>
      </c>
      <c r="E6" t="s">
        <v>347</v>
      </c>
      <c r="F6">
        <v>0</v>
      </c>
      <c r="G6" t="s">
        <v>348</v>
      </c>
    </row>
    <row r="7" spans="1:7" x14ac:dyDescent="0.2">
      <c r="A7" s="109">
        <v>41651.75104166667</v>
      </c>
      <c r="B7">
        <v>-2147024809</v>
      </c>
      <c r="C7" t="s">
        <v>345</v>
      </c>
      <c r="D7" t="s">
        <v>346</v>
      </c>
      <c r="E7" t="s">
        <v>347</v>
      </c>
      <c r="F7">
        <v>0</v>
      </c>
      <c r="G7" t="s">
        <v>348</v>
      </c>
    </row>
    <row r="8" spans="1:7" x14ac:dyDescent="0.2">
      <c r="A8" s="109">
        <v>41651.75104166667</v>
      </c>
      <c r="B8">
        <v>-2147024809</v>
      </c>
      <c r="C8" t="s">
        <v>345</v>
      </c>
      <c r="D8" t="s">
        <v>346</v>
      </c>
      <c r="E8" t="s">
        <v>347</v>
      </c>
      <c r="F8">
        <v>0</v>
      </c>
      <c r="G8" t="s">
        <v>348</v>
      </c>
    </row>
    <row r="9" spans="1:7" x14ac:dyDescent="0.2">
      <c r="A9" s="109">
        <v>41651.75104166667</v>
      </c>
      <c r="B9">
        <v>-2147024809</v>
      </c>
      <c r="C9" t="s">
        <v>345</v>
      </c>
      <c r="D9" t="s">
        <v>346</v>
      </c>
      <c r="E9" t="s">
        <v>347</v>
      </c>
      <c r="F9">
        <v>0</v>
      </c>
      <c r="G9" t="s">
        <v>348</v>
      </c>
    </row>
    <row r="10" spans="1:7" x14ac:dyDescent="0.2">
      <c r="A10" s="109">
        <v>41651.75105324074</v>
      </c>
      <c r="B10">
        <v>-2147024809</v>
      </c>
      <c r="C10" t="s">
        <v>345</v>
      </c>
      <c r="D10" t="s">
        <v>346</v>
      </c>
      <c r="E10" t="s">
        <v>347</v>
      </c>
      <c r="F10">
        <v>0</v>
      </c>
      <c r="G10" t="s">
        <v>348</v>
      </c>
    </row>
    <row r="11" spans="1:7" x14ac:dyDescent="0.2">
      <c r="A11" s="109">
        <v>41651.75105324074</v>
      </c>
      <c r="B11">
        <v>-2147024809</v>
      </c>
      <c r="C11" t="s">
        <v>345</v>
      </c>
      <c r="D11" t="s">
        <v>346</v>
      </c>
      <c r="E11" t="s">
        <v>347</v>
      </c>
      <c r="F11">
        <v>0</v>
      </c>
      <c r="G11" t="s">
        <v>348</v>
      </c>
    </row>
    <row r="12" spans="1:7" x14ac:dyDescent="0.2">
      <c r="A12" s="109">
        <v>41651.75105324074</v>
      </c>
      <c r="B12">
        <v>-2147024809</v>
      </c>
      <c r="C12" t="s">
        <v>345</v>
      </c>
      <c r="D12" t="s">
        <v>346</v>
      </c>
      <c r="E12" t="s">
        <v>347</v>
      </c>
      <c r="F12">
        <v>0</v>
      </c>
      <c r="G12" t="s">
        <v>348</v>
      </c>
    </row>
    <row r="13" spans="1:7" x14ac:dyDescent="0.2">
      <c r="A13" s="109">
        <v>41651.75105324074</v>
      </c>
      <c r="B13">
        <v>-2147024809</v>
      </c>
      <c r="C13" t="s">
        <v>345</v>
      </c>
      <c r="D13" t="s">
        <v>346</v>
      </c>
      <c r="E13" t="s">
        <v>347</v>
      </c>
      <c r="F13">
        <v>0</v>
      </c>
      <c r="G13" t="s">
        <v>348</v>
      </c>
    </row>
    <row r="14" spans="1:7" x14ac:dyDescent="0.2">
      <c r="A14" s="109">
        <v>41651.751064814816</v>
      </c>
      <c r="B14">
        <v>-2147024809</v>
      </c>
      <c r="C14" t="s">
        <v>345</v>
      </c>
      <c r="D14" t="s">
        <v>346</v>
      </c>
      <c r="E14" t="s">
        <v>347</v>
      </c>
      <c r="F14">
        <v>0</v>
      </c>
      <c r="G14" t="s">
        <v>348</v>
      </c>
    </row>
    <row r="15" spans="1:7" x14ac:dyDescent="0.2">
      <c r="A15" s="109">
        <v>41651.751064814816</v>
      </c>
      <c r="B15">
        <v>-2147024809</v>
      </c>
      <c r="C15" t="s">
        <v>345</v>
      </c>
      <c r="D15" t="s">
        <v>346</v>
      </c>
      <c r="E15" t="s">
        <v>347</v>
      </c>
      <c r="F15">
        <v>0</v>
      </c>
      <c r="G15" t="s">
        <v>348</v>
      </c>
    </row>
    <row r="16" spans="1:7" x14ac:dyDescent="0.2">
      <c r="A16" s="109">
        <v>41651.751064814816</v>
      </c>
      <c r="B16">
        <v>-2147024809</v>
      </c>
      <c r="C16" t="s">
        <v>345</v>
      </c>
      <c r="D16" t="s">
        <v>346</v>
      </c>
      <c r="E16" t="s">
        <v>347</v>
      </c>
      <c r="F16">
        <v>0</v>
      </c>
      <c r="G16" t="s">
        <v>348</v>
      </c>
    </row>
    <row r="17" spans="1:7" x14ac:dyDescent="0.2">
      <c r="A17" s="109">
        <v>41651.751064814816</v>
      </c>
      <c r="B17">
        <v>-2147024809</v>
      </c>
      <c r="C17" t="s">
        <v>345</v>
      </c>
      <c r="D17" t="s">
        <v>346</v>
      </c>
      <c r="E17" t="s">
        <v>347</v>
      </c>
      <c r="F17">
        <v>0</v>
      </c>
      <c r="G17" t="s">
        <v>348</v>
      </c>
    </row>
    <row r="18" spans="1:7" x14ac:dyDescent="0.2">
      <c r="A18" s="109">
        <v>41651.751076388886</v>
      </c>
      <c r="B18">
        <v>-2147024809</v>
      </c>
      <c r="C18" t="s">
        <v>345</v>
      </c>
      <c r="D18" t="s">
        <v>346</v>
      </c>
      <c r="E18" t="s">
        <v>347</v>
      </c>
      <c r="F18">
        <v>0</v>
      </c>
      <c r="G18" t="s">
        <v>348</v>
      </c>
    </row>
    <row r="19" spans="1:7" x14ac:dyDescent="0.2">
      <c r="A19" s="109">
        <v>41682.844259259262</v>
      </c>
      <c r="B19">
        <v>-2147024809</v>
      </c>
      <c r="C19" t="s">
        <v>349</v>
      </c>
      <c r="D19" t="s">
        <v>346</v>
      </c>
      <c r="E19" t="s">
        <v>347</v>
      </c>
      <c r="F19">
        <v>0</v>
      </c>
      <c r="G19" t="s">
        <v>348</v>
      </c>
    </row>
    <row r="20" spans="1:7" x14ac:dyDescent="0.2">
      <c r="A20" t="s">
        <v>527</v>
      </c>
      <c r="B20">
        <v>-2147024809</v>
      </c>
      <c r="C20" t="s">
        <v>345</v>
      </c>
      <c r="D20" t="s">
        <v>346</v>
      </c>
      <c r="E20" t="s">
        <v>347</v>
      </c>
      <c r="F20">
        <v>0</v>
      </c>
      <c r="G20" t="s">
        <v>348</v>
      </c>
    </row>
    <row r="21" spans="1:7" x14ac:dyDescent="0.2">
      <c r="A21" t="s">
        <v>528</v>
      </c>
      <c r="B21">
        <v>-2147024809</v>
      </c>
      <c r="C21" t="s">
        <v>345</v>
      </c>
      <c r="D21" t="s">
        <v>346</v>
      </c>
      <c r="E21" t="s">
        <v>347</v>
      </c>
      <c r="F21">
        <v>0</v>
      </c>
      <c r="G21" t="s">
        <v>348</v>
      </c>
    </row>
    <row r="22" spans="1:7" x14ac:dyDescent="0.2">
      <c r="A22" t="s">
        <v>529</v>
      </c>
      <c r="B22">
        <v>-2147024809</v>
      </c>
      <c r="C22" t="s">
        <v>345</v>
      </c>
      <c r="D22" t="s">
        <v>346</v>
      </c>
      <c r="E22" t="s">
        <v>347</v>
      </c>
      <c r="F22">
        <v>0</v>
      </c>
      <c r="G22" t="s">
        <v>348</v>
      </c>
    </row>
    <row r="23" spans="1:7" x14ac:dyDescent="0.2">
      <c r="A23" t="s">
        <v>529</v>
      </c>
      <c r="B23">
        <v>-2147024809</v>
      </c>
      <c r="C23" t="s">
        <v>345</v>
      </c>
      <c r="D23" t="s">
        <v>346</v>
      </c>
      <c r="E23" t="s">
        <v>347</v>
      </c>
      <c r="F23">
        <v>0</v>
      </c>
      <c r="G23" t="s">
        <v>348</v>
      </c>
    </row>
    <row r="24" spans="1:7" x14ac:dyDescent="0.2">
      <c r="A24" t="s">
        <v>529</v>
      </c>
      <c r="B24">
        <v>-2147024809</v>
      </c>
      <c r="C24" t="s">
        <v>345</v>
      </c>
      <c r="D24" t="s">
        <v>346</v>
      </c>
      <c r="E24" t="s">
        <v>347</v>
      </c>
      <c r="F24">
        <v>0</v>
      </c>
      <c r="G24" t="s">
        <v>348</v>
      </c>
    </row>
    <row r="25" spans="1:7" x14ac:dyDescent="0.2">
      <c r="A25" t="s">
        <v>530</v>
      </c>
      <c r="B25">
        <v>-2147024809</v>
      </c>
      <c r="C25" t="s">
        <v>345</v>
      </c>
      <c r="D25" t="s">
        <v>346</v>
      </c>
      <c r="E25" t="s">
        <v>347</v>
      </c>
      <c r="F25">
        <v>0</v>
      </c>
      <c r="G25" t="s">
        <v>348</v>
      </c>
    </row>
    <row r="26" spans="1:7" x14ac:dyDescent="0.2">
      <c r="A26" t="s">
        <v>530</v>
      </c>
      <c r="B26">
        <v>-2147024809</v>
      </c>
      <c r="C26" t="s">
        <v>345</v>
      </c>
      <c r="D26" t="s">
        <v>346</v>
      </c>
      <c r="E26" t="s">
        <v>347</v>
      </c>
      <c r="F26">
        <v>0</v>
      </c>
      <c r="G26" t="s">
        <v>348</v>
      </c>
    </row>
    <row r="27" spans="1:7" x14ac:dyDescent="0.2">
      <c r="A27" t="s">
        <v>530</v>
      </c>
      <c r="B27">
        <v>-2147024809</v>
      </c>
      <c r="C27" t="s">
        <v>345</v>
      </c>
      <c r="D27" t="s">
        <v>346</v>
      </c>
      <c r="E27" t="s">
        <v>347</v>
      </c>
      <c r="F27">
        <v>0</v>
      </c>
      <c r="G27" t="s">
        <v>348</v>
      </c>
    </row>
    <row r="28" spans="1:7" x14ac:dyDescent="0.2">
      <c r="A28" t="s">
        <v>530</v>
      </c>
      <c r="B28">
        <v>-2147024809</v>
      </c>
      <c r="C28" t="s">
        <v>345</v>
      </c>
      <c r="D28" t="s">
        <v>346</v>
      </c>
      <c r="E28" t="s">
        <v>347</v>
      </c>
      <c r="F28">
        <v>0</v>
      </c>
      <c r="G28" t="s">
        <v>348</v>
      </c>
    </row>
    <row r="29" spans="1:7" x14ac:dyDescent="0.2">
      <c r="A29" t="s">
        <v>531</v>
      </c>
      <c r="B29">
        <v>-2147024809</v>
      </c>
      <c r="C29" t="s">
        <v>345</v>
      </c>
      <c r="D29" t="s">
        <v>346</v>
      </c>
      <c r="E29" t="s">
        <v>347</v>
      </c>
      <c r="F29">
        <v>0</v>
      </c>
      <c r="G29" t="s">
        <v>348</v>
      </c>
    </row>
    <row r="30" spans="1:7" x14ac:dyDescent="0.2">
      <c r="A30" t="s">
        <v>531</v>
      </c>
      <c r="B30">
        <v>-2147024809</v>
      </c>
      <c r="C30" t="s">
        <v>345</v>
      </c>
      <c r="D30" t="s">
        <v>346</v>
      </c>
      <c r="E30" t="s">
        <v>347</v>
      </c>
      <c r="F30">
        <v>0</v>
      </c>
      <c r="G30" t="s">
        <v>348</v>
      </c>
    </row>
    <row r="31" spans="1:7" x14ac:dyDescent="0.2">
      <c r="A31" t="s">
        <v>531</v>
      </c>
      <c r="B31">
        <v>-2147024809</v>
      </c>
      <c r="C31" t="s">
        <v>345</v>
      </c>
      <c r="D31" t="s">
        <v>346</v>
      </c>
      <c r="E31" t="s">
        <v>347</v>
      </c>
      <c r="F31">
        <v>0</v>
      </c>
      <c r="G31" t="s">
        <v>348</v>
      </c>
    </row>
    <row r="32" spans="1:7" x14ac:dyDescent="0.2">
      <c r="A32" t="s">
        <v>531</v>
      </c>
      <c r="B32">
        <v>-2147024809</v>
      </c>
      <c r="C32" t="s">
        <v>345</v>
      </c>
      <c r="D32" t="s">
        <v>346</v>
      </c>
      <c r="E32" t="s">
        <v>347</v>
      </c>
      <c r="F32">
        <v>0</v>
      </c>
      <c r="G32" t="s">
        <v>348</v>
      </c>
    </row>
  </sheetData>
  <pageMargins left="0.7" right="0.7" top="0.75" bottom="0.75" header="0.3" footer="0.3"/>
  <tableParts count="1">
    <tablePart r:id="rId1"/>
  </tableParts>
</worksheet>
</file>

<file path=customUI/_rels/customUI.xml.rels><?xml version="1.0" encoding="UTF-8" standalone="yes"?>
<Relationships xmlns="http://schemas.openxmlformats.org/package/2006/relationships"><Relationship Id="ResetOrgReport" Type="http://schemas.openxmlformats.org/officeDocument/2006/relationships/image" Target="images/product_type_table_100px.png"/><Relationship Id="Check3W" Type="http://schemas.openxmlformats.org/officeDocument/2006/relationships/image" Target="images/activity_preparedness_100px.png"/><Relationship Id="ResetDashboard" Type="http://schemas.openxmlformats.org/officeDocument/2006/relationships/image" Target="images/socioeconomic_reconstruction_100px.png"/><Relationship Id="CleanDashboard" Type="http://schemas.openxmlformats.org/officeDocument/2006/relationships/image" Target="images/socioeconomic_reconstruction_100px_bluebox.png"/><Relationship Id="Dashboard" Type="http://schemas.openxmlformats.org/officeDocument/2006/relationships/image" Target="images/activity_information_management_100px.png"/><Relationship Id="ResetGears" Type="http://schemas.openxmlformats.org/officeDocument/2006/relationships/image" Target="images/activity_services_tools_100px.png"/><Relationship Id="DataEntry" Type="http://schemas.openxmlformats.org/officeDocument/2006/relationships/image" Target="images/activity_learning_100px.png"/><Relationship Id="OrgList" Type="http://schemas.openxmlformats.org/officeDocument/2006/relationships/image" Target="images/infrastructure_NGO_office_100px.png"/><Relationship Id="Report" Type="http://schemas.openxmlformats.org/officeDocument/2006/relationships/image" Target="images/product_type_data_100px.png"/></Relationships>
</file>

<file path=customUI/customUI.xml><?xml version="1.0" encoding="utf-8"?>
<customUI xmlns="http://schemas.microsoft.com/office/2006/01/customui" onLoad="RibbonOnLoad">
  <ribbon>
    <tabs>
      <tab id="customTab" label="3W TOOLBOX" insertBeforeMso="TabHome">
        <group id="DataEntryGroup" label="Data Entry Tool">
          <button id="customButton1" label="New Row" size="large" onAction="AddNewRow" imageMso="TableRowsInsertBelowWord"/>
          <button id="customButton2" label="Delete Row" size="large" onAction="DeleteRow" imageMso="CellsDelete"/>
        </group>
        <group id="Separator1" label=" ">
          <button id="customButton100" label=" " size="large"/>
          <button id="customButton99" label=" " size="large"/>
        </group>
        <group id="NavigationGroup" label="Navigation">
          <button id="customButton3" label="Check3W" size="large" onAction="GotoCheck" image="Check3W"/>
          <button id="customButton4" label="Data" size="large" onAction="GotoData" image="DataEntry"/>
          <button id="customButton5" label="Organisation List" size="large" onAction="GotoOrganisations" image="OrgList"/>
          <button id="customButton6" label="Dashboard" size="large" onAction="GotoDashboard" image="Dashboard"/>
          <button id="customButton7" label="Org Report" size="large" onAction="GotoRepor2" image="Report"/>
        </group>
        <group id="Separator2" label=" ">
          <button id="customButton98" label=" " size="large"/>
          <button id="customButton97" label=" " size="large"/>
          <button id="customButton96" label=" " size="large"/>
          <button id="customButton95" label=" " size="large"/>
        </group>
        <group id="SetupGroup" label="Setup">
          <button id="customButton8" label="Clean Dashboard" size="large" onAction="RemoveMaps" image="CleanDashboard"/>
          <button id="customButton9" label="Reset Dashboard" size="large" onAction="ResetDashboard" image="ResetDashboard"/>
          <button id="customButton10" label="Reset Gears" size="large" onAction="ReBuildGears" image="ResetGears"/>
          <button id="customButton11" label="Reset Org. Report" size="large" onAction="Reset_orgReport" image="ResetOrgReport"/>
        </group>
        <group idMso="GroupEnterDataAlignment"/>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109</vt:i4>
      </vt:variant>
    </vt:vector>
  </HeadingPairs>
  <TitlesOfParts>
    <vt:vector size="123" baseType="lpstr">
      <vt:lpstr>Check</vt:lpstr>
      <vt:lpstr>Dashboard</vt:lpstr>
      <vt:lpstr>Report 2</vt:lpstr>
      <vt:lpstr>Calculated table</vt:lpstr>
      <vt:lpstr>Data</vt:lpstr>
      <vt:lpstr>Organisations</vt:lpstr>
      <vt:lpstr>Vocabulary</vt:lpstr>
      <vt:lpstr>Gears</vt:lpstr>
      <vt:lpstr>Geometry</vt:lpstr>
      <vt:lpstr>DB_Frames</vt:lpstr>
      <vt:lpstr>Setup Instructions</vt:lpstr>
      <vt:lpstr>NamedRanges</vt:lpstr>
      <vt:lpstr>Config</vt:lpstr>
      <vt:lpstr>ErrReport</vt:lpstr>
      <vt:lpstr>_Map0</vt:lpstr>
      <vt:lpstr>_Map1</vt:lpstr>
      <vt:lpstr>_Map10</vt:lpstr>
      <vt:lpstr>_Map11</vt:lpstr>
      <vt:lpstr>_Map12</vt:lpstr>
      <vt:lpstr>_Map2</vt:lpstr>
      <vt:lpstr>_Map3</vt:lpstr>
      <vt:lpstr>_Map4</vt:lpstr>
      <vt:lpstr>_Map5</vt:lpstr>
      <vt:lpstr>_Map6</vt:lpstr>
      <vt:lpstr>_Map7</vt:lpstr>
      <vt:lpstr>_Map8</vt:lpstr>
      <vt:lpstr>_Map9</vt:lpstr>
      <vt:lpstr>AcronymList</vt:lpstr>
      <vt:lpstr>ActiveRows</vt:lpstr>
      <vt:lpstr>Activity</vt:lpstr>
      <vt:lpstr>ActivityTypesAll</vt:lpstr>
      <vt:lpstr>ActivityTypesForValidation</vt:lpstr>
      <vt:lpstr>AdminNameDataList</vt:lpstr>
      <vt:lpstr>AdminNamesList</vt:lpstr>
      <vt:lpstr>AdminPcodesList</vt:lpstr>
      <vt:lpstr>AllSectorBins</vt:lpstr>
      <vt:lpstr>ChartData_Org</vt:lpstr>
      <vt:lpstr>ChartData_Sector</vt:lpstr>
      <vt:lpstr>Data_Acro</vt:lpstr>
      <vt:lpstr>Data_Act</vt:lpstr>
      <vt:lpstr>Data_OrgTyp</vt:lpstr>
      <vt:lpstr>Data_Pcd</vt:lpstr>
      <vt:lpstr>Data_Sect</vt:lpstr>
      <vt:lpstr>FormulaOrgList1</vt:lpstr>
      <vt:lpstr>FormulaOrgList2</vt:lpstr>
      <vt:lpstr>FormulaOrgList3</vt:lpstr>
      <vt:lpstr>FormulaOrgList4</vt:lpstr>
      <vt:lpstr>FormulaOrgList5</vt:lpstr>
      <vt:lpstr>FormulaOrgList6</vt:lpstr>
      <vt:lpstr>FormulaOrgList7</vt:lpstr>
      <vt:lpstr>'Report 2'!Impression_des_titres</vt:lpstr>
      <vt:lpstr>Map0Data</vt:lpstr>
      <vt:lpstr>Map10Data</vt:lpstr>
      <vt:lpstr>Map11Data</vt:lpstr>
      <vt:lpstr>Map12Data</vt:lpstr>
      <vt:lpstr>Map13Data</vt:lpstr>
      <vt:lpstr>Map14Data</vt:lpstr>
      <vt:lpstr>Map15Data</vt:lpstr>
      <vt:lpstr>Map16Data</vt:lpstr>
      <vt:lpstr>Map1Data</vt:lpstr>
      <vt:lpstr>Map2Data</vt:lpstr>
      <vt:lpstr>Map3Data</vt:lpstr>
      <vt:lpstr>Map4Data</vt:lpstr>
      <vt:lpstr>Map5Data</vt:lpstr>
      <vt:lpstr>Map6Data</vt:lpstr>
      <vt:lpstr>Map7Data</vt:lpstr>
      <vt:lpstr>Map8Data</vt:lpstr>
      <vt:lpstr>Map9Data</vt:lpstr>
      <vt:lpstr>NumbOfMaps</vt:lpstr>
      <vt:lpstr>OrgByAdmin_All</vt:lpstr>
      <vt:lpstr>OrgByAdmin_Emg</vt:lpstr>
      <vt:lpstr>OrgByAdmin_Reg</vt:lpstr>
      <vt:lpstr>OrgByOrgType_All</vt:lpstr>
      <vt:lpstr>OrgByOrgType_Emg</vt:lpstr>
      <vt:lpstr>OrgByOrgType_Reg</vt:lpstr>
      <vt:lpstr>OrgNameList</vt:lpstr>
      <vt:lpstr>OrgRpt_AdminNamesStart</vt:lpstr>
      <vt:lpstr>OrgRpt_PcodesStart</vt:lpstr>
      <vt:lpstr>OrgRpt_SectorStart</vt:lpstr>
      <vt:lpstr>OrgTypeList</vt:lpstr>
      <vt:lpstr>SectorCount0</vt:lpstr>
      <vt:lpstr>SectorCount1</vt:lpstr>
      <vt:lpstr>SectorCount10</vt:lpstr>
      <vt:lpstr>SectorCount11</vt:lpstr>
      <vt:lpstr>SectorCount12</vt:lpstr>
      <vt:lpstr>SectorCount13</vt:lpstr>
      <vt:lpstr>SectorCount14</vt:lpstr>
      <vt:lpstr>SectorCount15</vt:lpstr>
      <vt:lpstr>SectorCount2</vt:lpstr>
      <vt:lpstr>SectorCount3</vt:lpstr>
      <vt:lpstr>SectorCount4</vt:lpstr>
      <vt:lpstr>SectorCount5</vt:lpstr>
      <vt:lpstr>SectorCount6</vt:lpstr>
      <vt:lpstr>SectorCount7</vt:lpstr>
      <vt:lpstr>SectorCount8</vt:lpstr>
      <vt:lpstr>SectorCount9</vt:lpstr>
      <vt:lpstr>SectorCountBins0</vt:lpstr>
      <vt:lpstr>SectorCountBins1</vt:lpstr>
      <vt:lpstr>SectorCountBins10</vt:lpstr>
      <vt:lpstr>SectorCountBins11</vt:lpstr>
      <vt:lpstr>SectorCountBins12</vt:lpstr>
      <vt:lpstr>SectorCountBins13</vt:lpstr>
      <vt:lpstr>SectorCountBins14</vt:lpstr>
      <vt:lpstr>SectorCountBins15</vt:lpstr>
      <vt:lpstr>SectorCountBins2</vt:lpstr>
      <vt:lpstr>SectorCountBins3</vt:lpstr>
      <vt:lpstr>SectorCountBins4</vt:lpstr>
      <vt:lpstr>SectorCountBins5</vt:lpstr>
      <vt:lpstr>SectorCountBins6</vt:lpstr>
      <vt:lpstr>SectorCountBins7</vt:lpstr>
      <vt:lpstr>SectorCountBins8</vt:lpstr>
      <vt:lpstr>SectorCountBins9</vt:lpstr>
      <vt:lpstr>SectorList</vt:lpstr>
      <vt:lpstr>SectorsList</vt:lpstr>
      <vt:lpstr>StdScale</vt:lpstr>
      <vt:lpstr>UniqueByAdminSector_Start</vt:lpstr>
      <vt:lpstr>UniqueByOrgType</vt:lpstr>
      <vt:lpstr>UniqueByOrgType_Anchor</vt:lpstr>
      <vt:lpstr>UniqueBySector</vt:lpstr>
      <vt:lpstr>UniqueBySector_Anchor</vt:lpstr>
      <vt:lpstr>UniqueCalc_Start</vt:lpstr>
      <vt:lpstr>Dashboard!Zone_d_impression</vt:lpstr>
      <vt:lpstr>'Report 2'!Zone_d_impression</vt:lpstr>
    </vt:vector>
  </TitlesOfParts>
  <Company>Home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CJ Hendrix, Christian Cricboom</dc:creator>
  <cp:lastModifiedBy>DELL</cp:lastModifiedBy>
  <cp:lastPrinted>2014-11-26T20:42:53Z</cp:lastPrinted>
  <dcterms:created xsi:type="dcterms:W3CDTF">2008-04-27T17:31:35Z</dcterms:created>
  <dcterms:modified xsi:type="dcterms:W3CDTF">2015-06-16T13:50:42Z</dcterms:modified>
  <cp:version>0.2</cp:version>
</cp:coreProperties>
</file>